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480" yWindow="780" windowWidth="18195" windowHeight="6645" tabRatio="848" activeTab="4"/>
  </bookViews>
  <sheets>
    <sheet name="SUPP SCH B-1.1 B" sheetId="59" r:id="rId1"/>
    <sheet name="SUPP SCH B-1.1 F" sheetId="58" r:id="rId2"/>
    <sheet name="&lt;&lt;&lt;EXPORT" sheetId="71" r:id="rId3"/>
    <sheet name="Rate Case Constants" sheetId="3" r:id="rId4"/>
    <sheet name="Index B" sheetId="37" r:id="rId5"/>
    <sheet name="SCH B-1" sheetId="16" r:id="rId6"/>
    <sheet name="SCH B-2" sheetId="15" r:id="rId7"/>
    <sheet name="SCH B-2.1 B" sheetId="12" r:id="rId8"/>
    <sheet name="SCH B-2.1 F" sheetId="14" r:id="rId9"/>
    <sheet name="SCH B-2.2" sheetId="11" r:id="rId10"/>
    <sheet name="SCH B-2.3 B" sheetId="4" r:id="rId11"/>
    <sheet name="SCH B-2.3 F" sheetId="5" r:id="rId12"/>
    <sheet name="SCH B-2.4" sheetId="7" r:id="rId13"/>
    <sheet name="SCH B-2.5" sheetId="8" r:id="rId14"/>
    <sheet name="SCH B-2.6" sheetId="9" r:id="rId15"/>
    <sheet name="SCH B-2.7" sheetId="10" r:id="rId16"/>
    <sheet name="SCH B-3 B" sheetId="17" r:id="rId17"/>
    <sheet name="SCH B-3 F" sheetId="19" r:id="rId18"/>
    <sheet name="SCH B-3.1" sheetId="18" r:id="rId19"/>
    <sheet name="SCH B-3.2 B" sheetId="23" r:id="rId20"/>
    <sheet name="SCH B-3.2 F" sheetId="47" r:id="rId21"/>
    <sheet name="SCH B-4" sheetId="20" r:id="rId22"/>
    <sheet name="SCH B-4.1" sheetId="40" r:id="rId23"/>
    <sheet name="SCH B-4.2 B" sheetId="63" r:id="rId24"/>
    <sheet name="SCH B-4.2 F" sheetId="64" r:id="rId25"/>
    <sheet name="SCH B-5" sheetId="25" r:id="rId26"/>
    <sheet name="SCH B-5.1" sheetId="26" r:id="rId27"/>
    <sheet name="SCH B-5.2 B (1)" sheetId="81" r:id="rId28"/>
    <sheet name="SCH B-5.2 B (2)" sheetId="82" r:id="rId29"/>
    <sheet name="SCH B-5.2 F (1)" sheetId="79" r:id="rId30"/>
    <sheet name="SCH B-5.2 F (2)" sheetId="80" r:id="rId31"/>
    <sheet name="SCH B-6" sheetId="28" r:id="rId32"/>
    <sheet name="SCH B-7 B" sheetId="69" r:id="rId33"/>
    <sheet name="SCH B-7 F" sheetId="30" r:id="rId34"/>
    <sheet name="SCH B-7.1 B" sheetId="68" r:id="rId35"/>
    <sheet name="SCH B-7.1 F" sheetId="67" r:id="rId36"/>
    <sheet name="SCH B-7.2 B" sheetId="33" r:id="rId37"/>
    <sheet name="SCH B-7.2 F" sheetId="83" r:id="rId38"/>
    <sheet name="SCH B-8 TC" sheetId="31" r:id="rId39"/>
    <sheet name="SCH B-8 KY" sheetId="66" r:id="rId40"/>
    <sheet name="DATA&gt;&gt;&gt;" sheetId="6" r:id="rId41"/>
    <sheet name="BS" sheetId="72" r:id="rId42"/>
    <sheet name="JURISSEP B" sheetId="13" r:id="rId43"/>
    <sheet name="JURISSEP F" sheetId="48" r:id="rId44"/>
    <sheet name="PIS B" sheetId="1" r:id="rId45"/>
    <sheet name="FCPIS B" sheetId="42" r:id="rId46"/>
    <sheet name="FC CWIP &amp; RWIP B" sheetId="44" r:id="rId47"/>
    <sheet name="PIS F" sheetId="41" r:id="rId48"/>
    <sheet name="FCPIS F" sheetId="43" r:id="rId49"/>
    <sheet name="FC CWIP &amp; RWIP F" sheetId="45" r:id="rId50"/>
    <sheet name="AFUDC" sheetId="78" r:id="rId51"/>
    <sheet name="ECR Exclusion" sheetId="76" r:id="rId52"/>
    <sheet name="ECR COR" sheetId="77" r:id="rId53"/>
    <sheet name="ECR EXP B" sheetId="50" r:id="rId54"/>
    <sheet name="ECR EXP F" sheetId="51" r:id="rId55"/>
    <sheet name="ECR DEFTAX" sheetId="55" r:id="rId56"/>
    <sheet name="DSM DEFTAX" sheetId="56" r:id="rId57"/>
    <sheet name="ECR ALLOW" sheetId="65" r:id="rId58"/>
    <sheet name="KU Depr Rates" sheetId="46" r:id="rId59"/>
    <sheet name="KU Proposed Depr Rates" sheetId="74" r:id="rId60"/>
  </sheets>
  <externalReferences>
    <externalReference r:id="rId61"/>
    <externalReference r:id="rId62"/>
    <externalReference r:id="rId63"/>
    <externalReference r:id="rId64"/>
    <externalReference r:id="rId65"/>
    <externalReference r:id="rId66"/>
  </externalReferences>
  <definedNames>
    <definedName name="\\" localSheetId="50" hidden="1">#REF!</definedName>
    <definedName name="\\" localSheetId="41" hidden="1">#REF!</definedName>
    <definedName name="\\" localSheetId="57" hidden="1">#REF!</definedName>
    <definedName name="\\" localSheetId="46" hidden="1">#REF!</definedName>
    <definedName name="\\" localSheetId="49" hidden="1">#REF!</definedName>
    <definedName name="\\" localSheetId="45" hidden="1">#REF!</definedName>
    <definedName name="\\" localSheetId="48" hidden="1">#REF!</definedName>
    <definedName name="\\" localSheetId="42" hidden="1">#REF!</definedName>
    <definedName name="\\" localSheetId="43" hidden="1">#REF!</definedName>
    <definedName name="\\" localSheetId="47"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 localSheetId="50" hidden="1">#REF!</definedName>
    <definedName name="\\\" localSheetId="57" hidden="1">#REF!</definedName>
    <definedName name="\\\" localSheetId="42" hidden="1">#REF!</definedName>
    <definedName name="\\\" localSheetId="43"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 localSheetId="50" hidden="1">#REF!</definedName>
    <definedName name="\\\\" localSheetId="57" hidden="1">#REF!</definedName>
    <definedName name="\\\\" localSheetId="42" hidden="1">#REF!</definedName>
    <definedName name="\\\\" localSheetId="43" hidden="1">#REF!</definedName>
    <definedName name="\\\\" localSheetId="5" hidden="1">#REF!</definedName>
    <definedName name="\\\\" localSheetId="6" hidden="1">#REF!</definedName>
    <definedName name="\\\\" localSheetId="7" hidden="1">#REF!</definedName>
    <definedName name="\\\\" localSheetId="8" hidden="1">#REF!</definedName>
    <definedName name="\\\\" localSheetId="9" hidden="1">#REF!</definedName>
    <definedName name="\\\\" localSheetId="11"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9" hidden="1">#REF!</definedName>
    <definedName name="\\\\" localSheetId="0" hidden="1">#REF!</definedName>
    <definedName name="\\\\" hidden="1">#REF!</definedName>
    <definedName name="__123Graph_1" localSheetId="50" hidden="1">#REF!</definedName>
    <definedName name="__123Graph_1" localSheetId="57" hidden="1">#REF!</definedName>
    <definedName name="__123Graph_1" localSheetId="46" hidden="1">#REF!</definedName>
    <definedName name="__123Graph_1" localSheetId="45" hidden="1">#REF!</definedName>
    <definedName name="__123Graph_1" localSheetId="43" hidden="1">#REF!</definedName>
    <definedName name="__123Graph_1" localSheetId="20" hidden="1">#REF!</definedName>
    <definedName name="__123Graph_1" localSheetId="27" hidden="1">#REF!</definedName>
    <definedName name="__123Graph_1" localSheetId="28" hidden="1">#REF!</definedName>
    <definedName name="__123Graph_1" localSheetId="29" hidden="1">#REF!</definedName>
    <definedName name="__123Graph_1" localSheetId="30" hidden="1">#REF!</definedName>
    <definedName name="__123Graph_1" localSheetId="32" hidden="1">#REF!</definedName>
    <definedName name="__123Graph_1" localSheetId="34" hidden="1">#REF!</definedName>
    <definedName name="__123Graph_1" localSheetId="35" hidden="1">#REF!</definedName>
    <definedName name="__123Graph_1" localSheetId="37" hidden="1">#REF!</definedName>
    <definedName name="__123Graph_1" localSheetId="39" hidden="1">#REF!</definedName>
    <definedName name="__123Graph_1" localSheetId="0" hidden="1">#REF!</definedName>
    <definedName name="__123Graph_1" hidden="1">#REF!</definedName>
    <definedName name="__123Graph_2" localSheetId="50" hidden="1">#REF!</definedName>
    <definedName name="__123Graph_2" localSheetId="57" hidden="1">#REF!</definedName>
    <definedName name="__123Graph_2" localSheetId="46" hidden="1">#REF!</definedName>
    <definedName name="__123Graph_2" localSheetId="45" hidden="1">#REF!</definedName>
    <definedName name="__123Graph_2" localSheetId="43" hidden="1">#REF!</definedName>
    <definedName name="__123Graph_2" localSheetId="20" hidden="1">#REF!</definedName>
    <definedName name="__123Graph_2" localSheetId="27" hidden="1">#REF!</definedName>
    <definedName name="__123Graph_2" localSheetId="28" hidden="1">#REF!</definedName>
    <definedName name="__123Graph_2" localSheetId="29" hidden="1">#REF!</definedName>
    <definedName name="__123Graph_2" localSheetId="30" hidden="1">#REF!</definedName>
    <definedName name="__123Graph_2" localSheetId="32" hidden="1">#REF!</definedName>
    <definedName name="__123Graph_2" localSheetId="34" hidden="1">#REF!</definedName>
    <definedName name="__123Graph_2" localSheetId="35" hidden="1">#REF!</definedName>
    <definedName name="__123Graph_2" localSheetId="37" hidden="1">#REF!</definedName>
    <definedName name="__123Graph_2" localSheetId="39" hidden="1">#REF!</definedName>
    <definedName name="__123Graph_2" localSheetId="0" hidden="1">#REF!</definedName>
    <definedName name="__123Graph_2" hidden="1">#REF!</definedName>
    <definedName name="__123Graph_3" localSheetId="50" hidden="1">#REF!</definedName>
    <definedName name="__123Graph_3" localSheetId="57" hidden="1">#REF!</definedName>
    <definedName name="__123Graph_3" localSheetId="46" hidden="1">#REF!</definedName>
    <definedName name="__123Graph_3" localSheetId="45" hidden="1">#REF!</definedName>
    <definedName name="__123Graph_3" localSheetId="43" hidden="1">#REF!</definedName>
    <definedName name="__123Graph_3" localSheetId="20" hidden="1">#REF!</definedName>
    <definedName name="__123Graph_3" localSheetId="27" hidden="1">#REF!</definedName>
    <definedName name="__123Graph_3" localSheetId="28" hidden="1">#REF!</definedName>
    <definedName name="__123Graph_3" localSheetId="29" hidden="1">#REF!</definedName>
    <definedName name="__123Graph_3" localSheetId="30" hidden="1">#REF!</definedName>
    <definedName name="__123Graph_3" localSheetId="32" hidden="1">#REF!</definedName>
    <definedName name="__123Graph_3" localSheetId="34" hidden="1">#REF!</definedName>
    <definedName name="__123Graph_3" localSheetId="35" hidden="1">#REF!</definedName>
    <definedName name="__123Graph_3" localSheetId="37" hidden="1">#REF!</definedName>
    <definedName name="__123Graph_3" localSheetId="39" hidden="1">#REF!</definedName>
    <definedName name="__123Graph_3" localSheetId="0" hidden="1">#REF!</definedName>
    <definedName name="__123Graph_3" hidden="1">#REF!</definedName>
    <definedName name="__123Graph_4" localSheetId="50" hidden="1">#REF!</definedName>
    <definedName name="__123Graph_4" localSheetId="57" hidden="1">#REF!</definedName>
    <definedName name="__123Graph_4" localSheetId="46" hidden="1">#REF!</definedName>
    <definedName name="__123Graph_4" localSheetId="45" hidden="1">#REF!</definedName>
    <definedName name="__123Graph_4" localSheetId="43" hidden="1">#REF!</definedName>
    <definedName name="__123Graph_4" localSheetId="20" hidden="1">#REF!</definedName>
    <definedName name="__123Graph_4" localSheetId="27" hidden="1">#REF!</definedName>
    <definedName name="__123Graph_4" localSheetId="28" hidden="1">#REF!</definedName>
    <definedName name="__123Graph_4" localSheetId="29" hidden="1">#REF!</definedName>
    <definedName name="__123Graph_4" localSheetId="30" hidden="1">#REF!</definedName>
    <definedName name="__123Graph_4" localSheetId="32" hidden="1">#REF!</definedName>
    <definedName name="__123Graph_4" localSheetId="34" hidden="1">#REF!</definedName>
    <definedName name="__123Graph_4" localSheetId="35" hidden="1">#REF!</definedName>
    <definedName name="__123Graph_4" localSheetId="37" hidden="1">#REF!</definedName>
    <definedName name="__123Graph_4" localSheetId="39" hidden="1">#REF!</definedName>
    <definedName name="__123Graph_4" localSheetId="0" hidden="1">#REF!</definedName>
    <definedName name="__123Graph_4" hidden="1">#REF!</definedName>
    <definedName name="__123Graph_5" localSheetId="50" hidden="1">#REF!</definedName>
    <definedName name="__123Graph_5" localSheetId="57" hidden="1">#REF!</definedName>
    <definedName name="__123Graph_5" localSheetId="46" hidden="1">#REF!</definedName>
    <definedName name="__123Graph_5" localSheetId="45" hidden="1">#REF!</definedName>
    <definedName name="__123Graph_5" localSheetId="43" hidden="1">#REF!</definedName>
    <definedName name="__123Graph_5" localSheetId="20" hidden="1">#REF!</definedName>
    <definedName name="__123Graph_5" localSheetId="27" hidden="1">#REF!</definedName>
    <definedName name="__123Graph_5" localSheetId="28" hidden="1">#REF!</definedName>
    <definedName name="__123Graph_5" localSheetId="29" hidden="1">#REF!</definedName>
    <definedName name="__123Graph_5" localSheetId="30" hidden="1">#REF!</definedName>
    <definedName name="__123Graph_5" localSheetId="32" hidden="1">#REF!</definedName>
    <definedName name="__123Graph_5" localSheetId="34" hidden="1">#REF!</definedName>
    <definedName name="__123Graph_5" localSheetId="35" hidden="1">#REF!</definedName>
    <definedName name="__123Graph_5" localSheetId="37" hidden="1">#REF!</definedName>
    <definedName name="__123Graph_5" localSheetId="39" hidden="1">#REF!</definedName>
    <definedName name="__123Graph_5" localSheetId="0" hidden="1">#REF!</definedName>
    <definedName name="__123Graph_5" hidden="1">#REF!</definedName>
    <definedName name="__123Graph_6" localSheetId="50" hidden="1">#REF!</definedName>
    <definedName name="__123Graph_6" localSheetId="57" hidden="1">#REF!</definedName>
    <definedName name="__123Graph_6" localSheetId="46" hidden="1">#REF!</definedName>
    <definedName name="__123Graph_6" localSheetId="45" hidden="1">#REF!</definedName>
    <definedName name="__123Graph_6" localSheetId="43" hidden="1">#REF!</definedName>
    <definedName name="__123Graph_6" localSheetId="20" hidden="1">#REF!</definedName>
    <definedName name="__123Graph_6" localSheetId="27" hidden="1">#REF!</definedName>
    <definedName name="__123Graph_6" localSheetId="28" hidden="1">#REF!</definedName>
    <definedName name="__123Graph_6" localSheetId="29" hidden="1">#REF!</definedName>
    <definedName name="__123Graph_6" localSheetId="30" hidden="1">#REF!</definedName>
    <definedName name="__123Graph_6" localSheetId="32" hidden="1">#REF!</definedName>
    <definedName name="__123Graph_6" localSheetId="34" hidden="1">#REF!</definedName>
    <definedName name="__123Graph_6" localSheetId="35" hidden="1">#REF!</definedName>
    <definedName name="__123Graph_6" localSheetId="37" hidden="1">#REF!</definedName>
    <definedName name="__123Graph_6" localSheetId="39" hidden="1">#REF!</definedName>
    <definedName name="__123Graph_6" localSheetId="0" hidden="1">#REF!</definedName>
    <definedName name="__123Graph_6" hidden="1">#REF!</definedName>
    <definedName name="__123Graph_8" localSheetId="50" hidden="1">#REF!</definedName>
    <definedName name="__123Graph_8" localSheetId="57" hidden="1">#REF!</definedName>
    <definedName name="__123Graph_8" localSheetId="46" hidden="1">#REF!</definedName>
    <definedName name="__123Graph_8" localSheetId="45" hidden="1">#REF!</definedName>
    <definedName name="__123Graph_8" localSheetId="43" hidden="1">#REF!</definedName>
    <definedName name="__123Graph_8" localSheetId="20" hidden="1">#REF!</definedName>
    <definedName name="__123Graph_8" localSheetId="27" hidden="1">#REF!</definedName>
    <definedName name="__123Graph_8" localSheetId="28" hidden="1">#REF!</definedName>
    <definedName name="__123Graph_8" localSheetId="29" hidden="1">#REF!</definedName>
    <definedName name="__123Graph_8" localSheetId="30" hidden="1">#REF!</definedName>
    <definedName name="__123Graph_8" localSheetId="32" hidden="1">#REF!</definedName>
    <definedName name="__123Graph_8" localSheetId="34" hidden="1">#REF!</definedName>
    <definedName name="__123Graph_8" localSheetId="35" hidden="1">#REF!</definedName>
    <definedName name="__123Graph_8" localSheetId="37" hidden="1">#REF!</definedName>
    <definedName name="__123Graph_8" localSheetId="39" hidden="1">#REF!</definedName>
    <definedName name="__123Graph_8" localSheetId="0" hidden="1">#REF!</definedName>
    <definedName name="__123Graph_8" hidden="1">#REF!</definedName>
    <definedName name="__123Graph_A" localSheetId="57" hidden="1">#REF!</definedName>
    <definedName name="__123Graph_A" localSheetId="32" hidden="1">#REF!</definedName>
    <definedName name="__123Graph_A" localSheetId="34" hidden="1">#REF!</definedName>
    <definedName name="__123Graph_A" localSheetId="35" hidden="1">#REF!</definedName>
    <definedName name="__123Graph_A" localSheetId="37" hidden="1">#REF!</definedName>
    <definedName name="__123Graph_A" localSheetId="39" hidden="1">#REF!</definedName>
    <definedName name="__123Graph_A" localSheetId="0" hidden="1">#REF!</definedName>
    <definedName name="__123Graph_A" hidden="1">#REF!</definedName>
    <definedName name="__123Graph_B" localSheetId="57" hidden="1">#REF!</definedName>
    <definedName name="__123Graph_B" localSheetId="32" hidden="1">#REF!</definedName>
    <definedName name="__123Graph_B" localSheetId="34" hidden="1">#REF!</definedName>
    <definedName name="__123Graph_B" localSheetId="35" hidden="1">#REF!</definedName>
    <definedName name="__123Graph_B" localSheetId="37" hidden="1">#REF!</definedName>
    <definedName name="__123Graph_B" localSheetId="39" hidden="1">#REF!</definedName>
    <definedName name="__123Graph_B" localSheetId="0" hidden="1">#REF!</definedName>
    <definedName name="__123Graph_B" hidden="1">#REF!</definedName>
    <definedName name="__123Graph_C" localSheetId="57" hidden="1">#REF!</definedName>
    <definedName name="__123Graph_C" localSheetId="32" hidden="1">#REF!</definedName>
    <definedName name="__123Graph_C" localSheetId="34" hidden="1">#REF!</definedName>
    <definedName name="__123Graph_C" localSheetId="35" hidden="1">#REF!</definedName>
    <definedName name="__123Graph_C" localSheetId="37" hidden="1">#REF!</definedName>
    <definedName name="__123Graph_C" localSheetId="39" hidden="1">#REF!</definedName>
    <definedName name="__123Graph_C" localSheetId="0" hidden="1">#REF!</definedName>
    <definedName name="__123Graph_C" hidden="1">#REF!</definedName>
    <definedName name="__123Graph_D" localSheetId="57" hidden="1">#REF!</definedName>
    <definedName name="__123Graph_D" localSheetId="32" hidden="1">#REF!</definedName>
    <definedName name="__123Graph_D" localSheetId="34" hidden="1">#REF!</definedName>
    <definedName name="__123Graph_D" localSheetId="35" hidden="1">#REF!</definedName>
    <definedName name="__123Graph_D" localSheetId="37" hidden="1">#REF!</definedName>
    <definedName name="__123Graph_D" localSheetId="39" hidden="1">#REF!</definedName>
    <definedName name="__123Graph_D" localSheetId="0" hidden="1">#REF!</definedName>
    <definedName name="__123Graph_D" hidden="1">#REF!</definedName>
    <definedName name="__123Graph_E" localSheetId="57" hidden="1">#REF!</definedName>
    <definedName name="__123Graph_E" localSheetId="32" hidden="1">#REF!</definedName>
    <definedName name="__123Graph_E" localSheetId="34" hidden="1">#REF!</definedName>
    <definedName name="__123Graph_E" localSheetId="35" hidden="1">#REF!</definedName>
    <definedName name="__123Graph_E" localSheetId="37" hidden="1">#REF!</definedName>
    <definedName name="__123Graph_E" localSheetId="39" hidden="1">#REF!</definedName>
    <definedName name="__123Graph_E" localSheetId="0" hidden="1">#REF!</definedName>
    <definedName name="__123Graph_E" hidden="1">#REF!</definedName>
    <definedName name="__123Graph_F" localSheetId="57" hidden="1">#REF!</definedName>
    <definedName name="__123Graph_F" localSheetId="32" hidden="1">#REF!</definedName>
    <definedName name="__123Graph_F" localSheetId="34" hidden="1">#REF!</definedName>
    <definedName name="__123Graph_F" localSheetId="35" hidden="1">#REF!</definedName>
    <definedName name="__123Graph_F" localSheetId="37" hidden="1">#REF!</definedName>
    <definedName name="__123Graph_F" localSheetId="39" hidden="1">#REF!</definedName>
    <definedName name="__123Graph_F" localSheetId="0" hidden="1">#REF!</definedName>
    <definedName name="__123Graph_F" hidden="1">#REF!</definedName>
    <definedName name="__123Graph_X" localSheetId="50" hidden="1">#REF!</definedName>
    <definedName name="__123Graph_X" localSheetId="41" hidden="1">#REF!</definedName>
    <definedName name="__123Graph_X" localSheetId="57" hidden="1">#REF!</definedName>
    <definedName name="__123Graph_X" localSheetId="46" hidden="1">#REF!</definedName>
    <definedName name="__123Graph_X" localSheetId="49" hidden="1">#REF!</definedName>
    <definedName name="__123Graph_X" localSheetId="45" hidden="1">#REF!</definedName>
    <definedName name="__123Graph_X" localSheetId="48" hidden="1">#REF!</definedName>
    <definedName name="__123Graph_X" localSheetId="42" hidden="1">#REF!</definedName>
    <definedName name="__123Graph_X" localSheetId="43" hidden="1">#REF!</definedName>
    <definedName name="__123Graph_X" localSheetId="47"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9" hidden="1">#REF!</definedName>
    <definedName name="__123Graph_X" localSheetId="0" hidden="1">#REF!</definedName>
    <definedName name="__123Graph_X" hidden="1">#REF!</definedName>
    <definedName name="__key3" localSheetId="50" hidden="1">#REF!</definedName>
    <definedName name="__key3" localSheetId="27" hidden="1">#REF!</definedName>
    <definedName name="__key3" localSheetId="28" hidden="1">#REF!</definedName>
    <definedName name="__key3" localSheetId="29" hidden="1">#REF!</definedName>
    <definedName name="__key3" localSheetId="30" hidden="1">#REF!</definedName>
    <definedName name="__key3" localSheetId="37" hidden="1">#REF!</definedName>
    <definedName name="__key3" hidden="1">#REF!</definedName>
    <definedName name="_36__123Graph_BCHART_1" localSheetId="27" hidden="1">'[1]HOSPICE OPSUM'!#REF!</definedName>
    <definedName name="_36__123Graph_BCHART_1" localSheetId="28" hidden="1">'[1]HOSPICE OPSUM'!#REF!</definedName>
    <definedName name="_36__123Graph_BCHART_1" localSheetId="29" hidden="1">'[1]HOSPICE OPSUM'!#REF!</definedName>
    <definedName name="_36__123Graph_BCHART_1" localSheetId="30" hidden="1">'[1]HOSPICE OPSUM'!#REF!</definedName>
    <definedName name="_36__123Graph_BCHART_1" localSheetId="37" hidden="1">'[1]HOSPICE OPSUM'!#REF!</definedName>
    <definedName name="_36__123Graph_BCHART_1" hidden="1">'[1]HOSPICE OPSUM'!#REF!</definedName>
    <definedName name="_Fill" localSheetId="57" hidden="1">#REF!</definedName>
    <definedName name="_Fill" localSheetId="43" hidden="1">#REF!</definedName>
    <definedName name="_Fill" localSheetId="20" hidden="1">#REF!</definedName>
    <definedName name="_Fill" localSheetId="22" hidden="1">#REF!</definedName>
    <definedName name="_Fill" localSheetId="32" hidden="1">#REF!</definedName>
    <definedName name="_Fill" localSheetId="34" hidden="1">#REF!</definedName>
    <definedName name="_Fill" localSheetId="35" hidden="1">#REF!</definedName>
    <definedName name="_Fill" localSheetId="37" hidden="1">#REF!</definedName>
    <definedName name="_Fill" localSheetId="39" hidden="1">#REF!</definedName>
    <definedName name="_Fill" localSheetId="0" hidden="1">#REF!</definedName>
    <definedName name="_Fill" hidden="1">#REF!</definedName>
    <definedName name="_xlnm._FilterDatabase" localSheetId="23" hidden="1">'SCH B-4.2 B'!$B$1:$B$182</definedName>
    <definedName name="_xlnm._FilterDatabase" localSheetId="24" hidden="1">'SCH B-4.2 F'!$A$12:$R$273</definedName>
    <definedName name="_xlnm._FilterDatabase" localSheetId="28" hidden="1">'SCH B-5.2 B (2)'!$A$10:$W$34</definedName>
    <definedName name="_xlnm._FilterDatabase" localSheetId="30" hidden="1">'SCH B-5.2 F (2)'!$A$10:$W$34</definedName>
    <definedName name="_Key1" localSheetId="50" hidden="1">#REF!</definedName>
    <definedName name="_Key1" localSheetId="52"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7" hidden="1">#REF!</definedName>
    <definedName name="_Key1" hidden="1">#REF!</definedName>
    <definedName name="_Key2" localSheetId="50" hidden="1">#REF!</definedName>
    <definedName name="_Key2" localSheetId="52"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7" hidden="1">#REF!</definedName>
    <definedName name="_Key2" hidden="1">#REF!</definedName>
    <definedName name="_Key3" localSheetId="50" hidden="1">#REF!</definedName>
    <definedName name="_Key3" localSheetId="52" hidden="1">#REF!</definedName>
    <definedName name="_Key3" localSheetId="27" hidden="1">#REF!</definedName>
    <definedName name="_Key3" localSheetId="28" hidden="1">#REF!</definedName>
    <definedName name="_Key3" localSheetId="29" hidden="1">#REF!</definedName>
    <definedName name="_Key3" localSheetId="30" hidden="1">#REF!</definedName>
    <definedName name="_Key3" localSheetId="37" hidden="1">#REF!</definedName>
    <definedName name="_Key3" hidden="1">#REF!</definedName>
    <definedName name="_key4" localSheetId="50" hidden="1">#REF!</definedName>
    <definedName name="_key4" localSheetId="27" hidden="1">#REF!</definedName>
    <definedName name="_key4" localSheetId="28" hidden="1">#REF!</definedName>
    <definedName name="_key4" localSheetId="29" hidden="1">#REF!</definedName>
    <definedName name="_key4" localSheetId="30" hidden="1">#REF!</definedName>
    <definedName name="_key4" localSheetId="37" hidden="1">#REF!</definedName>
    <definedName name="_key4" hidden="1">#REF!</definedName>
    <definedName name="_Order1" hidden="1">0</definedName>
    <definedName name="_Order1a" hidden="1">0</definedName>
    <definedName name="_Order2" hidden="1">0</definedName>
    <definedName name="_Order2a" hidden="1">0</definedName>
    <definedName name="_Regression_Int" localSheetId="4" hidden="1">1</definedName>
    <definedName name="_Sort" localSheetId="50"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7" hidden="1">#REF!</definedName>
    <definedName name="_Sort" hidden="1">#REF!</definedName>
    <definedName name="_Table1_In1" localSheetId="27" hidden="1">#REF!</definedName>
    <definedName name="_Table1_In1" localSheetId="28" hidden="1">#REF!</definedName>
    <definedName name="_Table1_In1" localSheetId="29" hidden="1">#REF!</definedName>
    <definedName name="_Table1_In1" localSheetId="30" hidden="1">#REF!</definedName>
    <definedName name="_Table1_In1" localSheetId="37" hidden="1">#REF!</definedName>
    <definedName name="_Table1_In1" hidden="1">#REF!</definedName>
    <definedName name="_Table1_Out" localSheetId="27" hidden="1">#REF!</definedName>
    <definedName name="_Table1_Out" localSheetId="28" hidden="1">#REF!</definedName>
    <definedName name="_Table1_Out" localSheetId="29" hidden="1">#REF!</definedName>
    <definedName name="_Table1_Out" localSheetId="30" hidden="1">#REF!</definedName>
    <definedName name="_Table1_Out" localSheetId="37" hidden="1">#REF!</definedName>
    <definedName name="_Table1_Out" hidden="1">#REF!</definedName>
    <definedName name="_Table1_Out_2" localSheetId="27" hidden="1">#REF!</definedName>
    <definedName name="_Table1_Out_2" localSheetId="28" hidden="1">#REF!</definedName>
    <definedName name="_Table1_Out_2" localSheetId="29" hidden="1">#REF!</definedName>
    <definedName name="_Table1_Out_2" localSheetId="30" hidden="1">#REF!</definedName>
    <definedName name="_Table1_Out_2" localSheetId="37" hidden="1">#REF!</definedName>
    <definedName name="_Table1_Out_2" hidden="1">#REF!</definedName>
    <definedName name="_Table2_In1" localSheetId="27" hidden="1">'[2]Bank Model'!#REF!</definedName>
    <definedName name="_Table2_In1" localSheetId="28" hidden="1">'[2]Bank Model'!#REF!</definedName>
    <definedName name="_Table2_In1" localSheetId="29" hidden="1">'[2]Bank Model'!#REF!</definedName>
    <definedName name="_Table2_In1" localSheetId="30" hidden="1">'[2]Bank Model'!#REF!</definedName>
    <definedName name="_Table2_In1" localSheetId="37" hidden="1">'[2]Bank Model'!#REF!</definedName>
    <definedName name="_Table2_In1" hidden="1">'[2]Bank Model'!#REF!</definedName>
    <definedName name="_Table2_In2" localSheetId="27" hidden="1">'[2]Bank Model'!#REF!</definedName>
    <definedName name="_Table2_In2" localSheetId="28" hidden="1">'[2]Bank Model'!#REF!</definedName>
    <definedName name="_Table2_In2" localSheetId="29" hidden="1">'[2]Bank Model'!#REF!</definedName>
    <definedName name="_Table2_In2" localSheetId="30" hidden="1">'[2]Bank Model'!#REF!</definedName>
    <definedName name="_Table2_In2" localSheetId="37" hidden="1">'[2]Bank Model'!#REF!</definedName>
    <definedName name="_Table2_In2" hidden="1">'[2]Bank Model'!#REF!</definedName>
    <definedName name="_Table2_Out" localSheetId="27" hidden="1">'[2]Bank Model'!#REF!</definedName>
    <definedName name="_Table2_Out" localSheetId="28" hidden="1">'[2]Bank Model'!#REF!</definedName>
    <definedName name="_Table2_Out" localSheetId="29" hidden="1">'[2]Bank Model'!#REF!</definedName>
    <definedName name="_Table2_Out" localSheetId="30" hidden="1">'[2]Bank Model'!#REF!</definedName>
    <definedName name="_Table2_Out" localSheetId="37" hidden="1">'[2]Bank Model'!#REF!</definedName>
    <definedName name="_Table2_Out" hidden="1">'[2]Bank Model'!#REF!</definedName>
    <definedName name="_Table2_Out_2" localSheetId="27" hidden="1">#REF!</definedName>
    <definedName name="_Table2_Out_2" localSheetId="28" hidden="1">#REF!</definedName>
    <definedName name="_Table2_Out_2" localSheetId="29" hidden="1">#REF!</definedName>
    <definedName name="_Table2_Out_2" localSheetId="30" hidden="1">#REF!</definedName>
    <definedName name="_Table2_Out_2" localSheetId="37" hidden="1">#REF!</definedName>
    <definedName name="_Table2_Out_2"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hahahahaha" localSheetId="2" hidden="1">{"'Server Configuration'!$A$1:$DB$281"}</definedName>
    <definedName name="ahahahahaha" localSheetId="57" hidden="1">{"'Server Configuration'!$A$1:$DB$281"}</definedName>
    <definedName name="ahahahahaha" localSheetId="52" hidden="1">{"'Server Configuration'!$A$1:$DB$281"}</definedName>
    <definedName name="ahahahahaha" localSheetId="22" hidden="1">{"'Server Configuration'!$A$1:$DB$281"}</definedName>
    <definedName name="ahahahahaha" hidden="1">{"'Server Configuration'!$A$1:$DB$281"}</definedName>
    <definedName name="asdfasdfasdfas" localSheetId="27" hidden="1">#REF!</definedName>
    <definedName name="asdfasdfasdfas" localSheetId="28" hidden="1">#REF!</definedName>
    <definedName name="asdfasdfasdfas" localSheetId="29" hidden="1">#REF!</definedName>
    <definedName name="asdfasdfasdfas" localSheetId="30" hidden="1">#REF!</definedName>
    <definedName name="asdfasdfasdfas" localSheetId="37" hidden="1">#REF!</definedName>
    <definedName name="asdfasdfasdfas" hidden="1">#REF!</definedName>
    <definedName name="blip" localSheetId="2" hidden="1">{"'Server Configuration'!$A$1:$DB$281"}</definedName>
    <definedName name="blip" localSheetId="57" hidden="1">{"'Server Configuration'!$A$1:$DB$281"}</definedName>
    <definedName name="blip" localSheetId="52" hidden="1">{"'Server Configuration'!$A$1:$DB$281"}</definedName>
    <definedName name="blip" localSheetId="22" hidden="1">{"'Server Configuration'!$A$1:$DB$281"}</definedName>
    <definedName name="blip" hidden="1">{"'Server Configuration'!$A$1:$DB$281"}</definedName>
    <definedName name="BLPH1" hidden="1">'[3]Natural gas'!$A$3</definedName>
    <definedName name="BLPR1020040129204514642" localSheetId="27" hidden="1">'[4]Spread Sheet'!#REF!</definedName>
    <definedName name="BLPR1020040129204514642" localSheetId="28" hidden="1">'[4]Spread Sheet'!#REF!</definedName>
    <definedName name="BLPR1020040129204514642" localSheetId="29" hidden="1">'[4]Spread Sheet'!#REF!</definedName>
    <definedName name="BLPR1020040129204514642" localSheetId="30" hidden="1">'[4]Spread Sheet'!#REF!</definedName>
    <definedName name="BLPR1020040129204514642" localSheetId="37" hidden="1">'[4]Spread Sheet'!#REF!</definedName>
    <definedName name="BLPR1020040129204514642" hidden="1">'[4]Spread Sheet'!#REF!</definedName>
    <definedName name="BLPR1020040129204514642_1_5" localSheetId="27" hidden="1">'[4]Spread Sheet'!#REF!</definedName>
    <definedName name="BLPR1020040129204514642_1_5" localSheetId="28" hidden="1">'[4]Spread Sheet'!#REF!</definedName>
    <definedName name="BLPR1020040129204514642_1_5" localSheetId="29" hidden="1">'[4]Spread Sheet'!#REF!</definedName>
    <definedName name="BLPR1020040129204514642_1_5" localSheetId="30" hidden="1">'[4]Spread Sheet'!#REF!</definedName>
    <definedName name="BLPR1020040129204514642_1_5" localSheetId="37" hidden="1">'[4]Spread Sheet'!#REF!</definedName>
    <definedName name="BLPR1020040129204514642_1_5" hidden="1">'[4]Spread Sheet'!#REF!</definedName>
    <definedName name="BLPR1020040129204514642_2_5" localSheetId="27" hidden="1">'[4]Spread Sheet'!#REF!</definedName>
    <definedName name="BLPR1020040129204514642_2_5" localSheetId="28" hidden="1">'[4]Spread Sheet'!#REF!</definedName>
    <definedName name="BLPR1020040129204514642_2_5" localSheetId="29" hidden="1">'[4]Spread Sheet'!#REF!</definedName>
    <definedName name="BLPR1020040129204514642_2_5" localSheetId="30" hidden="1">'[4]Spread Sheet'!#REF!</definedName>
    <definedName name="BLPR1020040129204514642_2_5" localSheetId="37" hidden="1">'[4]Spread Sheet'!#REF!</definedName>
    <definedName name="BLPR1020040129204514642_2_5" hidden="1">'[4]Spread Sheet'!#REF!</definedName>
    <definedName name="BLPR1020040129204514642_3_5" localSheetId="27" hidden="1">'[4]Spread Sheet'!#REF!</definedName>
    <definedName name="BLPR1020040129204514642_3_5" localSheetId="28" hidden="1">'[4]Spread Sheet'!#REF!</definedName>
    <definedName name="BLPR1020040129204514642_3_5" localSheetId="29" hidden="1">'[4]Spread Sheet'!#REF!</definedName>
    <definedName name="BLPR1020040129204514642_3_5" localSheetId="30" hidden="1">'[4]Spread Sheet'!#REF!</definedName>
    <definedName name="BLPR1020040129204514642_3_5" localSheetId="37" hidden="1">'[4]Spread Sheet'!#REF!</definedName>
    <definedName name="BLPR1020040129204514642_3_5" hidden="1">'[4]Spread Sheet'!#REF!</definedName>
    <definedName name="BLPR1020040129204514642_4_5" localSheetId="27" hidden="1">'[4]Spread Sheet'!#REF!</definedName>
    <definedName name="BLPR1020040129204514642_4_5" localSheetId="28" hidden="1">'[4]Spread Sheet'!#REF!</definedName>
    <definedName name="BLPR1020040129204514642_4_5" localSheetId="29" hidden="1">'[4]Spread Sheet'!#REF!</definedName>
    <definedName name="BLPR1020040129204514642_4_5" localSheetId="30" hidden="1">'[4]Spread Sheet'!#REF!</definedName>
    <definedName name="BLPR1020040129204514642_4_5" localSheetId="37" hidden="1">'[4]Spread Sheet'!#REF!</definedName>
    <definedName name="BLPR1020040129204514642_4_5" hidden="1">'[4]Spread Sheet'!#REF!</definedName>
    <definedName name="BLPR1020040129204514642_5_5" localSheetId="27" hidden="1">'[4]Spread Sheet'!#REF!</definedName>
    <definedName name="BLPR1020040129204514642_5_5" localSheetId="28" hidden="1">'[4]Spread Sheet'!#REF!</definedName>
    <definedName name="BLPR1020040129204514642_5_5" localSheetId="29" hidden="1">'[4]Spread Sheet'!#REF!</definedName>
    <definedName name="BLPR1020040129204514642_5_5" localSheetId="30" hidden="1">'[4]Spread Sheet'!#REF!</definedName>
    <definedName name="BLPR1020040129204514642_5_5" localSheetId="37" hidden="1">'[4]Spread Sheet'!#REF!</definedName>
    <definedName name="BLPR1020040129204514642_5_5" hidden="1">'[4]Spread Sheet'!#REF!</definedName>
    <definedName name="BLPR1120040129204514642" localSheetId="27" hidden="1">'[4]Spread Sheet'!#REF!</definedName>
    <definedName name="BLPR1120040129204514642" localSheetId="28" hidden="1">'[4]Spread Sheet'!#REF!</definedName>
    <definedName name="BLPR1120040129204514642" localSheetId="29" hidden="1">'[4]Spread Sheet'!#REF!</definedName>
    <definedName name="BLPR1120040129204514642" localSheetId="30" hidden="1">'[4]Spread Sheet'!#REF!</definedName>
    <definedName name="BLPR1120040129204514642" localSheetId="37" hidden="1">'[4]Spread Sheet'!#REF!</definedName>
    <definedName name="BLPR1120040129204514642" hidden="1">'[4]Spread Sheet'!#REF!</definedName>
    <definedName name="BLPR1120040129204514642_1_5" localSheetId="27" hidden="1">'[4]Spread Sheet'!#REF!</definedName>
    <definedName name="BLPR1120040129204514642_1_5" localSheetId="28" hidden="1">'[4]Spread Sheet'!#REF!</definedName>
    <definedName name="BLPR1120040129204514642_1_5" localSheetId="29" hidden="1">'[4]Spread Sheet'!#REF!</definedName>
    <definedName name="BLPR1120040129204514642_1_5" localSheetId="30" hidden="1">'[4]Spread Sheet'!#REF!</definedName>
    <definedName name="BLPR1120040129204514642_1_5" localSheetId="37" hidden="1">'[4]Spread Sheet'!#REF!</definedName>
    <definedName name="BLPR1120040129204514642_1_5" hidden="1">'[4]Spread Sheet'!#REF!</definedName>
    <definedName name="BLPR1120040129204514642_2_5" localSheetId="27" hidden="1">'[4]Spread Sheet'!#REF!</definedName>
    <definedName name="BLPR1120040129204514642_2_5" localSheetId="28" hidden="1">'[4]Spread Sheet'!#REF!</definedName>
    <definedName name="BLPR1120040129204514642_2_5" localSheetId="29" hidden="1">'[4]Spread Sheet'!#REF!</definedName>
    <definedName name="BLPR1120040129204514642_2_5" localSheetId="30" hidden="1">'[4]Spread Sheet'!#REF!</definedName>
    <definedName name="BLPR1120040129204514642_2_5" localSheetId="37" hidden="1">'[4]Spread Sheet'!#REF!</definedName>
    <definedName name="BLPR1120040129204514642_2_5" hidden="1">'[4]Spread Sheet'!#REF!</definedName>
    <definedName name="BLPR1120040129204514642_3_5" localSheetId="27" hidden="1">'[4]Spread Sheet'!#REF!</definedName>
    <definedName name="BLPR1120040129204514642_3_5" localSheetId="28" hidden="1">'[4]Spread Sheet'!#REF!</definedName>
    <definedName name="BLPR1120040129204514642_3_5" localSheetId="29" hidden="1">'[4]Spread Sheet'!#REF!</definedName>
    <definedName name="BLPR1120040129204514642_3_5" localSheetId="30" hidden="1">'[4]Spread Sheet'!#REF!</definedName>
    <definedName name="BLPR1120040129204514642_3_5" localSheetId="37" hidden="1">'[4]Spread Sheet'!#REF!</definedName>
    <definedName name="BLPR1120040129204514642_3_5" hidden="1">'[4]Spread Sheet'!#REF!</definedName>
    <definedName name="BLPR1120040129204514642_4_5" localSheetId="27" hidden="1">'[4]Spread Sheet'!#REF!</definedName>
    <definedName name="BLPR1120040129204514642_4_5" localSheetId="28" hidden="1">'[4]Spread Sheet'!#REF!</definedName>
    <definedName name="BLPR1120040129204514642_4_5" localSheetId="29" hidden="1">'[4]Spread Sheet'!#REF!</definedName>
    <definedName name="BLPR1120040129204514642_4_5" localSheetId="30" hidden="1">'[4]Spread Sheet'!#REF!</definedName>
    <definedName name="BLPR1120040129204514642_4_5" localSheetId="37" hidden="1">'[4]Spread Sheet'!#REF!</definedName>
    <definedName name="BLPR1120040129204514642_4_5" hidden="1">'[4]Spread Sheet'!#REF!</definedName>
    <definedName name="BLPR1120040129204514642_5_5" localSheetId="27" hidden="1">'[4]Spread Sheet'!#REF!</definedName>
    <definedName name="BLPR1120040129204514642_5_5" localSheetId="28" hidden="1">'[4]Spread Sheet'!#REF!</definedName>
    <definedName name="BLPR1120040129204514642_5_5" localSheetId="29" hidden="1">'[4]Spread Sheet'!#REF!</definedName>
    <definedName name="BLPR1120040129204514642_5_5" localSheetId="30" hidden="1">'[4]Spread Sheet'!#REF!</definedName>
    <definedName name="BLPR1120040129204514642_5_5" localSheetId="37" hidden="1">'[4]Spread Sheet'!#REF!</definedName>
    <definedName name="BLPR1120040129204514642_5_5" hidden="1">'[4]Spread Sheet'!#REF!</definedName>
    <definedName name="BLPR120040129203645421" localSheetId="27" hidden="1">'[4]Spread Sheet'!#REF!</definedName>
    <definedName name="BLPR120040129203645421" localSheetId="28" hidden="1">'[4]Spread Sheet'!#REF!</definedName>
    <definedName name="BLPR120040129203645421" localSheetId="29" hidden="1">'[4]Spread Sheet'!#REF!</definedName>
    <definedName name="BLPR120040129203645421" localSheetId="30" hidden="1">'[4]Spread Sheet'!#REF!</definedName>
    <definedName name="BLPR120040129203645421" localSheetId="37" hidden="1">'[4]Spread Sheet'!#REF!</definedName>
    <definedName name="BLPR120040129203645421" hidden="1">'[4]Spread Sheet'!#REF!</definedName>
    <definedName name="BLPR120040129203645421_1_4" localSheetId="27" hidden="1">'[4]Spread Sheet'!#REF!</definedName>
    <definedName name="BLPR120040129203645421_1_4" localSheetId="28" hidden="1">'[4]Spread Sheet'!#REF!</definedName>
    <definedName name="BLPR120040129203645421_1_4" localSheetId="29" hidden="1">'[4]Spread Sheet'!#REF!</definedName>
    <definedName name="BLPR120040129203645421_1_4" localSheetId="30" hidden="1">'[4]Spread Sheet'!#REF!</definedName>
    <definedName name="BLPR120040129203645421_1_4" localSheetId="37" hidden="1">'[4]Spread Sheet'!#REF!</definedName>
    <definedName name="BLPR120040129203645421_1_4" hidden="1">'[4]Spread Sheet'!#REF!</definedName>
    <definedName name="BLPR120040129203645421_2_4" localSheetId="27" hidden="1">'[4]Spread Sheet'!#REF!</definedName>
    <definedName name="BLPR120040129203645421_2_4" localSheetId="28" hidden="1">'[4]Spread Sheet'!#REF!</definedName>
    <definedName name="BLPR120040129203645421_2_4" localSheetId="29" hidden="1">'[4]Spread Sheet'!#REF!</definedName>
    <definedName name="BLPR120040129203645421_2_4" localSheetId="30" hidden="1">'[4]Spread Sheet'!#REF!</definedName>
    <definedName name="BLPR120040129203645421_2_4" localSheetId="37" hidden="1">'[4]Spread Sheet'!#REF!</definedName>
    <definedName name="BLPR120040129203645421_2_4" hidden="1">'[4]Spread Sheet'!#REF!</definedName>
    <definedName name="BLPR120040129203645421_3_4" localSheetId="27" hidden="1">'[4]Spread Sheet'!#REF!</definedName>
    <definedName name="BLPR120040129203645421_3_4" localSheetId="28" hidden="1">'[4]Spread Sheet'!#REF!</definedName>
    <definedName name="BLPR120040129203645421_3_4" localSheetId="29" hidden="1">'[4]Spread Sheet'!#REF!</definedName>
    <definedName name="BLPR120040129203645421_3_4" localSheetId="30" hidden="1">'[4]Spread Sheet'!#REF!</definedName>
    <definedName name="BLPR120040129203645421_3_4" localSheetId="37" hidden="1">'[4]Spread Sheet'!#REF!</definedName>
    <definedName name="BLPR120040129203645421_3_4" hidden="1">'[4]Spread Sheet'!#REF!</definedName>
    <definedName name="BLPR120040129203645421_4_4" localSheetId="27" hidden="1">'[4]Spread Sheet'!#REF!</definedName>
    <definedName name="BLPR120040129203645421_4_4" localSheetId="28" hidden="1">'[4]Spread Sheet'!#REF!</definedName>
    <definedName name="BLPR120040129203645421_4_4" localSheetId="29" hidden="1">'[4]Spread Sheet'!#REF!</definedName>
    <definedName name="BLPR120040129203645421_4_4" localSheetId="30" hidden="1">'[4]Spread Sheet'!#REF!</definedName>
    <definedName name="BLPR120040129203645421_4_4" localSheetId="37" hidden="1">'[4]Spread Sheet'!#REF!</definedName>
    <definedName name="BLPR120040129203645421_4_4" hidden="1">'[4]Spread Sheet'!#REF!</definedName>
    <definedName name="BLPR1220040129204514642" localSheetId="27" hidden="1">'[4]Spread Sheet'!#REF!</definedName>
    <definedName name="BLPR1220040129204514642" localSheetId="28" hidden="1">'[4]Spread Sheet'!#REF!</definedName>
    <definedName name="BLPR1220040129204514642" localSheetId="29" hidden="1">'[4]Spread Sheet'!#REF!</definedName>
    <definedName name="BLPR1220040129204514642" localSheetId="30" hidden="1">'[4]Spread Sheet'!#REF!</definedName>
    <definedName name="BLPR1220040129204514642" localSheetId="37" hidden="1">'[4]Spread Sheet'!#REF!</definedName>
    <definedName name="BLPR1220040129204514642" hidden="1">'[4]Spread Sheet'!#REF!</definedName>
    <definedName name="BLPR1220040129204514642_1_5" localSheetId="27" hidden="1">'[4]Spread Sheet'!#REF!</definedName>
    <definedName name="BLPR1220040129204514642_1_5" localSheetId="28" hidden="1">'[4]Spread Sheet'!#REF!</definedName>
    <definedName name="BLPR1220040129204514642_1_5" localSheetId="29" hidden="1">'[4]Spread Sheet'!#REF!</definedName>
    <definedName name="BLPR1220040129204514642_1_5" localSheetId="30" hidden="1">'[4]Spread Sheet'!#REF!</definedName>
    <definedName name="BLPR1220040129204514642_1_5" localSheetId="37" hidden="1">'[4]Spread Sheet'!#REF!</definedName>
    <definedName name="BLPR1220040129204514642_1_5" hidden="1">'[4]Spread Sheet'!#REF!</definedName>
    <definedName name="BLPR1220040129204514642_2_5" localSheetId="27" hidden="1">'[4]Spread Sheet'!#REF!</definedName>
    <definedName name="BLPR1220040129204514642_2_5" localSheetId="28" hidden="1">'[4]Spread Sheet'!#REF!</definedName>
    <definedName name="BLPR1220040129204514642_2_5" localSheetId="29" hidden="1">'[4]Spread Sheet'!#REF!</definedName>
    <definedName name="BLPR1220040129204514642_2_5" localSheetId="30" hidden="1">'[4]Spread Sheet'!#REF!</definedName>
    <definedName name="BLPR1220040129204514642_2_5" localSheetId="37" hidden="1">'[4]Spread Sheet'!#REF!</definedName>
    <definedName name="BLPR1220040129204514642_2_5" hidden="1">'[4]Spread Sheet'!#REF!</definedName>
    <definedName name="BLPR1220040129204514642_3_5" localSheetId="27" hidden="1">'[4]Spread Sheet'!#REF!</definedName>
    <definedName name="BLPR1220040129204514642_3_5" localSheetId="28" hidden="1">'[4]Spread Sheet'!#REF!</definedName>
    <definedName name="BLPR1220040129204514642_3_5" localSheetId="29" hidden="1">'[4]Spread Sheet'!#REF!</definedName>
    <definedName name="BLPR1220040129204514642_3_5" localSheetId="30" hidden="1">'[4]Spread Sheet'!#REF!</definedName>
    <definedName name="BLPR1220040129204514642_3_5" localSheetId="37" hidden="1">'[4]Spread Sheet'!#REF!</definedName>
    <definedName name="BLPR1220040129204514642_3_5" hidden="1">'[4]Spread Sheet'!#REF!</definedName>
    <definedName name="BLPR1220040129204514642_4_5" localSheetId="27" hidden="1">'[4]Spread Sheet'!#REF!</definedName>
    <definedName name="BLPR1220040129204514642_4_5" localSheetId="28" hidden="1">'[4]Spread Sheet'!#REF!</definedName>
    <definedName name="BLPR1220040129204514642_4_5" localSheetId="29" hidden="1">'[4]Spread Sheet'!#REF!</definedName>
    <definedName name="BLPR1220040129204514642_4_5" localSheetId="30" hidden="1">'[4]Spread Sheet'!#REF!</definedName>
    <definedName name="BLPR1220040129204514642_4_5" localSheetId="37" hidden="1">'[4]Spread Sheet'!#REF!</definedName>
    <definedName name="BLPR1220040129204514642_4_5" hidden="1">'[4]Spread Sheet'!#REF!</definedName>
    <definedName name="BLPR1220040129204514642_5_5" localSheetId="27" hidden="1">'[4]Spread Sheet'!#REF!</definedName>
    <definedName name="BLPR1220040129204514642_5_5" localSheetId="28" hidden="1">'[4]Spread Sheet'!#REF!</definedName>
    <definedName name="BLPR1220040129204514642_5_5" localSheetId="29" hidden="1">'[4]Spread Sheet'!#REF!</definedName>
    <definedName name="BLPR1220040129204514642_5_5" localSheetId="30" hidden="1">'[4]Spread Sheet'!#REF!</definedName>
    <definedName name="BLPR1220040129204514642_5_5" localSheetId="37" hidden="1">'[4]Spread Sheet'!#REF!</definedName>
    <definedName name="BLPR1220040129204514642_5_5" hidden="1">'[4]Spread Sheet'!#REF!</definedName>
    <definedName name="BLPR1320040129204514642" localSheetId="27" hidden="1">'[4]Spread Sheet'!#REF!</definedName>
    <definedName name="BLPR1320040129204514642" localSheetId="28" hidden="1">'[4]Spread Sheet'!#REF!</definedName>
    <definedName name="BLPR1320040129204514642" localSheetId="29" hidden="1">'[4]Spread Sheet'!#REF!</definedName>
    <definedName name="BLPR1320040129204514642" localSheetId="30" hidden="1">'[4]Spread Sheet'!#REF!</definedName>
    <definedName name="BLPR1320040129204514642" localSheetId="37" hidden="1">'[4]Spread Sheet'!#REF!</definedName>
    <definedName name="BLPR1320040129204514642" hidden="1">'[4]Spread Sheet'!#REF!</definedName>
    <definedName name="BLPR1320040129204514642_1_5" localSheetId="27" hidden="1">'[4]Spread Sheet'!#REF!</definedName>
    <definedName name="BLPR1320040129204514642_1_5" localSheetId="28" hidden="1">'[4]Spread Sheet'!#REF!</definedName>
    <definedName name="BLPR1320040129204514642_1_5" localSheetId="29" hidden="1">'[4]Spread Sheet'!#REF!</definedName>
    <definedName name="BLPR1320040129204514642_1_5" localSheetId="30" hidden="1">'[4]Spread Sheet'!#REF!</definedName>
    <definedName name="BLPR1320040129204514642_1_5" localSheetId="37" hidden="1">'[4]Spread Sheet'!#REF!</definedName>
    <definedName name="BLPR1320040129204514642_1_5" hidden="1">'[4]Spread Sheet'!#REF!</definedName>
    <definedName name="BLPR1320040129204514642_2_5" localSheetId="27" hidden="1">'[4]Spread Sheet'!#REF!</definedName>
    <definedName name="BLPR1320040129204514642_2_5" localSheetId="28" hidden="1">'[4]Spread Sheet'!#REF!</definedName>
    <definedName name="BLPR1320040129204514642_2_5" localSheetId="29" hidden="1">'[4]Spread Sheet'!#REF!</definedName>
    <definedName name="BLPR1320040129204514642_2_5" localSheetId="30" hidden="1">'[4]Spread Sheet'!#REF!</definedName>
    <definedName name="BLPR1320040129204514642_2_5" localSheetId="37" hidden="1">'[4]Spread Sheet'!#REF!</definedName>
    <definedName name="BLPR1320040129204514642_2_5" hidden="1">'[4]Spread Sheet'!#REF!</definedName>
    <definedName name="BLPR1320040129204514642_3_5" localSheetId="27" hidden="1">'[4]Spread Sheet'!#REF!</definedName>
    <definedName name="BLPR1320040129204514642_3_5" localSheetId="28" hidden="1">'[4]Spread Sheet'!#REF!</definedName>
    <definedName name="BLPR1320040129204514642_3_5" localSheetId="29" hidden="1">'[4]Spread Sheet'!#REF!</definedName>
    <definedName name="BLPR1320040129204514642_3_5" localSheetId="30" hidden="1">'[4]Spread Sheet'!#REF!</definedName>
    <definedName name="BLPR1320040129204514642_3_5" localSheetId="37" hidden="1">'[4]Spread Sheet'!#REF!</definedName>
    <definedName name="BLPR1320040129204514642_3_5" hidden="1">'[4]Spread Sheet'!#REF!</definedName>
    <definedName name="BLPR1320040129204514642_4_5" localSheetId="27" hidden="1">'[4]Spread Sheet'!#REF!</definedName>
    <definedName name="BLPR1320040129204514642_4_5" localSheetId="28" hidden="1">'[4]Spread Sheet'!#REF!</definedName>
    <definedName name="BLPR1320040129204514642_4_5" localSheetId="29" hidden="1">'[4]Spread Sheet'!#REF!</definedName>
    <definedName name="BLPR1320040129204514642_4_5" localSheetId="30" hidden="1">'[4]Spread Sheet'!#REF!</definedName>
    <definedName name="BLPR1320040129204514642_4_5" localSheetId="37" hidden="1">'[4]Spread Sheet'!#REF!</definedName>
    <definedName name="BLPR1320040129204514642_4_5" hidden="1">'[4]Spread Sheet'!#REF!</definedName>
    <definedName name="BLPR1320040129204514642_5_5" localSheetId="27" hidden="1">'[4]Spread Sheet'!#REF!</definedName>
    <definedName name="BLPR1320040129204514642_5_5" localSheetId="28" hidden="1">'[4]Spread Sheet'!#REF!</definedName>
    <definedName name="BLPR1320040129204514642_5_5" localSheetId="29" hidden="1">'[4]Spread Sheet'!#REF!</definedName>
    <definedName name="BLPR1320040129204514642_5_5" localSheetId="30" hidden="1">'[4]Spread Sheet'!#REF!</definedName>
    <definedName name="BLPR1320040129204514642_5_5" localSheetId="37" hidden="1">'[4]Spread Sheet'!#REF!</definedName>
    <definedName name="BLPR1320040129204514642_5_5" hidden="1">'[4]Spread Sheet'!#REF!</definedName>
    <definedName name="BLPR1420040129204514642" localSheetId="27" hidden="1">'[4]Spread Sheet'!#REF!</definedName>
    <definedName name="BLPR1420040129204514642" localSheetId="28" hidden="1">'[4]Spread Sheet'!#REF!</definedName>
    <definedName name="BLPR1420040129204514642" localSheetId="29" hidden="1">'[4]Spread Sheet'!#REF!</definedName>
    <definedName name="BLPR1420040129204514642" localSheetId="30" hidden="1">'[4]Spread Sheet'!#REF!</definedName>
    <definedName name="BLPR1420040129204514642" localSheetId="37" hidden="1">'[4]Spread Sheet'!#REF!</definedName>
    <definedName name="BLPR1420040129204514642" hidden="1">'[4]Spread Sheet'!#REF!</definedName>
    <definedName name="BLPR1420040129204514642_1_5" localSheetId="27" hidden="1">'[4]Spread Sheet'!#REF!</definedName>
    <definedName name="BLPR1420040129204514642_1_5" localSheetId="28" hidden="1">'[4]Spread Sheet'!#REF!</definedName>
    <definedName name="BLPR1420040129204514642_1_5" localSheetId="29" hidden="1">'[4]Spread Sheet'!#REF!</definedName>
    <definedName name="BLPR1420040129204514642_1_5" localSheetId="30" hidden="1">'[4]Spread Sheet'!#REF!</definedName>
    <definedName name="BLPR1420040129204514642_1_5" localSheetId="37" hidden="1">'[4]Spread Sheet'!#REF!</definedName>
    <definedName name="BLPR1420040129204514642_1_5" hidden="1">'[4]Spread Sheet'!#REF!</definedName>
    <definedName name="BLPR1420040129204514642_2_5" localSheetId="27" hidden="1">'[4]Spread Sheet'!#REF!</definedName>
    <definedName name="BLPR1420040129204514642_2_5" localSheetId="28" hidden="1">'[4]Spread Sheet'!#REF!</definedName>
    <definedName name="BLPR1420040129204514642_2_5" localSheetId="29" hidden="1">'[4]Spread Sheet'!#REF!</definedName>
    <definedName name="BLPR1420040129204514642_2_5" localSheetId="30" hidden="1">'[4]Spread Sheet'!#REF!</definedName>
    <definedName name="BLPR1420040129204514642_2_5" localSheetId="37" hidden="1">'[4]Spread Sheet'!#REF!</definedName>
    <definedName name="BLPR1420040129204514642_2_5" hidden="1">'[4]Spread Sheet'!#REF!</definedName>
    <definedName name="BLPR1420040129204514642_3_5" localSheetId="27" hidden="1">'[4]Spread Sheet'!#REF!</definedName>
    <definedName name="BLPR1420040129204514642_3_5" localSheetId="28" hidden="1">'[4]Spread Sheet'!#REF!</definedName>
    <definedName name="BLPR1420040129204514642_3_5" localSheetId="29" hidden="1">'[4]Spread Sheet'!#REF!</definedName>
    <definedName name="BLPR1420040129204514642_3_5" localSheetId="30" hidden="1">'[4]Spread Sheet'!#REF!</definedName>
    <definedName name="BLPR1420040129204514642_3_5" localSheetId="37" hidden="1">'[4]Spread Sheet'!#REF!</definedName>
    <definedName name="BLPR1420040129204514642_3_5" hidden="1">'[4]Spread Sheet'!#REF!</definedName>
    <definedName name="BLPR1420040129204514642_4_5" localSheetId="27" hidden="1">'[4]Spread Sheet'!#REF!</definedName>
    <definedName name="BLPR1420040129204514642_4_5" localSheetId="28" hidden="1">'[4]Spread Sheet'!#REF!</definedName>
    <definedName name="BLPR1420040129204514642_4_5" localSheetId="29" hidden="1">'[4]Spread Sheet'!#REF!</definedName>
    <definedName name="BLPR1420040129204514642_4_5" localSheetId="30" hidden="1">'[4]Spread Sheet'!#REF!</definedName>
    <definedName name="BLPR1420040129204514642_4_5" localSheetId="37" hidden="1">'[4]Spread Sheet'!#REF!</definedName>
    <definedName name="BLPR1420040129204514642_4_5" hidden="1">'[4]Spread Sheet'!#REF!</definedName>
    <definedName name="BLPR1420040129204514642_5_5" localSheetId="27" hidden="1">'[4]Spread Sheet'!#REF!</definedName>
    <definedName name="BLPR1420040129204514642_5_5" localSheetId="28" hidden="1">'[4]Spread Sheet'!#REF!</definedName>
    <definedName name="BLPR1420040129204514642_5_5" localSheetId="29" hidden="1">'[4]Spread Sheet'!#REF!</definedName>
    <definedName name="BLPR1420040129204514642_5_5" localSheetId="30" hidden="1">'[4]Spread Sheet'!#REF!</definedName>
    <definedName name="BLPR1420040129204514642_5_5" localSheetId="37" hidden="1">'[4]Spread Sheet'!#REF!</definedName>
    <definedName name="BLPR1420040129204514642_5_5" hidden="1">'[4]Spread Sheet'!#REF!</definedName>
    <definedName name="BLPR1520040129204514652" localSheetId="27" hidden="1">'[4]Spread Sheet'!#REF!</definedName>
    <definedName name="BLPR1520040129204514652" localSheetId="28" hidden="1">'[4]Spread Sheet'!#REF!</definedName>
    <definedName name="BLPR1520040129204514652" localSheetId="29" hidden="1">'[4]Spread Sheet'!#REF!</definedName>
    <definedName name="BLPR1520040129204514652" localSheetId="30" hidden="1">'[4]Spread Sheet'!#REF!</definedName>
    <definedName name="BLPR1520040129204514652" localSheetId="37" hidden="1">'[4]Spread Sheet'!#REF!</definedName>
    <definedName name="BLPR1520040129204514652" hidden="1">'[4]Spread Sheet'!#REF!</definedName>
    <definedName name="BLPR1520040129204514652_1_5" localSheetId="27" hidden="1">'[4]Spread Sheet'!#REF!</definedName>
    <definedName name="BLPR1520040129204514652_1_5" localSheetId="28" hidden="1">'[4]Spread Sheet'!#REF!</definedName>
    <definedName name="BLPR1520040129204514652_1_5" localSheetId="29" hidden="1">'[4]Spread Sheet'!#REF!</definedName>
    <definedName name="BLPR1520040129204514652_1_5" localSheetId="30" hidden="1">'[4]Spread Sheet'!#REF!</definedName>
    <definedName name="BLPR1520040129204514652_1_5" localSheetId="37" hidden="1">'[4]Spread Sheet'!#REF!</definedName>
    <definedName name="BLPR1520040129204514652_1_5" hidden="1">'[4]Spread Sheet'!#REF!</definedName>
    <definedName name="BLPR1520040129204514652_2_5" localSheetId="27" hidden="1">'[4]Spread Sheet'!#REF!</definedName>
    <definedName name="BLPR1520040129204514652_2_5" localSheetId="28" hidden="1">'[4]Spread Sheet'!#REF!</definedName>
    <definedName name="BLPR1520040129204514652_2_5" localSheetId="29" hidden="1">'[4]Spread Sheet'!#REF!</definedName>
    <definedName name="BLPR1520040129204514652_2_5" localSheetId="30" hidden="1">'[4]Spread Sheet'!#REF!</definedName>
    <definedName name="BLPR1520040129204514652_2_5" localSheetId="37" hidden="1">'[4]Spread Sheet'!#REF!</definedName>
    <definedName name="BLPR1520040129204514652_2_5" hidden="1">'[4]Spread Sheet'!#REF!</definedName>
    <definedName name="BLPR1520040129204514652_3_5" localSheetId="27" hidden="1">'[4]Spread Sheet'!#REF!</definedName>
    <definedName name="BLPR1520040129204514652_3_5" localSheetId="28" hidden="1">'[4]Spread Sheet'!#REF!</definedName>
    <definedName name="BLPR1520040129204514652_3_5" localSheetId="29" hidden="1">'[4]Spread Sheet'!#REF!</definedName>
    <definedName name="BLPR1520040129204514652_3_5" localSheetId="30" hidden="1">'[4]Spread Sheet'!#REF!</definedName>
    <definedName name="BLPR1520040129204514652_3_5" localSheetId="37" hidden="1">'[4]Spread Sheet'!#REF!</definedName>
    <definedName name="BLPR1520040129204514652_3_5" hidden="1">'[4]Spread Sheet'!#REF!</definedName>
    <definedName name="BLPR1520040129204514652_4_5" localSheetId="27" hidden="1">'[4]Spread Sheet'!#REF!</definedName>
    <definedName name="BLPR1520040129204514652_4_5" localSheetId="28" hidden="1">'[4]Spread Sheet'!#REF!</definedName>
    <definedName name="BLPR1520040129204514652_4_5" localSheetId="29" hidden="1">'[4]Spread Sheet'!#REF!</definedName>
    <definedName name="BLPR1520040129204514652_4_5" localSheetId="30" hidden="1">'[4]Spread Sheet'!#REF!</definedName>
    <definedName name="BLPR1520040129204514652_4_5" localSheetId="37" hidden="1">'[4]Spread Sheet'!#REF!</definedName>
    <definedName name="BLPR1520040129204514652_4_5" hidden="1">'[4]Spread Sheet'!#REF!</definedName>
    <definedName name="BLPR1520040129204514652_5_5" localSheetId="27" hidden="1">'[4]Spread Sheet'!#REF!</definedName>
    <definedName name="BLPR1520040129204514652_5_5" localSheetId="28" hidden="1">'[4]Spread Sheet'!#REF!</definedName>
    <definedName name="BLPR1520040129204514652_5_5" localSheetId="29" hidden="1">'[4]Spread Sheet'!#REF!</definedName>
    <definedName name="BLPR1520040129204514652_5_5" localSheetId="30" hidden="1">'[4]Spread Sheet'!#REF!</definedName>
    <definedName name="BLPR1520040129204514652_5_5" localSheetId="37" hidden="1">'[4]Spread Sheet'!#REF!</definedName>
    <definedName name="BLPR1520040129204514652_5_5" hidden="1">'[4]Spread Sheet'!#REF!</definedName>
    <definedName name="BLPR1620040129204514652" localSheetId="27" hidden="1">'[4]Spread Sheet'!#REF!</definedName>
    <definedName name="BLPR1620040129204514652" localSheetId="28" hidden="1">'[4]Spread Sheet'!#REF!</definedName>
    <definedName name="BLPR1620040129204514652" localSheetId="29" hidden="1">'[4]Spread Sheet'!#REF!</definedName>
    <definedName name="BLPR1620040129204514652" localSheetId="30" hidden="1">'[4]Spread Sheet'!#REF!</definedName>
    <definedName name="BLPR1620040129204514652" localSheetId="37" hidden="1">'[4]Spread Sheet'!#REF!</definedName>
    <definedName name="BLPR1620040129204514652" hidden="1">'[4]Spread Sheet'!#REF!</definedName>
    <definedName name="BLPR1620040129204514652_1_5" localSheetId="27" hidden="1">'[4]Spread Sheet'!#REF!</definedName>
    <definedName name="BLPR1620040129204514652_1_5" localSheetId="28" hidden="1">'[4]Spread Sheet'!#REF!</definedName>
    <definedName name="BLPR1620040129204514652_1_5" localSheetId="29" hidden="1">'[4]Spread Sheet'!#REF!</definedName>
    <definedName name="BLPR1620040129204514652_1_5" localSheetId="30" hidden="1">'[4]Spread Sheet'!#REF!</definedName>
    <definedName name="BLPR1620040129204514652_1_5" localSheetId="37" hidden="1">'[4]Spread Sheet'!#REF!</definedName>
    <definedName name="BLPR1620040129204514652_1_5" hidden="1">'[4]Spread Sheet'!#REF!</definedName>
    <definedName name="BLPR1620040129204514652_2_5" localSheetId="27" hidden="1">'[4]Spread Sheet'!#REF!</definedName>
    <definedName name="BLPR1620040129204514652_2_5" localSheetId="28" hidden="1">'[4]Spread Sheet'!#REF!</definedName>
    <definedName name="BLPR1620040129204514652_2_5" localSheetId="29" hidden="1">'[4]Spread Sheet'!#REF!</definedName>
    <definedName name="BLPR1620040129204514652_2_5" localSheetId="30" hidden="1">'[4]Spread Sheet'!#REF!</definedName>
    <definedName name="BLPR1620040129204514652_2_5" localSheetId="37" hidden="1">'[4]Spread Sheet'!#REF!</definedName>
    <definedName name="BLPR1620040129204514652_2_5" hidden="1">'[4]Spread Sheet'!#REF!</definedName>
    <definedName name="BLPR1620040129204514652_3_5" localSheetId="27" hidden="1">'[4]Spread Sheet'!#REF!</definedName>
    <definedName name="BLPR1620040129204514652_3_5" localSheetId="28" hidden="1">'[4]Spread Sheet'!#REF!</definedName>
    <definedName name="BLPR1620040129204514652_3_5" localSheetId="29" hidden="1">'[4]Spread Sheet'!#REF!</definedName>
    <definedName name="BLPR1620040129204514652_3_5" localSheetId="30" hidden="1">'[4]Spread Sheet'!#REF!</definedName>
    <definedName name="BLPR1620040129204514652_3_5" localSheetId="37" hidden="1">'[4]Spread Sheet'!#REF!</definedName>
    <definedName name="BLPR1620040129204514652_3_5" hidden="1">'[4]Spread Sheet'!#REF!</definedName>
    <definedName name="BLPR1620040129204514652_4_5" localSheetId="27" hidden="1">'[4]Spread Sheet'!#REF!</definedName>
    <definedName name="BLPR1620040129204514652_4_5" localSheetId="28" hidden="1">'[4]Spread Sheet'!#REF!</definedName>
    <definedName name="BLPR1620040129204514652_4_5" localSheetId="29" hidden="1">'[4]Spread Sheet'!#REF!</definedName>
    <definedName name="BLPR1620040129204514652_4_5" localSheetId="30" hidden="1">'[4]Spread Sheet'!#REF!</definedName>
    <definedName name="BLPR1620040129204514652_4_5" localSheetId="37" hidden="1">'[4]Spread Sheet'!#REF!</definedName>
    <definedName name="BLPR1620040129204514652_4_5" hidden="1">'[4]Spread Sheet'!#REF!</definedName>
    <definedName name="BLPR1620040129204514652_5_5" localSheetId="27" hidden="1">'[4]Spread Sheet'!#REF!</definedName>
    <definedName name="BLPR1620040129204514652_5_5" localSheetId="28" hidden="1">'[4]Spread Sheet'!#REF!</definedName>
    <definedName name="BLPR1620040129204514652_5_5" localSheetId="29" hidden="1">'[4]Spread Sheet'!#REF!</definedName>
    <definedName name="BLPR1620040129204514652_5_5" localSheetId="30" hidden="1">'[4]Spread Sheet'!#REF!</definedName>
    <definedName name="BLPR1620040129204514652_5_5" localSheetId="37" hidden="1">'[4]Spread Sheet'!#REF!</definedName>
    <definedName name="BLPR1620040129204514652_5_5" hidden="1">'[4]Spread Sheet'!#REF!</definedName>
    <definedName name="BLPR1720040129204514652" localSheetId="27" hidden="1">'[4]Spread Sheet'!#REF!</definedName>
    <definedName name="BLPR1720040129204514652" localSheetId="28" hidden="1">'[4]Spread Sheet'!#REF!</definedName>
    <definedName name="BLPR1720040129204514652" localSheetId="29" hidden="1">'[4]Spread Sheet'!#REF!</definedName>
    <definedName name="BLPR1720040129204514652" localSheetId="30" hidden="1">'[4]Spread Sheet'!#REF!</definedName>
    <definedName name="BLPR1720040129204514652" localSheetId="37" hidden="1">'[4]Spread Sheet'!#REF!</definedName>
    <definedName name="BLPR1720040129204514652" hidden="1">'[4]Spread Sheet'!#REF!</definedName>
    <definedName name="BLPR1720040129204514652_1_5" localSheetId="27" hidden="1">'[4]Spread Sheet'!#REF!</definedName>
    <definedName name="BLPR1720040129204514652_1_5" localSheetId="28" hidden="1">'[4]Spread Sheet'!#REF!</definedName>
    <definedName name="BLPR1720040129204514652_1_5" localSheetId="29" hidden="1">'[4]Spread Sheet'!#REF!</definedName>
    <definedName name="BLPR1720040129204514652_1_5" localSheetId="30" hidden="1">'[4]Spread Sheet'!#REF!</definedName>
    <definedName name="BLPR1720040129204514652_1_5" localSheetId="37" hidden="1">'[4]Spread Sheet'!#REF!</definedName>
    <definedName name="BLPR1720040129204514652_1_5" hidden="1">'[4]Spread Sheet'!#REF!</definedName>
    <definedName name="BLPR1720040129204514652_2_5" localSheetId="27" hidden="1">'[4]Spread Sheet'!#REF!</definedName>
    <definedName name="BLPR1720040129204514652_2_5" localSheetId="28" hidden="1">'[4]Spread Sheet'!#REF!</definedName>
    <definedName name="BLPR1720040129204514652_2_5" localSheetId="29" hidden="1">'[4]Spread Sheet'!#REF!</definedName>
    <definedName name="BLPR1720040129204514652_2_5" localSheetId="30" hidden="1">'[4]Spread Sheet'!#REF!</definedName>
    <definedName name="BLPR1720040129204514652_2_5" localSheetId="37" hidden="1">'[4]Spread Sheet'!#REF!</definedName>
    <definedName name="BLPR1720040129204514652_2_5" hidden="1">'[4]Spread Sheet'!#REF!</definedName>
    <definedName name="BLPR1720040129204514652_3_5" localSheetId="27" hidden="1">'[4]Spread Sheet'!#REF!</definedName>
    <definedName name="BLPR1720040129204514652_3_5" localSheetId="28" hidden="1">'[4]Spread Sheet'!#REF!</definedName>
    <definedName name="BLPR1720040129204514652_3_5" localSheetId="29" hidden="1">'[4]Spread Sheet'!#REF!</definedName>
    <definedName name="BLPR1720040129204514652_3_5" localSheetId="30" hidden="1">'[4]Spread Sheet'!#REF!</definedName>
    <definedName name="BLPR1720040129204514652_3_5" localSheetId="37" hidden="1">'[4]Spread Sheet'!#REF!</definedName>
    <definedName name="BLPR1720040129204514652_3_5" hidden="1">'[4]Spread Sheet'!#REF!</definedName>
    <definedName name="BLPR1720040129204514652_4_5" localSheetId="27" hidden="1">'[4]Spread Sheet'!#REF!</definedName>
    <definedName name="BLPR1720040129204514652_4_5" localSheetId="28" hidden="1">'[4]Spread Sheet'!#REF!</definedName>
    <definedName name="BLPR1720040129204514652_4_5" localSheetId="29" hidden="1">'[4]Spread Sheet'!#REF!</definedName>
    <definedName name="BLPR1720040129204514652_4_5" localSheetId="30" hidden="1">'[4]Spread Sheet'!#REF!</definedName>
    <definedName name="BLPR1720040129204514652_4_5" localSheetId="37" hidden="1">'[4]Spread Sheet'!#REF!</definedName>
    <definedName name="BLPR1720040129204514652_4_5" hidden="1">'[4]Spread Sheet'!#REF!</definedName>
    <definedName name="BLPR1720040129204514652_5_5" localSheetId="27" hidden="1">'[4]Spread Sheet'!#REF!</definedName>
    <definedName name="BLPR1720040129204514652_5_5" localSheetId="28" hidden="1">'[4]Spread Sheet'!#REF!</definedName>
    <definedName name="BLPR1720040129204514652_5_5" localSheetId="29" hidden="1">'[4]Spread Sheet'!#REF!</definedName>
    <definedName name="BLPR1720040129204514652_5_5" localSheetId="30" hidden="1">'[4]Spread Sheet'!#REF!</definedName>
    <definedName name="BLPR1720040129204514652_5_5" localSheetId="37" hidden="1">'[4]Spread Sheet'!#REF!</definedName>
    <definedName name="BLPR1720040129204514652_5_5" hidden="1">'[4]Spread Sheet'!#REF!</definedName>
    <definedName name="BLPR1820040129204514652" localSheetId="27" hidden="1">'[4]Spread Sheet'!#REF!</definedName>
    <definedName name="BLPR1820040129204514652" localSheetId="28" hidden="1">'[4]Spread Sheet'!#REF!</definedName>
    <definedName name="BLPR1820040129204514652" localSheetId="29" hidden="1">'[4]Spread Sheet'!#REF!</definedName>
    <definedName name="BLPR1820040129204514652" localSheetId="30" hidden="1">'[4]Spread Sheet'!#REF!</definedName>
    <definedName name="BLPR1820040129204514652" localSheetId="37" hidden="1">'[4]Spread Sheet'!#REF!</definedName>
    <definedName name="BLPR1820040129204514652" hidden="1">'[4]Spread Sheet'!#REF!</definedName>
    <definedName name="BLPR1820040129204514652_1_5" localSheetId="27" hidden="1">'[4]Spread Sheet'!#REF!</definedName>
    <definedName name="BLPR1820040129204514652_1_5" localSheetId="28" hidden="1">'[4]Spread Sheet'!#REF!</definedName>
    <definedName name="BLPR1820040129204514652_1_5" localSheetId="29" hidden="1">'[4]Spread Sheet'!#REF!</definedName>
    <definedName name="BLPR1820040129204514652_1_5" localSheetId="30" hidden="1">'[4]Spread Sheet'!#REF!</definedName>
    <definedName name="BLPR1820040129204514652_1_5" localSheetId="37" hidden="1">'[4]Spread Sheet'!#REF!</definedName>
    <definedName name="BLPR1820040129204514652_1_5" hidden="1">'[4]Spread Sheet'!#REF!</definedName>
    <definedName name="BLPR1820040129204514652_2_5" localSheetId="27" hidden="1">'[4]Spread Sheet'!#REF!</definedName>
    <definedName name="BLPR1820040129204514652_2_5" localSheetId="28" hidden="1">'[4]Spread Sheet'!#REF!</definedName>
    <definedName name="BLPR1820040129204514652_2_5" localSheetId="29" hidden="1">'[4]Spread Sheet'!#REF!</definedName>
    <definedName name="BLPR1820040129204514652_2_5" localSheetId="30" hidden="1">'[4]Spread Sheet'!#REF!</definedName>
    <definedName name="BLPR1820040129204514652_2_5" localSheetId="37" hidden="1">'[4]Spread Sheet'!#REF!</definedName>
    <definedName name="BLPR1820040129204514652_2_5" hidden="1">'[4]Spread Sheet'!#REF!</definedName>
    <definedName name="BLPR1820040129204514652_3_5" localSheetId="27" hidden="1">'[4]Spread Sheet'!#REF!</definedName>
    <definedName name="BLPR1820040129204514652_3_5" localSheetId="28" hidden="1">'[4]Spread Sheet'!#REF!</definedName>
    <definedName name="BLPR1820040129204514652_3_5" localSheetId="29" hidden="1">'[4]Spread Sheet'!#REF!</definedName>
    <definedName name="BLPR1820040129204514652_3_5" localSheetId="30" hidden="1">'[4]Spread Sheet'!#REF!</definedName>
    <definedName name="BLPR1820040129204514652_3_5" localSheetId="37" hidden="1">'[4]Spread Sheet'!#REF!</definedName>
    <definedName name="BLPR1820040129204514652_3_5" hidden="1">'[4]Spread Sheet'!#REF!</definedName>
    <definedName name="BLPR1820040129204514652_4_5" localSheetId="27" hidden="1">'[4]Spread Sheet'!#REF!</definedName>
    <definedName name="BLPR1820040129204514652_4_5" localSheetId="28" hidden="1">'[4]Spread Sheet'!#REF!</definedName>
    <definedName name="BLPR1820040129204514652_4_5" localSheetId="29" hidden="1">'[4]Spread Sheet'!#REF!</definedName>
    <definedName name="BLPR1820040129204514652_4_5" localSheetId="30" hidden="1">'[4]Spread Sheet'!#REF!</definedName>
    <definedName name="BLPR1820040129204514652_4_5" localSheetId="37" hidden="1">'[4]Spread Sheet'!#REF!</definedName>
    <definedName name="BLPR1820040129204514652_4_5" hidden="1">'[4]Spread Sheet'!#REF!</definedName>
    <definedName name="BLPR1820040129204514652_5_5" localSheetId="27" hidden="1">'[4]Spread Sheet'!#REF!</definedName>
    <definedName name="BLPR1820040129204514652_5_5" localSheetId="28" hidden="1">'[4]Spread Sheet'!#REF!</definedName>
    <definedName name="BLPR1820040129204514652_5_5" localSheetId="29" hidden="1">'[4]Spread Sheet'!#REF!</definedName>
    <definedName name="BLPR1820040129204514652_5_5" localSheetId="30" hidden="1">'[4]Spread Sheet'!#REF!</definedName>
    <definedName name="BLPR1820040129204514652_5_5" localSheetId="37" hidden="1">'[4]Spread Sheet'!#REF!</definedName>
    <definedName name="BLPR1820040129204514652_5_5" hidden="1">'[4]Spread Sheet'!#REF!</definedName>
    <definedName name="BLPR1920040129204514652" localSheetId="27" hidden="1">'[4]Spread Sheet'!#REF!</definedName>
    <definedName name="BLPR1920040129204514652" localSheetId="28" hidden="1">'[4]Spread Sheet'!#REF!</definedName>
    <definedName name="BLPR1920040129204514652" localSheetId="29" hidden="1">'[4]Spread Sheet'!#REF!</definedName>
    <definedName name="BLPR1920040129204514652" localSheetId="30" hidden="1">'[4]Spread Sheet'!#REF!</definedName>
    <definedName name="BLPR1920040129204514652" localSheetId="37" hidden="1">'[4]Spread Sheet'!#REF!</definedName>
    <definedName name="BLPR1920040129204514652" hidden="1">'[4]Spread Sheet'!#REF!</definedName>
    <definedName name="BLPR1920040129204514652_1_5" localSheetId="27" hidden="1">'[4]Spread Sheet'!#REF!</definedName>
    <definedName name="BLPR1920040129204514652_1_5" localSheetId="28" hidden="1">'[4]Spread Sheet'!#REF!</definedName>
    <definedName name="BLPR1920040129204514652_1_5" localSheetId="29" hidden="1">'[4]Spread Sheet'!#REF!</definedName>
    <definedName name="BLPR1920040129204514652_1_5" localSheetId="30" hidden="1">'[4]Spread Sheet'!#REF!</definedName>
    <definedName name="BLPR1920040129204514652_1_5" localSheetId="37" hidden="1">'[4]Spread Sheet'!#REF!</definedName>
    <definedName name="BLPR1920040129204514652_1_5" hidden="1">'[4]Spread Sheet'!#REF!</definedName>
    <definedName name="BLPR1920040129204514652_2_5" localSheetId="27" hidden="1">'[4]Spread Sheet'!#REF!</definedName>
    <definedName name="BLPR1920040129204514652_2_5" localSheetId="28" hidden="1">'[4]Spread Sheet'!#REF!</definedName>
    <definedName name="BLPR1920040129204514652_2_5" localSheetId="29" hidden="1">'[4]Spread Sheet'!#REF!</definedName>
    <definedName name="BLPR1920040129204514652_2_5" localSheetId="30" hidden="1">'[4]Spread Sheet'!#REF!</definedName>
    <definedName name="BLPR1920040129204514652_2_5" localSheetId="37" hidden="1">'[4]Spread Sheet'!#REF!</definedName>
    <definedName name="BLPR1920040129204514652_2_5" hidden="1">'[4]Spread Sheet'!#REF!</definedName>
    <definedName name="BLPR1920040129204514652_3_5" localSheetId="27" hidden="1">'[4]Spread Sheet'!#REF!</definedName>
    <definedName name="BLPR1920040129204514652_3_5" localSheetId="28" hidden="1">'[4]Spread Sheet'!#REF!</definedName>
    <definedName name="BLPR1920040129204514652_3_5" localSheetId="29" hidden="1">'[4]Spread Sheet'!#REF!</definedName>
    <definedName name="BLPR1920040129204514652_3_5" localSheetId="30" hidden="1">'[4]Spread Sheet'!#REF!</definedName>
    <definedName name="BLPR1920040129204514652_3_5" localSheetId="37" hidden="1">'[4]Spread Sheet'!#REF!</definedName>
    <definedName name="BLPR1920040129204514652_3_5" hidden="1">'[4]Spread Sheet'!#REF!</definedName>
    <definedName name="BLPR1920040129204514652_4_5" localSheetId="27" hidden="1">'[4]Spread Sheet'!#REF!</definedName>
    <definedName name="BLPR1920040129204514652_4_5" localSheetId="28" hidden="1">'[4]Spread Sheet'!#REF!</definedName>
    <definedName name="BLPR1920040129204514652_4_5" localSheetId="29" hidden="1">'[4]Spread Sheet'!#REF!</definedName>
    <definedName name="BLPR1920040129204514652_4_5" localSheetId="30" hidden="1">'[4]Spread Sheet'!#REF!</definedName>
    <definedName name="BLPR1920040129204514652_4_5" localSheetId="37" hidden="1">'[4]Spread Sheet'!#REF!</definedName>
    <definedName name="BLPR1920040129204514652_4_5" hidden="1">'[4]Spread Sheet'!#REF!</definedName>
    <definedName name="BLPR1920040129204514652_5_5" localSheetId="27" hidden="1">'[4]Spread Sheet'!#REF!</definedName>
    <definedName name="BLPR1920040129204514652_5_5" localSheetId="28" hidden="1">'[4]Spread Sheet'!#REF!</definedName>
    <definedName name="BLPR1920040129204514652_5_5" localSheetId="29" hidden="1">'[4]Spread Sheet'!#REF!</definedName>
    <definedName name="BLPR1920040129204514652_5_5" localSheetId="30" hidden="1">'[4]Spread Sheet'!#REF!</definedName>
    <definedName name="BLPR1920040129204514652_5_5" localSheetId="37" hidden="1">'[4]Spread Sheet'!#REF!</definedName>
    <definedName name="BLPR1920040129204514652_5_5" hidden="1">'[4]Spread Sheet'!#REF!</definedName>
    <definedName name="BLPR2020040129204514652" localSheetId="27" hidden="1">'[4]Spread Sheet'!#REF!</definedName>
    <definedName name="BLPR2020040129204514652" localSheetId="28" hidden="1">'[4]Spread Sheet'!#REF!</definedName>
    <definedName name="BLPR2020040129204514652" localSheetId="29" hidden="1">'[4]Spread Sheet'!#REF!</definedName>
    <definedName name="BLPR2020040129204514652" localSheetId="30" hidden="1">'[4]Spread Sheet'!#REF!</definedName>
    <definedName name="BLPR2020040129204514652" localSheetId="37" hidden="1">'[4]Spread Sheet'!#REF!</definedName>
    <definedName name="BLPR2020040129204514652" hidden="1">'[4]Spread Sheet'!#REF!</definedName>
    <definedName name="BLPR2020040129204514652_1_5" localSheetId="27" hidden="1">'[4]Spread Sheet'!#REF!</definedName>
    <definedName name="BLPR2020040129204514652_1_5" localSheetId="28" hidden="1">'[4]Spread Sheet'!#REF!</definedName>
    <definedName name="BLPR2020040129204514652_1_5" localSheetId="29" hidden="1">'[4]Spread Sheet'!#REF!</definedName>
    <definedName name="BLPR2020040129204514652_1_5" localSheetId="30" hidden="1">'[4]Spread Sheet'!#REF!</definedName>
    <definedName name="BLPR2020040129204514652_1_5" localSheetId="37" hidden="1">'[4]Spread Sheet'!#REF!</definedName>
    <definedName name="BLPR2020040129204514652_1_5" hidden="1">'[4]Spread Sheet'!#REF!</definedName>
    <definedName name="BLPR2020040129204514652_2_5" localSheetId="27" hidden="1">'[4]Spread Sheet'!#REF!</definedName>
    <definedName name="BLPR2020040129204514652_2_5" localSheetId="28" hidden="1">'[4]Spread Sheet'!#REF!</definedName>
    <definedName name="BLPR2020040129204514652_2_5" localSheetId="29" hidden="1">'[4]Spread Sheet'!#REF!</definedName>
    <definedName name="BLPR2020040129204514652_2_5" localSheetId="30" hidden="1">'[4]Spread Sheet'!#REF!</definedName>
    <definedName name="BLPR2020040129204514652_2_5" localSheetId="37" hidden="1">'[4]Spread Sheet'!#REF!</definedName>
    <definedName name="BLPR2020040129204514652_2_5" hidden="1">'[4]Spread Sheet'!#REF!</definedName>
    <definedName name="BLPR2020040129204514652_3_5" localSheetId="27" hidden="1">'[4]Spread Sheet'!#REF!</definedName>
    <definedName name="BLPR2020040129204514652_3_5" localSheetId="28" hidden="1">'[4]Spread Sheet'!#REF!</definedName>
    <definedName name="BLPR2020040129204514652_3_5" localSheetId="29" hidden="1">'[4]Spread Sheet'!#REF!</definedName>
    <definedName name="BLPR2020040129204514652_3_5" localSheetId="30" hidden="1">'[4]Spread Sheet'!#REF!</definedName>
    <definedName name="BLPR2020040129204514652_3_5" localSheetId="37" hidden="1">'[4]Spread Sheet'!#REF!</definedName>
    <definedName name="BLPR2020040129204514652_3_5" hidden="1">'[4]Spread Sheet'!#REF!</definedName>
    <definedName name="BLPR2020040129204514652_4_5" localSheetId="27" hidden="1">'[4]Spread Sheet'!#REF!</definedName>
    <definedName name="BLPR2020040129204514652_4_5" localSheetId="28" hidden="1">'[4]Spread Sheet'!#REF!</definedName>
    <definedName name="BLPR2020040129204514652_4_5" localSheetId="29" hidden="1">'[4]Spread Sheet'!#REF!</definedName>
    <definedName name="BLPR2020040129204514652_4_5" localSheetId="30" hidden="1">'[4]Spread Sheet'!#REF!</definedName>
    <definedName name="BLPR2020040129204514652_4_5" localSheetId="37" hidden="1">'[4]Spread Sheet'!#REF!</definedName>
    <definedName name="BLPR2020040129204514652_4_5" hidden="1">'[4]Spread Sheet'!#REF!</definedName>
    <definedName name="BLPR2020040129204514652_5_5" localSheetId="27" hidden="1">'[4]Spread Sheet'!#REF!</definedName>
    <definedName name="BLPR2020040129204514652_5_5" localSheetId="28" hidden="1">'[4]Spread Sheet'!#REF!</definedName>
    <definedName name="BLPR2020040129204514652_5_5" localSheetId="29" hidden="1">'[4]Spread Sheet'!#REF!</definedName>
    <definedName name="BLPR2020040129204514652_5_5" localSheetId="30" hidden="1">'[4]Spread Sheet'!#REF!</definedName>
    <definedName name="BLPR2020040129204514652_5_5" localSheetId="37" hidden="1">'[4]Spread Sheet'!#REF!</definedName>
    <definedName name="BLPR2020040129204514652_5_5" hidden="1">'[4]Spread Sheet'!#REF!</definedName>
    <definedName name="BLPR2120040129204514652" localSheetId="27" hidden="1">'[4]Spread Sheet'!#REF!</definedName>
    <definedName name="BLPR2120040129204514652" localSheetId="28" hidden="1">'[4]Spread Sheet'!#REF!</definedName>
    <definedName name="BLPR2120040129204514652" localSheetId="29" hidden="1">'[4]Spread Sheet'!#REF!</definedName>
    <definedName name="BLPR2120040129204514652" localSheetId="30" hidden="1">'[4]Spread Sheet'!#REF!</definedName>
    <definedName name="BLPR2120040129204514652" localSheetId="37" hidden="1">'[4]Spread Sheet'!#REF!</definedName>
    <definedName name="BLPR2120040129204514652" hidden="1">'[4]Spread Sheet'!#REF!</definedName>
    <definedName name="BLPR2120040129204514652_1_5" localSheetId="27" hidden="1">'[4]Spread Sheet'!#REF!</definedName>
    <definedName name="BLPR2120040129204514652_1_5" localSheetId="28" hidden="1">'[4]Spread Sheet'!#REF!</definedName>
    <definedName name="BLPR2120040129204514652_1_5" localSheetId="29" hidden="1">'[4]Spread Sheet'!#REF!</definedName>
    <definedName name="BLPR2120040129204514652_1_5" localSheetId="30" hidden="1">'[4]Spread Sheet'!#REF!</definedName>
    <definedName name="BLPR2120040129204514652_1_5" localSheetId="37" hidden="1">'[4]Spread Sheet'!#REF!</definedName>
    <definedName name="BLPR2120040129204514652_1_5" hidden="1">'[4]Spread Sheet'!#REF!</definedName>
    <definedName name="BLPR2120040129204514652_2_5" localSheetId="27" hidden="1">'[4]Spread Sheet'!#REF!</definedName>
    <definedName name="BLPR2120040129204514652_2_5" localSheetId="28" hidden="1">'[4]Spread Sheet'!#REF!</definedName>
    <definedName name="BLPR2120040129204514652_2_5" localSheetId="29" hidden="1">'[4]Spread Sheet'!#REF!</definedName>
    <definedName name="BLPR2120040129204514652_2_5" localSheetId="30" hidden="1">'[4]Spread Sheet'!#REF!</definedName>
    <definedName name="BLPR2120040129204514652_2_5" localSheetId="37" hidden="1">'[4]Spread Sheet'!#REF!</definedName>
    <definedName name="BLPR2120040129204514652_2_5" hidden="1">'[4]Spread Sheet'!#REF!</definedName>
    <definedName name="BLPR2120040129204514652_3_5" localSheetId="27" hidden="1">'[4]Spread Sheet'!#REF!</definedName>
    <definedName name="BLPR2120040129204514652_3_5" localSheetId="28" hidden="1">'[4]Spread Sheet'!#REF!</definedName>
    <definedName name="BLPR2120040129204514652_3_5" localSheetId="29" hidden="1">'[4]Spread Sheet'!#REF!</definedName>
    <definedName name="BLPR2120040129204514652_3_5" localSheetId="30" hidden="1">'[4]Spread Sheet'!#REF!</definedName>
    <definedName name="BLPR2120040129204514652_3_5" localSheetId="37" hidden="1">'[4]Spread Sheet'!#REF!</definedName>
    <definedName name="BLPR2120040129204514652_3_5" hidden="1">'[4]Spread Sheet'!#REF!</definedName>
    <definedName name="BLPR2120040129204514652_4_5" localSheetId="27" hidden="1">'[4]Spread Sheet'!#REF!</definedName>
    <definedName name="BLPR2120040129204514652_4_5" localSheetId="28" hidden="1">'[4]Spread Sheet'!#REF!</definedName>
    <definedName name="BLPR2120040129204514652_4_5" localSheetId="29" hidden="1">'[4]Spread Sheet'!#REF!</definedName>
    <definedName name="BLPR2120040129204514652_4_5" localSheetId="30" hidden="1">'[4]Spread Sheet'!#REF!</definedName>
    <definedName name="BLPR2120040129204514652_4_5" localSheetId="37" hidden="1">'[4]Spread Sheet'!#REF!</definedName>
    <definedName name="BLPR2120040129204514652_4_5" hidden="1">'[4]Spread Sheet'!#REF!</definedName>
    <definedName name="BLPR2120040129204514652_5_5" localSheetId="27" hidden="1">'[4]Spread Sheet'!#REF!</definedName>
    <definedName name="BLPR2120040129204514652_5_5" localSheetId="28" hidden="1">'[4]Spread Sheet'!#REF!</definedName>
    <definedName name="BLPR2120040129204514652_5_5" localSheetId="29" hidden="1">'[4]Spread Sheet'!#REF!</definedName>
    <definedName name="BLPR2120040129204514652_5_5" localSheetId="30" hidden="1">'[4]Spread Sheet'!#REF!</definedName>
    <definedName name="BLPR2120040129204514652_5_5" localSheetId="37" hidden="1">'[4]Spread Sheet'!#REF!</definedName>
    <definedName name="BLPR2120040129204514652_5_5" hidden="1">'[4]Spread Sheet'!#REF!</definedName>
    <definedName name="BLPR220040129203645421" localSheetId="27" hidden="1">'[4]Spread Sheet'!#REF!</definedName>
    <definedName name="BLPR220040129203645421" localSheetId="28" hidden="1">'[4]Spread Sheet'!#REF!</definedName>
    <definedName name="BLPR220040129203645421" localSheetId="29" hidden="1">'[4]Spread Sheet'!#REF!</definedName>
    <definedName name="BLPR220040129203645421" localSheetId="30" hidden="1">'[4]Spread Sheet'!#REF!</definedName>
    <definedName name="BLPR220040129203645421" localSheetId="37" hidden="1">'[4]Spread Sheet'!#REF!</definedName>
    <definedName name="BLPR220040129203645421" hidden="1">'[4]Spread Sheet'!#REF!</definedName>
    <definedName name="BLPR220040129203645421_1_4" localSheetId="27" hidden="1">'[4]Spread Sheet'!#REF!</definedName>
    <definedName name="BLPR220040129203645421_1_4" localSheetId="28" hidden="1">'[4]Spread Sheet'!#REF!</definedName>
    <definedName name="BLPR220040129203645421_1_4" localSheetId="29" hidden="1">'[4]Spread Sheet'!#REF!</definedName>
    <definedName name="BLPR220040129203645421_1_4" localSheetId="30" hidden="1">'[4]Spread Sheet'!#REF!</definedName>
    <definedName name="BLPR220040129203645421_1_4" localSheetId="37" hidden="1">'[4]Spread Sheet'!#REF!</definedName>
    <definedName name="BLPR220040129203645421_1_4" hidden="1">'[4]Spread Sheet'!#REF!</definedName>
    <definedName name="BLPR220040129203645421_2_4" localSheetId="27" hidden="1">'[4]Spread Sheet'!#REF!</definedName>
    <definedName name="BLPR220040129203645421_2_4" localSheetId="28" hidden="1">'[4]Spread Sheet'!#REF!</definedName>
    <definedName name="BLPR220040129203645421_2_4" localSheetId="29" hidden="1">'[4]Spread Sheet'!#REF!</definedName>
    <definedName name="BLPR220040129203645421_2_4" localSheetId="30" hidden="1">'[4]Spread Sheet'!#REF!</definedName>
    <definedName name="BLPR220040129203645421_2_4" localSheetId="37" hidden="1">'[4]Spread Sheet'!#REF!</definedName>
    <definedName name="BLPR220040129203645421_2_4" hidden="1">'[4]Spread Sheet'!#REF!</definedName>
    <definedName name="BLPR220040129203645421_3_4" localSheetId="27" hidden="1">'[4]Spread Sheet'!#REF!</definedName>
    <definedName name="BLPR220040129203645421_3_4" localSheetId="28" hidden="1">'[4]Spread Sheet'!#REF!</definedName>
    <definedName name="BLPR220040129203645421_3_4" localSheetId="29" hidden="1">'[4]Spread Sheet'!#REF!</definedName>
    <definedName name="BLPR220040129203645421_3_4" localSheetId="30" hidden="1">'[4]Spread Sheet'!#REF!</definedName>
    <definedName name="BLPR220040129203645421_3_4" localSheetId="37" hidden="1">'[4]Spread Sheet'!#REF!</definedName>
    <definedName name="BLPR220040129203645421_3_4" hidden="1">'[4]Spread Sheet'!#REF!</definedName>
    <definedName name="BLPR220040129203645421_4_4" localSheetId="27" hidden="1">'[4]Spread Sheet'!#REF!</definedName>
    <definedName name="BLPR220040129203645421_4_4" localSheetId="28" hidden="1">'[4]Spread Sheet'!#REF!</definedName>
    <definedName name="BLPR220040129203645421_4_4" localSheetId="29" hidden="1">'[4]Spread Sheet'!#REF!</definedName>
    <definedName name="BLPR220040129203645421_4_4" localSheetId="30" hidden="1">'[4]Spread Sheet'!#REF!</definedName>
    <definedName name="BLPR220040129203645421_4_4" localSheetId="37" hidden="1">'[4]Spread Sheet'!#REF!</definedName>
    <definedName name="BLPR220040129203645421_4_4" hidden="1">'[4]Spread Sheet'!#REF!</definedName>
    <definedName name="BLPR2220040129204514652" localSheetId="27" hidden="1">'[4]Spread Sheet'!#REF!</definedName>
    <definedName name="BLPR2220040129204514652" localSheetId="28" hidden="1">'[4]Spread Sheet'!#REF!</definedName>
    <definedName name="BLPR2220040129204514652" localSheetId="29" hidden="1">'[4]Spread Sheet'!#REF!</definedName>
    <definedName name="BLPR2220040129204514652" localSheetId="30" hidden="1">'[4]Spread Sheet'!#REF!</definedName>
    <definedName name="BLPR2220040129204514652" localSheetId="37" hidden="1">'[4]Spread Sheet'!#REF!</definedName>
    <definedName name="BLPR2220040129204514652" hidden="1">'[4]Spread Sheet'!#REF!</definedName>
    <definedName name="BLPR2220040129204514652_1_5" localSheetId="27" hidden="1">'[4]Spread Sheet'!#REF!</definedName>
    <definedName name="BLPR2220040129204514652_1_5" localSheetId="28" hidden="1">'[4]Spread Sheet'!#REF!</definedName>
    <definedName name="BLPR2220040129204514652_1_5" localSheetId="29" hidden="1">'[4]Spread Sheet'!#REF!</definedName>
    <definedName name="BLPR2220040129204514652_1_5" localSheetId="30" hidden="1">'[4]Spread Sheet'!#REF!</definedName>
    <definedName name="BLPR2220040129204514652_1_5" localSheetId="37" hidden="1">'[4]Spread Sheet'!#REF!</definedName>
    <definedName name="BLPR2220040129204514652_1_5" hidden="1">'[4]Spread Sheet'!#REF!</definedName>
    <definedName name="BLPR2220040129204514652_2_5" localSheetId="27" hidden="1">'[4]Spread Sheet'!#REF!</definedName>
    <definedName name="BLPR2220040129204514652_2_5" localSheetId="28" hidden="1">'[4]Spread Sheet'!#REF!</definedName>
    <definedName name="BLPR2220040129204514652_2_5" localSheetId="29" hidden="1">'[4]Spread Sheet'!#REF!</definedName>
    <definedName name="BLPR2220040129204514652_2_5" localSheetId="30" hidden="1">'[4]Spread Sheet'!#REF!</definedName>
    <definedName name="BLPR2220040129204514652_2_5" localSheetId="37" hidden="1">'[4]Spread Sheet'!#REF!</definedName>
    <definedName name="BLPR2220040129204514652_2_5" hidden="1">'[4]Spread Sheet'!#REF!</definedName>
    <definedName name="BLPR2220040129204514652_3_5" localSheetId="27" hidden="1">'[4]Spread Sheet'!#REF!</definedName>
    <definedName name="BLPR2220040129204514652_3_5" localSheetId="28" hidden="1">'[4]Spread Sheet'!#REF!</definedName>
    <definedName name="BLPR2220040129204514652_3_5" localSheetId="29" hidden="1">'[4]Spread Sheet'!#REF!</definedName>
    <definedName name="BLPR2220040129204514652_3_5" localSheetId="30" hidden="1">'[4]Spread Sheet'!#REF!</definedName>
    <definedName name="BLPR2220040129204514652_3_5" localSheetId="37" hidden="1">'[4]Spread Sheet'!#REF!</definedName>
    <definedName name="BLPR2220040129204514652_3_5" hidden="1">'[4]Spread Sheet'!#REF!</definedName>
    <definedName name="BLPR2220040129204514652_4_5" localSheetId="27" hidden="1">'[4]Spread Sheet'!#REF!</definedName>
    <definedName name="BLPR2220040129204514652_4_5" localSheetId="28" hidden="1">'[4]Spread Sheet'!#REF!</definedName>
    <definedName name="BLPR2220040129204514652_4_5" localSheetId="29" hidden="1">'[4]Spread Sheet'!#REF!</definedName>
    <definedName name="BLPR2220040129204514652_4_5" localSheetId="30" hidden="1">'[4]Spread Sheet'!#REF!</definedName>
    <definedName name="BLPR2220040129204514652_4_5" localSheetId="37" hidden="1">'[4]Spread Sheet'!#REF!</definedName>
    <definedName name="BLPR2220040129204514652_4_5" hidden="1">'[4]Spread Sheet'!#REF!</definedName>
    <definedName name="BLPR2220040129204514652_5_5" localSheetId="27" hidden="1">'[4]Spread Sheet'!#REF!</definedName>
    <definedName name="BLPR2220040129204514652_5_5" localSheetId="28" hidden="1">'[4]Spread Sheet'!#REF!</definedName>
    <definedName name="BLPR2220040129204514652_5_5" localSheetId="29" hidden="1">'[4]Spread Sheet'!#REF!</definedName>
    <definedName name="BLPR2220040129204514652_5_5" localSheetId="30" hidden="1">'[4]Spread Sheet'!#REF!</definedName>
    <definedName name="BLPR2220040129204514652_5_5" localSheetId="37" hidden="1">'[4]Spread Sheet'!#REF!</definedName>
    <definedName name="BLPR2220040129204514652_5_5" hidden="1">'[4]Spread Sheet'!#REF!</definedName>
    <definedName name="BLPR2320040129204514662" localSheetId="27" hidden="1">'[4]Spread Sheet'!#REF!</definedName>
    <definedName name="BLPR2320040129204514662" localSheetId="28" hidden="1">'[4]Spread Sheet'!#REF!</definedName>
    <definedName name="BLPR2320040129204514662" localSheetId="29" hidden="1">'[4]Spread Sheet'!#REF!</definedName>
    <definedName name="BLPR2320040129204514662" localSheetId="30" hidden="1">'[4]Spread Sheet'!#REF!</definedName>
    <definedName name="BLPR2320040129204514662" localSheetId="37" hidden="1">'[4]Spread Sheet'!#REF!</definedName>
    <definedName name="BLPR2320040129204514662" hidden="1">'[4]Spread Sheet'!#REF!</definedName>
    <definedName name="BLPR2320040129204514662_1_5" localSheetId="27" hidden="1">'[4]Spread Sheet'!#REF!</definedName>
    <definedName name="BLPR2320040129204514662_1_5" localSheetId="28" hidden="1">'[4]Spread Sheet'!#REF!</definedName>
    <definedName name="BLPR2320040129204514662_1_5" localSheetId="29" hidden="1">'[4]Spread Sheet'!#REF!</definedName>
    <definedName name="BLPR2320040129204514662_1_5" localSheetId="30" hidden="1">'[4]Spread Sheet'!#REF!</definedName>
    <definedName name="BLPR2320040129204514662_1_5" localSheetId="37" hidden="1">'[4]Spread Sheet'!#REF!</definedName>
    <definedName name="BLPR2320040129204514662_1_5" hidden="1">'[4]Spread Sheet'!#REF!</definedName>
    <definedName name="BLPR2320040129204514662_2_5" localSheetId="27" hidden="1">'[4]Spread Sheet'!#REF!</definedName>
    <definedName name="BLPR2320040129204514662_2_5" localSheetId="28" hidden="1">'[4]Spread Sheet'!#REF!</definedName>
    <definedName name="BLPR2320040129204514662_2_5" localSheetId="29" hidden="1">'[4]Spread Sheet'!#REF!</definedName>
    <definedName name="BLPR2320040129204514662_2_5" localSheetId="30" hidden="1">'[4]Spread Sheet'!#REF!</definedName>
    <definedName name="BLPR2320040129204514662_2_5" localSheetId="37" hidden="1">'[4]Spread Sheet'!#REF!</definedName>
    <definedName name="BLPR2320040129204514662_2_5" hidden="1">'[4]Spread Sheet'!#REF!</definedName>
    <definedName name="BLPR2320040129204514662_3_5" localSheetId="27" hidden="1">'[4]Spread Sheet'!#REF!</definedName>
    <definedName name="BLPR2320040129204514662_3_5" localSheetId="28" hidden="1">'[4]Spread Sheet'!#REF!</definedName>
    <definedName name="BLPR2320040129204514662_3_5" localSheetId="29" hidden="1">'[4]Spread Sheet'!#REF!</definedName>
    <definedName name="BLPR2320040129204514662_3_5" localSheetId="30" hidden="1">'[4]Spread Sheet'!#REF!</definedName>
    <definedName name="BLPR2320040129204514662_3_5" localSheetId="37" hidden="1">'[4]Spread Sheet'!#REF!</definedName>
    <definedName name="BLPR2320040129204514662_3_5" hidden="1">'[4]Spread Sheet'!#REF!</definedName>
    <definedName name="BLPR2320040129204514662_4_5" localSheetId="27" hidden="1">'[4]Spread Sheet'!#REF!</definedName>
    <definedName name="BLPR2320040129204514662_4_5" localSheetId="28" hidden="1">'[4]Spread Sheet'!#REF!</definedName>
    <definedName name="BLPR2320040129204514662_4_5" localSheetId="29" hidden="1">'[4]Spread Sheet'!#REF!</definedName>
    <definedName name="BLPR2320040129204514662_4_5" localSheetId="30" hidden="1">'[4]Spread Sheet'!#REF!</definedName>
    <definedName name="BLPR2320040129204514662_4_5" localSheetId="37" hidden="1">'[4]Spread Sheet'!#REF!</definedName>
    <definedName name="BLPR2320040129204514662_4_5" hidden="1">'[4]Spread Sheet'!#REF!</definedName>
    <definedName name="BLPR2320040129204514662_5_5" localSheetId="27" hidden="1">'[4]Spread Sheet'!#REF!</definedName>
    <definedName name="BLPR2320040129204514662_5_5" localSheetId="28" hidden="1">'[4]Spread Sheet'!#REF!</definedName>
    <definedName name="BLPR2320040129204514662_5_5" localSheetId="29" hidden="1">'[4]Spread Sheet'!#REF!</definedName>
    <definedName name="BLPR2320040129204514662_5_5" localSheetId="30" hidden="1">'[4]Spread Sheet'!#REF!</definedName>
    <definedName name="BLPR2320040129204514662_5_5" localSheetId="37" hidden="1">'[4]Spread Sheet'!#REF!</definedName>
    <definedName name="BLPR2320040129204514662_5_5" hidden="1">'[4]Spread Sheet'!#REF!</definedName>
    <definedName name="BLPR2420040129204514662" localSheetId="27" hidden="1">'[4]Spread Sheet'!#REF!</definedName>
    <definedName name="BLPR2420040129204514662" localSheetId="28" hidden="1">'[4]Spread Sheet'!#REF!</definedName>
    <definedName name="BLPR2420040129204514662" localSheetId="29" hidden="1">'[4]Spread Sheet'!#REF!</definedName>
    <definedName name="BLPR2420040129204514662" localSheetId="30" hidden="1">'[4]Spread Sheet'!#REF!</definedName>
    <definedName name="BLPR2420040129204514662" localSheetId="37" hidden="1">'[4]Spread Sheet'!#REF!</definedName>
    <definedName name="BLPR2420040129204514662" hidden="1">'[4]Spread Sheet'!#REF!</definedName>
    <definedName name="BLPR2420040129204514662_1_5" localSheetId="27" hidden="1">'[4]Spread Sheet'!#REF!</definedName>
    <definedName name="BLPR2420040129204514662_1_5" localSheetId="28" hidden="1">'[4]Spread Sheet'!#REF!</definedName>
    <definedName name="BLPR2420040129204514662_1_5" localSheetId="29" hidden="1">'[4]Spread Sheet'!#REF!</definedName>
    <definedName name="BLPR2420040129204514662_1_5" localSheetId="30" hidden="1">'[4]Spread Sheet'!#REF!</definedName>
    <definedName name="BLPR2420040129204514662_1_5" localSheetId="37" hidden="1">'[4]Spread Sheet'!#REF!</definedName>
    <definedName name="BLPR2420040129204514662_1_5" hidden="1">'[4]Spread Sheet'!#REF!</definedName>
    <definedName name="BLPR2420040129204514662_2_5" localSheetId="27" hidden="1">'[4]Spread Sheet'!#REF!</definedName>
    <definedName name="BLPR2420040129204514662_2_5" localSheetId="28" hidden="1">'[4]Spread Sheet'!#REF!</definedName>
    <definedName name="BLPR2420040129204514662_2_5" localSheetId="29" hidden="1">'[4]Spread Sheet'!#REF!</definedName>
    <definedName name="BLPR2420040129204514662_2_5" localSheetId="30" hidden="1">'[4]Spread Sheet'!#REF!</definedName>
    <definedName name="BLPR2420040129204514662_2_5" localSheetId="37" hidden="1">'[4]Spread Sheet'!#REF!</definedName>
    <definedName name="BLPR2420040129204514662_2_5" hidden="1">'[4]Spread Sheet'!#REF!</definedName>
    <definedName name="BLPR2420040129204514662_3_5" localSheetId="27" hidden="1">'[4]Spread Sheet'!#REF!</definedName>
    <definedName name="BLPR2420040129204514662_3_5" localSheetId="28" hidden="1">'[4]Spread Sheet'!#REF!</definedName>
    <definedName name="BLPR2420040129204514662_3_5" localSheetId="29" hidden="1">'[4]Spread Sheet'!#REF!</definedName>
    <definedName name="BLPR2420040129204514662_3_5" localSheetId="30" hidden="1">'[4]Spread Sheet'!#REF!</definedName>
    <definedName name="BLPR2420040129204514662_3_5" localSheetId="37" hidden="1">'[4]Spread Sheet'!#REF!</definedName>
    <definedName name="BLPR2420040129204514662_3_5" hidden="1">'[4]Spread Sheet'!#REF!</definedName>
    <definedName name="BLPR2420040129204514662_4_5" localSheetId="27" hidden="1">'[4]Spread Sheet'!#REF!</definedName>
    <definedName name="BLPR2420040129204514662_4_5" localSheetId="28" hidden="1">'[4]Spread Sheet'!#REF!</definedName>
    <definedName name="BLPR2420040129204514662_4_5" localSheetId="29" hidden="1">'[4]Spread Sheet'!#REF!</definedName>
    <definedName name="BLPR2420040129204514662_4_5" localSheetId="30" hidden="1">'[4]Spread Sheet'!#REF!</definedName>
    <definedName name="BLPR2420040129204514662_4_5" localSheetId="37" hidden="1">'[4]Spread Sheet'!#REF!</definedName>
    <definedName name="BLPR2420040129204514662_4_5" hidden="1">'[4]Spread Sheet'!#REF!</definedName>
    <definedName name="BLPR2420040129204514662_5_5" localSheetId="27" hidden="1">'[4]Spread Sheet'!#REF!</definedName>
    <definedName name="BLPR2420040129204514662_5_5" localSheetId="28" hidden="1">'[4]Spread Sheet'!#REF!</definedName>
    <definedName name="BLPR2420040129204514662_5_5" localSheetId="29" hidden="1">'[4]Spread Sheet'!#REF!</definedName>
    <definedName name="BLPR2420040129204514662_5_5" localSheetId="30" hidden="1">'[4]Spread Sheet'!#REF!</definedName>
    <definedName name="BLPR2420040129204514662_5_5" localSheetId="37" hidden="1">'[4]Spread Sheet'!#REF!</definedName>
    <definedName name="BLPR2420040129204514662_5_5" hidden="1">'[4]Spread Sheet'!#REF!</definedName>
    <definedName name="BLPR2520040129204514662" localSheetId="27" hidden="1">'[4]Spread Sheet'!#REF!</definedName>
    <definedName name="BLPR2520040129204514662" localSheetId="28" hidden="1">'[4]Spread Sheet'!#REF!</definedName>
    <definedName name="BLPR2520040129204514662" localSheetId="29" hidden="1">'[4]Spread Sheet'!#REF!</definedName>
    <definedName name="BLPR2520040129204514662" localSheetId="30" hidden="1">'[4]Spread Sheet'!#REF!</definedName>
    <definedName name="BLPR2520040129204514662" localSheetId="37" hidden="1">'[4]Spread Sheet'!#REF!</definedName>
    <definedName name="BLPR2520040129204514662" hidden="1">'[4]Spread Sheet'!#REF!</definedName>
    <definedName name="BLPR2520040129204514662_1_5" localSheetId="27" hidden="1">'[4]Spread Sheet'!#REF!</definedName>
    <definedName name="BLPR2520040129204514662_1_5" localSheetId="28" hidden="1">'[4]Spread Sheet'!#REF!</definedName>
    <definedName name="BLPR2520040129204514662_1_5" localSheetId="29" hidden="1">'[4]Spread Sheet'!#REF!</definedName>
    <definedName name="BLPR2520040129204514662_1_5" localSheetId="30" hidden="1">'[4]Spread Sheet'!#REF!</definedName>
    <definedName name="BLPR2520040129204514662_1_5" localSheetId="37" hidden="1">'[4]Spread Sheet'!#REF!</definedName>
    <definedName name="BLPR2520040129204514662_1_5" hidden="1">'[4]Spread Sheet'!#REF!</definedName>
    <definedName name="BLPR2520040129204514662_2_5" localSheetId="27" hidden="1">'[4]Spread Sheet'!#REF!</definedName>
    <definedName name="BLPR2520040129204514662_2_5" localSheetId="28" hidden="1">'[4]Spread Sheet'!#REF!</definedName>
    <definedName name="BLPR2520040129204514662_2_5" localSheetId="29" hidden="1">'[4]Spread Sheet'!#REF!</definedName>
    <definedName name="BLPR2520040129204514662_2_5" localSheetId="30" hidden="1">'[4]Spread Sheet'!#REF!</definedName>
    <definedName name="BLPR2520040129204514662_2_5" localSheetId="37" hidden="1">'[4]Spread Sheet'!#REF!</definedName>
    <definedName name="BLPR2520040129204514662_2_5" hidden="1">'[4]Spread Sheet'!#REF!</definedName>
    <definedName name="BLPR2520040129204514662_3_5" localSheetId="27" hidden="1">'[4]Spread Sheet'!#REF!</definedName>
    <definedName name="BLPR2520040129204514662_3_5" localSheetId="28" hidden="1">'[4]Spread Sheet'!#REF!</definedName>
    <definedName name="BLPR2520040129204514662_3_5" localSheetId="29" hidden="1">'[4]Spread Sheet'!#REF!</definedName>
    <definedName name="BLPR2520040129204514662_3_5" localSheetId="30" hidden="1">'[4]Spread Sheet'!#REF!</definedName>
    <definedName name="BLPR2520040129204514662_3_5" localSheetId="37" hidden="1">'[4]Spread Sheet'!#REF!</definedName>
    <definedName name="BLPR2520040129204514662_3_5" hidden="1">'[4]Spread Sheet'!#REF!</definedName>
    <definedName name="BLPR2520040129204514662_4_5" localSheetId="27" hidden="1">'[4]Spread Sheet'!#REF!</definedName>
    <definedName name="BLPR2520040129204514662_4_5" localSheetId="28" hidden="1">'[4]Spread Sheet'!#REF!</definedName>
    <definedName name="BLPR2520040129204514662_4_5" localSheetId="29" hidden="1">'[4]Spread Sheet'!#REF!</definedName>
    <definedName name="BLPR2520040129204514662_4_5" localSheetId="30" hidden="1">'[4]Spread Sheet'!#REF!</definedName>
    <definedName name="BLPR2520040129204514662_4_5" localSheetId="37" hidden="1">'[4]Spread Sheet'!#REF!</definedName>
    <definedName name="BLPR2520040129204514662_4_5" hidden="1">'[4]Spread Sheet'!#REF!</definedName>
    <definedName name="BLPR2520040129204514662_5_5" localSheetId="27" hidden="1">'[4]Spread Sheet'!#REF!</definedName>
    <definedName name="BLPR2520040129204514662_5_5" localSheetId="28" hidden="1">'[4]Spread Sheet'!#REF!</definedName>
    <definedName name="BLPR2520040129204514662_5_5" localSheetId="29" hidden="1">'[4]Spread Sheet'!#REF!</definedName>
    <definedName name="BLPR2520040129204514662_5_5" localSheetId="30" hidden="1">'[4]Spread Sheet'!#REF!</definedName>
    <definedName name="BLPR2520040129204514662_5_5" localSheetId="37" hidden="1">'[4]Spread Sheet'!#REF!</definedName>
    <definedName name="BLPR2520040129204514662_5_5" hidden="1">'[4]Spread Sheet'!#REF!</definedName>
    <definedName name="BLPR2620040129204514662" localSheetId="27" hidden="1">'[4]Spread Sheet'!#REF!</definedName>
    <definedName name="BLPR2620040129204514662" localSheetId="28" hidden="1">'[4]Spread Sheet'!#REF!</definedName>
    <definedName name="BLPR2620040129204514662" localSheetId="29" hidden="1">'[4]Spread Sheet'!#REF!</definedName>
    <definedName name="BLPR2620040129204514662" localSheetId="30" hidden="1">'[4]Spread Sheet'!#REF!</definedName>
    <definedName name="BLPR2620040129204514662" localSheetId="37" hidden="1">'[4]Spread Sheet'!#REF!</definedName>
    <definedName name="BLPR2620040129204514662" hidden="1">'[4]Spread Sheet'!#REF!</definedName>
    <definedName name="BLPR2620040129204514662_1_5" localSheetId="27" hidden="1">'[4]Spread Sheet'!#REF!</definedName>
    <definedName name="BLPR2620040129204514662_1_5" localSheetId="28" hidden="1">'[4]Spread Sheet'!#REF!</definedName>
    <definedName name="BLPR2620040129204514662_1_5" localSheetId="29" hidden="1">'[4]Spread Sheet'!#REF!</definedName>
    <definedName name="BLPR2620040129204514662_1_5" localSheetId="30" hidden="1">'[4]Spread Sheet'!#REF!</definedName>
    <definedName name="BLPR2620040129204514662_1_5" localSheetId="37" hidden="1">'[4]Spread Sheet'!#REF!</definedName>
    <definedName name="BLPR2620040129204514662_1_5" hidden="1">'[4]Spread Sheet'!#REF!</definedName>
    <definedName name="BLPR2620040129204514662_2_5" localSheetId="27" hidden="1">'[4]Spread Sheet'!#REF!</definedName>
    <definedName name="BLPR2620040129204514662_2_5" localSheetId="28" hidden="1">'[4]Spread Sheet'!#REF!</definedName>
    <definedName name="BLPR2620040129204514662_2_5" localSheetId="29" hidden="1">'[4]Spread Sheet'!#REF!</definedName>
    <definedName name="BLPR2620040129204514662_2_5" localSheetId="30" hidden="1">'[4]Spread Sheet'!#REF!</definedName>
    <definedName name="BLPR2620040129204514662_2_5" localSheetId="37" hidden="1">'[4]Spread Sheet'!#REF!</definedName>
    <definedName name="BLPR2620040129204514662_2_5" hidden="1">'[4]Spread Sheet'!#REF!</definedName>
    <definedName name="BLPR2620040129204514662_3_5" localSheetId="27" hidden="1">'[4]Spread Sheet'!#REF!</definedName>
    <definedName name="BLPR2620040129204514662_3_5" localSheetId="28" hidden="1">'[4]Spread Sheet'!#REF!</definedName>
    <definedName name="BLPR2620040129204514662_3_5" localSheetId="29" hidden="1">'[4]Spread Sheet'!#REF!</definedName>
    <definedName name="BLPR2620040129204514662_3_5" localSheetId="30" hidden="1">'[4]Spread Sheet'!#REF!</definedName>
    <definedName name="BLPR2620040129204514662_3_5" localSheetId="37" hidden="1">'[4]Spread Sheet'!#REF!</definedName>
    <definedName name="BLPR2620040129204514662_3_5" hidden="1">'[4]Spread Sheet'!#REF!</definedName>
    <definedName name="BLPR2620040129204514662_4_5" localSheetId="27" hidden="1">'[4]Spread Sheet'!#REF!</definedName>
    <definedName name="BLPR2620040129204514662_4_5" localSheetId="28" hidden="1">'[4]Spread Sheet'!#REF!</definedName>
    <definedName name="BLPR2620040129204514662_4_5" localSheetId="29" hidden="1">'[4]Spread Sheet'!#REF!</definedName>
    <definedName name="BLPR2620040129204514662_4_5" localSheetId="30" hidden="1">'[4]Spread Sheet'!#REF!</definedName>
    <definedName name="BLPR2620040129204514662_4_5" localSheetId="37" hidden="1">'[4]Spread Sheet'!#REF!</definedName>
    <definedName name="BLPR2620040129204514662_4_5" hidden="1">'[4]Spread Sheet'!#REF!</definedName>
    <definedName name="BLPR2620040129204514662_5_5" localSheetId="27" hidden="1">'[4]Spread Sheet'!#REF!</definedName>
    <definedName name="BLPR2620040129204514662_5_5" localSheetId="28" hidden="1">'[4]Spread Sheet'!#REF!</definedName>
    <definedName name="BLPR2620040129204514662_5_5" localSheetId="29" hidden="1">'[4]Spread Sheet'!#REF!</definedName>
    <definedName name="BLPR2620040129204514662_5_5" localSheetId="30" hidden="1">'[4]Spread Sheet'!#REF!</definedName>
    <definedName name="BLPR2620040129204514662_5_5" localSheetId="37" hidden="1">'[4]Spread Sheet'!#REF!</definedName>
    <definedName name="BLPR2620040129204514662_5_5" hidden="1">'[4]Spread Sheet'!#REF!</definedName>
    <definedName name="BLPR2720040129204514662" localSheetId="27" hidden="1">'[4]Spread Sheet'!#REF!</definedName>
    <definedName name="BLPR2720040129204514662" localSheetId="28" hidden="1">'[4]Spread Sheet'!#REF!</definedName>
    <definedName name="BLPR2720040129204514662" localSheetId="29" hidden="1">'[4]Spread Sheet'!#REF!</definedName>
    <definedName name="BLPR2720040129204514662" localSheetId="30" hidden="1">'[4]Spread Sheet'!#REF!</definedName>
    <definedName name="BLPR2720040129204514662" localSheetId="37" hidden="1">'[4]Spread Sheet'!#REF!</definedName>
    <definedName name="BLPR2720040129204514662" hidden="1">'[4]Spread Sheet'!#REF!</definedName>
    <definedName name="BLPR2720040129204514662_1_5" localSheetId="27" hidden="1">'[4]Spread Sheet'!#REF!</definedName>
    <definedName name="BLPR2720040129204514662_1_5" localSheetId="28" hidden="1">'[4]Spread Sheet'!#REF!</definedName>
    <definedName name="BLPR2720040129204514662_1_5" localSheetId="29" hidden="1">'[4]Spread Sheet'!#REF!</definedName>
    <definedName name="BLPR2720040129204514662_1_5" localSheetId="30" hidden="1">'[4]Spread Sheet'!#REF!</definedName>
    <definedName name="BLPR2720040129204514662_1_5" localSheetId="37" hidden="1">'[4]Spread Sheet'!#REF!</definedName>
    <definedName name="BLPR2720040129204514662_1_5" hidden="1">'[4]Spread Sheet'!#REF!</definedName>
    <definedName name="BLPR2720040129204514662_2_5" localSheetId="27" hidden="1">'[4]Spread Sheet'!#REF!</definedName>
    <definedName name="BLPR2720040129204514662_2_5" localSheetId="28" hidden="1">'[4]Spread Sheet'!#REF!</definedName>
    <definedName name="BLPR2720040129204514662_2_5" localSheetId="29" hidden="1">'[4]Spread Sheet'!#REF!</definedName>
    <definedName name="BLPR2720040129204514662_2_5" localSheetId="30" hidden="1">'[4]Spread Sheet'!#REF!</definedName>
    <definedName name="BLPR2720040129204514662_2_5" localSheetId="37" hidden="1">'[4]Spread Sheet'!#REF!</definedName>
    <definedName name="BLPR2720040129204514662_2_5" hidden="1">'[4]Spread Sheet'!#REF!</definedName>
    <definedName name="BLPR2720040129204514662_3_5" localSheetId="27" hidden="1">'[4]Spread Sheet'!#REF!</definedName>
    <definedName name="BLPR2720040129204514662_3_5" localSheetId="28" hidden="1">'[4]Spread Sheet'!#REF!</definedName>
    <definedName name="BLPR2720040129204514662_3_5" localSheetId="29" hidden="1">'[4]Spread Sheet'!#REF!</definedName>
    <definedName name="BLPR2720040129204514662_3_5" localSheetId="30" hidden="1">'[4]Spread Sheet'!#REF!</definedName>
    <definedName name="BLPR2720040129204514662_3_5" localSheetId="37" hidden="1">'[4]Spread Sheet'!#REF!</definedName>
    <definedName name="BLPR2720040129204514662_3_5" hidden="1">'[4]Spread Sheet'!#REF!</definedName>
    <definedName name="BLPR2720040129204514662_4_5" localSheetId="27" hidden="1">'[4]Spread Sheet'!#REF!</definedName>
    <definedName name="BLPR2720040129204514662_4_5" localSheetId="28" hidden="1">'[4]Spread Sheet'!#REF!</definedName>
    <definedName name="BLPR2720040129204514662_4_5" localSheetId="29" hidden="1">'[4]Spread Sheet'!#REF!</definedName>
    <definedName name="BLPR2720040129204514662_4_5" localSheetId="30" hidden="1">'[4]Spread Sheet'!#REF!</definedName>
    <definedName name="BLPR2720040129204514662_4_5" localSheetId="37" hidden="1">'[4]Spread Sheet'!#REF!</definedName>
    <definedName name="BLPR2720040129204514662_4_5" hidden="1">'[4]Spread Sheet'!#REF!</definedName>
    <definedName name="BLPR2720040129204514662_5_5" localSheetId="27" hidden="1">'[4]Spread Sheet'!#REF!</definedName>
    <definedName name="BLPR2720040129204514662_5_5" localSheetId="28" hidden="1">'[4]Spread Sheet'!#REF!</definedName>
    <definedName name="BLPR2720040129204514662_5_5" localSheetId="29" hidden="1">'[4]Spread Sheet'!#REF!</definedName>
    <definedName name="BLPR2720040129204514662_5_5" localSheetId="30" hidden="1">'[4]Spread Sheet'!#REF!</definedName>
    <definedName name="BLPR2720040129204514662_5_5" localSheetId="37" hidden="1">'[4]Spread Sheet'!#REF!</definedName>
    <definedName name="BLPR2720040129204514662_5_5" hidden="1">'[4]Spread Sheet'!#REF!</definedName>
    <definedName name="BLPR2820040129204514662" localSheetId="27" hidden="1">'[4]Spread Sheet'!#REF!</definedName>
    <definedName name="BLPR2820040129204514662" localSheetId="28" hidden="1">'[4]Spread Sheet'!#REF!</definedName>
    <definedName name="BLPR2820040129204514662" localSheetId="29" hidden="1">'[4]Spread Sheet'!#REF!</definedName>
    <definedName name="BLPR2820040129204514662" localSheetId="30" hidden="1">'[4]Spread Sheet'!#REF!</definedName>
    <definedName name="BLPR2820040129204514662" localSheetId="37" hidden="1">'[4]Spread Sheet'!#REF!</definedName>
    <definedName name="BLPR2820040129204514662" hidden="1">'[4]Spread Sheet'!#REF!</definedName>
    <definedName name="BLPR2820040129204514662_1_5" localSheetId="27" hidden="1">'[4]Spread Sheet'!#REF!</definedName>
    <definedName name="BLPR2820040129204514662_1_5" localSheetId="28" hidden="1">'[4]Spread Sheet'!#REF!</definedName>
    <definedName name="BLPR2820040129204514662_1_5" localSheetId="29" hidden="1">'[4]Spread Sheet'!#REF!</definedName>
    <definedName name="BLPR2820040129204514662_1_5" localSheetId="30" hidden="1">'[4]Spread Sheet'!#REF!</definedName>
    <definedName name="BLPR2820040129204514662_1_5" localSheetId="37" hidden="1">'[4]Spread Sheet'!#REF!</definedName>
    <definedName name="BLPR2820040129204514662_1_5" hidden="1">'[4]Spread Sheet'!#REF!</definedName>
    <definedName name="BLPR2820040129204514662_2_5" localSheetId="27" hidden="1">'[4]Spread Sheet'!#REF!</definedName>
    <definedName name="BLPR2820040129204514662_2_5" localSheetId="28" hidden="1">'[4]Spread Sheet'!#REF!</definedName>
    <definedName name="BLPR2820040129204514662_2_5" localSheetId="29" hidden="1">'[4]Spread Sheet'!#REF!</definedName>
    <definedName name="BLPR2820040129204514662_2_5" localSheetId="30" hidden="1">'[4]Spread Sheet'!#REF!</definedName>
    <definedName name="BLPR2820040129204514662_2_5" localSheetId="37" hidden="1">'[4]Spread Sheet'!#REF!</definedName>
    <definedName name="BLPR2820040129204514662_2_5" hidden="1">'[4]Spread Sheet'!#REF!</definedName>
    <definedName name="BLPR2820040129204514662_3_5" localSheetId="27" hidden="1">'[4]Spread Sheet'!#REF!</definedName>
    <definedName name="BLPR2820040129204514662_3_5" localSheetId="28" hidden="1">'[4]Spread Sheet'!#REF!</definedName>
    <definedName name="BLPR2820040129204514662_3_5" localSheetId="29" hidden="1">'[4]Spread Sheet'!#REF!</definedName>
    <definedName name="BLPR2820040129204514662_3_5" localSheetId="30" hidden="1">'[4]Spread Sheet'!#REF!</definedName>
    <definedName name="BLPR2820040129204514662_3_5" localSheetId="37" hidden="1">'[4]Spread Sheet'!#REF!</definedName>
    <definedName name="BLPR2820040129204514662_3_5" hidden="1">'[4]Spread Sheet'!#REF!</definedName>
    <definedName name="BLPR2820040129204514662_4_5" localSheetId="27" hidden="1">'[4]Spread Sheet'!#REF!</definedName>
    <definedName name="BLPR2820040129204514662_4_5" localSheetId="28" hidden="1">'[4]Spread Sheet'!#REF!</definedName>
    <definedName name="BLPR2820040129204514662_4_5" localSheetId="29" hidden="1">'[4]Spread Sheet'!#REF!</definedName>
    <definedName name="BLPR2820040129204514662_4_5" localSheetId="30" hidden="1">'[4]Spread Sheet'!#REF!</definedName>
    <definedName name="BLPR2820040129204514662_4_5" localSheetId="37" hidden="1">'[4]Spread Sheet'!#REF!</definedName>
    <definedName name="BLPR2820040129204514662_4_5" hidden="1">'[4]Spread Sheet'!#REF!</definedName>
    <definedName name="BLPR2820040129204514662_5_5" localSheetId="27" hidden="1">'[4]Spread Sheet'!#REF!</definedName>
    <definedName name="BLPR2820040129204514662_5_5" localSheetId="28" hidden="1">'[4]Spread Sheet'!#REF!</definedName>
    <definedName name="BLPR2820040129204514662_5_5" localSheetId="29" hidden="1">'[4]Spread Sheet'!#REF!</definedName>
    <definedName name="BLPR2820040129204514662_5_5" localSheetId="30" hidden="1">'[4]Spread Sheet'!#REF!</definedName>
    <definedName name="BLPR2820040129204514662_5_5" localSheetId="37" hidden="1">'[4]Spread Sheet'!#REF!</definedName>
    <definedName name="BLPR2820040129204514662_5_5" hidden="1">'[4]Spread Sheet'!#REF!</definedName>
    <definedName name="BLPR2920040129204514662" localSheetId="27" hidden="1">'[4]Spread Sheet'!#REF!</definedName>
    <definedName name="BLPR2920040129204514662" localSheetId="28" hidden="1">'[4]Spread Sheet'!#REF!</definedName>
    <definedName name="BLPR2920040129204514662" localSheetId="29" hidden="1">'[4]Spread Sheet'!#REF!</definedName>
    <definedName name="BLPR2920040129204514662" localSheetId="30" hidden="1">'[4]Spread Sheet'!#REF!</definedName>
    <definedName name="BLPR2920040129204514662" localSheetId="37" hidden="1">'[4]Spread Sheet'!#REF!</definedName>
    <definedName name="BLPR2920040129204514662" hidden="1">'[4]Spread Sheet'!#REF!</definedName>
    <definedName name="BLPR2920040129204514662_1_5" localSheetId="27" hidden="1">'[4]Spread Sheet'!#REF!</definedName>
    <definedName name="BLPR2920040129204514662_1_5" localSheetId="28" hidden="1">'[4]Spread Sheet'!#REF!</definedName>
    <definedName name="BLPR2920040129204514662_1_5" localSheetId="29" hidden="1">'[4]Spread Sheet'!#REF!</definedName>
    <definedName name="BLPR2920040129204514662_1_5" localSheetId="30" hidden="1">'[4]Spread Sheet'!#REF!</definedName>
    <definedName name="BLPR2920040129204514662_1_5" localSheetId="37" hidden="1">'[4]Spread Sheet'!#REF!</definedName>
    <definedName name="BLPR2920040129204514662_1_5" hidden="1">'[4]Spread Sheet'!#REF!</definedName>
    <definedName name="BLPR2920040129204514662_2_5" localSheetId="27" hidden="1">'[4]Spread Sheet'!#REF!</definedName>
    <definedName name="BLPR2920040129204514662_2_5" localSheetId="28" hidden="1">'[4]Spread Sheet'!#REF!</definedName>
    <definedName name="BLPR2920040129204514662_2_5" localSheetId="29" hidden="1">'[4]Spread Sheet'!#REF!</definedName>
    <definedName name="BLPR2920040129204514662_2_5" localSheetId="30" hidden="1">'[4]Spread Sheet'!#REF!</definedName>
    <definedName name="BLPR2920040129204514662_2_5" localSheetId="37" hidden="1">'[4]Spread Sheet'!#REF!</definedName>
    <definedName name="BLPR2920040129204514662_2_5" hidden="1">'[4]Spread Sheet'!#REF!</definedName>
    <definedName name="BLPR2920040129204514662_3_5" localSheetId="27" hidden="1">'[4]Spread Sheet'!#REF!</definedName>
    <definedName name="BLPR2920040129204514662_3_5" localSheetId="28" hidden="1">'[4]Spread Sheet'!#REF!</definedName>
    <definedName name="BLPR2920040129204514662_3_5" localSheetId="29" hidden="1">'[4]Spread Sheet'!#REF!</definedName>
    <definedName name="BLPR2920040129204514662_3_5" localSheetId="30" hidden="1">'[4]Spread Sheet'!#REF!</definedName>
    <definedName name="BLPR2920040129204514662_3_5" localSheetId="37" hidden="1">'[4]Spread Sheet'!#REF!</definedName>
    <definedName name="BLPR2920040129204514662_3_5" hidden="1">'[4]Spread Sheet'!#REF!</definedName>
    <definedName name="BLPR2920040129204514662_4_5" localSheetId="27" hidden="1">'[4]Spread Sheet'!#REF!</definedName>
    <definedName name="BLPR2920040129204514662_4_5" localSheetId="28" hidden="1">'[4]Spread Sheet'!#REF!</definedName>
    <definedName name="BLPR2920040129204514662_4_5" localSheetId="29" hidden="1">'[4]Spread Sheet'!#REF!</definedName>
    <definedName name="BLPR2920040129204514662_4_5" localSheetId="30" hidden="1">'[4]Spread Sheet'!#REF!</definedName>
    <definedName name="BLPR2920040129204514662_4_5" localSheetId="37" hidden="1">'[4]Spread Sheet'!#REF!</definedName>
    <definedName name="BLPR2920040129204514662_4_5" hidden="1">'[4]Spread Sheet'!#REF!</definedName>
    <definedName name="BLPR2920040129204514662_5_5" localSheetId="27" hidden="1">'[4]Spread Sheet'!#REF!</definedName>
    <definedName name="BLPR2920040129204514662_5_5" localSheetId="28" hidden="1">'[4]Spread Sheet'!#REF!</definedName>
    <definedName name="BLPR2920040129204514662_5_5" localSheetId="29" hidden="1">'[4]Spread Sheet'!#REF!</definedName>
    <definedName name="BLPR2920040129204514662_5_5" localSheetId="30" hidden="1">'[4]Spread Sheet'!#REF!</definedName>
    <definedName name="BLPR2920040129204514662_5_5" localSheetId="37" hidden="1">'[4]Spread Sheet'!#REF!</definedName>
    <definedName name="BLPR2920040129204514662_5_5" hidden="1">'[4]Spread Sheet'!#REF!</definedName>
    <definedName name="BLPR3020040129204514672" localSheetId="27" hidden="1">'[4]Spread Sheet'!#REF!</definedName>
    <definedName name="BLPR3020040129204514672" localSheetId="28" hidden="1">'[4]Spread Sheet'!#REF!</definedName>
    <definedName name="BLPR3020040129204514672" localSheetId="29" hidden="1">'[4]Spread Sheet'!#REF!</definedName>
    <definedName name="BLPR3020040129204514672" localSheetId="30" hidden="1">'[4]Spread Sheet'!#REF!</definedName>
    <definedName name="BLPR3020040129204514672" localSheetId="37" hidden="1">'[4]Spread Sheet'!#REF!</definedName>
    <definedName name="BLPR3020040129204514672" hidden="1">'[4]Spread Sheet'!#REF!</definedName>
    <definedName name="BLPR3020040129204514672_1_5" localSheetId="27" hidden="1">'[4]Spread Sheet'!#REF!</definedName>
    <definedName name="BLPR3020040129204514672_1_5" localSheetId="28" hidden="1">'[4]Spread Sheet'!#REF!</definedName>
    <definedName name="BLPR3020040129204514672_1_5" localSheetId="29" hidden="1">'[4]Spread Sheet'!#REF!</definedName>
    <definedName name="BLPR3020040129204514672_1_5" localSheetId="30" hidden="1">'[4]Spread Sheet'!#REF!</definedName>
    <definedName name="BLPR3020040129204514672_1_5" localSheetId="37" hidden="1">'[4]Spread Sheet'!#REF!</definedName>
    <definedName name="BLPR3020040129204514672_1_5" hidden="1">'[4]Spread Sheet'!#REF!</definedName>
    <definedName name="BLPR3020040129204514672_2_5" localSheetId="27" hidden="1">'[4]Spread Sheet'!#REF!</definedName>
    <definedName name="BLPR3020040129204514672_2_5" localSheetId="28" hidden="1">'[4]Spread Sheet'!#REF!</definedName>
    <definedName name="BLPR3020040129204514672_2_5" localSheetId="29" hidden="1">'[4]Spread Sheet'!#REF!</definedName>
    <definedName name="BLPR3020040129204514672_2_5" localSheetId="30" hidden="1">'[4]Spread Sheet'!#REF!</definedName>
    <definedName name="BLPR3020040129204514672_2_5" localSheetId="37" hidden="1">'[4]Spread Sheet'!#REF!</definedName>
    <definedName name="BLPR3020040129204514672_2_5" hidden="1">'[4]Spread Sheet'!#REF!</definedName>
    <definedName name="BLPR3020040129204514672_3_5" localSheetId="27" hidden="1">'[4]Spread Sheet'!#REF!</definedName>
    <definedName name="BLPR3020040129204514672_3_5" localSheetId="28" hidden="1">'[4]Spread Sheet'!#REF!</definedName>
    <definedName name="BLPR3020040129204514672_3_5" localSheetId="29" hidden="1">'[4]Spread Sheet'!#REF!</definedName>
    <definedName name="BLPR3020040129204514672_3_5" localSheetId="30" hidden="1">'[4]Spread Sheet'!#REF!</definedName>
    <definedName name="BLPR3020040129204514672_3_5" localSheetId="37" hidden="1">'[4]Spread Sheet'!#REF!</definedName>
    <definedName name="BLPR3020040129204514672_3_5" hidden="1">'[4]Spread Sheet'!#REF!</definedName>
    <definedName name="BLPR3020040129204514672_4_5" localSheetId="27" hidden="1">'[4]Spread Sheet'!#REF!</definedName>
    <definedName name="BLPR3020040129204514672_4_5" localSheetId="28" hidden="1">'[4]Spread Sheet'!#REF!</definedName>
    <definedName name="BLPR3020040129204514672_4_5" localSheetId="29" hidden="1">'[4]Spread Sheet'!#REF!</definedName>
    <definedName name="BLPR3020040129204514672_4_5" localSheetId="30" hidden="1">'[4]Spread Sheet'!#REF!</definedName>
    <definedName name="BLPR3020040129204514672_4_5" localSheetId="37" hidden="1">'[4]Spread Sheet'!#REF!</definedName>
    <definedName name="BLPR3020040129204514672_4_5" hidden="1">'[4]Spread Sheet'!#REF!</definedName>
    <definedName name="BLPR3020040129204514672_5_5" localSheetId="27" hidden="1">'[4]Spread Sheet'!#REF!</definedName>
    <definedName name="BLPR3020040129204514672_5_5" localSheetId="28" hidden="1">'[4]Spread Sheet'!#REF!</definedName>
    <definedName name="BLPR3020040129204514672_5_5" localSheetId="29" hidden="1">'[4]Spread Sheet'!#REF!</definedName>
    <definedName name="BLPR3020040129204514672_5_5" localSheetId="30" hidden="1">'[4]Spread Sheet'!#REF!</definedName>
    <definedName name="BLPR3020040129204514672_5_5" localSheetId="37" hidden="1">'[4]Spread Sheet'!#REF!</definedName>
    <definedName name="BLPR3020040129204514672_5_5" hidden="1">'[4]Spread Sheet'!#REF!</definedName>
    <definedName name="BLPR3120040129204514692" localSheetId="27" hidden="1">'[4]Spread Sheet'!#REF!</definedName>
    <definedName name="BLPR3120040129204514692" localSheetId="28" hidden="1">'[4]Spread Sheet'!#REF!</definedName>
    <definedName name="BLPR3120040129204514692" localSheetId="29" hidden="1">'[4]Spread Sheet'!#REF!</definedName>
    <definedName name="BLPR3120040129204514692" localSheetId="30" hidden="1">'[4]Spread Sheet'!#REF!</definedName>
    <definedName name="BLPR3120040129204514692" localSheetId="37" hidden="1">'[4]Spread Sheet'!#REF!</definedName>
    <definedName name="BLPR3120040129204514692" hidden="1">'[4]Spread Sheet'!#REF!</definedName>
    <definedName name="BLPR3120040129204514692_1_1" localSheetId="27" hidden="1">'[4]Spread Sheet'!#REF!</definedName>
    <definedName name="BLPR3120040129204514692_1_1" localSheetId="28" hidden="1">'[4]Spread Sheet'!#REF!</definedName>
    <definedName name="BLPR3120040129204514692_1_1" localSheetId="29" hidden="1">'[4]Spread Sheet'!#REF!</definedName>
    <definedName name="BLPR3120040129204514692_1_1" localSheetId="30" hidden="1">'[4]Spread Sheet'!#REF!</definedName>
    <definedName name="BLPR3120040129204514692_1_1" localSheetId="37" hidden="1">'[4]Spread Sheet'!#REF!</definedName>
    <definedName name="BLPR3120040129204514692_1_1" hidden="1">'[4]Spread Sheet'!#REF!</definedName>
    <definedName name="BLPR320040129203645431" localSheetId="27" hidden="1">'[4]Spread Sheet'!#REF!</definedName>
    <definedName name="BLPR320040129203645431" localSheetId="28" hidden="1">'[4]Spread Sheet'!#REF!</definedName>
    <definedName name="BLPR320040129203645431" localSheetId="29" hidden="1">'[4]Spread Sheet'!#REF!</definedName>
    <definedName name="BLPR320040129203645431" localSheetId="30" hidden="1">'[4]Spread Sheet'!#REF!</definedName>
    <definedName name="BLPR320040129203645431" localSheetId="37" hidden="1">'[4]Spread Sheet'!#REF!</definedName>
    <definedName name="BLPR320040129203645431" hidden="1">'[4]Spread Sheet'!#REF!</definedName>
    <definedName name="BLPR320040129203645431_1_4" localSheetId="27" hidden="1">'[4]Spread Sheet'!#REF!</definedName>
    <definedName name="BLPR320040129203645431_1_4" localSheetId="28" hidden="1">'[4]Spread Sheet'!#REF!</definedName>
    <definedName name="BLPR320040129203645431_1_4" localSheetId="29" hidden="1">'[4]Spread Sheet'!#REF!</definedName>
    <definedName name="BLPR320040129203645431_1_4" localSheetId="30" hidden="1">'[4]Spread Sheet'!#REF!</definedName>
    <definedName name="BLPR320040129203645431_1_4" localSheetId="37" hidden="1">'[4]Spread Sheet'!#REF!</definedName>
    <definedName name="BLPR320040129203645431_1_4" hidden="1">'[4]Spread Sheet'!#REF!</definedName>
    <definedName name="BLPR320040129203645431_2_4" localSheetId="27" hidden="1">'[4]Spread Sheet'!#REF!</definedName>
    <definedName name="BLPR320040129203645431_2_4" localSheetId="28" hidden="1">'[4]Spread Sheet'!#REF!</definedName>
    <definedName name="BLPR320040129203645431_2_4" localSheetId="29" hidden="1">'[4]Spread Sheet'!#REF!</definedName>
    <definedName name="BLPR320040129203645431_2_4" localSheetId="30" hidden="1">'[4]Spread Sheet'!#REF!</definedName>
    <definedName name="BLPR320040129203645431_2_4" localSheetId="37" hidden="1">'[4]Spread Sheet'!#REF!</definedName>
    <definedName name="BLPR320040129203645431_2_4" hidden="1">'[4]Spread Sheet'!#REF!</definedName>
    <definedName name="BLPR320040129203645431_3_4" localSheetId="27" hidden="1">'[4]Spread Sheet'!#REF!</definedName>
    <definedName name="BLPR320040129203645431_3_4" localSheetId="28" hidden="1">'[4]Spread Sheet'!#REF!</definedName>
    <definedName name="BLPR320040129203645431_3_4" localSheetId="29" hidden="1">'[4]Spread Sheet'!#REF!</definedName>
    <definedName name="BLPR320040129203645431_3_4" localSheetId="30" hidden="1">'[4]Spread Sheet'!#REF!</definedName>
    <definedName name="BLPR320040129203645431_3_4" localSheetId="37" hidden="1">'[4]Spread Sheet'!#REF!</definedName>
    <definedName name="BLPR320040129203645431_3_4" hidden="1">'[4]Spread Sheet'!#REF!</definedName>
    <definedName name="BLPR320040129203645431_4_4" localSheetId="27" hidden="1">'[4]Spread Sheet'!#REF!</definedName>
    <definedName name="BLPR320040129203645431_4_4" localSheetId="28" hidden="1">'[4]Spread Sheet'!#REF!</definedName>
    <definedName name="BLPR320040129203645431_4_4" localSheetId="29" hidden="1">'[4]Spread Sheet'!#REF!</definedName>
    <definedName name="BLPR320040129203645431_4_4" localSheetId="30" hidden="1">'[4]Spread Sheet'!#REF!</definedName>
    <definedName name="BLPR320040129203645431_4_4" localSheetId="37" hidden="1">'[4]Spread Sheet'!#REF!</definedName>
    <definedName name="BLPR320040129203645431_4_4" hidden="1">'[4]Spread Sheet'!#REF!</definedName>
    <definedName name="BLPR3220040129204514692" localSheetId="27" hidden="1">'[4]Spread Sheet'!#REF!</definedName>
    <definedName name="BLPR3220040129204514692" localSheetId="28" hidden="1">'[4]Spread Sheet'!#REF!</definedName>
    <definedName name="BLPR3220040129204514692" localSheetId="29" hidden="1">'[4]Spread Sheet'!#REF!</definedName>
    <definedName name="BLPR3220040129204514692" localSheetId="30" hidden="1">'[4]Spread Sheet'!#REF!</definedName>
    <definedName name="BLPR3220040129204514692" localSheetId="37" hidden="1">'[4]Spread Sheet'!#REF!</definedName>
    <definedName name="BLPR3220040129204514692" hidden="1">'[4]Spread Sheet'!#REF!</definedName>
    <definedName name="BLPR3220040129204514692_1_1" localSheetId="27" hidden="1">'[4]Spread Sheet'!#REF!</definedName>
    <definedName name="BLPR3220040129204514692_1_1" localSheetId="28" hidden="1">'[4]Spread Sheet'!#REF!</definedName>
    <definedName name="BLPR3220040129204514692_1_1" localSheetId="29" hidden="1">'[4]Spread Sheet'!#REF!</definedName>
    <definedName name="BLPR3220040129204514692_1_1" localSheetId="30" hidden="1">'[4]Spread Sheet'!#REF!</definedName>
    <definedName name="BLPR3220040129204514692_1_1" localSheetId="37" hidden="1">'[4]Spread Sheet'!#REF!</definedName>
    <definedName name="BLPR3220040129204514692_1_1" hidden="1">'[4]Spread Sheet'!#REF!</definedName>
    <definedName name="BLPR3320040129204514702" localSheetId="27" hidden="1">'[4]Spread Sheet'!#REF!</definedName>
    <definedName name="BLPR3320040129204514702" localSheetId="28" hidden="1">'[4]Spread Sheet'!#REF!</definedName>
    <definedName name="BLPR3320040129204514702" localSheetId="29" hidden="1">'[4]Spread Sheet'!#REF!</definedName>
    <definedName name="BLPR3320040129204514702" localSheetId="30" hidden="1">'[4]Spread Sheet'!#REF!</definedName>
    <definedName name="BLPR3320040129204514702" localSheetId="37" hidden="1">'[4]Spread Sheet'!#REF!</definedName>
    <definedName name="BLPR3320040129204514702" hidden="1">'[4]Spread Sheet'!#REF!</definedName>
    <definedName name="BLPR3320040129204514702_1_1" localSheetId="27" hidden="1">'[4]Spread Sheet'!#REF!</definedName>
    <definedName name="BLPR3320040129204514702_1_1" localSheetId="28" hidden="1">'[4]Spread Sheet'!#REF!</definedName>
    <definedName name="BLPR3320040129204514702_1_1" localSheetId="29" hidden="1">'[4]Spread Sheet'!#REF!</definedName>
    <definedName name="BLPR3320040129204514702_1_1" localSheetId="30" hidden="1">'[4]Spread Sheet'!#REF!</definedName>
    <definedName name="BLPR3320040129204514702_1_1" localSheetId="37" hidden="1">'[4]Spread Sheet'!#REF!</definedName>
    <definedName name="BLPR3320040129204514702_1_1" hidden="1">'[4]Spread Sheet'!#REF!</definedName>
    <definedName name="BLPR3420040129204514702" localSheetId="27" hidden="1">'[4]Spread Sheet'!#REF!</definedName>
    <definedName name="BLPR3420040129204514702" localSheetId="28" hidden="1">'[4]Spread Sheet'!#REF!</definedName>
    <definedName name="BLPR3420040129204514702" localSheetId="29" hidden="1">'[4]Spread Sheet'!#REF!</definedName>
    <definedName name="BLPR3420040129204514702" localSheetId="30" hidden="1">'[4]Spread Sheet'!#REF!</definedName>
    <definedName name="BLPR3420040129204514702" localSheetId="37" hidden="1">'[4]Spread Sheet'!#REF!</definedName>
    <definedName name="BLPR3420040129204514702" hidden="1">'[4]Spread Sheet'!#REF!</definedName>
    <definedName name="BLPR3420040129204514702_1_1" localSheetId="27" hidden="1">'[4]Spread Sheet'!#REF!</definedName>
    <definedName name="BLPR3420040129204514702_1_1" localSheetId="28" hidden="1">'[4]Spread Sheet'!#REF!</definedName>
    <definedName name="BLPR3420040129204514702_1_1" localSheetId="29" hidden="1">'[4]Spread Sheet'!#REF!</definedName>
    <definedName name="BLPR3420040129204514702_1_1" localSheetId="30" hidden="1">'[4]Spread Sheet'!#REF!</definedName>
    <definedName name="BLPR3420040129204514702_1_1" localSheetId="37" hidden="1">'[4]Spread Sheet'!#REF!</definedName>
    <definedName name="BLPR3420040129204514702_1_1" hidden="1">'[4]Spread Sheet'!#REF!</definedName>
    <definedName name="BLPR3520040129204514702" localSheetId="27" hidden="1">'[4]Spread Sheet'!#REF!</definedName>
    <definedName name="BLPR3520040129204514702" localSheetId="28" hidden="1">'[4]Spread Sheet'!#REF!</definedName>
    <definedName name="BLPR3520040129204514702" localSheetId="29" hidden="1">'[4]Spread Sheet'!#REF!</definedName>
    <definedName name="BLPR3520040129204514702" localSheetId="30" hidden="1">'[4]Spread Sheet'!#REF!</definedName>
    <definedName name="BLPR3520040129204514702" localSheetId="37" hidden="1">'[4]Spread Sheet'!#REF!</definedName>
    <definedName name="BLPR3520040129204514702" hidden="1">'[4]Spread Sheet'!#REF!</definedName>
    <definedName name="BLPR3520040129204514702_1_1" localSheetId="27" hidden="1">'[4]Spread Sheet'!#REF!</definedName>
    <definedName name="BLPR3520040129204514702_1_1" localSheetId="28" hidden="1">'[4]Spread Sheet'!#REF!</definedName>
    <definedName name="BLPR3520040129204514702_1_1" localSheetId="29" hidden="1">'[4]Spread Sheet'!#REF!</definedName>
    <definedName name="BLPR3520040129204514702_1_1" localSheetId="30" hidden="1">'[4]Spread Sheet'!#REF!</definedName>
    <definedName name="BLPR3520040129204514702_1_1" localSheetId="37" hidden="1">'[4]Spread Sheet'!#REF!</definedName>
    <definedName name="BLPR3520040129204514702_1_1" hidden="1">'[4]Spread Sheet'!#REF!</definedName>
    <definedName name="BLPR420040129203645431" localSheetId="27" hidden="1">'[4]Spread Sheet'!#REF!</definedName>
    <definedName name="BLPR420040129203645431" localSheetId="28" hidden="1">'[4]Spread Sheet'!#REF!</definedName>
    <definedName name="BLPR420040129203645431" localSheetId="29" hidden="1">'[4]Spread Sheet'!#REF!</definedName>
    <definedName name="BLPR420040129203645431" localSheetId="30" hidden="1">'[4]Spread Sheet'!#REF!</definedName>
    <definedName name="BLPR420040129203645431" localSheetId="37" hidden="1">'[4]Spread Sheet'!#REF!</definedName>
    <definedName name="BLPR420040129203645431" hidden="1">'[4]Spread Sheet'!#REF!</definedName>
    <definedName name="BLPR420040129203645431_1_4" localSheetId="27" hidden="1">'[4]Spread Sheet'!#REF!</definedName>
    <definedName name="BLPR420040129203645431_1_4" localSheetId="28" hidden="1">'[4]Spread Sheet'!#REF!</definedName>
    <definedName name="BLPR420040129203645431_1_4" localSheetId="29" hidden="1">'[4]Spread Sheet'!#REF!</definedName>
    <definedName name="BLPR420040129203645431_1_4" localSheetId="30" hidden="1">'[4]Spread Sheet'!#REF!</definedName>
    <definedName name="BLPR420040129203645431_1_4" localSheetId="37" hidden="1">'[4]Spread Sheet'!#REF!</definedName>
    <definedName name="BLPR420040129203645431_1_4" hidden="1">'[4]Spread Sheet'!#REF!</definedName>
    <definedName name="BLPR420040129203645431_2_4" localSheetId="27" hidden="1">'[4]Spread Sheet'!#REF!</definedName>
    <definedName name="BLPR420040129203645431_2_4" localSheetId="28" hidden="1">'[4]Spread Sheet'!#REF!</definedName>
    <definedName name="BLPR420040129203645431_2_4" localSheetId="29" hidden="1">'[4]Spread Sheet'!#REF!</definedName>
    <definedName name="BLPR420040129203645431_2_4" localSheetId="30" hidden="1">'[4]Spread Sheet'!#REF!</definedName>
    <definedName name="BLPR420040129203645431_2_4" localSheetId="37" hidden="1">'[4]Spread Sheet'!#REF!</definedName>
    <definedName name="BLPR420040129203645431_2_4" hidden="1">'[4]Spread Sheet'!#REF!</definedName>
    <definedName name="BLPR420040129203645431_3_4" localSheetId="27" hidden="1">'[4]Spread Sheet'!#REF!</definedName>
    <definedName name="BLPR420040129203645431_3_4" localSheetId="28" hidden="1">'[4]Spread Sheet'!#REF!</definedName>
    <definedName name="BLPR420040129203645431_3_4" localSheetId="29" hidden="1">'[4]Spread Sheet'!#REF!</definedName>
    <definedName name="BLPR420040129203645431_3_4" localSheetId="30" hidden="1">'[4]Spread Sheet'!#REF!</definedName>
    <definedName name="BLPR420040129203645431_3_4" localSheetId="37" hidden="1">'[4]Spread Sheet'!#REF!</definedName>
    <definedName name="BLPR420040129203645431_3_4" hidden="1">'[4]Spread Sheet'!#REF!</definedName>
    <definedName name="BLPR420040129203645431_4_4" localSheetId="27" hidden="1">'[4]Spread Sheet'!#REF!</definedName>
    <definedName name="BLPR420040129203645431_4_4" localSheetId="28" hidden="1">'[4]Spread Sheet'!#REF!</definedName>
    <definedName name="BLPR420040129203645431_4_4" localSheetId="29" hidden="1">'[4]Spread Sheet'!#REF!</definedName>
    <definedName name="BLPR420040129203645431_4_4" localSheetId="30" hidden="1">'[4]Spread Sheet'!#REF!</definedName>
    <definedName name="BLPR420040129203645431_4_4" localSheetId="37" hidden="1">'[4]Spread Sheet'!#REF!</definedName>
    <definedName name="BLPR420040129203645431_4_4" hidden="1">'[4]Spread Sheet'!#REF!</definedName>
    <definedName name="BLPR520040129203645441" localSheetId="27" hidden="1">'[4]Spread Sheet'!#REF!</definedName>
    <definedName name="BLPR520040129203645441" localSheetId="28" hidden="1">'[4]Spread Sheet'!#REF!</definedName>
    <definedName name="BLPR520040129203645441" localSheetId="29" hidden="1">'[4]Spread Sheet'!#REF!</definedName>
    <definedName name="BLPR520040129203645441" localSheetId="30" hidden="1">'[4]Spread Sheet'!#REF!</definedName>
    <definedName name="BLPR520040129203645441" localSheetId="37" hidden="1">'[4]Spread Sheet'!#REF!</definedName>
    <definedName name="BLPR520040129203645441" hidden="1">'[4]Spread Sheet'!#REF!</definedName>
    <definedName name="BLPR520040129203645441_1_4" localSheetId="27" hidden="1">'[4]Spread Sheet'!#REF!</definedName>
    <definedName name="BLPR520040129203645441_1_4" localSheetId="28" hidden="1">'[4]Spread Sheet'!#REF!</definedName>
    <definedName name="BLPR520040129203645441_1_4" localSheetId="29" hidden="1">'[4]Spread Sheet'!#REF!</definedName>
    <definedName name="BLPR520040129203645441_1_4" localSheetId="30" hidden="1">'[4]Spread Sheet'!#REF!</definedName>
    <definedName name="BLPR520040129203645441_1_4" localSheetId="37" hidden="1">'[4]Spread Sheet'!#REF!</definedName>
    <definedName name="BLPR520040129203645441_1_4" hidden="1">'[4]Spread Sheet'!#REF!</definedName>
    <definedName name="BLPR520040129203645441_2_4" localSheetId="27" hidden="1">'[4]Spread Sheet'!#REF!</definedName>
    <definedName name="BLPR520040129203645441_2_4" localSheetId="28" hidden="1">'[4]Spread Sheet'!#REF!</definedName>
    <definedName name="BLPR520040129203645441_2_4" localSheetId="29" hidden="1">'[4]Spread Sheet'!#REF!</definedName>
    <definedName name="BLPR520040129203645441_2_4" localSheetId="30" hidden="1">'[4]Spread Sheet'!#REF!</definedName>
    <definedName name="BLPR520040129203645441_2_4" localSheetId="37" hidden="1">'[4]Spread Sheet'!#REF!</definedName>
    <definedName name="BLPR520040129203645441_2_4" hidden="1">'[4]Spread Sheet'!#REF!</definedName>
    <definedName name="BLPR520040129203645441_3_4" localSheetId="27" hidden="1">'[4]Spread Sheet'!#REF!</definedName>
    <definedName name="BLPR520040129203645441_3_4" localSheetId="28" hidden="1">'[4]Spread Sheet'!#REF!</definedName>
    <definedName name="BLPR520040129203645441_3_4" localSheetId="29" hidden="1">'[4]Spread Sheet'!#REF!</definedName>
    <definedName name="BLPR520040129203645441_3_4" localSheetId="30" hidden="1">'[4]Spread Sheet'!#REF!</definedName>
    <definedName name="BLPR520040129203645441_3_4" localSheetId="37" hidden="1">'[4]Spread Sheet'!#REF!</definedName>
    <definedName name="BLPR520040129203645441_3_4" hidden="1">'[4]Spread Sheet'!#REF!</definedName>
    <definedName name="BLPR520040129203645441_4_4" localSheetId="27" hidden="1">'[4]Spread Sheet'!#REF!</definedName>
    <definedName name="BLPR520040129203645441_4_4" localSheetId="28" hidden="1">'[4]Spread Sheet'!#REF!</definedName>
    <definedName name="BLPR520040129203645441_4_4" localSheetId="29" hidden="1">'[4]Spread Sheet'!#REF!</definedName>
    <definedName name="BLPR520040129203645441_4_4" localSheetId="30" hidden="1">'[4]Spread Sheet'!#REF!</definedName>
    <definedName name="BLPR520040129203645441_4_4" localSheetId="37" hidden="1">'[4]Spread Sheet'!#REF!</definedName>
    <definedName name="BLPR520040129203645441_4_4" hidden="1">'[4]Spread Sheet'!#REF!</definedName>
    <definedName name="BLPR620040129204149993" localSheetId="27" hidden="1">'[4]Spread Sheet'!#REF!</definedName>
    <definedName name="BLPR620040129204149993" localSheetId="28" hidden="1">'[4]Spread Sheet'!#REF!</definedName>
    <definedName name="BLPR620040129204149993" localSheetId="29" hidden="1">'[4]Spread Sheet'!#REF!</definedName>
    <definedName name="BLPR620040129204149993" localSheetId="30" hidden="1">'[4]Spread Sheet'!#REF!</definedName>
    <definedName name="BLPR620040129204149993" localSheetId="37" hidden="1">'[4]Spread Sheet'!#REF!</definedName>
    <definedName name="BLPR620040129204149993" hidden="1">'[4]Spread Sheet'!#REF!</definedName>
    <definedName name="BLPR620040129204149993_1_5" localSheetId="27" hidden="1">'[4]Spread Sheet'!#REF!</definedName>
    <definedName name="BLPR620040129204149993_1_5" localSheetId="28" hidden="1">'[4]Spread Sheet'!#REF!</definedName>
    <definedName name="BLPR620040129204149993_1_5" localSheetId="29" hidden="1">'[4]Spread Sheet'!#REF!</definedName>
    <definedName name="BLPR620040129204149993_1_5" localSheetId="30" hidden="1">'[4]Spread Sheet'!#REF!</definedName>
    <definedName name="BLPR620040129204149993_1_5" localSheetId="37" hidden="1">'[4]Spread Sheet'!#REF!</definedName>
    <definedName name="BLPR620040129204149993_1_5" hidden="1">'[4]Spread Sheet'!#REF!</definedName>
    <definedName name="BLPR620040129204149993_2_5" localSheetId="27" hidden="1">'[4]Spread Sheet'!#REF!</definedName>
    <definedName name="BLPR620040129204149993_2_5" localSheetId="28" hidden="1">'[4]Spread Sheet'!#REF!</definedName>
    <definedName name="BLPR620040129204149993_2_5" localSheetId="29" hidden="1">'[4]Spread Sheet'!#REF!</definedName>
    <definedName name="BLPR620040129204149993_2_5" localSheetId="30" hidden="1">'[4]Spread Sheet'!#REF!</definedName>
    <definedName name="BLPR620040129204149993_2_5" localSheetId="37" hidden="1">'[4]Spread Sheet'!#REF!</definedName>
    <definedName name="BLPR620040129204149993_2_5" hidden="1">'[4]Spread Sheet'!#REF!</definedName>
    <definedName name="BLPR620040129204149993_3_5" localSheetId="27" hidden="1">'[4]Spread Sheet'!#REF!</definedName>
    <definedName name="BLPR620040129204149993_3_5" localSheetId="28" hidden="1">'[4]Spread Sheet'!#REF!</definedName>
    <definedName name="BLPR620040129204149993_3_5" localSheetId="29" hidden="1">'[4]Spread Sheet'!#REF!</definedName>
    <definedName name="BLPR620040129204149993_3_5" localSheetId="30" hidden="1">'[4]Spread Sheet'!#REF!</definedName>
    <definedName name="BLPR620040129204149993_3_5" localSheetId="37" hidden="1">'[4]Spread Sheet'!#REF!</definedName>
    <definedName name="BLPR620040129204149993_3_5" hidden="1">'[4]Spread Sheet'!#REF!</definedName>
    <definedName name="BLPR620040129204149993_4_5" localSheetId="27" hidden="1">'[4]Spread Sheet'!#REF!</definedName>
    <definedName name="BLPR620040129204149993_4_5" localSheetId="28" hidden="1">'[4]Spread Sheet'!#REF!</definedName>
    <definedName name="BLPR620040129204149993_4_5" localSheetId="29" hidden="1">'[4]Spread Sheet'!#REF!</definedName>
    <definedName name="BLPR620040129204149993_4_5" localSheetId="30" hidden="1">'[4]Spread Sheet'!#REF!</definedName>
    <definedName name="BLPR620040129204149993_4_5" localSheetId="37" hidden="1">'[4]Spread Sheet'!#REF!</definedName>
    <definedName name="BLPR620040129204149993_4_5" hidden="1">'[4]Spread Sheet'!#REF!</definedName>
    <definedName name="BLPR620040129204149993_5_5" localSheetId="27" hidden="1">'[4]Spread Sheet'!#REF!</definedName>
    <definedName name="BLPR620040129204149993_5_5" localSheetId="28" hidden="1">'[4]Spread Sheet'!#REF!</definedName>
    <definedName name="BLPR620040129204149993_5_5" localSheetId="29" hidden="1">'[4]Spread Sheet'!#REF!</definedName>
    <definedName name="BLPR620040129204149993_5_5" localSheetId="30" hidden="1">'[4]Spread Sheet'!#REF!</definedName>
    <definedName name="BLPR620040129204149993_5_5" localSheetId="37" hidden="1">'[4]Spread Sheet'!#REF!</definedName>
    <definedName name="BLPR620040129204149993_5_5" hidden="1">'[4]Spread Sheet'!#REF!</definedName>
    <definedName name="BLPR720040129204514631" localSheetId="27" hidden="1">'[4]Spread Sheet'!#REF!</definedName>
    <definedName name="BLPR720040129204514631" localSheetId="28" hidden="1">'[4]Spread Sheet'!#REF!</definedName>
    <definedName name="BLPR720040129204514631" localSheetId="29" hidden="1">'[4]Spread Sheet'!#REF!</definedName>
    <definedName name="BLPR720040129204514631" localSheetId="30" hidden="1">'[4]Spread Sheet'!#REF!</definedName>
    <definedName name="BLPR720040129204514631" localSheetId="37" hidden="1">'[4]Spread Sheet'!#REF!</definedName>
    <definedName name="BLPR720040129204514631" hidden="1">'[4]Spread Sheet'!#REF!</definedName>
    <definedName name="BLPR720040129204514631_1_5" localSheetId="27" hidden="1">'[4]Spread Sheet'!#REF!</definedName>
    <definedName name="BLPR720040129204514631_1_5" localSheetId="28" hidden="1">'[4]Spread Sheet'!#REF!</definedName>
    <definedName name="BLPR720040129204514631_1_5" localSheetId="29" hidden="1">'[4]Spread Sheet'!#REF!</definedName>
    <definedName name="BLPR720040129204514631_1_5" localSheetId="30" hidden="1">'[4]Spread Sheet'!#REF!</definedName>
    <definedName name="BLPR720040129204514631_1_5" localSheetId="37" hidden="1">'[4]Spread Sheet'!#REF!</definedName>
    <definedName name="BLPR720040129204514631_1_5" hidden="1">'[4]Spread Sheet'!#REF!</definedName>
    <definedName name="BLPR720040129204514631_2_5" localSheetId="27" hidden="1">'[4]Spread Sheet'!#REF!</definedName>
    <definedName name="BLPR720040129204514631_2_5" localSheetId="28" hidden="1">'[4]Spread Sheet'!#REF!</definedName>
    <definedName name="BLPR720040129204514631_2_5" localSheetId="29" hidden="1">'[4]Spread Sheet'!#REF!</definedName>
    <definedName name="BLPR720040129204514631_2_5" localSheetId="30" hidden="1">'[4]Spread Sheet'!#REF!</definedName>
    <definedName name="BLPR720040129204514631_2_5" localSheetId="37" hidden="1">'[4]Spread Sheet'!#REF!</definedName>
    <definedName name="BLPR720040129204514631_2_5" hidden="1">'[4]Spread Sheet'!#REF!</definedName>
    <definedName name="BLPR720040129204514631_3_5" localSheetId="27" hidden="1">'[4]Spread Sheet'!#REF!</definedName>
    <definedName name="BLPR720040129204514631_3_5" localSheetId="28" hidden="1">'[4]Spread Sheet'!#REF!</definedName>
    <definedName name="BLPR720040129204514631_3_5" localSheetId="29" hidden="1">'[4]Spread Sheet'!#REF!</definedName>
    <definedName name="BLPR720040129204514631_3_5" localSheetId="30" hidden="1">'[4]Spread Sheet'!#REF!</definedName>
    <definedName name="BLPR720040129204514631_3_5" localSheetId="37" hidden="1">'[4]Spread Sheet'!#REF!</definedName>
    <definedName name="BLPR720040129204514631_3_5" hidden="1">'[4]Spread Sheet'!#REF!</definedName>
    <definedName name="BLPR720040129204514631_4_5" localSheetId="27" hidden="1">'[4]Spread Sheet'!#REF!</definedName>
    <definedName name="BLPR720040129204514631_4_5" localSheetId="28" hidden="1">'[4]Spread Sheet'!#REF!</definedName>
    <definedName name="BLPR720040129204514631_4_5" localSheetId="29" hidden="1">'[4]Spread Sheet'!#REF!</definedName>
    <definedName name="BLPR720040129204514631_4_5" localSheetId="30" hidden="1">'[4]Spread Sheet'!#REF!</definedName>
    <definedName name="BLPR720040129204514631_4_5" localSheetId="37" hidden="1">'[4]Spread Sheet'!#REF!</definedName>
    <definedName name="BLPR720040129204514631_4_5" hidden="1">'[4]Spread Sheet'!#REF!</definedName>
    <definedName name="BLPR720040129204514631_5_5" localSheetId="27" hidden="1">'[4]Spread Sheet'!#REF!</definedName>
    <definedName name="BLPR720040129204514631_5_5" localSheetId="28" hidden="1">'[4]Spread Sheet'!#REF!</definedName>
    <definedName name="BLPR720040129204514631_5_5" localSheetId="29" hidden="1">'[4]Spread Sheet'!#REF!</definedName>
    <definedName name="BLPR720040129204514631_5_5" localSheetId="30" hidden="1">'[4]Spread Sheet'!#REF!</definedName>
    <definedName name="BLPR720040129204514631_5_5" localSheetId="37" hidden="1">'[4]Spread Sheet'!#REF!</definedName>
    <definedName name="BLPR720040129204514631_5_5" hidden="1">'[4]Spread Sheet'!#REF!</definedName>
    <definedName name="BLPR820040129204514642" localSheetId="27" hidden="1">'[4]Spread Sheet'!#REF!</definedName>
    <definedName name="BLPR820040129204514642" localSheetId="28" hidden="1">'[4]Spread Sheet'!#REF!</definedName>
    <definedName name="BLPR820040129204514642" localSheetId="29" hidden="1">'[4]Spread Sheet'!#REF!</definedName>
    <definedName name="BLPR820040129204514642" localSheetId="30" hidden="1">'[4]Spread Sheet'!#REF!</definedName>
    <definedName name="BLPR820040129204514642" localSheetId="37" hidden="1">'[4]Spread Sheet'!#REF!</definedName>
    <definedName name="BLPR820040129204514642" hidden="1">'[4]Spread Sheet'!#REF!</definedName>
    <definedName name="BLPR820040129204514642_1_5" localSheetId="27" hidden="1">'[4]Spread Sheet'!#REF!</definedName>
    <definedName name="BLPR820040129204514642_1_5" localSheetId="28" hidden="1">'[4]Spread Sheet'!#REF!</definedName>
    <definedName name="BLPR820040129204514642_1_5" localSheetId="29" hidden="1">'[4]Spread Sheet'!#REF!</definedName>
    <definedName name="BLPR820040129204514642_1_5" localSheetId="30" hidden="1">'[4]Spread Sheet'!#REF!</definedName>
    <definedName name="BLPR820040129204514642_1_5" localSheetId="37" hidden="1">'[4]Spread Sheet'!#REF!</definedName>
    <definedName name="BLPR820040129204514642_1_5" hidden="1">'[4]Spread Sheet'!#REF!</definedName>
    <definedName name="BLPR820040129204514642_2_5" localSheetId="27" hidden="1">'[4]Spread Sheet'!#REF!</definedName>
    <definedName name="BLPR820040129204514642_2_5" localSheetId="28" hidden="1">'[4]Spread Sheet'!#REF!</definedName>
    <definedName name="BLPR820040129204514642_2_5" localSheetId="29" hidden="1">'[4]Spread Sheet'!#REF!</definedName>
    <definedName name="BLPR820040129204514642_2_5" localSheetId="30" hidden="1">'[4]Spread Sheet'!#REF!</definedName>
    <definedName name="BLPR820040129204514642_2_5" localSheetId="37" hidden="1">'[4]Spread Sheet'!#REF!</definedName>
    <definedName name="BLPR820040129204514642_2_5" hidden="1">'[4]Spread Sheet'!#REF!</definedName>
    <definedName name="BLPR820040129204514642_3_5" localSheetId="27" hidden="1">'[4]Spread Sheet'!#REF!</definedName>
    <definedName name="BLPR820040129204514642_3_5" localSheetId="28" hidden="1">'[4]Spread Sheet'!#REF!</definedName>
    <definedName name="BLPR820040129204514642_3_5" localSheetId="29" hidden="1">'[4]Spread Sheet'!#REF!</definedName>
    <definedName name="BLPR820040129204514642_3_5" localSheetId="30" hidden="1">'[4]Spread Sheet'!#REF!</definedName>
    <definedName name="BLPR820040129204514642_3_5" localSheetId="37" hidden="1">'[4]Spread Sheet'!#REF!</definedName>
    <definedName name="BLPR820040129204514642_3_5" hidden="1">'[4]Spread Sheet'!#REF!</definedName>
    <definedName name="BLPR820040129204514642_4_5" localSheetId="27" hidden="1">'[4]Spread Sheet'!#REF!</definedName>
    <definedName name="BLPR820040129204514642_4_5" localSheetId="28" hidden="1">'[4]Spread Sheet'!#REF!</definedName>
    <definedName name="BLPR820040129204514642_4_5" localSheetId="29" hidden="1">'[4]Spread Sheet'!#REF!</definedName>
    <definedName name="BLPR820040129204514642_4_5" localSheetId="30" hidden="1">'[4]Spread Sheet'!#REF!</definedName>
    <definedName name="BLPR820040129204514642_4_5" localSheetId="37" hidden="1">'[4]Spread Sheet'!#REF!</definedName>
    <definedName name="BLPR820040129204514642_4_5" hidden="1">'[4]Spread Sheet'!#REF!</definedName>
    <definedName name="BLPR820040129204514642_5_5" localSheetId="27" hidden="1">'[4]Spread Sheet'!#REF!</definedName>
    <definedName name="BLPR820040129204514642_5_5" localSheetId="28" hidden="1">'[4]Spread Sheet'!#REF!</definedName>
    <definedName name="BLPR820040129204514642_5_5" localSheetId="29" hidden="1">'[4]Spread Sheet'!#REF!</definedName>
    <definedName name="BLPR820040129204514642_5_5" localSheetId="30" hidden="1">'[4]Spread Sheet'!#REF!</definedName>
    <definedName name="BLPR820040129204514642_5_5" localSheetId="37" hidden="1">'[4]Spread Sheet'!#REF!</definedName>
    <definedName name="BLPR820040129204514642_5_5" hidden="1">'[4]Spread Sheet'!#REF!</definedName>
    <definedName name="BLPR920040129204514642" localSheetId="27" hidden="1">'[4]Spread Sheet'!#REF!</definedName>
    <definedName name="BLPR920040129204514642" localSheetId="28" hidden="1">'[4]Spread Sheet'!#REF!</definedName>
    <definedName name="BLPR920040129204514642" localSheetId="29" hidden="1">'[4]Spread Sheet'!#REF!</definedName>
    <definedName name="BLPR920040129204514642" localSheetId="30" hidden="1">'[4]Spread Sheet'!#REF!</definedName>
    <definedName name="BLPR920040129204514642" localSheetId="37" hidden="1">'[4]Spread Sheet'!#REF!</definedName>
    <definedName name="BLPR920040129204514642" hidden="1">'[4]Spread Sheet'!#REF!</definedName>
    <definedName name="BLPR920040129204514642_1_5" localSheetId="27" hidden="1">'[4]Spread Sheet'!#REF!</definedName>
    <definedName name="BLPR920040129204514642_1_5" localSheetId="28" hidden="1">'[4]Spread Sheet'!#REF!</definedName>
    <definedName name="BLPR920040129204514642_1_5" localSheetId="29" hidden="1">'[4]Spread Sheet'!#REF!</definedName>
    <definedName name="BLPR920040129204514642_1_5" localSheetId="30" hidden="1">'[4]Spread Sheet'!#REF!</definedName>
    <definedName name="BLPR920040129204514642_1_5" localSheetId="37" hidden="1">'[4]Spread Sheet'!#REF!</definedName>
    <definedName name="BLPR920040129204514642_1_5" hidden="1">'[4]Spread Sheet'!#REF!</definedName>
    <definedName name="BLPR920040129204514642_2_5" localSheetId="27" hidden="1">'[4]Spread Sheet'!#REF!</definedName>
    <definedName name="BLPR920040129204514642_2_5" localSheetId="28" hidden="1">'[4]Spread Sheet'!#REF!</definedName>
    <definedName name="BLPR920040129204514642_2_5" localSheetId="29" hidden="1">'[4]Spread Sheet'!#REF!</definedName>
    <definedName name="BLPR920040129204514642_2_5" localSheetId="30" hidden="1">'[4]Spread Sheet'!#REF!</definedName>
    <definedName name="BLPR920040129204514642_2_5" localSheetId="37" hidden="1">'[4]Spread Sheet'!#REF!</definedName>
    <definedName name="BLPR920040129204514642_2_5" hidden="1">'[4]Spread Sheet'!#REF!</definedName>
    <definedName name="BLPR920040129204514642_3_5" localSheetId="27" hidden="1">'[4]Spread Sheet'!#REF!</definedName>
    <definedName name="BLPR920040129204514642_3_5" localSheetId="28" hidden="1">'[4]Spread Sheet'!#REF!</definedName>
    <definedName name="BLPR920040129204514642_3_5" localSheetId="29" hidden="1">'[4]Spread Sheet'!#REF!</definedName>
    <definedName name="BLPR920040129204514642_3_5" localSheetId="30" hidden="1">'[4]Spread Sheet'!#REF!</definedName>
    <definedName name="BLPR920040129204514642_3_5" localSheetId="37" hidden="1">'[4]Spread Sheet'!#REF!</definedName>
    <definedName name="BLPR920040129204514642_3_5" hidden="1">'[4]Spread Sheet'!#REF!</definedName>
    <definedName name="BLPR920040129204514642_4_5" localSheetId="27" hidden="1">'[4]Spread Sheet'!#REF!</definedName>
    <definedName name="BLPR920040129204514642_4_5" localSheetId="28" hidden="1">'[4]Spread Sheet'!#REF!</definedName>
    <definedName name="BLPR920040129204514642_4_5" localSheetId="29" hidden="1">'[4]Spread Sheet'!#REF!</definedName>
    <definedName name="BLPR920040129204514642_4_5" localSheetId="30" hidden="1">'[4]Spread Sheet'!#REF!</definedName>
    <definedName name="BLPR920040129204514642_4_5" localSheetId="37" hidden="1">'[4]Spread Sheet'!#REF!</definedName>
    <definedName name="BLPR920040129204514642_4_5" hidden="1">'[4]Spread Sheet'!#REF!</definedName>
    <definedName name="BLPR920040129204514642_5_5" localSheetId="27" hidden="1">'[4]Spread Sheet'!#REF!</definedName>
    <definedName name="BLPR920040129204514642_5_5" localSheetId="28" hidden="1">'[4]Spread Sheet'!#REF!</definedName>
    <definedName name="BLPR920040129204514642_5_5" localSheetId="29" hidden="1">'[4]Spread Sheet'!#REF!</definedName>
    <definedName name="BLPR920040129204514642_5_5" localSheetId="30" hidden="1">'[4]Spread Sheet'!#REF!</definedName>
    <definedName name="BLPR920040129204514642_5_5" localSheetId="37" hidden="1">'[4]Spread Sheet'!#REF!</definedName>
    <definedName name="BLPR920040129204514642_5_5" hidden="1">'[4]Spread Sheet'!#REF!</definedName>
    <definedName name="BNE_MESSAGES_HIDDEN" localSheetId="50" hidden="1">#REF!</definedName>
    <definedName name="BNE_MESSAGES_HIDDEN" localSheetId="27" hidden="1">#REF!</definedName>
    <definedName name="BNE_MESSAGES_HIDDEN" localSheetId="28" hidden="1">#REF!</definedName>
    <definedName name="BNE_MESSAGES_HIDDEN" localSheetId="29" hidden="1">#REF!</definedName>
    <definedName name="BNE_MESSAGES_HIDDEN" localSheetId="30" hidden="1">#REF!</definedName>
    <definedName name="BNE_MESSAGES_HIDDEN" localSheetId="37" hidden="1">#REF!</definedName>
    <definedName name="BNE_MESSAGES_HIDDEN" hidden="1">#REF!</definedName>
    <definedName name="canerun" localSheetId="27" hidden="1">#REF!</definedName>
    <definedName name="canerun" localSheetId="28" hidden="1">#REF!</definedName>
    <definedName name="canerun" localSheetId="29" hidden="1">#REF!</definedName>
    <definedName name="canerun" localSheetId="30" hidden="1">#REF!</definedName>
    <definedName name="canerun" localSheetId="37" hidden="1">#REF!</definedName>
    <definedName name="canerun" hidden="1">#REF!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hidden="1">{#N/A,#N/A,FALSE,"Costi per Gruppo ";#N/A,#N/A,FALSE,"New-RegularBevel";#N/A,#N/A,FALSE,"Optiva-Optiva2";#N/A,#N/A,FALSE,"Cathlon-Monoblok";#N/A,#N/A,FALSE,"Stylets";#N/A,#N/A,FALSE,"Totali"}</definedName>
    <definedName name="faf" localSheetId="50" hidden="1">#REF!</definedName>
    <definedName name="faf" localSheetId="52" hidden="1">#REF!</definedName>
    <definedName name="faf" localSheetId="27" hidden="1">#REF!</definedName>
    <definedName name="faf" localSheetId="28" hidden="1">#REF!</definedName>
    <definedName name="faf" localSheetId="29" hidden="1">#REF!</definedName>
    <definedName name="faf" localSheetId="30" hidden="1">#REF!</definedName>
    <definedName name="faf" localSheetId="37" hidden="1">#REF!</definedName>
    <definedName name="faf" hidden="1">#REF!</definedName>
    <definedName name="fl" hidden="1">[5]PopCache!$A$1:$A$2</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HTML_CodePage" hidden="1">1252</definedName>
    <definedName name="HTML_Control" localSheetId="2" hidden="1">{"'Server Configuration'!$A$1:$DB$281"}</definedName>
    <definedName name="HTML_Control" localSheetId="50" hidden="1">{"'SERC'!$E$1:$M$37"}</definedName>
    <definedName name="HTML_Control" localSheetId="41" hidden="1">{"'3-13-00'!$A$1:$A$2678"}</definedName>
    <definedName name="HTML_Control" localSheetId="57" hidden="1">{"'Server Configuration'!$A$1:$DB$281"}</definedName>
    <definedName name="HTML_Control" localSheetId="52" hidden="1">{"'Server Configuration'!$A$1:$DB$281"}</definedName>
    <definedName name="HTML_Control" localSheetId="46" hidden="1">{"'3-13-00'!$A$1:$A$2678"}</definedName>
    <definedName name="HTML_Control" localSheetId="49" hidden="1">{"'3-13-00'!$A$1:$A$2678"}</definedName>
    <definedName name="HTML_Control" localSheetId="45" hidden="1">{"'3-13-00'!$A$1:$A$2678"}</definedName>
    <definedName name="HTML_Control" localSheetId="48" hidden="1">{"'3-13-00'!$A$1:$A$2678"}</definedName>
    <definedName name="HTML_Control" localSheetId="47" hidden="1">{"'3-13-00'!$A$1:$A$2678"}</definedName>
    <definedName name="HTML_Control" localSheetId="22" hidden="1">{"'Server Configuration'!$A$1:$DB$281"}</definedName>
    <definedName name="HTML_Control" hidden="1">{"'Server Configuration'!$A$1:$DB$281"}</definedName>
    <definedName name="HTML_Description" hidden="1">""</definedName>
    <definedName name="HTML_Email" hidden="1">""</definedName>
    <definedName name="HTML_Header" localSheetId="50" hidden="1">"3-13-00"</definedName>
    <definedName name="HTML_Header" localSheetId="41" hidden="1">"3-13-00"</definedName>
    <definedName name="HTML_Header" localSheetId="46" hidden="1">"3-13-00"</definedName>
    <definedName name="HTML_Header" localSheetId="49" hidden="1">"3-13-00"</definedName>
    <definedName name="HTML_Header" localSheetId="45" hidden="1">"3-13-00"</definedName>
    <definedName name="HTML_Header" localSheetId="48" hidden="1">"3-13-00"</definedName>
    <definedName name="HTML_Header" localSheetId="47" hidden="1">"3-13-00"</definedName>
    <definedName name="HTML_Header" hidden="1">"Server Configuration"</definedName>
    <definedName name="HTML_LastUpdate" localSheetId="50" hidden="1">"03/13/2000"</definedName>
    <definedName name="HTML_LastUpdate" localSheetId="41" hidden="1">"03/13/2000"</definedName>
    <definedName name="HTML_LastUpdate" localSheetId="46" hidden="1">"03/13/2000"</definedName>
    <definedName name="HTML_LastUpdate" localSheetId="49" hidden="1">"03/13/2000"</definedName>
    <definedName name="HTML_LastUpdate" localSheetId="45" hidden="1">"03/13/2000"</definedName>
    <definedName name="HTML_LastUpdate" localSheetId="48" hidden="1">"03/13/2000"</definedName>
    <definedName name="HTML_LastUpdate" localSheetId="47" hidden="1">"03/13/2000"</definedName>
    <definedName name="HTML_LastUpdate" hidden="1">"2/9/01"</definedName>
    <definedName name="HTML_LineAfter" hidden="1">FALSE</definedName>
    <definedName name="HTML_LineBefore" hidden="1">FALSE</definedName>
    <definedName name="HTML_Name" localSheetId="50" hidden="1">"Deb Kressley"</definedName>
    <definedName name="HTML_Name" localSheetId="41" hidden="1">"Deb Kressley"</definedName>
    <definedName name="HTML_Name" localSheetId="46" hidden="1">"Deb Kressley"</definedName>
    <definedName name="HTML_Name" localSheetId="49" hidden="1">"Deb Kressley"</definedName>
    <definedName name="HTML_Name" localSheetId="45" hidden="1">"Deb Kressley"</definedName>
    <definedName name="HTML_Name" localSheetId="48" hidden="1">"Deb Kressley"</definedName>
    <definedName name="HTML_Name" localSheetId="47" hidden="1">"Deb Kressley"</definedName>
    <definedName name="HTML_Name" hidden="1">"Corporate Network Services"</definedName>
    <definedName name="HTML_OBDlg2" localSheetId="50" hidden="1">FALSE</definedName>
    <definedName name="HTML_OBDlg2" hidden="1">TRUE</definedName>
    <definedName name="HTML_OBDlg3" hidden="1">TRUE</definedName>
    <definedName name="HTML_OBDlg4" hidden="1">TRUE</definedName>
    <definedName name="HTML_OS" hidden="1">0</definedName>
    <definedName name="HTML_PathFile" localSheetId="50" hidden="1">"Z:\News_2001\kb01030515"</definedName>
    <definedName name="HTML_PathFile" localSheetId="41" hidden="1">"H:\DATA\MyHTML.htm"</definedName>
    <definedName name="HTML_PathFile" localSheetId="46" hidden="1">"H:\DATA\MyHTML.htm"</definedName>
    <definedName name="HTML_PathFile" localSheetId="49" hidden="1">"H:\DATA\MyHTML.htm"</definedName>
    <definedName name="HTML_PathFile" localSheetId="45" hidden="1">"H:\DATA\MyHTML.htm"</definedName>
    <definedName name="HTML_PathFile" localSheetId="48" hidden="1">"H:\DATA\MyHTML.htm"</definedName>
    <definedName name="HTML_PathFile" localSheetId="47" hidden="1">"H:\DATA\MyHTML.htm"</definedName>
    <definedName name="HTML_PathFile" hidden="1">"C:\WINNT\Profiles\E003999\Desktop\MyHTML.htm"</definedName>
    <definedName name="HTML_PathTemplate" hidden="1">"Z:\gochart.htm"</definedName>
    <definedName name="HTML_Title" localSheetId="50" hidden="1">"Account"</definedName>
    <definedName name="HTML_Title" localSheetId="41" hidden="1">"Account"</definedName>
    <definedName name="HTML_Title" localSheetId="46" hidden="1">"Account"</definedName>
    <definedName name="HTML_Title" localSheetId="49" hidden="1">"Account"</definedName>
    <definedName name="HTML_Title" localSheetId="45" hidden="1">"Account"</definedName>
    <definedName name="HTML_Title" localSheetId="48" hidden="1">"Account"</definedName>
    <definedName name="HTML_Title" localSheetId="47" hidden="1">"Account"</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_DEBT" hidden="1">"c224"</definedName>
    <definedName name="IQ_CONVEXITY" hidden="1">"c2182"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ET_INT" hidden="1">"c360"</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NET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ET_INT" hidden="1">"c373"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"c505"</definedName>
    <definedName name="IQ_GEO_SEG_EBT" hidden="1">"c506"</definedName>
    <definedName name="IQ_GEO_SEG_GP" hidden="1">"c507"</definedName>
    <definedName name="IQ_GEO_SEG_NI" hidden="1">"c508"</definedName>
    <definedName name="IQ_GEO_SEG_OPER_INC" hidden="1">"c509"</definedName>
    <definedName name="IQ_GEO_SEG_REV" hidden="1">"c510"</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GW" hidden="1">"c519"</definedName>
    <definedName name="IQ_GROSS_INTAN" hidden="1">"c520"</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41085.5125347222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PTIONS_OS" hidden="1">"c858"</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OCK_BASED_COMP" hidden="1">"c1204"</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ijul" localSheetId="50" hidden="1">#REF!</definedName>
    <definedName name="jijul" localSheetId="27" hidden="1">#REF!</definedName>
    <definedName name="jijul" localSheetId="28" hidden="1">#REF!</definedName>
    <definedName name="jijul" localSheetId="29" hidden="1">#REF!</definedName>
    <definedName name="jijul" localSheetId="30" hidden="1">#REF!</definedName>
    <definedName name="jijul" localSheetId="37" hidden="1">#REF!</definedName>
    <definedName name="jijul" hidden="1">#REF!</definedName>
    <definedName name="p" hidden="1">{#N/A,#N/A,TRUE,"Acq-Ass";#N/A,#N/A,TRUE,"Acq-IS";#N/A,#N/A,TRUE,"Acq-BS";#N/A,#N/A,TRUE,"Acq-CF"}</definedName>
    <definedName name="PopCache_GL_INTERFACE_REFERENCE7" hidden="1">[6]PopCache!$A$1:$A$2</definedName>
    <definedName name="_xlnm.Print_Area" localSheetId="50">AFUDC!$A$1:$H$57</definedName>
    <definedName name="_xlnm.Print_Area" localSheetId="53">'ECR EXP B'!$B$1:$O$26</definedName>
    <definedName name="_xlnm.Print_Area" localSheetId="54">'ECR EXP F'!$A$1:$N$25</definedName>
    <definedName name="_xlnm.Print_Area" localSheetId="4">'Index B'!$A$1:$C$42</definedName>
    <definedName name="_xlnm.Print_Area" localSheetId="42">'JURISSEP B'!$E$12:$Q$1345</definedName>
    <definedName name="_xlnm.Print_Area" localSheetId="43">'JURISSEP F'!$E$12:$Q$1346</definedName>
    <definedName name="_xlnm.Print_Area" localSheetId="58">'KU Depr Rates'!$A$1:$R$379</definedName>
    <definedName name="_xlnm.Print_Area" localSheetId="5">'SCH B-1'!$A$1:$G$30</definedName>
    <definedName name="_xlnm.Print_Area" localSheetId="6">'SCH B-2'!$A$1:$H$56</definedName>
    <definedName name="_xlnm.Print_Area" localSheetId="7">'SCH B-2.1 B'!$A$1:$I$113</definedName>
    <definedName name="_xlnm.Print_Area" localSheetId="8">'SCH B-2.1 F'!$A$1:$I$113</definedName>
    <definedName name="_xlnm.Print_Area" localSheetId="9">'SCH B-2.2'!$A$1:$I$62</definedName>
    <definedName name="_xlnm.Print_Area" localSheetId="10">'SCH B-2.3 B'!$A$1:$I$113</definedName>
    <definedName name="_xlnm.Print_Area" localSheetId="11">'SCH B-2.3 F'!$A$1:$J$114</definedName>
    <definedName name="_xlnm.Print_Area" localSheetId="12">'SCH B-2.4'!$A$1:$J$26</definedName>
    <definedName name="_xlnm.Print_Area" localSheetId="13">'SCH B-2.5'!$A$1:$I$26</definedName>
    <definedName name="_xlnm.Print_Area" localSheetId="14">'SCH B-2.6'!$A$1:$O$42</definedName>
    <definedName name="_xlnm.Print_Area" localSheetId="15">'SCH B-2.7'!$A$1:$L$82</definedName>
    <definedName name="_xlnm.Print_Area" localSheetId="16">'SCH B-3 B'!$A$1:$J$116</definedName>
    <definedName name="_xlnm.Print_Area" localSheetId="17">'SCH B-3 F'!$A$1:$J$116</definedName>
    <definedName name="_xlnm.Print_Area" localSheetId="18">'SCH B-3.1'!$A$1:$I$60</definedName>
    <definedName name="_xlnm.Print_Area" localSheetId="19">'SCH B-3.2 B'!$A$1:$K$110</definedName>
    <definedName name="_xlnm.Print_Area" localSheetId="20">'SCH B-3.2 F'!$A$1:$K$110</definedName>
    <definedName name="_xlnm.Print_Area" localSheetId="21">'SCH B-4'!$A$1:$K$50</definedName>
    <definedName name="_xlnm.Print_Area" localSheetId="22">'SCH B-4.1'!$A$1:$H$36</definedName>
    <definedName name="_xlnm.Print_Area" localSheetId="23">'SCH B-4.2 B'!$A$1:$J$182</definedName>
    <definedName name="_xlnm.Print_Area" localSheetId="24">'SCH B-4.2 F'!$A$1:$J$354</definedName>
    <definedName name="_xlnm.Print_Area" localSheetId="25">'SCH B-5'!$A$1:$H$52</definedName>
    <definedName name="_xlnm.Print_Area" localSheetId="26">'SCH B-5.1'!$A$1:$F$50</definedName>
    <definedName name="_xlnm.Print_Area" localSheetId="27">'SCH B-5.2 B (1)'!$A$1:$Q$82</definedName>
    <definedName name="_xlnm.Print_Area" localSheetId="28">'SCH B-5.2 B (2)'!$A$1:$W$38,'SCH B-5.2 B (2)'!$A$49:$W$66</definedName>
    <definedName name="_xlnm.Print_Area" localSheetId="29">'SCH B-5.2 F (1)'!$A$1:$Q$82</definedName>
    <definedName name="_xlnm.Print_Area" localSheetId="30">'SCH B-5.2 F (2)'!$A$1:$W$38,'SCH B-5.2 F (2)'!$A$49:$W$66</definedName>
    <definedName name="_xlnm.Print_Area" localSheetId="31">'SCH B-6'!$A$1:$I$43</definedName>
    <definedName name="_xlnm.Print_Area" localSheetId="32">'SCH B-7 B'!$A$1:$F$203</definedName>
    <definedName name="_xlnm.Print_Area" localSheetId="33">'SCH B-7 F'!$A$1:$F$203</definedName>
    <definedName name="_xlnm.Print_Area" localSheetId="34">'SCH B-7.1 B'!$A$1:$H$28</definedName>
    <definedName name="_xlnm.Print_Area" localSheetId="35">'SCH B-7.1 F'!$A$1:$H$28</definedName>
    <definedName name="_xlnm.Print_Area" localSheetId="36">'SCH B-7.2 B'!$A$1:$F$14</definedName>
    <definedName name="_xlnm.Print_Area" localSheetId="37">'SCH B-7.2 F'!$A$1:$F$21</definedName>
    <definedName name="_xlnm.Print_Area" localSheetId="39">'SCH B-8 KY'!$A$1:$P$121</definedName>
    <definedName name="_xlnm.Print_Area" localSheetId="38">'SCH B-8 TC'!$A$1:$P$119</definedName>
    <definedName name="_xlnm.Print_Area" localSheetId="0">'SUPP SCH B-1.1 B'!$A$1:$R$53</definedName>
    <definedName name="_xlnm.Print_Area" localSheetId="1">'SUPP SCH B-1.1 F'!$A$1:$R$53</definedName>
    <definedName name="Print_Area_MI" localSheetId="4">'Index B'!$A$1:$N$42</definedName>
    <definedName name="_xlnm.Print_Titles" localSheetId="45">'FCPIS B'!$1:$3</definedName>
    <definedName name="_xlnm.Print_Titles" localSheetId="42">'JURISSEP B'!$A:$D,'JURISSEP B'!$2:$11</definedName>
    <definedName name="_xlnm.Print_Titles" localSheetId="43">'JURISSEP F'!$A:$D,'JURISSEP F'!$2:$11</definedName>
    <definedName name="_xlnm.Print_Titles" localSheetId="59">'KU Proposed Depr Rates'!$1:$10</definedName>
    <definedName name="_xlnm.Print_Titles" localSheetId="44">'PIS B'!$1:$8</definedName>
    <definedName name="_xlnm.Print_Titles" localSheetId="47">'PIS F'!$1:$8</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ratings1" hidden="1">{#N/A,#N/A,FALSE,"Capitaliztion Matrix";#N/A,#N/A,FALSE,"4YR P&amp;L";#N/A,#N/A,FALSE,"Program Contributions";#N/A,#N/A,FALSE,"P&amp;L Trans YR 2";#N/A,#N/A,FALSE,"Rev &amp; EBITDA YR2";#N/A,#N/A,FALSE,"P&amp;L Trans YR 1";#N/A,#N/A,FALSE,"Rev &amp; EBITDA YR1"}</definedName>
    <definedName name="SAPBEXhrIndnt" hidden="1">"Wide"</definedName>
    <definedName name="SAPsysID" hidden="1">"708C5W7SBKP804JT78WJ0JNKI"</definedName>
    <definedName name="SAPwbID" hidden="1">"ARS"</definedName>
    <definedName name="sdaf" hidden="1">{#N/A,#N/A,FALSE,"Capitaliztion Matrix";#N/A,#N/A,FALSE,"4YR P&amp;L";#N/A,#N/A,FALSE,"Program Contributions";#N/A,#N/A,FALSE,"P&amp;L Trans YR 2";#N/A,#N/A,FALSE,"Rev &amp; EBITDA YR2";#N/A,#N/A,FALSE,"P&amp;L Trans YR 1";#N/A,#N/A,FALSE,"Rev &amp; EBITDA YR1"}</definedName>
    <definedName name="sencount" hidden="1">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7"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tes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ffas" hidden="1">{#N/A,#N/A,FALSE,"New-RegularBevel";#N/A,#N/A,FALSE,"Optiva-Optiva2";#N/A,#N/A,FALSE,"Cathlon-Monoblok";#N/A,#N/A,FALSE,"Stylets"}</definedName>
    <definedName name="vvvv" hidden="1">{#N/A,#N/A,FALSE,"New-RegularBevel";#N/A,#N/A,FALSE,"Optiva-Optiva2";#N/A,#N/A,FALSE,"Cathlon-Monoblok";#N/A,#N/A,FALSE,"Stylets"}</definedName>
    <definedName name="vvvvv" hidden="1">{#N/A,#N/A,FALSE,"Costi per Gruppo ";#N/A,#N/A,FALSE,"New-RegularBevel";#N/A,#N/A,FALSE,"Optiva-Optiva2";#N/A,#N/A,FALSE,"Cathlon-Monoblok";#N/A,#N/A,FALSE,"Stylets";#N/A,#N/A,FALSE,"Totali"}</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2"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ll." hidden="1">{#N/A,#N/A,FALSE,"Brad BANM_S";#N/A,#N/A,FALSE,"Brad SAM_BANM";#N/A,#N/A,FALSE,"Brad_LD";#N/A,#N/A,FALSE,"BANM-&gt;S";#N/A,#N/A,FALSE,"BANM_S";#N/A,#N/A,FALSE,"S-&gt;BANM";#N/A,#N/A,FALSE,"SAM_BANM";#N/A,#N/A,FALSE,"BANM";#N/A,#N/A,FALSE,"Sam"}</definedName>
    <definedName name="wrn.All._.Financials." hidden="1">{#N/A,#N/A,TRUE,"Assumptions";#N/A,#N/A,TRUE,"Op Projection";#N/A,#N/A,TRUE,"Capital";#N/A,#N/A,TRUE,"Income";#N/A,#N/A,TRUE,"Balance";#N/A,#N/A,TRUE,"Sources&amp;Uses"}</definedName>
    <definedName name="wrn.Balance._.Sheets." hidden="1">{#N/A,#N/A,FALSE,"Bal sht";"Qtrly Bal Sht",#N/A,FALSE,"Bal sht - QTR"}</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hidden="1">{"BS",#N/A,FALSE;"RE",#N/A,FALSE;"IS",#N/A,FALSE;"CASH",#N/A,FALSE}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DCF." hidden="1">{#N/A,#N/A,FALSE,"Brad_DCFM";#N/A,#N/A,FALSE,"Nick_DCFM";#N/A,#N/A,FALSE,"Mobile_DCFM"}</definedName>
    <definedName name="wrn.Detail._.Income._.Statement." hidden="1">{"Facility Detail",#N/A,FALSE,"P&amp;L Detail"}</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hidden="1">{#N/A,#N/A,FALSE,"ICP Europa";#N/A,#N/A,FALSE,"ICP Francia";#N/A,#N/A,FALSE,"ICP Oriente";#N/A,#N/A,FALSE,"ICP Giappone";#N/A,#N/A,FALSE,"ICP Korea";#N/A,#N/A,FALSE,"ICP Riepilogo"}</definedName>
    <definedName name="wrn.Income._.Statements." hidden="1">{"Income Statement",#N/A,FALSE,"P&amp;L - $";"Quarterly Income Statement",#N/A,FALSE,"P&amp;L Detail"}</definedName>
    <definedName name="wrn.LUXCOS." hidden="1">{"LUX_ASSET",#N/A,FALSE,"CII-Q494.XLS";"LUX_LIAB",#N/A,FALSE,"CII-Q494.XLS";"LUX_INC",#N/A,FALSE,"CII-Q494.XLS";"LUXje",#N/A,FALSE,"CII-Q494.XLS"}</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Phase._.in." hidden="1">{"Phase in summary",#N/A,FALSE,"P&amp;L Phased"}</definedName>
    <definedName name="wrn.PL._.Detail." hidden="1">{#N/A,#N/A,FALSE,"P&amp;L Detail";#N/A,#N/A,FALSE,"P&amp;L Detail";#N/A,#N/A,FALSE,"P&amp;L Detail"}</definedName>
    <definedName name="wrn.Print."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_.All._.Worksheets." hidden="1">{#N/A,#N/A,FALSE,"Capitaliztion Matrix";#N/A,#N/A,FALSE,"4YR P&amp;L";#N/A,#N/A,FALSE,"Program Contributions";#N/A,#N/A,FALSE,"P&amp;L Trans YR 2";#N/A,#N/A,FALSE,"Rev &amp; EBITDA YR2";#N/A,#N/A,FALSE,"P&amp;L Trans YR 1";#N/A,#N/A,FALSE,"Rev &amp; EBITDA YR1"}</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hidden="1">{#N/A,#N/A,FALSE,"Op-BS";#N/A,#N/A,FALSE,"Assum";#N/A,#N/A,FALSE,"IS";#N/A,#N/A,FALSE,"Syn+Elim";#N/A,#N/A,FALSE,"BSCF";#N/A,#N/A,FALSE,"Blue_IS";#N/A,#N/A,FALSE,"Blue_BSCF";#N/A,#N/A,FALSE,"Ratings"}</definedName>
    <definedName name="wrn.Produzione." hidden="1">{#N/A,#N/A,FALSE,"Produzione 1";#N/A,#N/A,FALSE,"Rettifica 1";#N/A,#N/A,FALSE,"Produzione 2";#N/A,#N/A,FALSE,"Rettifica 2";#N/A,#N/A,FALSE,"Produzione 3"}</definedName>
    <definedName name="wrn.Quarterly._.Income._.Statement." hidden="1">{"Quarterly Income Statement",#N/A,FALSE,"P&amp;L Detail"}</definedName>
    <definedName name="wrn.Report." hidden="1">{#N/A,#N/A,FALSE,"Cost Comparison";#N/A,#N/A,FALSE,"ICP Comparison "}</definedName>
    <definedName name="wrn.Report._.2." hidden="1">{#N/A,#N/A,TRUE,"Pivots-Employee";#N/A,"Scenerio2",TRUE,"Assumptions Summary"}</definedName>
    <definedName name="wrn.Report1." hidden="1">{#N/A,#N/A,TRUE,"Pivots-Employee";#N/A,"Scenario1",TRUE,"Assumptions Summary"}</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hidden="1">{"review",#N/A,FALSE,"FACTSHT"}</definedName>
    <definedName name="wrn.review1." hidden="1">{"review",#N/A,FALSE,"FACTSHT"}</definedName>
    <definedName name="wrn.SBEI." hidden="1">{#N/A,#N/A,TRUE,"Table1";#N/A,#N/A,TRUE,"Table2";#N/A,#N/A,TRUE,"Table3";#N/A,#N/A,TRUE,"Table4";#N/A,#N/A,TRUE,"Table5";#N/A,#N/A,TRUE,"Table6";#N/A,#N/A,TRUE,"Table7";#N/A,#N/A,TRUE,"Table8";#N/A,#N/A,TRUE,"Table9";#N/A,#N/A,TRUE,"Table10";#N/A,#N/A,TRUE,"Table11";#N/A,#N/A,TRUE,"Table12";#N/A,#N/A,TRUE,"Table13";#N/A,#N/A,TRUE,"Table14"}</definedName>
    <definedName name="wrn.Statistics." hidden="1">{"Std Poor",#N/A,FALSE,"S&amp;P";"Sum Stats",#N/A,FALSE,"Stats"}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Vendite." hidden="1">{#N/A,#N/A,FALSE,"Vendite Europa";#N/A,#N/A,FALSE,"Vendite Francia";#N/A,#N/A,FALSE,"Vendite Korea";#N/A,#N/A,FALSE,"Vendite Oriente";#N/A,#N/A,FALSE,"Vendite Giappone";#N/A,#N/A,FALSE,"Vendite Riepilogo"}</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2" hidden="1">{"Wkp ComEquity",#N/A,FALSE,"Cap Struct WPs"}</definedName>
    <definedName name="wrn.Wkp._.ComEquity." localSheetId="52" hidden="1">{"Wkp ComEquity",#N/A,FALSE,"Cap Struct WPs"}</definedName>
    <definedName name="wrn.Wkp._.ComEquity." hidden="1">{"Wkp ComEquity",#N/A,FALSE,"Cap Struct WPs"}</definedName>
    <definedName name="wrn.Wkp._.JDITC." localSheetId="2" hidden="1">{"Wkp JDITC",#N/A,FALSE,"Cap Struct WPs"}</definedName>
    <definedName name="wrn.Wkp._.JDITC." localSheetId="52" hidden="1">{"Wkp JDITC",#N/A,FALSE,"Cap Struct WPs"}</definedName>
    <definedName name="wrn.Wkp._.JDITC." hidden="1">{"Wkp JDITC",#N/A,FALSE,"Cap Struct WPs"}</definedName>
    <definedName name="wrn.Wkp._.LTerm._.Debt." localSheetId="2" hidden="1">{"Wkp LTerm Debt",#N/A,FALSE,"Cap Struct WPs"}</definedName>
    <definedName name="wrn.Wkp._.LTerm._.Debt." localSheetId="52" hidden="1">{"Wkp LTerm Debt",#N/A,FALSE,"Cap Struct WPs"}</definedName>
    <definedName name="wrn.Wkp._.LTerm._.Debt." hidden="1">{"Wkp LTerm Debt",#N/A,FALSE,"Cap Struct WPs"}</definedName>
    <definedName name="wrn.Wkp._.LTerm._.Debt._.13Mo._.Avg." localSheetId="2" hidden="1">{"Wkp LTerm Debt 13MoAvg",#N/A,FALSE,"Cap Struct WPs"}</definedName>
    <definedName name="wrn.Wkp._.LTerm._.Debt._.13Mo._.Avg." localSheetId="52" hidden="1">{"Wkp LTerm Debt 13MoAvg",#N/A,FALSE,"Cap Struct WPs"}</definedName>
    <definedName name="wrn.Wkp._.LTerm._.Debt._.13Mo._.Avg." hidden="1">{"Wkp LTerm Debt 13MoAvg",#N/A,FALSE,"Cap Struct WPs"}</definedName>
    <definedName name="wrn.Wkp._.LTerm._.Debt._.Amort." localSheetId="2" hidden="1">{"Wkp Lterm Debt Amort",#N/A,FALSE,"Cap Struct WPs"}</definedName>
    <definedName name="wrn.Wkp._.LTerm._.Debt._.Amort." localSheetId="52" hidden="1">{"Wkp Lterm Debt Amort",#N/A,FALSE,"Cap Struct WPs"}</definedName>
    <definedName name="wrn.Wkp._.LTerm._.Debt._.Amort." hidden="1">{"Wkp Lterm Debt Amort",#N/A,FALSE,"Cap Struct WPs"}</definedName>
    <definedName name="wrn.Wkp._.LTerm._.Debt._.Int." localSheetId="2" hidden="1">{"Wkp LTerm Debt Int",#N/A,FALSE,"Cap Struct WPs"}</definedName>
    <definedName name="wrn.Wkp._.LTerm._.Debt._.Int." localSheetId="52" hidden="1">{"Wkp LTerm Debt Int",#N/A,FALSE,"Cap Struct WPs"}</definedName>
    <definedName name="wrn.Wkp._.LTerm._.Debt._.Int." hidden="1">{"Wkp LTerm Debt Int",#N/A,FALSE,"Cap Struct WPs"}</definedName>
    <definedName name="wrn.Wkp._.PreStock." localSheetId="2" hidden="1">{"Wkp PreStock",#N/A,FALSE,"Cap Struct WPs"}</definedName>
    <definedName name="wrn.Wkp._.PreStock." localSheetId="52" hidden="1">{"Wkp PreStock",#N/A,FALSE,"Cap Struct WPs"}</definedName>
    <definedName name="wrn.Wkp._.PreStock." hidden="1">{"Wkp PreStock",#N/A,FALSE,"Cap Struct WPs"}</definedName>
    <definedName name="wrn.Wkp._.PreStock._.13MoAvg." localSheetId="2" hidden="1">{"Wkp PreStock 13MoAvg",#N/A,FALSE,"Cap Struct WPs"}</definedName>
    <definedName name="wrn.Wkp._.PreStock._.13MoAvg." localSheetId="52" hidden="1">{"Wkp PreStock 13MoAvg",#N/A,FALSE,"Cap Struct WPs"}</definedName>
    <definedName name="wrn.Wkp._.PreStock._.13MoAvg." hidden="1">{"Wkp PreStock 13MoAvg",#N/A,FALSE,"Cap Struct WPs"}</definedName>
    <definedName name="wrn.Wkp._.PreStock._.Amort." localSheetId="2" hidden="1">{"Wkp PreStock Amort",#N/A,FALSE,"Cap Struct WPs"}</definedName>
    <definedName name="wrn.Wkp._.PreStock._.Amort." localSheetId="52" hidden="1">{"Wkp PreStock Amort",#N/A,FALSE,"Cap Struct WPs"}</definedName>
    <definedName name="wrn.Wkp._.PreStock._.Amort." hidden="1">{"Wkp PreStock Amort",#N/A,FALSE,"Cap Struct WPs"}</definedName>
    <definedName name="wrn.Wkp._.PreStock._.Dividend." localSheetId="2" hidden="1">{"Wkp PreStock Dividend",#N/A,FALSE,"Cap Struct WPs"}</definedName>
    <definedName name="wrn.Wkp._.PreStock._.Dividend." localSheetId="52" hidden="1">{"Wkp PreStock Dividend",#N/A,FALSE,"Cap Struct WPs"}</definedName>
    <definedName name="wrn.Wkp._.PreStock._.Dividend." hidden="1">{"Wkp PreStock Dividend",#N/A,FALSE,"Cap Struct WPs"}</definedName>
    <definedName name="wrn.Wkp._.STerm._.Debt." localSheetId="2" hidden="1">{"Wkp STerm Debt",#N/A,FALSE,"Cap Struct WPs"}</definedName>
    <definedName name="wrn.Wkp._.STerm._.Debt." localSheetId="52" hidden="1">{"Wkp STerm Debt",#N/A,FALSE,"Cap Struct WPs"}</definedName>
    <definedName name="wrn.Wkp._.STerm._.Debt." hidden="1">{"Wkp STerm Debt",#N/A,FALSE,"Cap Struct WPs"}</definedName>
    <definedName name="wrn.Wkp._.Unamort._.Debt._.Exp." localSheetId="2" hidden="1">{"Wkp Unamort Debt Exp",#N/A,FALSE,"Cap Struct WPs"}</definedName>
    <definedName name="wrn.Wkp._.Unamort._.Debt._.Exp." localSheetId="52" hidden="1">{"Wkp Unamort Debt Exp",#N/A,FALSE,"Cap Struct WPs"}</definedName>
    <definedName name="wrn.Wkp._.Unamort._.Debt._.Exp." hidden="1">{"Wkp Unamort Debt Exp",#N/A,FALSE,"Cap Struct WPs"}</definedName>
    <definedName name="wrn.Wkp._.Unamort._.PreStock._.Exp." localSheetId="2" hidden="1">{"Wkp Unamort PreStock Exp",#N/A,FALSE,"Cap Struct WPs"}</definedName>
    <definedName name="wrn.Wkp._.Unamort._.PreStock._.Exp." localSheetId="52" hidden="1">{"Wkp Unamort PreStock Exp",#N/A,FALSE,"Cap Struct WPs"}</definedName>
    <definedName name="wrn.Wkp._.Unamort._.PreStock._.Exp." hidden="1">{"Wkp Unamort PreStock Exp",#N/A,FALSE,"Cap Struct WPs"}</definedName>
    <definedName name="xxxx" hidden="1">{#N/A,#N/A,FALSE,"New-RegularBevel";#N/A,#N/A,FALSE,"Optiva-Optiva2";#N/A,#N/A,FALSE,"Cathlon-Monoblok";#N/A,#N/A,FALSE,"Stylets"}</definedName>
    <definedName name="xxxxxxxxxxx" hidden="1">{#N/A,#N/A,FALSE,"Costi per Gruppo ";#N/A,#N/A,FALSE,"New-RegularBevel";#N/A,#N/A,FALSE,"Optiva-Optiva2";#N/A,#N/A,FALSE,"Cathlon-Monoblok";#N/A,#N/A,FALSE,"Stylets";#N/A,#N/A,FALSE,"Totali"}</definedName>
    <definedName name="Z_0827DD1F_A9BE_4D13_BDC7_18E2F5303A4C_.wvu.PrintArea" localSheetId="39" hidden="1">'SCH B-8 KY'!$A$1:$P$127</definedName>
    <definedName name="Z_0827DD1F_A9BE_4D13_BDC7_18E2F5303A4C_.wvu.PrintArea" localSheetId="38" hidden="1">'SCH B-8 TC'!$A$1:$P$127</definedName>
    <definedName name="Z_17EC1D8B_C312_4928_92BF_E4B8E04733C9_.wvu.PrintArea" localSheetId="39" hidden="1">'SCH B-8 KY'!$A$1:$P$127</definedName>
    <definedName name="Z_17EC1D8B_C312_4928_92BF_E4B8E04733C9_.wvu.PrintArea" localSheetId="38" hidden="1">'SCH B-8 TC'!$A$1:$P$127</definedName>
    <definedName name="Z_17F81FAD_A804_409E_AD77_E4B3A0D493B1_.wvu.PrintArea" localSheetId="39" hidden="1">'SCH B-8 KY'!$A$1:$P$127</definedName>
    <definedName name="Z_17F81FAD_A804_409E_AD77_E4B3A0D493B1_.wvu.PrintArea" localSheetId="38" hidden="1">'SCH B-8 TC'!$A$1:$P$127</definedName>
    <definedName name="Z_2B785BFB_7564_44CF_85B0_B660EDED919E_.wvu.PrintArea" localSheetId="39" hidden="1">'SCH B-8 KY'!$A$1:$P$127</definedName>
    <definedName name="Z_2B785BFB_7564_44CF_85B0_B660EDED919E_.wvu.PrintArea" localSheetId="38" hidden="1">'SCH B-8 TC'!$A$1:$P$127</definedName>
    <definedName name="Z_30F99172_C4F2_44CA_968C_724910CD8C0D_.wvu.PrintArea" localSheetId="39" hidden="1">'SCH B-8 KY'!$A$1:$P$127</definedName>
    <definedName name="Z_30F99172_C4F2_44CA_968C_724910CD8C0D_.wvu.PrintArea" localSheetId="38" hidden="1">'SCH B-8 TC'!$A$1:$P$127</definedName>
    <definedName name="Z_4D71A4B5_3501_4D55_925A_603836C1CD6A_.wvu.PrintArea" localSheetId="39" hidden="1">'SCH B-8 KY'!$A$1:$P$127</definedName>
    <definedName name="Z_4D71A4B5_3501_4D55_925A_603836C1CD6A_.wvu.PrintArea" localSheetId="38" hidden="1">'SCH B-8 TC'!$A$1:$P$127</definedName>
    <definedName name="Z_4E8676F3_F8E9_4B82_A801_CEC84738F427_.wvu.PrintArea" localSheetId="39" hidden="1">'SCH B-8 KY'!$A$1:$P$127</definedName>
    <definedName name="Z_4E8676F3_F8E9_4B82_A801_CEC84738F427_.wvu.PrintArea" localSheetId="38" hidden="1">'SCH B-8 TC'!$A$1:$P$127</definedName>
    <definedName name="Z_50E30236_B87B_46B0_8AB7_5CB07C32AD51_.wvu.PrintArea" localSheetId="39" hidden="1">'SCH B-8 KY'!$A$1:$P$127</definedName>
    <definedName name="Z_50E30236_B87B_46B0_8AB7_5CB07C32AD51_.wvu.PrintArea" localSheetId="38" hidden="1">'SCH B-8 TC'!$A$1:$P$127</definedName>
    <definedName name="Z_5446BA9A_8B69_404B_A913_5A53E8937DEF_.wvu.PrintArea" localSheetId="39" hidden="1">'SCH B-8 KY'!$A$1:$P$127</definedName>
    <definedName name="Z_5446BA9A_8B69_404B_A913_5A53E8937DEF_.wvu.PrintArea" localSheetId="38" hidden="1">'SCH B-8 TC'!$A$1:$P$127</definedName>
    <definedName name="Z_5C6CC12D_4976_49E7_B4BF_0BC5FC5930C4_.wvu.PrintArea" localSheetId="39" hidden="1">'SCH B-8 KY'!$A$1:$P$127</definedName>
    <definedName name="Z_5C6CC12D_4976_49E7_B4BF_0BC5FC5930C4_.wvu.PrintArea" localSheetId="38" hidden="1">'SCH B-8 TC'!$A$1:$P$127</definedName>
    <definedName name="Z_650001A7_7F5D_4C25_A793_6874747A9BCA_.wvu.PrintArea" localSheetId="39" hidden="1">'SCH B-8 KY'!$A$1:$P$127</definedName>
    <definedName name="Z_650001A7_7F5D_4C25_A793_6874747A9BCA_.wvu.PrintArea" localSheetId="38" hidden="1">'SCH B-8 TC'!$A$1:$P$127</definedName>
    <definedName name="Z_6806E151_5E14_4AFD_87E4_963C9A6AC622_.wvu.PrintArea" localSheetId="39" hidden="1">'SCH B-8 KY'!$A$1:$P$127</definedName>
    <definedName name="Z_6806E151_5E14_4AFD_87E4_963C9A6AC622_.wvu.PrintArea" localSheetId="38" hidden="1">'SCH B-8 TC'!$A$1:$P$127</definedName>
    <definedName name="Z_6B73F06A_6B8B_492D_98E8_4B1867446724_.wvu.PrintArea" localSheetId="39" hidden="1">'SCH B-8 KY'!$A$1:$P$127</definedName>
    <definedName name="Z_6B73F06A_6B8B_492D_98E8_4B1867446724_.wvu.PrintArea" localSheetId="38" hidden="1">'SCH B-8 TC'!$A$1:$P$127</definedName>
    <definedName name="Z_6B79D4D5_16CF_4897_8F30_1E695809C85C_.wvu.PrintArea" localSheetId="39" hidden="1">'SCH B-8 KY'!$A$1:$P$127</definedName>
    <definedName name="Z_6B79D4D5_16CF_4897_8F30_1E695809C85C_.wvu.PrintArea" localSheetId="38" hidden="1">'SCH B-8 TC'!$A$1:$P$127</definedName>
    <definedName name="Z_7F548A59_6325_4863_A2CD_C4C2FE9990B9_.wvu.PrintArea" localSheetId="39" hidden="1">'SCH B-8 KY'!$A$1:$P$127</definedName>
    <definedName name="Z_7F548A59_6325_4863_A2CD_C4C2FE9990B9_.wvu.PrintArea" localSheetId="38" hidden="1">'SCH B-8 TC'!$A$1:$P$127</definedName>
    <definedName name="Z_949C0204_0136_46BF_80A5_3F78E0511D46_.wvu.PrintArea" localSheetId="39" hidden="1">'SCH B-8 KY'!$A$1:$P$127</definedName>
    <definedName name="Z_949C0204_0136_46BF_80A5_3F78E0511D46_.wvu.PrintArea" localSheetId="38" hidden="1">'SCH B-8 TC'!$A$1:$P$127</definedName>
    <definedName name="Z_9A6DA5E0_B602_4D30_BF57_B9A64673419A_.wvu.PrintArea" localSheetId="39" hidden="1">'SCH B-8 KY'!$A$1:$P$127</definedName>
    <definedName name="Z_9A6DA5E0_B602_4D30_BF57_B9A64673419A_.wvu.PrintArea" localSheetId="38" hidden="1">'SCH B-8 TC'!$A$1:$P$127</definedName>
    <definedName name="Z_9B3B6D0E_03C7_49B0_92DB_C4FD245E93BC_.wvu.PrintArea" localSheetId="39" hidden="1">'SCH B-8 KY'!$A$1:$P$127</definedName>
    <definedName name="Z_9B3B6D0E_03C7_49B0_92DB_C4FD245E93BC_.wvu.PrintArea" localSheetId="38" hidden="1">'SCH B-8 TC'!$A$1:$P$127</definedName>
    <definedName name="Z_B11022C5_E08B_4A9C_A0FF_33A3D6D2F386_.wvu.PrintArea" localSheetId="39" hidden="1">'SCH B-8 KY'!$A$1:$P$127</definedName>
    <definedName name="Z_B11022C5_E08B_4A9C_A0FF_33A3D6D2F386_.wvu.PrintArea" localSheetId="38" hidden="1">'SCH B-8 TC'!$A$1:$P$127</definedName>
    <definedName name="Z_B339DAC4_A962_4729_81C2_E354C0B54027_.wvu.PrintArea" localSheetId="39" hidden="1">'SCH B-8 KY'!$A$1:$P$127</definedName>
    <definedName name="Z_B339DAC4_A962_4729_81C2_E354C0B54027_.wvu.PrintArea" localSheetId="38" hidden="1">'SCH B-8 TC'!$A$1:$P$127</definedName>
    <definedName name="Z_B768E8BE_E40F_4622_8687_5C13CF63FEF1_.wvu.PrintArea" localSheetId="39" hidden="1">'SCH B-8 KY'!$A$1:$P$127</definedName>
    <definedName name="Z_B768E8BE_E40F_4622_8687_5C13CF63FEF1_.wvu.PrintArea" localSheetId="38" hidden="1">'SCH B-8 TC'!$A$1:$P$127</definedName>
    <definedName name="Z_B8F938A3_B40C_4099_ABD8_B6D835D2359F_.wvu.PrintArea" localSheetId="39" hidden="1">'SCH B-8 KY'!$A$1:$P$127</definedName>
    <definedName name="Z_B8F938A3_B40C_4099_ABD8_B6D835D2359F_.wvu.PrintArea" localSheetId="38" hidden="1">'SCH B-8 TC'!$A$1:$P$127</definedName>
    <definedName name="Z_BA17188F_41F9_429B_8466_0B115E6076C4_.wvu.PrintArea" localSheetId="39" hidden="1">'SCH B-8 KY'!$A$1:$P$127</definedName>
    <definedName name="Z_BA17188F_41F9_429B_8466_0B115E6076C4_.wvu.PrintArea" localSheetId="38" hidden="1">'SCH B-8 TC'!$A$1:$P$127</definedName>
    <definedName name="Z_BC5E0361_74E9_4A40_A93E_A28F6B6112CC_.wvu.PrintArea" localSheetId="39" hidden="1">'SCH B-8 KY'!$A$1:$P$127</definedName>
    <definedName name="Z_BC5E0361_74E9_4A40_A93E_A28F6B6112CC_.wvu.PrintArea" localSheetId="38" hidden="1">'SCH B-8 TC'!$A$1:$P$127</definedName>
    <definedName name="Z_BEA31234_456D_4B58_9D73_CDF96CBEAFF0_.wvu.PrintArea" localSheetId="39" hidden="1">'SCH B-8 KY'!$A$1:$P$127</definedName>
    <definedName name="Z_BEA31234_456D_4B58_9D73_CDF96CBEAFF0_.wvu.PrintArea" localSheetId="38" hidden="1">'SCH B-8 TC'!$A$1:$P$127</definedName>
    <definedName name="Z_C26CB08D_E75A_444E_97C0_685DE1198CEB_.wvu.PrintArea" localSheetId="39" hidden="1">'SCH B-8 KY'!$A$1:$P$127</definedName>
    <definedName name="Z_C26CB08D_E75A_444E_97C0_685DE1198CEB_.wvu.PrintArea" localSheetId="38" hidden="1">'SCH B-8 TC'!$A$1:$P$127</definedName>
    <definedName name="Z_CB2DDF95_6E3D_4BC1_9D30_54963EA34987_.wvu.PrintArea" localSheetId="39" hidden="1">'SCH B-8 KY'!$A$1:$P$127</definedName>
    <definedName name="Z_CB2DDF95_6E3D_4BC1_9D30_54963EA34987_.wvu.PrintArea" localSheetId="38" hidden="1">'SCH B-8 TC'!$A$1:$P$127</definedName>
    <definedName name="Z_DC435F00_643C_4507_82D4_894505D8FDA5_.wvu.PrintArea" localSheetId="39" hidden="1">'SCH B-8 KY'!$A$1:$P$127</definedName>
    <definedName name="Z_DC435F00_643C_4507_82D4_894505D8FDA5_.wvu.PrintArea" localSheetId="38" hidden="1">'SCH B-8 TC'!$A$1:$P$127</definedName>
    <definedName name="Z_DF50C4EA_FB13_4C2C_90E3_833D566A43BF_.wvu.PrintArea" localSheetId="39" hidden="1">'SCH B-8 KY'!$A$1:$P$127</definedName>
    <definedName name="Z_DF50C4EA_FB13_4C2C_90E3_833D566A43BF_.wvu.PrintArea" localSheetId="38" hidden="1">'SCH B-8 TC'!$A$1:$P$127</definedName>
  </definedNames>
  <calcPr calcId="152511" iterate="1"/>
</workbook>
</file>

<file path=xl/calcChain.xml><?xml version="1.0" encoding="utf-8"?>
<calcChain xmlns="http://schemas.openxmlformats.org/spreadsheetml/2006/main">
  <c r="D41" i="9" l="1"/>
  <c r="D20" i="9" l="1"/>
  <c r="H78" i="47" l="1"/>
  <c r="H89" i="47"/>
  <c r="H88" i="47"/>
  <c r="H87" i="47"/>
  <c r="H86" i="47"/>
  <c r="H85" i="47"/>
  <c r="H84" i="47"/>
  <c r="H83" i="47"/>
  <c r="H82" i="47"/>
  <c r="H81" i="47"/>
  <c r="H80" i="47"/>
  <c r="H79" i="47"/>
  <c r="H59" i="47"/>
  <c r="H58" i="47"/>
  <c r="H57" i="47"/>
  <c r="H38" i="47"/>
  <c r="H37" i="47"/>
  <c r="H36" i="47"/>
  <c r="H35" i="47"/>
  <c r="H34" i="47"/>
  <c r="H33" i="47"/>
  <c r="B21" i="83" l="1"/>
  <c r="B19" i="83"/>
  <c r="B17" i="83"/>
  <c r="B15" i="83"/>
  <c r="B13" i="83"/>
  <c r="A4" i="83"/>
  <c r="E9" i="83"/>
  <c r="A8" i="83"/>
  <c r="A2" i="83"/>
  <c r="A1" i="83"/>
  <c r="J168" i="64" l="1"/>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A351" i="64"/>
  <c r="A352" i="64" s="1"/>
  <c r="A353" i="64" s="1"/>
  <c r="A354" i="64" s="1"/>
  <c r="A350" i="64"/>
  <c r="A349" i="64"/>
  <c r="O354" i="64"/>
  <c r="M354" i="64"/>
  <c r="P354" i="64" s="1"/>
  <c r="J354" i="64"/>
  <c r="O353" i="64"/>
  <c r="M353" i="64"/>
  <c r="P353" i="64" s="1"/>
  <c r="J353" i="64"/>
  <c r="O352" i="64"/>
  <c r="M352" i="64"/>
  <c r="J352" i="64"/>
  <c r="O351" i="64"/>
  <c r="M351" i="64"/>
  <c r="P351" i="64" s="1"/>
  <c r="J351" i="64"/>
  <c r="O350" i="64"/>
  <c r="M350" i="64"/>
  <c r="P350" i="64" s="1"/>
  <c r="J350" i="64"/>
  <c r="O349" i="64"/>
  <c r="M349" i="64"/>
  <c r="J349" i="64"/>
  <c r="A344" i="64"/>
  <c r="A342" i="64"/>
  <c r="O336" i="64"/>
  <c r="M336" i="64"/>
  <c r="J336" i="64"/>
  <c r="O335" i="64"/>
  <c r="P335" i="64" s="1"/>
  <c r="M335" i="64"/>
  <c r="J335" i="64"/>
  <c r="O334" i="64"/>
  <c r="M334" i="64"/>
  <c r="J334" i="64"/>
  <c r="O333" i="64"/>
  <c r="P333" i="64" s="1"/>
  <c r="M333" i="64"/>
  <c r="J333" i="64"/>
  <c r="O332" i="64"/>
  <c r="M332" i="64"/>
  <c r="J332" i="64"/>
  <c r="O331" i="64"/>
  <c r="P331" i="64" s="1"/>
  <c r="M331" i="64"/>
  <c r="J331" i="64"/>
  <c r="O330" i="64"/>
  <c r="M330" i="64"/>
  <c r="J330" i="64"/>
  <c r="O329" i="64"/>
  <c r="P329" i="64" s="1"/>
  <c r="M329" i="64"/>
  <c r="J329" i="64"/>
  <c r="O328" i="64"/>
  <c r="M328" i="64"/>
  <c r="J328" i="64"/>
  <c r="O327" i="64"/>
  <c r="P327" i="64" s="1"/>
  <c r="M327" i="64"/>
  <c r="J327" i="64"/>
  <c r="O326" i="64"/>
  <c r="M326" i="64"/>
  <c r="J326" i="64"/>
  <c r="O325" i="64"/>
  <c r="P325" i="64" s="1"/>
  <c r="M325" i="64"/>
  <c r="J325" i="64"/>
  <c r="O324" i="64"/>
  <c r="M324" i="64"/>
  <c r="J324" i="64"/>
  <c r="O323" i="64"/>
  <c r="P323" i="64" s="1"/>
  <c r="M323" i="64"/>
  <c r="J323" i="64"/>
  <c r="O322" i="64"/>
  <c r="M322" i="64"/>
  <c r="J322" i="64"/>
  <c r="O321" i="64"/>
  <c r="P321" i="64" s="1"/>
  <c r="M321" i="64"/>
  <c r="J321" i="64"/>
  <c r="O320" i="64"/>
  <c r="M320" i="64"/>
  <c r="J320" i="64"/>
  <c r="O319" i="64"/>
  <c r="P319" i="64" s="1"/>
  <c r="M319" i="64"/>
  <c r="J319" i="64"/>
  <c r="O318" i="64"/>
  <c r="M318" i="64"/>
  <c r="J318" i="64"/>
  <c r="O317" i="64"/>
  <c r="P317" i="64" s="1"/>
  <c r="M317" i="64"/>
  <c r="J317" i="64"/>
  <c r="O316" i="64"/>
  <c r="M316" i="64"/>
  <c r="J316" i="64"/>
  <c r="O315" i="64"/>
  <c r="P315" i="64" s="1"/>
  <c r="M315" i="64"/>
  <c r="J315" i="64"/>
  <c r="O314" i="64"/>
  <c r="M314" i="64"/>
  <c r="J314" i="64"/>
  <c r="O313" i="64"/>
  <c r="P313" i="64" s="1"/>
  <c r="M313" i="64"/>
  <c r="J313" i="64"/>
  <c r="O312" i="64"/>
  <c r="M312" i="64"/>
  <c r="J312" i="64"/>
  <c r="O311" i="64"/>
  <c r="P311" i="64" s="1"/>
  <c r="M311" i="64"/>
  <c r="J311" i="64"/>
  <c r="O310" i="64"/>
  <c r="M310" i="64"/>
  <c r="J310" i="64"/>
  <c r="O309" i="64"/>
  <c r="P309" i="64" s="1"/>
  <c r="M309" i="64"/>
  <c r="J309" i="64"/>
  <c r="O308" i="64"/>
  <c r="M308" i="64"/>
  <c r="J308" i="64"/>
  <c r="O307" i="64"/>
  <c r="P307" i="64" s="1"/>
  <c r="M307" i="64"/>
  <c r="J307" i="64"/>
  <c r="O306" i="64"/>
  <c r="M306" i="64"/>
  <c r="J306" i="64"/>
  <c r="O305" i="64"/>
  <c r="P305" i="64" s="1"/>
  <c r="M305" i="64"/>
  <c r="J305" i="64"/>
  <c r="O304" i="64"/>
  <c r="M304" i="64"/>
  <c r="J304" i="64"/>
  <c r="O303" i="64"/>
  <c r="P303" i="64" s="1"/>
  <c r="M303" i="64"/>
  <c r="J303" i="64"/>
  <c r="O302" i="64"/>
  <c r="M302" i="64"/>
  <c r="J302" i="64"/>
  <c r="O301" i="64"/>
  <c r="P301" i="64" s="1"/>
  <c r="M301" i="64"/>
  <c r="J301" i="64"/>
  <c r="O300" i="64"/>
  <c r="M300" i="64"/>
  <c r="J300" i="64"/>
  <c r="O299" i="64"/>
  <c r="P299" i="64" s="1"/>
  <c r="M299" i="64"/>
  <c r="J299" i="64"/>
  <c r="O298" i="64"/>
  <c r="M298" i="64"/>
  <c r="J298" i="64"/>
  <c r="O297" i="64"/>
  <c r="P297" i="64" s="1"/>
  <c r="M297" i="64"/>
  <c r="J297" i="64"/>
  <c r="O296" i="64"/>
  <c r="M296" i="64"/>
  <c r="J296" i="64"/>
  <c r="O295" i="64"/>
  <c r="P295" i="64" s="1"/>
  <c r="M295" i="64"/>
  <c r="J295" i="64"/>
  <c r="O294" i="64"/>
  <c r="M294" i="64"/>
  <c r="J294" i="64"/>
  <c r="O293" i="64"/>
  <c r="P293" i="64" s="1"/>
  <c r="M293" i="64"/>
  <c r="J293" i="64"/>
  <c r="A288" i="64"/>
  <c r="A286" i="64"/>
  <c r="O280" i="64"/>
  <c r="M280" i="64"/>
  <c r="J280" i="64"/>
  <c r="O279" i="64"/>
  <c r="M279" i="64"/>
  <c r="P279" i="64" s="1"/>
  <c r="J279" i="64"/>
  <c r="O278" i="64"/>
  <c r="M278" i="64"/>
  <c r="J278" i="64"/>
  <c r="O277" i="64"/>
  <c r="M277" i="64"/>
  <c r="J277" i="64"/>
  <c r="O276" i="64"/>
  <c r="M276" i="64"/>
  <c r="J276" i="64"/>
  <c r="O275" i="64"/>
  <c r="M275" i="64"/>
  <c r="P275" i="64" s="1"/>
  <c r="J275" i="64"/>
  <c r="J274" i="64"/>
  <c r="M274" i="64"/>
  <c r="O274" i="64"/>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P349" i="64" l="1"/>
  <c r="P352" i="64"/>
  <c r="P294" i="64"/>
  <c r="P298" i="64"/>
  <c r="P302" i="64"/>
  <c r="P306" i="64"/>
  <c r="P310" i="64"/>
  <c r="P314" i="64"/>
  <c r="P318" i="64"/>
  <c r="P322" i="64"/>
  <c r="P326" i="64"/>
  <c r="P330" i="64"/>
  <c r="P334" i="64"/>
  <c r="P296" i="64"/>
  <c r="P300" i="64"/>
  <c r="P304" i="64"/>
  <c r="P308" i="64"/>
  <c r="P312" i="64"/>
  <c r="P316" i="64"/>
  <c r="P320" i="64"/>
  <c r="P324" i="64"/>
  <c r="P328" i="64"/>
  <c r="P332" i="64"/>
  <c r="P336" i="64"/>
  <c r="P278" i="64"/>
  <c r="P276" i="64"/>
  <c r="P280" i="64"/>
  <c r="P274" i="64"/>
  <c r="P277" i="64"/>
  <c r="J78" i="47" l="1"/>
  <c r="I78" i="47"/>
  <c r="F78" i="47"/>
  <c r="J54" i="47"/>
  <c r="I54" i="47"/>
  <c r="H54" i="47"/>
  <c r="F54" i="47"/>
  <c r="J102" i="47"/>
  <c r="I102" i="47"/>
  <c r="H102" i="47"/>
  <c r="F102" i="47"/>
  <c r="J101" i="47"/>
  <c r="I101" i="47"/>
  <c r="H101" i="47"/>
  <c r="F101" i="47"/>
  <c r="J99" i="47"/>
  <c r="I99" i="47"/>
  <c r="H99" i="47"/>
  <c r="F99" i="47"/>
  <c r="J98" i="47"/>
  <c r="I98" i="47"/>
  <c r="H98" i="47"/>
  <c r="F98" i="47"/>
  <c r="J97" i="47"/>
  <c r="I97" i="47"/>
  <c r="H97" i="47"/>
  <c r="F97" i="47"/>
  <c r="J96" i="47"/>
  <c r="I96" i="47"/>
  <c r="H96" i="47"/>
  <c r="F96" i="47"/>
  <c r="J95" i="47"/>
  <c r="I95" i="47"/>
  <c r="H95" i="47"/>
  <c r="F95" i="47"/>
  <c r="J89" i="47"/>
  <c r="I89" i="47"/>
  <c r="F89" i="47"/>
  <c r="J88" i="47"/>
  <c r="I88" i="47"/>
  <c r="F88" i="47"/>
  <c r="J87" i="47"/>
  <c r="I87" i="47"/>
  <c r="F87" i="47"/>
  <c r="J86" i="47"/>
  <c r="I86" i="47"/>
  <c r="F86" i="47"/>
  <c r="J85" i="47"/>
  <c r="I85" i="47"/>
  <c r="F85" i="47"/>
  <c r="J84" i="47"/>
  <c r="I84" i="47"/>
  <c r="F84" i="47"/>
  <c r="J83" i="47"/>
  <c r="I83" i="47"/>
  <c r="F83" i="47"/>
  <c r="J82" i="47"/>
  <c r="I82" i="47"/>
  <c r="F82" i="47"/>
  <c r="J81" i="47"/>
  <c r="I81" i="47"/>
  <c r="F81" i="47"/>
  <c r="J80" i="47"/>
  <c r="I80" i="47"/>
  <c r="F80" i="47"/>
  <c r="J79" i="47"/>
  <c r="I79" i="47"/>
  <c r="F79" i="47"/>
  <c r="J61" i="47"/>
  <c r="I61" i="47"/>
  <c r="H61" i="47"/>
  <c r="F61" i="47"/>
  <c r="J60" i="47"/>
  <c r="I60" i="47"/>
  <c r="H60" i="47"/>
  <c r="F60" i="47"/>
  <c r="J59" i="47"/>
  <c r="I59" i="47"/>
  <c r="F59" i="47"/>
  <c r="J58" i="47"/>
  <c r="I58" i="47"/>
  <c r="F58" i="47"/>
  <c r="J57" i="47"/>
  <c r="I57" i="47"/>
  <c r="F57" i="47"/>
  <c r="J56" i="47"/>
  <c r="I56" i="47"/>
  <c r="H56" i="47"/>
  <c r="F56" i="47"/>
  <c r="J55" i="47"/>
  <c r="I55" i="47"/>
  <c r="H55" i="47"/>
  <c r="F55" i="47"/>
  <c r="J49" i="47"/>
  <c r="I49" i="47"/>
  <c r="H49" i="47"/>
  <c r="F49" i="47"/>
  <c r="J48" i="47"/>
  <c r="I48" i="47"/>
  <c r="H48" i="47"/>
  <c r="F48" i="47"/>
  <c r="J47" i="47"/>
  <c r="I47" i="47"/>
  <c r="H47" i="47"/>
  <c r="F47" i="47"/>
  <c r="J46" i="47"/>
  <c r="I46" i="47"/>
  <c r="H46" i="47"/>
  <c r="F46" i="47"/>
  <c r="J45" i="47"/>
  <c r="I45" i="47"/>
  <c r="H45" i="47"/>
  <c r="F45" i="47"/>
  <c r="J44" i="47"/>
  <c r="I44" i="47"/>
  <c r="H44" i="47"/>
  <c r="F44" i="47"/>
  <c r="J43" i="47"/>
  <c r="I43" i="47"/>
  <c r="H43" i="47"/>
  <c r="F43" i="47"/>
  <c r="J38" i="47"/>
  <c r="I38" i="47"/>
  <c r="F38" i="47"/>
  <c r="J37" i="47"/>
  <c r="I37" i="47"/>
  <c r="F37" i="47"/>
  <c r="J36" i="47"/>
  <c r="I36" i="47"/>
  <c r="F36" i="47"/>
  <c r="J35" i="47"/>
  <c r="I35" i="47"/>
  <c r="F35" i="47"/>
  <c r="J34" i="47"/>
  <c r="I34" i="47"/>
  <c r="F34" i="47"/>
  <c r="J33" i="47"/>
  <c r="I33" i="47"/>
  <c r="F33" i="47"/>
  <c r="J32" i="47"/>
  <c r="I32" i="47"/>
  <c r="H32" i="47"/>
  <c r="F32" i="47"/>
  <c r="J27" i="47"/>
  <c r="I27" i="47"/>
  <c r="H27" i="47"/>
  <c r="F27" i="47"/>
  <c r="J26" i="47"/>
  <c r="I26" i="47"/>
  <c r="H26" i="47"/>
  <c r="F26" i="47"/>
  <c r="J25" i="47"/>
  <c r="I25" i="47"/>
  <c r="H25" i="47"/>
  <c r="F25" i="47"/>
  <c r="J23" i="47"/>
  <c r="I23" i="47"/>
  <c r="H23" i="47"/>
  <c r="F23" i="47"/>
  <c r="J22" i="47"/>
  <c r="I22" i="47"/>
  <c r="H22" i="47"/>
  <c r="F22" i="47"/>
  <c r="J17" i="47"/>
  <c r="I17" i="47"/>
  <c r="H17" i="47"/>
  <c r="F17" i="47"/>
  <c r="J16" i="47"/>
  <c r="I16" i="47"/>
  <c r="H16" i="47"/>
  <c r="F16" i="47"/>
  <c r="P163" i="74"/>
  <c r="P141" i="74"/>
  <c r="J78" i="23" l="1"/>
  <c r="I78" i="23"/>
  <c r="H78" i="23"/>
  <c r="F78" i="23"/>
  <c r="J54" i="23"/>
  <c r="I54" i="23"/>
  <c r="H54" i="23"/>
  <c r="F54" i="23"/>
  <c r="J102" i="23"/>
  <c r="I102" i="23"/>
  <c r="H102" i="23"/>
  <c r="F102" i="23"/>
  <c r="J101" i="23"/>
  <c r="I101" i="23"/>
  <c r="H101" i="23"/>
  <c r="F101" i="23"/>
  <c r="J99" i="23"/>
  <c r="I99" i="23"/>
  <c r="H99" i="23"/>
  <c r="F99" i="23"/>
  <c r="J98" i="23"/>
  <c r="I98" i="23"/>
  <c r="H98" i="23"/>
  <c r="F98" i="23"/>
  <c r="J97" i="23"/>
  <c r="I97" i="23"/>
  <c r="H97" i="23"/>
  <c r="F97" i="23"/>
  <c r="J96" i="23"/>
  <c r="I96" i="23"/>
  <c r="H96" i="23"/>
  <c r="F96" i="23"/>
  <c r="J95" i="23"/>
  <c r="I95" i="23"/>
  <c r="H95" i="23"/>
  <c r="F95" i="23"/>
  <c r="J89" i="23"/>
  <c r="I89" i="23"/>
  <c r="H89" i="23"/>
  <c r="F89" i="23"/>
  <c r="J88" i="23"/>
  <c r="I88" i="23"/>
  <c r="H88" i="23"/>
  <c r="F88" i="23"/>
  <c r="J87" i="23"/>
  <c r="I87" i="23"/>
  <c r="H87" i="23"/>
  <c r="F87" i="23"/>
  <c r="J86" i="23"/>
  <c r="I86" i="23"/>
  <c r="H86" i="23"/>
  <c r="F86" i="23"/>
  <c r="J85" i="23"/>
  <c r="I85" i="23"/>
  <c r="H85" i="23"/>
  <c r="F85" i="23"/>
  <c r="J84" i="23"/>
  <c r="I84" i="23"/>
  <c r="H84" i="23"/>
  <c r="F84" i="23"/>
  <c r="J83" i="23"/>
  <c r="I83" i="23"/>
  <c r="H83" i="23"/>
  <c r="F83" i="23"/>
  <c r="J82" i="23"/>
  <c r="I82" i="23"/>
  <c r="H82" i="23"/>
  <c r="F82" i="23"/>
  <c r="J81" i="23"/>
  <c r="I81" i="23"/>
  <c r="H81" i="23"/>
  <c r="F81" i="23"/>
  <c r="J80" i="23"/>
  <c r="I80" i="23"/>
  <c r="H80" i="23"/>
  <c r="F80" i="23"/>
  <c r="J79" i="23"/>
  <c r="I79" i="23"/>
  <c r="H79" i="23"/>
  <c r="F79" i="23"/>
  <c r="J61" i="23"/>
  <c r="I61" i="23"/>
  <c r="H61" i="23"/>
  <c r="F61" i="23"/>
  <c r="J60" i="23"/>
  <c r="I60" i="23"/>
  <c r="H60" i="23"/>
  <c r="F60" i="23"/>
  <c r="J59" i="23"/>
  <c r="I59" i="23"/>
  <c r="H59" i="23"/>
  <c r="F59" i="23"/>
  <c r="J58" i="23"/>
  <c r="I58" i="23"/>
  <c r="H58" i="23"/>
  <c r="F58" i="23"/>
  <c r="J57" i="23"/>
  <c r="I57" i="23"/>
  <c r="H57" i="23"/>
  <c r="F57" i="23"/>
  <c r="J56" i="23"/>
  <c r="I56" i="23"/>
  <c r="H56" i="23"/>
  <c r="F56" i="23"/>
  <c r="J55" i="23"/>
  <c r="I55" i="23"/>
  <c r="H55" i="23"/>
  <c r="F55" i="23"/>
  <c r="J49" i="23"/>
  <c r="I49" i="23"/>
  <c r="H49" i="23"/>
  <c r="F49" i="23"/>
  <c r="J48" i="23"/>
  <c r="I48" i="23"/>
  <c r="H48" i="23"/>
  <c r="F48" i="23"/>
  <c r="J47" i="23"/>
  <c r="I47" i="23"/>
  <c r="H47" i="23"/>
  <c r="F47" i="23"/>
  <c r="J46" i="23"/>
  <c r="I46" i="23"/>
  <c r="H46" i="23"/>
  <c r="F46" i="23"/>
  <c r="J45" i="23"/>
  <c r="I45" i="23"/>
  <c r="H45" i="23"/>
  <c r="F45" i="23"/>
  <c r="J44" i="23"/>
  <c r="I44" i="23"/>
  <c r="H44" i="23"/>
  <c r="F44" i="23"/>
  <c r="J43" i="23"/>
  <c r="I43" i="23"/>
  <c r="H43" i="23"/>
  <c r="F43" i="23"/>
  <c r="J38" i="23"/>
  <c r="I38" i="23"/>
  <c r="H38" i="23"/>
  <c r="F38" i="23"/>
  <c r="J37" i="23"/>
  <c r="I37" i="23"/>
  <c r="H37" i="23"/>
  <c r="F37" i="23"/>
  <c r="J36" i="23"/>
  <c r="I36" i="23"/>
  <c r="H36" i="23"/>
  <c r="F36" i="23"/>
  <c r="J35" i="23"/>
  <c r="I35" i="23"/>
  <c r="H35" i="23"/>
  <c r="F35" i="23"/>
  <c r="J34" i="23"/>
  <c r="I34" i="23"/>
  <c r="H34" i="23"/>
  <c r="F34" i="23"/>
  <c r="J33" i="23"/>
  <c r="I33" i="23"/>
  <c r="H33" i="23"/>
  <c r="F33" i="23"/>
  <c r="J32" i="23"/>
  <c r="I32" i="23"/>
  <c r="H32" i="23"/>
  <c r="F32" i="23"/>
  <c r="J27" i="23"/>
  <c r="I27" i="23"/>
  <c r="H27" i="23"/>
  <c r="F27" i="23"/>
  <c r="J26" i="23"/>
  <c r="I26" i="23"/>
  <c r="H26" i="23"/>
  <c r="F26" i="23"/>
  <c r="J25" i="23"/>
  <c r="I25" i="23"/>
  <c r="H25" i="23"/>
  <c r="F25" i="23"/>
  <c r="J23" i="23"/>
  <c r="I23" i="23"/>
  <c r="H23" i="23"/>
  <c r="F23" i="23"/>
  <c r="J22" i="23"/>
  <c r="I22" i="23"/>
  <c r="H17" i="23"/>
  <c r="H22" i="23"/>
  <c r="F22" i="23"/>
  <c r="J17" i="23"/>
  <c r="I17" i="23"/>
  <c r="F17" i="23"/>
  <c r="J16" i="23"/>
  <c r="I16" i="23"/>
  <c r="F16" i="23"/>
  <c r="H16" i="23"/>
  <c r="R449" i="46"/>
  <c r="P449" i="46"/>
  <c r="R448" i="46"/>
  <c r="P448" i="46"/>
  <c r="R447" i="46"/>
  <c r="P447" i="46"/>
  <c r="R443" i="46"/>
  <c r="P443" i="46"/>
  <c r="R442" i="46"/>
  <c r="P442" i="46"/>
  <c r="R438" i="46"/>
  <c r="P438" i="46"/>
  <c r="R437" i="46"/>
  <c r="P437" i="46"/>
  <c r="R436" i="46"/>
  <c r="P436" i="46"/>
  <c r="R433" i="46"/>
  <c r="P433" i="46"/>
  <c r="R432" i="46"/>
  <c r="P432" i="46"/>
  <c r="N449" i="46"/>
  <c r="L449" i="46"/>
  <c r="J449" i="46"/>
  <c r="H449" i="46"/>
  <c r="N448" i="46"/>
  <c r="L448" i="46"/>
  <c r="J448" i="46"/>
  <c r="H448" i="46"/>
  <c r="N447" i="46"/>
  <c r="L447" i="46"/>
  <c r="J447" i="46"/>
  <c r="H447" i="46"/>
  <c r="N443" i="46"/>
  <c r="L443" i="46"/>
  <c r="J443" i="46"/>
  <c r="H443" i="46"/>
  <c r="N442" i="46"/>
  <c r="L442" i="46"/>
  <c r="J442" i="46"/>
  <c r="H442" i="46"/>
  <c r="N438" i="46"/>
  <c r="L438" i="46"/>
  <c r="J438" i="46"/>
  <c r="H438" i="46"/>
  <c r="N437" i="46"/>
  <c r="L437" i="46"/>
  <c r="J437" i="46"/>
  <c r="H437" i="46"/>
  <c r="N436" i="46"/>
  <c r="L436" i="46"/>
  <c r="J436" i="46"/>
  <c r="H436" i="46"/>
  <c r="N433" i="46"/>
  <c r="L433" i="46"/>
  <c r="J433" i="46"/>
  <c r="H433" i="46"/>
  <c r="N432" i="46"/>
  <c r="L432" i="46"/>
  <c r="J432" i="46"/>
  <c r="H432" i="46"/>
  <c r="R382" i="46"/>
  <c r="P382" i="46"/>
  <c r="N382" i="46"/>
  <c r="L382" i="46"/>
  <c r="J382" i="46"/>
  <c r="H382" i="46"/>
  <c r="R381" i="46"/>
  <c r="P381" i="46"/>
  <c r="N381" i="46"/>
  <c r="L381" i="46"/>
  <c r="J381" i="46"/>
  <c r="H381" i="46"/>
  <c r="H379" i="46"/>
  <c r="P357" i="46"/>
  <c r="P337" i="46"/>
  <c r="F337" i="46"/>
  <c r="P316" i="46"/>
  <c r="P295" i="46"/>
  <c r="P276" i="46"/>
  <c r="P252" i="46"/>
  <c r="P172" i="46"/>
  <c r="P182" i="46" s="1"/>
  <c r="P147" i="46"/>
  <c r="F106" i="46"/>
  <c r="F62" i="46"/>
  <c r="P60" i="46"/>
  <c r="E98" i="31" l="1"/>
  <c r="E98" i="66"/>
  <c r="E27" i="66"/>
  <c r="H21" i="58" l="1"/>
  <c r="H18" i="58"/>
  <c r="K56" i="18"/>
  <c r="D54" i="18"/>
  <c r="A53" i="18"/>
  <c r="A54" i="18" s="1"/>
  <c r="A55" i="18" s="1"/>
  <c r="A56" i="18" s="1"/>
  <c r="A57" i="18" s="1"/>
  <c r="F54" i="18"/>
  <c r="K54" i="11"/>
  <c r="A54" i="11"/>
  <c r="A55" i="11" s="1"/>
  <c r="A56" i="11" s="1"/>
  <c r="A57" i="11" s="1"/>
  <c r="A58" i="11" s="1"/>
  <c r="A59" i="11" s="1"/>
  <c r="D56" i="11"/>
  <c r="F56" i="11"/>
  <c r="E514" i="43" l="1"/>
  <c r="E504" i="43"/>
  <c r="E382" i="43"/>
  <c r="E109" i="43"/>
  <c r="AD3" i="55" l="1"/>
  <c r="M3" i="55"/>
  <c r="AF6" i="65"/>
  <c r="O6" i="65"/>
  <c r="M8" i="55" l="1"/>
  <c r="D197" i="30" l="1"/>
  <c r="D170" i="30"/>
  <c r="D161" i="30"/>
  <c r="D73" i="30"/>
  <c r="D49" i="30"/>
  <c r="D38" i="30"/>
  <c r="D27" i="30"/>
  <c r="D201" i="30"/>
  <c r="D199" i="30"/>
  <c r="D177" i="30"/>
  <c r="D176" i="30"/>
  <c r="D174" i="30"/>
  <c r="D173" i="30"/>
  <c r="D169" i="30"/>
  <c r="D196" i="30" s="1"/>
  <c r="D167" i="30"/>
  <c r="D194" i="30" s="1"/>
  <c r="D165" i="30"/>
  <c r="D181" i="30" s="1"/>
  <c r="D164" i="30"/>
  <c r="D160" i="30"/>
  <c r="D158" i="30"/>
  <c r="D157" i="30"/>
  <c r="D156" i="30"/>
  <c r="D155" i="30"/>
  <c r="D154" i="30"/>
  <c r="D153" i="30"/>
  <c r="D152" i="30"/>
  <c r="D151" i="30"/>
  <c r="D147" i="30"/>
  <c r="D146" i="30"/>
  <c r="D144" i="30"/>
  <c r="D143" i="30"/>
  <c r="D142" i="30"/>
  <c r="D141" i="30"/>
  <c r="D140" i="30"/>
  <c r="D139" i="30"/>
  <c r="D145" i="30" s="1"/>
  <c r="D180" i="30"/>
  <c r="D98" i="30"/>
  <c r="D97" i="30"/>
  <c r="D96" i="30"/>
  <c r="D95" i="30"/>
  <c r="D94" i="30"/>
  <c r="D93" i="30"/>
  <c r="D92" i="30"/>
  <c r="D91" i="30"/>
  <c r="D90" i="30"/>
  <c r="D89" i="30"/>
  <c r="D88" i="30"/>
  <c r="D87" i="30"/>
  <c r="D86" i="30"/>
  <c r="D53" i="30"/>
  <c r="D60" i="30" s="1"/>
  <c r="D19" i="30"/>
  <c r="D48" i="30" s="1"/>
  <c r="D14" i="30"/>
  <c r="D16" i="30" s="1"/>
  <c r="D56" i="30"/>
  <c r="D201" i="69"/>
  <c r="D199" i="69"/>
  <c r="D177" i="69"/>
  <c r="D176" i="69"/>
  <c r="D174" i="69"/>
  <c r="D173" i="69"/>
  <c r="D169" i="69"/>
  <c r="D167" i="69"/>
  <c r="D165" i="69"/>
  <c r="D164" i="69"/>
  <c r="D157" i="69"/>
  <c r="D156" i="69"/>
  <c r="D155" i="69"/>
  <c r="D154" i="69"/>
  <c r="D153" i="69"/>
  <c r="D92" i="69"/>
  <c r="D91" i="69"/>
  <c r="D90" i="69"/>
  <c r="D89" i="69"/>
  <c r="D88" i="69"/>
  <c r="D87" i="69"/>
  <c r="D86" i="69"/>
  <c r="D53" i="69"/>
  <c r="D14" i="69"/>
  <c r="D19" i="69"/>
  <c r="D203" i="69" s="1"/>
  <c r="D175" i="30" l="1"/>
  <c r="D33" i="30"/>
  <c r="D59" i="30"/>
  <c r="D72" i="30"/>
  <c r="D55" i="30"/>
  <c r="D22" i="30"/>
  <c r="D44" i="30"/>
  <c r="D203" i="30"/>
  <c r="D148" i="30"/>
  <c r="D21" i="30"/>
  <c r="D32" i="30"/>
  <c r="D43" i="30"/>
  <c r="D58" i="30"/>
  <c r="D25" i="30"/>
  <c r="D36" i="30"/>
  <c r="D47" i="30"/>
  <c r="D46" i="30"/>
  <c r="D26" i="30"/>
  <c r="D37" i="30"/>
  <c r="D23" i="30"/>
  <c r="D30" i="30"/>
  <c r="D34" i="30"/>
  <c r="D41" i="30"/>
  <c r="D45" i="30"/>
  <c r="D57" i="30"/>
  <c r="D20" i="30"/>
  <c r="D24" i="30"/>
  <c r="D31" i="30"/>
  <c r="D35" i="30"/>
  <c r="D42" i="30"/>
  <c r="D54" i="30"/>
  <c r="M10" i="56" l="1"/>
  <c r="M2" i="56"/>
  <c r="M2" i="55" l="1"/>
  <c r="Q34" i="45" l="1"/>
  <c r="Q35" i="45"/>
  <c r="Q36" i="45"/>
  <c r="Q37" i="45"/>
  <c r="Q38" i="45"/>
  <c r="Q39" i="45"/>
  <c r="Q40" i="45"/>
  <c r="Q41" i="45"/>
  <c r="Q42" i="45"/>
  <c r="Q43" i="45"/>
  <c r="Q44" i="45"/>
  <c r="Q45" i="45"/>
  <c r="S508" i="43"/>
  <c r="E508" i="43"/>
  <c r="C508" i="43"/>
  <c r="B508" i="43"/>
  <c r="A508" i="43"/>
  <c r="T386" i="43"/>
  <c r="E386" i="43"/>
  <c r="C386" i="43"/>
  <c r="B386" i="43"/>
  <c r="A386" i="43"/>
  <c r="T113" i="43"/>
  <c r="E113" i="43"/>
  <c r="C113" i="43"/>
  <c r="B113" i="43"/>
  <c r="A113" i="43"/>
  <c r="S566" i="42"/>
  <c r="S528" i="42"/>
  <c r="E528" i="42"/>
  <c r="C528" i="42"/>
  <c r="B528" i="42"/>
  <c r="A528" i="42"/>
  <c r="E404" i="42"/>
  <c r="C404" i="42"/>
  <c r="B404" i="42"/>
  <c r="A404" i="42"/>
  <c r="S219" i="42"/>
  <c r="E219" i="42"/>
  <c r="C219" i="42"/>
  <c r="B219" i="42"/>
  <c r="A219" i="42"/>
  <c r="E113" i="42"/>
  <c r="C113" i="42"/>
  <c r="B113" i="42"/>
  <c r="A113" i="42"/>
  <c r="A114" i="42"/>
  <c r="B114" i="42"/>
  <c r="C114" i="42"/>
  <c r="E114" i="42"/>
  <c r="H47" i="31" l="1"/>
  <c r="H17" i="31"/>
  <c r="H19" i="31" s="1"/>
  <c r="H81" i="66" l="1"/>
  <c r="L81" i="66"/>
  <c r="J81" i="66"/>
  <c r="U77" i="66"/>
  <c r="T77" i="66"/>
  <c r="J47" i="31"/>
  <c r="J17" i="31"/>
  <c r="J19" i="31" s="1"/>
  <c r="L117" i="31" l="1"/>
  <c r="L107" i="31"/>
  <c r="L95" i="31"/>
  <c r="L90" i="31"/>
  <c r="L84" i="31"/>
  <c r="L119" i="31" s="1"/>
  <c r="P117" i="31"/>
  <c r="P107" i="31"/>
  <c r="P95" i="31"/>
  <c r="P90" i="31"/>
  <c r="P84" i="31"/>
  <c r="P119" i="31" s="1"/>
  <c r="N117" i="31"/>
  <c r="N107" i="31"/>
  <c r="N95" i="31"/>
  <c r="N90" i="31"/>
  <c r="N84" i="31"/>
  <c r="N119" i="31" s="1"/>
  <c r="L57" i="31"/>
  <c r="L47" i="31"/>
  <c r="L28" i="31"/>
  <c r="L17" i="31"/>
  <c r="L19" i="31" s="1"/>
  <c r="L21" i="31" s="1"/>
  <c r="L59" i="31" s="1"/>
  <c r="N57" i="31"/>
  <c r="N47" i="31"/>
  <c r="N28" i="31"/>
  <c r="N17" i="31"/>
  <c r="N19" i="31" s="1"/>
  <c r="N21" i="31" s="1"/>
  <c r="N59" i="31" s="1"/>
  <c r="P57" i="31"/>
  <c r="P47" i="31"/>
  <c r="P28" i="31"/>
  <c r="P17" i="31"/>
  <c r="P19" i="31" s="1"/>
  <c r="P21" i="31" s="1"/>
  <c r="P59" i="31" s="1"/>
  <c r="A16" i="82" l="1"/>
  <c r="A17" i="82" s="1"/>
  <c r="A18" i="82" s="1"/>
  <c r="A19" i="82" s="1"/>
  <c r="Q17" i="82"/>
  <c r="W17" i="82" s="1"/>
  <c r="A16" i="80"/>
  <c r="A17" i="80" s="1"/>
  <c r="A18" i="80" s="1"/>
  <c r="A19" i="80" s="1"/>
  <c r="Q17" i="80"/>
  <c r="W17" i="80" s="1"/>
  <c r="C38" i="3" l="1"/>
  <c r="P60" i="82" l="1"/>
  <c r="O60" i="82"/>
  <c r="N60" i="82"/>
  <c r="M60" i="82"/>
  <c r="L60" i="82"/>
  <c r="K60" i="82"/>
  <c r="P58" i="82"/>
  <c r="O58" i="82"/>
  <c r="N58" i="82"/>
  <c r="M58" i="82"/>
  <c r="L58" i="82"/>
  <c r="K58" i="82"/>
  <c r="J58" i="82"/>
  <c r="I58" i="82"/>
  <c r="H58" i="82"/>
  <c r="G58" i="82"/>
  <c r="F58" i="82"/>
  <c r="E58" i="82"/>
  <c r="D58" i="82"/>
  <c r="A4" i="82"/>
  <c r="A52" i="82" s="1"/>
  <c r="A4" i="81"/>
  <c r="W62" i="82"/>
  <c r="Q62" i="82"/>
  <c r="A54" i="82"/>
  <c r="Q34" i="82"/>
  <c r="W34" i="82" s="1"/>
  <c r="Q33" i="82"/>
  <c r="W33" i="82" s="1"/>
  <c r="Q32" i="82"/>
  <c r="W32" i="82" s="1"/>
  <c r="Q31" i="82"/>
  <c r="W31" i="82" s="1"/>
  <c r="W30" i="82"/>
  <c r="Q30" i="82"/>
  <c r="Q29" i="82"/>
  <c r="W29" i="82" s="1"/>
  <c r="Q28" i="82"/>
  <c r="Q36" i="82" s="1"/>
  <c r="P24" i="82"/>
  <c r="O24" i="82"/>
  <c r="N24" i="82"/>
  <c r="M24" i="82"/>
  <c r="L24" i="82"/>
  <c r="K24" i="82"/>
  <c r="J24" i="82"/>
  <c r="I24" i="82"/>
  <c r="H24" i="82"/>
  <c r="G24" i="82"/>
  <c r="F24" i="82"/>
  <c r="E24" i="82"/>
  <c r="D24" i="82"/>
  <c r="Q19" i="82"/>
  <c r="W19" i="82" s="1"/>
  <c r="A21" i="82"/>
  <c r="A28" i="82" s="1"/>
  <c r="A29" i="82" s="1"/>
  <c r="A30" i="82" s="1"/>
  <c r="A31" i="82" s="1"/>
  <c r="A32" i="82" s="1"/>
  <c r="A33" i="82" s="1"/>
  <c r="A34" i="82" s="1"/>
  <c r="A36" i="82" s="1"/>
  <c r="A38" i="82" s="1"/>
  <c r="Q18" i="82"/>
  <c r="W18" i="82" s="1"/>
  <c r="W16" i="82"/>
  <c r="Q16" i="82"/>
  <c r="Q15" i="82"/>
  <c r="W15" i="82" s="1"/>
  <c r="A15" i="82"/>
  <c r="W14" i="82"/>
  <c r="Q14" i="82"/>
  <c r="W8" i="82"/>
  <c r="W56" i="82" s="1"/>
  <c r="A7" i="82"/>
  <c r="A55" i="82" s="1"/>
  <c r="A2" i="82"/>
  <c r="A50" i="82" s="1"/>
  <c r="A1" i="82"/>
  <c r="A49" i="82" s="1"/>
  <c r="O72" i="81"/>
  <c r="Q72" i="81" s="1"/>
  <c r="O70" i="81"/>
  <c r="Q70" i="81" s="1"/>
  <c r="O68" i="81"/>
  <c r="Q68" i="81" s="1"/>
  <c r="O64" i="81"/>
  <c r="Q64" i="81" s="1"/>
  <c r="O62" i="81"/>
  <c r="Q62" i="81" s="1"/>
  <c r="O60" i="81"/>
  <c r="Q60" i="81" s="1"/>
  <c r="O58" i="81"/>
  <c r="Q58" i="81" s="1"/>
  <c r="O56" i="81"/>
  <c r="Q56" i="81" s="1"/>
  <c r="O54" i="81"/>
  <c r="Q54" i="81" s="1"/>
  <c r="O52" i="81"/>
  <c r="Q52" i="81" s="1"/>
  <c r="O50" i="81"/>
  <c r="Q50" i="81" s="1"/>
  <c r="O48" i="81"/>
  <c r="Q48" i="81" s="1"/>
  <c r="O45" i="81"/>
  <c r="Q45" i="81" s="1"/>
  <c r="O44" i="81"/>
  <c r="Q44" i="81" s="1"/>
  <c r="O43" i="81"/>
  <c r="Q43" i="81" s="1"/>
  <c r="O39" i="81"/>
  <c r="Q39" i="81" s="1"/>
  <c r="O38" i="81"/>
  <c r="Q38" i="81" s="1"/>
  <c r="O37" i="81"/>
  <c r="Q37" i="81" s="1"/>
  <c r="O33" i="81"/>
  <c r="Q33" i="81" s="1"/>
  <c r="O32" i="81"/>
  <c r="Q32" i="81" s="1"/>
  <c r="O31" i="81"/>
  <c r="Q31" i="81" s="1"/>
  <c r="O30" i="81"/>
  <c r="Q30" i="81" s="1"/>
  <c r="O26" i="81"/>
  <c r="Q26" i="81" s="1"/>
  <c r="O25" i="81"/>
  <c r="Q25" i="81" s="1"/>
  <c r="O24" i="81"/>
  <c r="Q24" i="81" s="1"/>
  <c r="O23" i="81"/>
  <c r="Q23" i="81" s="1"/>
  <c r="O22" i="81"/>
  <c r="Q22" i="81" s="1"/>
  <c r="O21" i="81"/>
  <c r="Q21" i="81" s="1"/>
  <c r="O20" i="81"/>
  <c r="Q20" i="81" s="1"/>
  <c r="O19" i="81"/>
  <c r="Q19" i="81" s="1"/>
  <c r="O18" i="81"/>
  <c r="Q18" i="81" s="1"/>
  <c r="O17" i="81"/>
  <c r="Q17" i="81" s="1"/>
  <c r="A17" i="81"/>
  <c r="A18" i="81" s="1"/>
  <c r="A19" i="81" s="1"/>
  <c r="A20" i="81" s="1"/>
  <c r="A21" i="81" s="1"/>
  <c r="A22" i="81" s="1"/>
  <c r="A23" i="81" s="1"/>
  <c r="A24" i="81" s="1"/>
  <c r="A25" i="81" s="1"/>
  <c r="A26" i="81" s="1"/>
  <c r="A27" i="81" s="1"/>
  <c r="A29" i="81" s="1"/>
  <c r="A30" i="81" s="1"/>
  <c r="A31" i="81" s="1"/>
  <c r="A32" i="81" s="1"/>
  <c r="A33" i="81" s="1"/>
  <c r="A34" i="81" s="1"/>
  <c r="A36" i="81" s="1"/>
  <c r="A37" i="81" s="1"/>
  <c r="A38" i="81" s="1"/>
  <c r="A39" i="81" s="1"/>
  <c r="A40" i="81" s="1"/>
  <c r="A42" i="81" s="1"/>
  <c r="A43" i="81" s="1"/>
  <c r="A44" i="81" s="1"/>
  <c r="A45" i="81" s="1"/>
  <c r="A46" i="81" s="1"/>
  <c r="A48" i="81" s="1"/>
  <c r="A50" i="81" s="1"/>
  <c r="A52" i="81" s="1"/>
  <c r="A54" i="81" s="1"/>
  <c r="A56" i="81" s="1"/>
  <c r="A58" i="81" s="1"/>
  <c r="A60" i="81" s="1"/>
  <c r="A62" i="81" s="1"/>
  <c r="A64" i="81" s="1"/>
  <c r="A66" i="81" s="1"/>
  <c r="A68" i="81" s="1"/>
  <c r="A70" i="81" s="1"/>
  <c r="A72" i="81" s="1"/>
  <c r="A74" i="81" s="1"/>
  <c r="A76" i="81" s="1"/>
  <c r="A78" i="81" s="1"/>
  <c r="A80" i="81" s="1"/>
  <c r="A82" i="81" s="1"/>
  <c r="O16" i="81"/>
  <c r="Q16" i="81" s="1"/>
  <c r="A16" i="81"/>
  <c r="O15" i="81"/>
  <c r="Q15" i="81" s="1"/>
  <c r="A15" i="81"/>
  <c r="O14" i="81"/>
  <c r="Q14" i="81" s="1"/>
  <c r="A14" i="81"/>
  <c r="O13" i="81"/>
  <c r="Q13" i="81" s="1"/>
  <c r="A13" i="81"/>
  <c r="O12" i="81"/>
  <c r="Q12" i="81" s="1"/>
  <c r="Q8" i="81"/>
  <c r="A7" i="81"/>
  <c r="A2" i="81"/>
  <c r="A1" i="81"/>
  <c r="E21" i="25"/>
  <c r="E47" i="25"/>
  <c r="P60" i="80"/>
  <c r="O60" i="80"/>
  <c r="N60" i="80"/>
  <c r="M60" i="80"/>
  <c r="L60" i="80"/>
  <c r="K60" i="80"/>
  <c r="J60" i="80"/>
  <c r="I60" i="80"/>
  <c r="H60" i="80"/>
  <c r="G60" i="80"/>
  <c r="F60" i="80"/>
  <c r="E60" i="80"/>
  <c r="W8" i="80"/>
  <c r="A7" i="80"/>
  <c r="A4" i="80"/>
  <c r="A2" i="80"/>
  <c r="A1" i="80"/>
  <c r="Q16" i="80"/>
  <c r="Q40" i="81" l="1"/>
  <c r="W28" i="82"/>
  <c r="W36" i="82"/>
  <c r="Q21" i="82"/>
  <c r="Q27" i="81"/>
  <c r="Q38" i="82"/>
  <c r="W21" i="82"/>
  <c r="Q34" i="81"/>
  <c r="Q46" i="81"/>
  <c r="Q32" i="80"/>
  <c r="W32" i="80" s="1"/>
  <c r="Q66" i="81" l="1"/>
  <c r="Q74" i="81" s="1"/>
  <c r="W38" i="82"/>
  <c r="Q76" i="81" s="1"/>
  <c r="Q78" i="81" l="1"/>
  <c r="D38" i="59" s="1"/>
  <c r="O56" i="79"/>
  <c r="A4" i="79"/>
  <c r="Q8" i="79"/>
  <c r="A7" i="79"/>
  <c r="A2" i="79"/>
  <c r="A1" i="79"/>
  <c r="W62" i="80"/>
  <c r="Q62" i="80"/>
  <c r="Q60" i="80"/>
  <c r="W60" i="80" s="1"/>
  <c r="W64" i="80" s="1"/>
  <c r="W66" i="80" s="1"/>
  <c r="Q80" i="79" s="1"/>
  <c r="F38" i="58" s="1"/>
  <c r="A54" i="80"/>
  <c r="Q34" i="80"/>
  <c r="W34" i="80" s="1"/>
  <c r="Q33" i="80"/>
  <c r="W33" i="80" s="1"/>
  <c r="Q31" i="80"/>
  <c r="W31" i="80" s="1"/>
  <c r="Q30" i="80"/>
  <c r="W30" i="80" s="1"/>
  <c r="P24" i="80"/>
  <c r="O24" i="80"/>
  <c r="N24" i="80"/>
  <c r="M24" i="80"/>
  <c r="L24" i="80"/>
  <c r="K24" i="80"/>
  <c r="J24" i="80"/>
  <c r="I24" i="80"/>
  <c r="H24" i="80"/>
  <c r="G24" i="80"/>
  <c r="F24" i="80"/>
  <c r="E24" i="80"/>
  <c r="D24" i="80"/>
  <c r="Q19" i="80"/>
  <c r="W19" i="80" s="1"/>
  <c r="Q18" i="80"/>
  <c r="W18" i="80" s="1"/>
  <c r="W16" i="80"/>
  <c r="Q15" i="80"/>
  <c r="W15" i="80" s="1"/>
  <c r="A15" i="80"/>
  <c r="A21" i="80" s="1"/>
  <c r="A28" i="80" s="1"/>
  <c r="A29" i="80" s="1"/>
  <c r="A30" i="80" s="1"/>
  <c r="A31" i="80" s="1"/>
  <c r="A32" i="80" s="1"/>
  <c r="A33" i="80" s="1"/>
  <c r="Q14" i="80"/>
  <c r="W56" i="80"/>
  <c r="A55" i="80"/>
  <c r="A52" i="80"/>
  <c r="A50" i="80"/>
  <c r="A49" i="80"/>
  <c r="A13" i="79"/>
  <c r="A14" i="79" s="1"/>
  <c r="A15" i="79" s="1"/>
  <c r="A16" i="79" s="1"/>
  <c r="A17" i="79" s="1"/>
  <c r="A18" i="79" s="1"/>
  <c r="A19" i="79" s="1"/>
  <c r="A20" i="79" s="1"/>
  <c r="A21" i="79" s="1"/>
  <c r="A22" i="79" s="1"/>
  <c r="A23" i="79" s="1"/>
  <c r="A24" i="79" s="1"/>
  <c r="A25" i="79" s="1"/>
  <c r="A26" i="79" s="1"/>
  <c r="A27" i="79" s="1"/>
  <c r="A29" i="79" s="1"/>
  <c r="A30" i="79" s="1"/>
  <c r="A31" i="79" s="1"/>
  <c r="A32" i="79" s="1"/>
  <c r="A33" i="79" s="1"/>
  <c r="A34" i="79" s="1"/>
  <c r="A36" i="79" s="1"/>
  <c r="A37" i="79" s="1"/>
  <c r="A38" i="79" s="1"/>
  <c r="A39" i="79" s="1"/>
  <c r="A40" i="79" s="1"/>
  <c r="A42" i="79" s="1"/>
  <c r="A43" i="79" s="1"/>
  <c r="A44" i="79" s="1"/>
  <c r="A45" i="79" s="1"/>
  <c r="A46" i="79" s="1"/>
  <c r="A48" i="79" s="1"/>
  <c r="A50" i="79" s="1"/>
  <c r="A52" i="79" s="1"/>
  <c r="A54" i="79" s="1"/>
  <c r="A56" i="79" s="1"/>
  <c r="A58" i="79" s="1"/>
  <c r="A60" i="79" s="1"/>
  <c r="A62" i="79" s="1"/>
  <c r="A64" i="79" s="1"/>
  <c r="A66" i="79" s="1"/>
  <c r="A68" i="79" s="1"/>
  <c r="A70" i="79" s="1"/>
  <c r="A72" i="79" s="1"/>
  <c r="A74" i="79" s="1"/>
  <c r="A76" i="79" s="1"/>
  <c r="A78" i="79" s="1"/>
  <c r="A80" i="79" s="1"/>
  <c r="A82" i="79" s="1"/>
  <c r="Q28" i="80" l="1"/>
  <c r="Q29" i="80"/>
  <c r="W29" i="80" s="1"/>
  <c r="A34" i="80"/>
  <c r="A36" i="80" s="1"/>
  <c r="A38" i="80" s="1"/>
  <c r="Q56" i="79"/>
  <c r="O44" i="79"/>
  <c r="O20" i="79"/>
  <c r="Q20" i="79" s="1"/>
  <c r="O25" i="79"/>
  <c r="Q25" i="79" s="1"/>
  <c r="W28" i="80"/>
  <c r="W14" i="80"/>
  <c r="W21" i="80" s="1"/>
  <c r="Q21" i="80"/>
  <c r="O13" i="79"/>
  <c r="Q13" i="79" s="1"/>
  <c r="O16" i="79"/>
  <c r="O22" i="79"/>
  <c r="Q22" i="79" s="1"/>
  <c r="O43" i="79"/>
  <c r="O31" i="79"/>
  <c r="O30" i="79"/>
  <c r="O24" i="79"/>
  <c r="O23" i="79"/>
  <c r="O15" i="79"/>
  <c r="Q15" i="79" s="1"/>
  <c r="O72" i="79"/>
  <c r="Q72" i="79" s="1"/>
  <c r="O70" i="79"/>
  <c r="Q70" i="79" s="1"/>
  <c r="O68" i="79"/>
  <c r="Q68" i="79" s="1"/>
  <c r="O45" i="79"/>
  <c r="O39" i="79"/>
  <c r="O38" i="79"/>
  <c r="O37" i="79"/>
  <c r="O33" i="79"/>
  <c r="Q33" i="79" s="1"/>
  <c r="O18" i="79"/>
  <c r="Q18" i="79" s="1"/>
  <c r="O12" i="79"/>
  <c r="Q12" i="79" s="1"/>
  <c r="O62" i="79"/>
  <c r="O14" i="79"/>
  <c r="Q14" i="79" s="1"/>
  <c r="O17" i="79"/>
  <c r="O19" i="79"/>
  <c r="Q19" i="79" s="1"/>
  <c r="O21" i="79"/>
  <c r="Q21" i="79" s="1"/>
  <c r="O26" i="79"/>
  <c r="Q26" i="79" s="1"/>
  <c r="Q31" i="79"/>
  <c r="O32" i="79"/>
  <c r="Q32" i="79" s="1"/>
  <c r="Q64" i="80"/>
  <c r="Q66" i="80" s="1"/>
  <c r="Q36" i="80" l="1"/>
  <c r="Q38" i="80" s="1"/>
  <c r="W36" i="80"/>
  <c r="W38" i="80" s="1"/>
  <c r="Q76" i="79" s="1"/>
  <c r="O64" i="79"/>
  <c r="O52" i="79"/>
  <c r="Q52" i="79" s="1"/>
  <c r="O60" i="79"/>
  <c r="O48" i="79"/>
  <c r="Q48" i="79" s="1"/>
  <c r="O54" i="79"/>
  <c r="Q23" i="79"/>
  <c r="Q30" i="79"/>
  <c r="Q34" i="79" s="1"/>
  <c r="O50" i="79"/>
  <c r="Q50" i="79" s="1"/>
  <c r="O58" i="79"/>
  <c r="Q58" i="79" s="1"/>
  <c r="AJ17" i="72"/>
  <c r="AI18" i="72" l="1"/>
  <c r="AH16" i="72"/>
  <c r="F116" i="31" l="1"/>
  <c r="F115" i="31"/>
  <c r="F114" i="31"/>
  <c r="F113" i="31"/>
  <c r="F112" i="31"/>
  <c r="F111" i="31"/>
  <c r="F110" i="31"/>
  <c r="F93" i="31"/>
  <c r="F106" i="31"/>
  <c r="F105" i="31"/>
  <c r="F104" i="31"/>
  <c r="F103" i="31"/>
  <c r="F102" i="31"/>
  <c r="F101" i="31"/>
  <c r="F100" i="31"/>
  <c r="F99" i="31"/>
  <c r="F98" i="31"/>
  <c r="F94" i="31"/>
  <c r="F89" i="31"/>
  <c r="F87" i="31"/>
  <c r="F82" i="31"/>
  <c r="F81" i="31"/>
  <c r="F80" i="31"/>
  <c r="F79" i="31"/>
  <c r="F78" i="31"/>
  <c r="F53" i="31"/>
  <c r="F54" i="31"/>
  <c r="F56" i="31"/>
  <c r="F50" i="31"/>
  <c r="F55" i="31"/>
  <c r="F46" i="31"/>
  <c r="F45" i="31"/>
  <c r="F44" i="31"/>
  <c r="F43" i="31"/>
  <c r="F42" i="31"/>
  <c r="F41" i="31"/>
  <c r="F40" i="31"/>
  <c r="F39" i="31"/>
  <c r="F36" i="31"/>
  <c r="F37" i="31"/>
  <c r="F38" i="31"/>
  <c r="F35" i="31"/>
  <c r="F34" i="31"/>
  <c r="F33" i="31"/>
  <c r="F31" i="31"/>
  <c r="K44" i="78" l="1"/>
  <c r="J44" i="78"/>
  <c r="K31" i="78"/>
  <c r="J31" i="78"/>
  <c r="K20" i="78"/>
  <c r="J20" i="78"/>
  <c r="K11" i="78"/>
  <c r="J11" i="78"/>
  <c r="A66" i="10"/>
  <c r="A67" i="10" s="1"/>
  <c r="A68" i="10" s="1"/>
  <c r="A69" i="10" s="1"/>
  <c r="A70" i="10" s="1"/>
  <c r="A71" i="10" s="1"/>
  <c r="D160" i="69"/>
  <c r="D158" i="69"/>
  <c r="D152" i="69"/>
  <c r="D151" i="69"/>
  <c r="D147" i="69"/>
  <c r="D146" i="69"/>
  <c r="D144" i="69"/>
  <c r="D143" i="69"/>
  <c r="D142" i="69"/>
  <c r="D141" i="69"/>
  <c r="D140" i="69"/>
  <c r="D139" i="69"/>
  <c r="D98" i="69"/>
  <c r="D97" i="69"/>
  <c r="D96" i="69"/>
  <c r="D95" i="69"/>
  <c r="D94" i="69"/>
  <c r="D93" i="69"/>
  <c r="C14" i="67"/>
  <c r="C14" i="68"/>
  <c r="C45" i="26"/>
  <c r="E45" i="25" s="1"/>
  <c r="C20" i="26"/>
  <c r="E19" i="25" s="1"/>
  <c r="H52" i="78" l="1"/>
  <c r="H51" i="78"/>
  <c r="H50" i="78"/>
  <c r="H49" i="78"/>
  <c r="G44" i="78"/>
  <c r="H43" i="78"/>
  <c r="H42" i="78"/>
  <c r="H41" i="78"/>
  <c r="H40" i="78"/>
  <c r="H39" i="78"/>
  <c r="H38" i="78"/>
  <c r="H37" i="78"/>
  <c r="H36" i="78"/>
  <c r="H44" i="78" s="1"/>
  <c r="E44" i="78"/>
  <c r="J45" i="78" s="1"/>
  <c r="E31" i="78"/>
  <c r="J32" i="78" s="1"/>
  <c r="H30" i="78"/>
  <c r="H28" i="78"/>
  <c r="H26" i="78"/>
  <c r="G31" i="78"/>
  <c r="K32" i="78" s="1"/>
  <c r="H19" i="78"/>
  <c r="H18" i="78"/>
  <c r="H17" i="78"/>
  <c r="G20" i="78"/>
  <c r="K21" i="78" s="1"/>
  <c r="H16" i="78"/>
  <c r="H20" i="78" s="1"/>
  <c r="H9" i="78"/>
  <c r="H7" i="78"/>
  <c r="G11" i="78"/>
  <c r="K12" i="78" s="1"/>
  <c r="K42" i="78" l="1"/>
  <c r="K40" i="78"/>
  <c r="K38" i="78"/>
  <c r="K36" i="78"/>
  <c r="K19" i="78"/>
  <c r="K17" i="78"/>
  <c r="K30" i="78"/>
  <c r="K28" i="78"/>
  <c r="K26" i="78"/>
  <c r="K9" i="78"/>
  <c r="K7" i="78"/>
  <c r="K43" i="78"/>
  <c r="K41" i="78"/>
  <c r="K39" i="78"/>
  <c r="K37" i="78"/>
  <c r="K29" i="78"/>
  <c r="K27" i="78"/>
  <c r="K25" i="78"/>
  <c r="K18" i="78"/>
  <c r="K16" i="78"/>
  <c r="K10" i="78"/>
  <c r="K8" i="78"/>
  <c r="K6" i="78"/>
  <c r="E20" i="78"/>
  <c r="J21" i="78" s="1"/>
  <c r="H53" i="78"/>
  <c r="H25" i="78"/>
  <c r="H27" i="78"/>
  <c r="H29" i="78"/>
  <c r="G53" i="78"/>
  <c r="E53" i="78"/>
  <c r="K45" i="78"/>
  <c r="E11" i="78"/>
  <c r="J12" i="78" s="1"/>
  <c r="H6" i="78"/>
  <c r="H8" i="78"/>
  <c r="H10" i="78"/>
  <c r="H11" i="78" l="1"/>
  <c r="E56" i="78"/>
  <c r="H31" i="78"/>
  <c r="J29" i="78"/>
  <c r="L29" i="78" s="1"/>
  <c r="J27" i="78"/>
  <c r="L27" i="78" s="1"/>
  <c r="J25" i="78"/>
  <c r="L25" i="78" s="1"/>
  <c r="J10" i="78"/>
  <c r="L10" i="78" s="1"/>
  <c r="J8" i="78"/>
  <c r="L8" i="78" s="1"/>
  <c r="J6" i="78"/>
  <c r="L6" i="78" s="1"/>
  <c r="J42" i="78"/>
  <c r="L42" i="78" s="1"/>
  <c r="J40" i="78"/>
  <c r="L40" i="78" s="1"/>
  <c r="J38" i="78"/>
  <c r="L38" i="78" s="1"/>
  <c r="J36" i="78"/>
  <c r="L36" i="78" s="1"/>
  <c r="J19" i="78"/>
  <c r="L19" i="78" s="1"/>
  <c r="J17" i="78"/>
  <c r="L17" i="78" s="1"/>
  <c r="J30" i="78"/>
  <c r="L30" i="78" s="1"/>
  <c r="J41" i="78"/>
  <c r="L41" i="78" s="1"/>
  <c r="J37" i="78"/>
  <c r="L37" i="78" s="1"/>
  <c r="J43" i="78"/>
  <c r="L43" i="78" s="1"/>
  <c r="J39" i="78"/>
  <c r="L39" i="78" s="1"/>
  <c r="J28" i="78"/>
  <c r="L28" i="78" s="1"/>
  <c r="J26" i="78"/>
  <c r="L26" i="78" s="1"/>
  <c r="J18" i="78"/>
  <c r="L18" i="78" s="1"/>
  <c r="J16" i="78"/>
  <c r="L16" i="78" s="1"/>
  <c r="J9" i="78"/>
  <c r="L9" i="78" s="1"/>
  <c r="J7" i="78"/>
  <c r="L7" i="78" s="1"/>
  <c r="G56" i="78"/>
  <c r="H56" i="78"/>
  <c r="L31" i="78" l="1"/>
  <c r="M31" i="78" s="1"/>
  <c r="L44" i="78"/>
  <c r="M44" i="78" s="1"/>
  <c r="L11" i="78"/>
  <c r="M11" i="78" s="1"/>
  <c r="L20" i="78"/>
  <c r="M20" i="78" s="1"/>
  <c r="G37" i="9" l="1"/>
  <c r="F37" i="9" s="1"/>
  <c r="G34" i="9"/>
  <c r="G39" i="9"/>
  <c r="F39" i="9"/>
  <c r="G38" i="9"/>
  <c r="F38" i="9" s="1"/>
  <c r="F36" i="9"/>
  <c r="G35" i="9"/>
  <c r="F35" i="9"/>
  <c r="G16" i="9"/>
  <c r="F16" i="9" s="1"/>
  <c r="F15" i="9"/>
  <c r="G18" i="9"/>
  <c r="F18" i="9" s="1"/>
  <c r="G17" i="9"/>
  <c r="F17" i="9" s="1"/>
  <c r="G14" i="9"/>
  <c r="G41" i="9" l="1"/>
  <c r="F41" i="9" s="1"/>
  <c r="F14" i="67"/>
  <c r="F34" i="9"/>
  <c r="F15" i="16"/>
  <c r="F40" i="28" l="1"/>
  <c r="D40" i="28"/>
  <c r="F18" i="28"/>
  <c r="D18" i="28"/>
  <c r="AD8" i="55" l="1"/>
  <c r="AD2" i="55" l="1"/>
  <c r="M4" i="55"/>
  <c r="N8" i="51"/>
  <c r="AD4" i="55" l="1"/>
  <c r="E40" i="28" l="1"/>
  <c r="E18" i="28"/>
  <c r="T300" i="43" l="1"/>
  <c r="E300" i="43"/>
  <c r="C300" i="43"/>
  <c r="B300" i="43"/>
  <c r="A300" i="43"/>
  <c r="T295" i="43"/>
  <c r="E295" i="43"/>
  <c r="C295" i="43"/>
  <c r="B295" i="43"/>
  <c r="A295" i="43"/>
  <c r="T294" i="43"/>
  <c r="E294" i="43"/>
  <c r="C294" i="43"/>
  <c r="B294" i="43"/>
  <c r="A294" i="43"/>
  <c r="E318" i="42"/>
  <c r="C318" i="42"/>
  <c r="B318" i="42"/>
  <c r="A318" i="42"/>
  <c r="E313" i="42"/>
  <c r="C313" i="42"/>
  <c r="B313" i="42"/>
  <c r="A313" i="42"/>
  <c r="E312" i="42"/>
  <c r="C312" i="42"/>
  <c r="B312" i="42"/>
  <c r="A312" i="42"/>
  <c r="L13" i="18" l="1"/>
  <c r="L43" i="18"/>
  <c r="AN17" i="76"/>
  <c r="AN18" i="76"/>
  <c r="AM19" i="76"/>
  <c r="W19" i="76"/>
  <c r="AD25" i="76"/>
  <c r="AE25" i="76" s="1"/>
  <c r="AC25" i="76"/>
  <c r="M25" i="76"/>
  <c r="N25" i="76" s="1"/>
  <c r="O25" i="76" s="1"/>
  <c r="P25" i="76" s="1"/>
  <c r="L25" i="76"/>
  <c r="AC24" i="76"/>
  <c r="AD24" i="76" s="1"/>
  <c r="AE24" i="76" s="1"/>
  <c r="AF24" i="76" s="1"/>
  <c r="L24" i="76"/>
  <c r="M24" i="76" s="1"/>
  <c r="AG23" i="76"/>
  <c r="AH23" i="76" s="1"/>
  <c r="AI23" i="76" s="1"/>
  <c r="AJ23" i="76" s="1"/>
  <c r="AK23" i="76" s="1"/>
  <c r="AL23" i="76" s="1"/>
  <c r="AM23" i="76" s="1"/>
  <c r="AC23" i="76"/>
  <c r="AD23" i="76" s="1"/>
  <c r="AE23" i="76" s="1"/>
  <c r="AF23" i="76" s="1"/>
  <c r="L23" i="76"/>
  <c r="M23" i="76" s="1"/>
  <c r="N23" i="76" s="1"/>
  <c r="O23" i="76" s="1"/>
  <c r="P23" i="76" s="1"/>
  <c r="Q23" i="76" s="1"/>
  <c r="R23" i="76" s="1"/>
  <c r="S23" i="76" s="1"/>
  <c r="T23" i="76" s="1"/>
  <c r="U23" i="76" s="1"/>
  <c r="V23" i="76" s="1"/>
  <c r="W23" i="76" s="1"/>
  <c r="X23" i="76" s="1"/>
  <c r="Y23" i="76" s="1"/>
  <c r="Z23" i="76" s="1"/>
  <c r="AA23" i="76" s="1"/>
  <c r="AG22" i="76"/>
  <c r="AH22" i="76" s="1"/>
  <c r="AI22" i="76" s="1"/>
  <c r="AJ22" i="76" s="1"/>
  <c r="AK22" i="76" s="1"/>
  <c r="AL22" i="76" s="1"/>
  <c r="AM22" i="76" s="1"/>
  <c r="AF22" i="76"/>
  <c r="AC22" i="76"/>
  <c r="AD22" i="76" s="1"/>
  <c r="AE22" i="76" s="1"/>
  <c r="L22" i="76"/>
  <c r="M22" i="76" s="1"/>
  <c r="N22" i="76" s="1"/>
  <c r="O22" i="76" s="1"/>
  <c r="P22" i="76" s="1"/>
  <c r="AD21" i="76"/>
  <c r="AE21" i="76" s="1"/>
  <c r="AF21" i="76" s="1"/>
  <c r="AG21" i="76" s="1"/>
  <c r="AH21" i="76" s="1"/>
  <c r="AI21" i="76" s="1"/>
  <c r="AJ21" i="76" s="1"/>
  <c r="AK21" i="76" s="1"/>
  <c r="AL21" i="76" s="1"/>
  <c r="AM21" i="76" s="1"/>
  <c r="AC21" i="76"/>
  <c r="Q21" i="76"/>
  <c r="R21" i="76" s="1"/>
  <c r="S21" i="76" s="1"/>
  <c r="T21" i="76" s="1"/>
  <c r="U21" i="76" s="1"/>
  <c r="V21" i="76" s="1"/>
  <c r="W21" i="76" s="1"/>
  <c r="X21" i="76" s="1"/>
  <c r="Y21" i="76" s="1"/>
  <c r="Z21" i="76" s="1"/>
  <c r="AA21" i="76" s="1"/>
  <c r="M21" i="76"/>
  <c r="N21" i="76" s="1"/>
  <c r="O21" i="76" s="1"/>
  <c r="P21" i="76" s="1"/>
  <c r="L21" i="76"/>
  <c r="F21" i="76"/>
  <c r="B21" i="76"/>
  <c r="E20" i="76"/>
  <c r="G19" i="76"/>
  <c r="E19" i="76"/>
  <c r="K18" i="76"/>
  <c r="K13" i="76"/>
  <c r="F13" i="76"/>
  <c r="G12" i="76"/>
  <c r="N12" i="76" s="1"/>
  <c r="B12" i="76"/>
  <c r="AB11" i="76"/>
  <c r="G11" i="76"/>
  <c r="AC11" i="76" s="1"/>
  <c r="G10" i="76"/>
  <c r="E10" i="76"/>
  <c r="O9" i="76"/>
  <c r="G9" i="76"/>
  <c r="AC9" i="76" s="1"/>
  <c r="E8" i="76"/>
  <c r="L6" i="76"/>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AK6" i="76" s="1"/>
  <c r="AL6" i="76" s="1"/>
  <c r="AM6" i="76" s="1"/>
  <c r="F6" i="76"/>
  <c r="E5" i="76"/>
  <c r="G5" i="76" s="1"/>
  <c r="G4" i="76"/>
  <c r="E4" i="76"/>
  <c r="AE9" i="76" l="1"/>
  <c r="AD11" i="76"/>
  <c r="O12" i="76"/>
  <c r="M9" i="76"/>
  <c r="AI9" i="76"/>
  <c r="L11" i="76"/>
  <c r="AD12" i="76"/>
  <c r="M11" i="76"/>
  <c r="Q22" i="76"/>
  <c r="R22" i="76" s="1"/>
  <c r="S22" i="76" s="1"/>
  <c r="T22" i="76" s="1"/>
  <c r="P9" i="76"/>
  <c r="G6" i="76"/>
  <c r="G8" i="76"/>
  <c r="E13" i="76"/>
  <c r="AJ10" i="76"/>
  <c r="AF10" i="76"/>
  <c r="AB10" i="76"/>
  <c r="X10" i="76"/>
  <c r="T10" i="76"/>
  <c r="P10" i="76"/>
  <c r="L10" i="76"/>
  <c r="AI10" i="76"/>
  <c r="AD10" i="76"/>
  <c r="Y10" i="76"/>
  <c r="S10" i="76"/>
  <c r="N10" i="76"/>
  <c r="AL10" i="76"/>
  <c r="AE10" i="76"/>
  <c r="W10" i="76"/>
  <c r="Q10" i="76"/>
  <c r="U10" i="76"/>
  <c r="AC10" i="76"/>
  <c r="AM10" i="76"/>
  <c r="AJ9" i="76"/>
  <c r="M10" i="76"/>
  <c r="V10" i="76"/>
  <c r="AG10" i="76"/>
  <c r="AK9" i="76"/>
  <c r="O10" i="76"/>
  <c r="Z10" i="76"/>
  <c r="AH10" i="76"/>
  <c r="G21" i="76"/>
  <c r="E6" i="76"/>
  <c r="R10" i="76"/>
  <c r="AA10" i="76"/>
  <c r="AK10" i="76"/>
  <c r="G20" i="76"/>
  <c r="E21" i="76"/>
  <c r="N24" i="76"/>
  <c r="AF11" i="76"/>
  <c r="AG24" i="76"/>
  <c r="Q25" i="76"/>
  <c r="R25" i="76" s="1"/>
  <c r="S25" i="76" s="1"/>
  <c r="T25" i="76" s="1"/>
  <c r="P12" i="76"/>
  <c r="AF25" i="76"/>
  <c r="AG25" i="76" s="1"/>
  <c r="AH25" i="76" s="1"/>
  <c r="AI25" i="76" s="1"/>
  <c r="AE12" i="76"/>
  <c r="AL9" i="76"/>
  <c r="AH9" i="76"/>
  <c r="AD9" i="76"/>
  <c r="N9" i="76"/>
  <c r="AM9" i="76"/>
  <c r="AG9" i="76"/>
  <c r="AB9" i="76"/>
  <c r="L9" i="76"/>
  <c r="AF9" i="76"/>
  <c r="AC12" i="76"/>
  <c r="Q12" i="76"/>
  <c r="M12" i="76"/>
  <c r="AB12" i="76"/>
  <c r="L12" i="76"/>
  <c r="S12" i="76"/>
  <c r="AE11" i="76"/>
  <c r="AJ25" i="76" l="1"/>
  <c r="AI12" i="76"/>
  <c r="U22" i="76"/>
  <c r="T9" i="76"/>
  <c r="AG12" i="76"/>
  <c r="S9" i="76"/>
  <c r="R9" i="76"/>
  <c r="O24" i="76"/>
  <c r="N11" i="76"/>
  <c r="AM8" i="76"/>
  <c r="AI8" i="76"/>
  <c r="AE8" i="76"/>
  <c r="AE13" i="76" s="1"/>
  <c r="AA8" i="76"/>
  <c r="W8" i="76"/>
  <c r="S8" i="76"/>
  <c r="AJ8" i="76"/>
  <c r="AD8" i="76"/>
  <c r="AD13" i="76" s="1"/>
  <c r="Y8" i="76"/>
  <c r="T8" i="76"/>
  <c r="O8" i="76"/>
  <c r="AG8" i="76"/>
  <c r="Z8" i="76"/>
  <c r="R8" i="76"/>
  <c r="M8" i="76"/>
  <c r="M13" i="76" s="1"/>
  <c r="AH8" i="76"/>
  <c r="X8" i="76"/>
  <c r="P8" i="76"/>
  <c r="G13" i="76"/>
  <c r="AF8" i="76"/>
  <c r="V8" i="76"/>
  <c r="N8" i="76"/>
  <c r="AL8" i="76"/>
  <c r="AC8" i="76"/>
  <c r="AC13" i="76" s="1"/>
  <c r="U8" i="76"/>
  <c r="L8" i="76"/>
  <c r="L13" i="76" s="1"/>
  <c r="L17" i="76" s="1"/>
  <c r="AK8" i="76"/>
  <c r="AB8" i="76"/>
  <c r="AB13" i="76" s="1"/>
  <c r="Q8" i="76"/>
  <c r="AH12" i="76"/>
  <c r="U25" i="76"/>
  <c r="T12" i="76"/>
  <c r="AF12" i="76"/>
  <c r="R12" i="76"/>
  <c r="Q9" i="76"/>
  <c r="AH24" i="76"/>
  <c r="AG11" i="76"/>
  <c r="AF13" i="76" l="1"/>
  <c r="AG13" i="76"/>
  <c r="AI24" i="76"/>
  <c r="AH11" i="76"/>
  <c r="AH13" i="76"/>
  <c r="AK25" i="76"/>
  <c r="AJ12" i="76"/>
  <c r="V25" i="76"/>
  <c r="U12" i="76"/>
  <c r="P24" i="76"/>
  <c r="O11" i="76"/>
  <c r="O13" i="76" s="1"/>
  <c r="L18" i="76"/>
  <c r="M17" i="76"/>
  <c r="N13" i="76"/>
  <c r="V22" i="76"/>
  <c r="U9" i="76"/>
  <c r="M18" i="76" l="1"/>
  <c r="N17" i="76"/>
  <c r="W22" i="76"/>
  <c r="V9" i="76"/>
  <c r="W25" i="76"/>
  <c r="V12" i="76"/>
  <c r="P11" i="76"/>
  <c r="P13" i="76" s="1"/>
  <c r="Q24" i="76"/>
  <c r="AL25" i="76"/>
  <c r="AK12" i="76"/>
  <c r="AJ24" i="76"/>
  <c r="AI11" i="76"/>
  <c r="AI13" i="76" s="1"/>
  <c r="AK24" i="76" l="1"/>
  <c r="AJ11" i="76"/>
  <c r="AJ13" i="76" s="1"/>
  <c r="X22" i="76"/>
  <c r="W9" i="76"/>
  <c r="O17" i="76"/>
  <c r="N18" i="76"/>
  <c r="AM25" i="76"/>
  <c r="AM12" i="76" s="1"/>
  <c r="AL12" i="76"/>
  <c r="X25" i="76"/>
  <c r="W12" i="76"/>
  <c r="R24" i="76"/>
  <c r="Q11" i="76"/>
  <c r="Q13" i="76" s="1"/>
  <c r="S24" i="76" l="1"/>
  <c r="R11" i="76"/>
  <c r="R13" i="76" s="1"/>
  <c r="Y22" i="76"/>
  <c r="X9" i="76"/>
  <c r="Y25" i="76"/>
  <c r="X12" i="76"/>
  <c r="O18" i="76"/>
  <c r="P17" i="76"/>
  <c r="AK11" i="76"/>
  <c r="AK13" i="76" s="1"/>
  <c r="AL24" i="76"/>
  <c r="Z22" i="76" l="1"/>
  <c r="Y9" i="76"/>
  <c r="AM24" i="76"/>
  <c r="AM11" i="76" s="1"/>
  <c r="AM13" i="76" s="1"/>
  <c r="AL11" i="76"/>
  <c r="AL13" i="76" s="1"/>
  <c r="Z25" i="76"/>
  <c r="Y12" i="76"/>
  <c r="T24" i="76"/>
  <c r="S11" i="76"/>
  <c r="S13" i="76" s="1"/>
  <c r="P18" i="76"/>
  <c r="Q17" i="76"/>
  <c r="T11" i="76" l="1"/>
  <c r="T13" i="76" s="1"/>
  <c r="U24" i="76"/>
  <c r="Q18" i="76"/>
  <c r="R17" i="76"/>
  <c r="AA25" i="76"/>
  <c r="AA12" i="76" s="1"/>
  <c r="Z12" i="76"/>
  <c r="AA22" i="76"/>
  <c r="AA9" i="76" s="1"/>
  <c r="Z9" i="76"/>
  <c r="R18" i="76" l="1"/>
  <c r="S17" i="76"/>
  <c r="U11" i="76"/>
  <c r="U13" i="76" s="1"/>
  <c r="V24" i="76"/>
  <c r="T17" i="76" l="1"/>
  <c r="S18" i="76"/>
  <c r="W24" i="76"/>
  <c r="V11" i="76"/>
  <c r="V13" i="76" s="1"/>
  <c r="X24" i="76" l="1"/>
  <c r="W11" i="76"/>
  <c r="W13" i="76" s="1"/>
  <c r="T18" i="76"/>
  <c r="U17" i="76"/>
  <c r="Y24" i="76" l="1"/>
  <c r="X11" i="76"/>
  <c r="X13" i="76" s="1"/>
  <c r="U18" i="76"/>
  <c r="V17" i="76"/>
  <c r="W17" i="76" l="1"/>
  <c r="V18" i="76"/>
  <c r="Z24" i="76"/>
  <c r="Y11" i="76"/>
  <c r="Y13" i="76" s="1"/>
  <c r="W18" i="76" l="1"/>
  <c r="X17" i="76"/>
  <c r="AA24" i="76"/>
  <c r="AA11" i="76" s="1"/>
  <c r="AA13" i="76" s="1"/>
  <c r="Z11" i="76"/>
  <c r="Z13" i="76" s="1"/>
  <c r="X18" i="76" l="1"/>
  <c r="Y17" i="76"/>
  <c r="Z17" i="76" l="1"/>
  <c r="Y18" i="76"/>
  <c r="Z18" i="76" l="1"/>
  <c r="AA17" i="76"/>
  <c r="AA18" i="76" l="1"/>
  <c r="AB17" i="76"/>
  <c r="AB18" i="76" l="1"/>
  <c r="AC17" i="76"/>
  <c r="AC18" i="76" l="1"/>
  <c r="AD17" i="76"/>
  <c r="AE17" i="76" l="1"/>
  <c r="AD18" i="76"/>
  <c r="AE18" i="76" l="1"/>
  <c r="AF17" i="76"/>
  <c r="AF18" i="76" l="1"/>
  <c r="AG17" i="76"/>
  <c r="AG18" i="76" l="1"/>
  <c r="AH17" i="76"/>
  <c r="AH18" i="76" l="1"/>
  <c r="AI17" i="76"/>
  <c r="AJ17" i="76" l="1"/>
  <c r="AI18" i="76"/>
  <c r="AJ18" i="76" l="1"/>
  <c r="AK17" i="76"/>
  <c r="AL17" i="76" l="1"/>
  <c r="AK18" i="76"/>
  <c r="AL18" i="76" l="1"/>
  <c r="AM17" i="76"/>
  <c r="AM18" i="76" s="1"/>
  <c r="C45" i="20" l="1"/>
  <c r="C43" i="20"/>
  <c r="C41" i="20"/>
  <c r="H45" i="20"/>
  <c r="H43" i="20"/>
  <c r="H41" i="20"/>
  <c r="H39" i="20"/>
  <c r="D39" i="20"/>
  <c r="C39" i="20"/>
  <c r="C527" i="43"/>
  <c r="C407" i="43"/>
  <c r="C229" i="43"/>
  <c r="L114" i="19"/>
  <c r="L90" i="19"/>
  <c r="L74" i="19"/>
  <c r="L62" i="19"/>
  <c r="L39" i="19"/>
  <c r="L28" i="19"/>
  <c r="L17" i="19"/>
  <c r="C136" i="43" l="1"/>
  <c r="F38" i="28"/>
  <c r="F36" i="28"/>
  <c r="F34" i="28"/>
  <c r="D38" i="28"/>
  <c r="D36" i="28"/>
  <c r="D34" i="28"/>
  <c r="C43" i="26"/>
  <c r="E43" i="26"/>
  <c r="E41" i="26"/>
  <c r="C41" i="26"/>
  <c r="C39" i="26"/>
  <c r="E39" i="26"/>
  <c r="B591" i="48"/>
  <c r="B590" i="48"/>
  <c r="B589" i="48"/>
  <c r="B587" i="48"/>
  <c r="B586" i="48"/>
  <c r="B585" i="48"/>
  <c r="B584" i="48"/>
  <c r="B582" i="48"/>
  <c r="B581" i="48"/>
  <c r="B580" i="48"/>
  <c r="B225" i="48"/>
  <c r="B220" i="48"/>
  <c r="B205" i="48"/>
  <c r="B193" i="48"/>
  <c r="B185" i="48"/>
  <c r="B176" i="48"/>
  <c r="B167" i="48"/>
  <c r="B150" i="48"/>
  <c r="B141" i="48"/>
  <c r="B130" i="48"/>
  <c r="B111" i="48"/>
  <c r="B98" i="48"/>
  <c r="B85" i="48"/>
  <c r="B74" i="48"/>
  <c r="Q46" i="45"/>
  <c r="Q28" i="45"/>
  <c r="C28" i="45"/>
  <c r="A28" i="45"/>
  <c r="Q27" i="45"/>
  <c r="C27" i="45"/>
  <c r="A27" i="45"/>
  <c r="S653" i="43"/>
  <c r="E653" i="43"/>
  <c r="C653" i="43"/>
  <c r="B653" i="43"/>
  <c r="A653" i="43"/>
  <c r="S652" i="43"/>
  <c r="E652" i="43"/>
  <c r="C652" i="43"/>
  <c r="B652" i="43"/>
  <c r="A652" i="43"/>
  <c r="S651" i="43"/>
  <c r="E651" i="43"/>
  <c r="C651" i="43"/>
  <c r="B651" i="43"/>
  <c r="A651" i="43"/>
  <c r="S650" i="43"/>
  <c r="E650" i="43"/>
  <c r="C650" i="43"/>
  <c r="B650" i="43"/>
  <c r="A650" i="43"/>
  <c r="S649" i="43"/>
  <c r="E649" i="43"/>
  <c r="C649" i="43"/>
  <c r="B649" i="43"/>
  <c r="A649" i="43"/>
  <c r="S648" i="43"/>
  <c r="E648" i="43"/>
  <c r="C648" i="43"/>
  <c r="B648" i="43"/>
  <c r="A648" i="43"/>
  <c r="S647" i="43"/>
  <c r="E647" i="43"/>
  <c r="C647" i="43"/>
  <c r="B647" i="43"/>
  <c r="A647" i="43"/>
  <c r="S646" i="43"/>
  <c r="E646" i="43"/>
  <c r="C646" i="43"/>
  <c r="B646" i="43"/>
  <c r="A646" i="43"/>
  <c r="S645" i="43"/>
  <c r="E645" i="43"/>
  <c r="C645" i="43"/>
  <c r="B645" i="43"/>
  <c r="A645" i="43"/>
  <c r="S644" i="43"/>
  <c r="E644" i="43"/>
  <c r="C644" i="43"/>
  <c r="B644" i="43"/>
  <c r="A644" i="43"/>
  <c r="S643" i="43"/>
  <c r="E643" i="43"/>
  <c r="C643" i="43"/>
  <c r="B643" i="43"/>
  <c r="A643" i="43"/>
  <c r="S642" i="43"/>
  <c r="E642" i="43"/>
  <c r="C642" i="43"/>
  <c r="B642" i="43"/>
  <c r="A642" i="43"/>
  <c r="S641" i="43"/>
  <c r="E641" i="43"/>
  <c r="C641" i="43"/>
  <c r="B641" i="43"/>
  <c r="A641" i="43"/>
  <c r="S640" i="43"/>
  <c r="E640" i="43"/>
  <c r="C640" i="43"/>
  <c r="B640" i="43"/>
  <c r="A640" i="43"/>
  <c r="E639" i="43"/>
  <c r="E638" i="43"/>
  <c r="R637" i="43"/>
  <c r="Q637" i="43"/>
  <c r="P637" i="43"/>
  <c r="O637" i="43"/>
  <c r="N637" i="43"/>
  <c r="M637" i="43"/>
  <c r="L637" i="43"/>
  <c r="K637" i="43"/>
  <c r="J637" i="43"/>
  <c r="I637" i="43"/>
  <c r="H637" i="43"/>
  <c r="G637" i="43"/>
  <c r="F637" i="43"/>
  <c r="E637" i="43"/>
  <c r="T636" i="43"/>
  <c r="E636" i="43"/>
  <c r="C636" i="43"/>
  <c r="B636" i="43"/>
  <c r="A636" i="43"/>
  <c r="T635" i="43"/>
  <c r="C635" i="43"/>
  <c r="B635" i="43"/>
  <c r="A635" i="43"/>
  <c r="T634" i="43"/>
  <c r="C634" i="43"/>
  <c r="B634" i="43"/>
  <c r="A634" i="43"/>
  <c r="T633" i="43"/>
  <c r="C633" i="43"/>
  <c r="B633" i="43"/>
  <c r="A633" i="43"/>
  <c r="T632" i="43"/>
  <c r="C632" i="43"/>
  <c r="B632" i="43"/>
  <c r="A632" i="43"/>
  <c r="T631" i="43"/>
  <c r="E631" i="43"/>
  <c r="C631" i="43"/>
  <c r="B631" i="43"/>
  <c r="A631" i="43"/>
  <c r="T630" i="43"/>
  <c r="E630" i="43"/>
  <c r="C630" i="43"/>
  <c r="B630" i="43"/>
  <c r="A630" i="43"/>
  <c r="T629" i="43"/>
  <c r="E629" i="43"/>
  <c r="C629" i="43"/>
  <c r="B629" i="43"/>
  <c r="A629" i="43"/>
  <c r="T628" i="43"/>
  <c r="E628" i="43"/>
  <c r="T627" i="43"/>
  <c r="E627" i="43"/>
  <c r="R626" i="43"/>
  <c r="Q626" i="43"/>
  <c r="P626" i="43"/>
  <c r="O626" i="43"/>
  <c r="N626" i="43"/>
  <c r="M626" i="43"/>
  <c r="L626" i="43"/>
  <c r="K626" i="43"/>
  <c r="J626" i="43"/>
  <c r="I626" i="43"/>
  <c r="H626" i="43"/>
  <c r="G626" i="43"/>
  <c r="F626" i="43"/>
  <c r="E626" i="43"/>
  <c r="T625" i="43"/>
  <c r="E625" i="43"/>
  <c r="C625" i="43"/>
  <c r="B625" i="43"/>
  <c r="A625" i="43"/>
  <c r="T624" i="43"/>
  <c r="E624" i="43"/>
  <c r="C624" i="43"/>
  <c r="B624" i="43"/>
  <c r="A624" i="43"/>
  <c r="T623" i="43"/>
  <c r="E623" i="43"/>
  <c r="C623" i="43"/>
  <c r="B623" i="43"/>
  <c r="A623" i="43"/>
  <c r="T622" i="43"/>
  <c r="E622" i="43"/>
  <c r="C622" i="43"/>
  <c r="B622" i="43"/>
  <c r="A622" i="43"/>
  <c r="E621" i="43"/>
  <c r="E620" i="43"/>
  <c r="R619" i="43"/>
  <c r="Q619" i="43"/>
  <c r="P619" i="43"/>
  <c r="O619" i="43"/>
  <c r="N619" i="43"/>
  <c r="M619" i="43"/>
  <c r="L619" i="43"/>
  <c r="K619" i="43"/>
  <c r="J619" i="43"/>
  <c r="I619" i="43"/>
  <c r="H619" i="43"/>
  <c r="G619" i="43"/>
  <c r="F619" i="43"/>
  <c r="E619" i="43"/>
  <c r="S618" i="43"/>
  <c r="E618" i="43"/>
  <c r="C618" i="43"/>
  <c r="B618" i="43"/>
  <c r="A618" i="43"/>
  <c r="S617" i="43"/>
  <c r="C617" i="43"/>
  <c r="B617" i="43"/>
  <c r="A617" i="43"/>
  <c r="S616" i="43"/>
  <c r="C616" i="43"/>
  <c r="B616" i="43"/>
  <c r="A616" i="43"/>
  <c r="S615" i="43"/>
  <c r="C615" i="43"/>
  <c r="B615" i="43"/>
  <c r="A615" i="43"/>
  <c r="S614" i="43"/>
  <c r="C614" i="43"/>
  <c r="B614" i="43"/>
  <c r="A614" i="43"/>
  <c r="S613" i="43"/>
  <c r="E613" i="43"/>
  <c r="C613" i="43"/>
  <c r="B613" i="43"/>
  <c r="A613" i="43"/>
  <c r="S612" i="43"/>
  <c r="E612" i="43"/>
  <c r="C612" i="43"/>
  <c r="B612" i="43"/>
  <c r="A612" i="43"/>
  <c r="S611" i="43"/>
  <c r="E611" i="43"/>
  <c r="C611" i="43"/>
  <c r="B611" i="43"/>
  <c r="A611" i="43"/>
  <c r="S610" i="43"/>
  <c r="E610" i="43"/>
  <c r="S609" i="43"/>
  <c r="E609" i="43"/>
  <c r="R608" i="43"/>
  <c r="Q608" i="43"/>
  <c r="P608" i="43"/>
  <c r="O608" i="43"/>
  <c r="N608" i="43"/>
  <c r="M608" i="43"/>
  <c r="L608" i="43"/>
  <c r="K608" i="43"/>
  <c r="J608" i="43"/>
  <c r="I608" i="43"/>
  <c r="H608" i="43"/>
  <c r="G608" i="43"/>
  <c r="F608" i="43"/>
  <c r="E608" i="43"/>
  <c r="S607" i="43"/>
  <c r="E607" i="43"/>
  <c r="C607" i="43"/>
  <c r="B607" i="43"/>
  <c r="A607" i="43"/>
  <c r="S606" i="43"/>
  <c r="E606" i="43"/>
  <c r="C606" i="43"/>
  <c r="B606" i="43"/>
  <c r="A606" i="43"/>
  <c r="S605" i="43"/>
  <c r="E605" i="43"/>
  <c r="C605" i="43"/>
  <c r="B605" i="43"/>
  <c r="A605" i="43"/>
  <c r="S604" i="43"/>
  <c r="E604" i="43"/>
  <c r="C604" i="43"/>
  <c r="B604" i="43"/>
  <c r="A604" i="43"/>
  <c r="E603" i="43"/>
  <c r="R602" i="43"/>
  <c r="E602" i="43"/>
  <c r="T601" i="43"/>
  <c r="E601" i="43"/>
  <c r="C601" i="43"/>
  <c r="B601" i="43"/>
  <c r="A601" i="43"/>
  <c r="T600" i="43"/>
  <c r="E600" i="43"/>
  <c r="C600" i="43"/>
  <c r="B600" i="43"/>
  <c r="A600" i="43"/>
  <c r="T599" i="43"/>
  <c r="E599" i="43"/>
  <c r="C599" i="43"/>
  <c r="B599" i="43"/>
  <c r="A599" i="43"/>
  <c r="T598" i="43"/>
  <c r="E598" i="43"/>
  <c r="C598" i="43"/>
  <c r="B598" i="43"/>
  <c r="A598" i="43"/>
  <c r="T597" i="43"/>
  <c r="E597" i="43"/>
  <c r="C597" i="43"/>
  <c r="B597" i="43"/>
  <c r="A597" i="43"/>
  <c r="T596" i="43"/>
  <c r="E596" i="43"/>
  <c r="C596" i="43"/>
  <c r="B596" i="43"/>
  <c r="A596" i="43"/>
  <c r="T595" i="43"/>
  <c r="E595" i="43"/>
  <c r="C595" i="43"/>
  <c r="B595" i="43"/>
  <c r="A595" i="43"/>
  <c r="T594" i="43"/>
  <c r="E594" i="43"/>
  <c r="C594" i="43"/>
  <c r="B594" i="43"/>
  <c r="A594" i="43"/>
  <c r="T593" i="43"/>
  <c r="E593" i="43"/>
  <c r="C593" i="43"/>
  <c r="B593" i="43"/>
  <c r="A593" i="43"/>
  <c r="T592" i="43"/>
  <c r="E592" i="43"/>
  <c r="C592" i="43"/>
  <c r="B592" i="43"/>
  <c r="A592" i="43"/>
  <c r="T591" i="43"/>
  <c r="E591" i="43"/>
  <c r="C591" i="43"/>
  <c r="B591" i="43"/>
  <c r="A591" i="43"/>
  <c r="T590" i="43"/>
  <c r="E590" i="43"/>
  <c r="C590" i="43"/>
  <c r="B590" i="43"/>
  <c r="A590" i="43"/>
  <c r="T589" i="43"/>
  <c r="E589" i="43"/>
  <c r="C589" i="43"/>
  <c r="B589" i="43"/>
  <c r="A589" i="43"/>
  <c r="T588" i="43"/>
  <c r="E588" i="43"/>
  <c r="C588" i="43"/>
  <c r="B588" i="43"/>
  <c r="A588" i="43"/>
  <c r="T587" i="43"/>
  <c r="E587" i="43"/>
  <c r="C587" i="43"/>
  <c r="B587" i="43"/>
  <c r="A587" i="43"/>
  <c r="T586" i="43"/>
  <c r="E586" i="43"/>
  <c r="C586" i="43"/>
  <c r="B586" i="43"/>
  <c r="A586" i="43"/>
  <c r="T585" i="43"/>
  <c r="E585" i="43"/>
  <c r="C585" i="43"/>
  <c r="B585" i="43"/>
  <c r="A585" i="43"/>
  <c r="T584" i="43"/>
  <c r="E584" i="43"/>
  <c r="C584" i="43"/>
  <c r="B584" i="43"/>
  <c r="A584" i="43"/>
  <c r="T583" i="43"/>
  <c r="E583" i="43"/>
  <c r="C583" i="43"/>
  <c r="B583" i="43"/>
  <c r="A583" i="43"/>
  <c r="T582" i="43"/>
  <c r="E582" i="43"/>
  <c r="C582" i="43"/>
  <c r="B582" i="43"/>
  <c r="A582" i="43"/>
  <c r="T581" i="43"/>
  <c r="E581" i="43"/>
  <c r="C581" i="43"/>
  <c r="B581" i="43"/>
  <c r="A581" i="43"/>
  <c r="T580" i="43"/>
  <c r="E580" i="43"/>
  <c r="C580" i="43"/>
  <c r="B580" i="43"/>
  <c r="A580" i="43"/>
  <c r="T579" i="43"/>
  <c r="E579" i="43"/>
  <c r="C579" i="43"/>
  <c r="B579" i="43"/>
  <c r="A579" i="43"/>
  <c r="T578" i="43"/>
  <c r="E578" i="43"/>
  <c r="C578" i="43"/>
  <c r="B578" i="43"/>
  <c r="A578" i="43"/>
  <c r="T577" i="43"/>
  <c r="E577" i="43"/>
  <c r="C577" i="43"/>
  <c r="B577" i="43"/>
  <c r="A577" i="43"/>
  <c r="T576" i="43"/>
  <c r="E576" i="43"/>
  <c r="C576" i="43"/>
  <c r="B576" i="43"/>
  <c r="A576" i="43"/>
  <c r="T575" i="43"/>
  <c r="E575" i="43"/>
  <c r="C575" i="43"/>
  <c r="B575" i="43"/>
  <c r="A575" i="43"/>
  <c r="T574" i="43"/>
  <c r="E574" i="43"/>
  <c r="C574" i="43"/>
  <c r="B574" i="43"/>
  <c r="A574" i="43"/>
  <c r="T573" i="43"/>
  <c r="E573" i="43"/>
  <c r="C573" i="43"/>
  <c r="B573" i="43"/>
  <c r="A573" i="43"/>
  <c r="T572" i="43"/>
  <c r="E572" i="43"/>
  <c r="C572" i="43"/>
  <c r="B572" i="43"/>
  <c r="A572" i="43"/>
  <c r="E571" i="43"/>
  <c r="R570" i="43"/>
  <c r="E570" i="43"/>
  <c r="T569" i="43"/>
  <c r="E569" i="43"/>
  <c r="C569" i="43"/>
  <c r="B569" i="43"/>
  <c r="A569" i="43"/>
  <c r="T568" i="43"/>
  <c r="E568" i="43"/>
  <c r="C568" i="43"/>
  <c r="B568" i="43"/>
  <c r="A568" i="43"/>
  <c r="T567" i="43"/>
  <c r="E567" i="43"/>
  <c r="C567" i="43"/>
  <c r="B567" i="43"/>
  <c r="A567" i="43"/>
  <c r="T566" i="43"/>
  <c r="E566" i="43"/>
  <c r="C566" i="43"/>
  <c r="B566" i="43"/>
  <c r="A566" i="43"/>
  <c r="T565" i="43"/>
  <c r="E565" i="43"/>
  <c r="C565" i="43"/>
  <c r="B565" i="43"/>
  <c r="A565" i="43"/>
  <c r="T564" i="43"/>
  <c r="E564" i="43"/>
  <c r="C564" i="43"/>
  <c r="B564" i="43"/>
  <c r="A564" i="43"/>
  <c r="T563" i="43"/>
  <c r="E563" i="43"/>
  <c r="C563" i="43"/>
  <c r="B563" i="43"/>
  <c r="A563" i="43"/>
  <c r="T562" i="43"/>
  <c r="E562" i="43"/>
  <c r="C562" i="43"/>
  <c r="B562" i="43"/>
  <c r="A562" i="43"/>
  <c r="T561" i="43"/>
  <c r="E561" i="43"/>
  <c r="C561" i="43"/>
  <c r="B561" i="43"/>
  <c r="A561" i="43"/>
  <c r="T560" i="43"/>
  <c r="E560" i="43"/>
  <c r="C560" i="43"/>
  <c r="B560" i="43"/>
  <c r="A560" i="43"/>
  <c r="T559" i="43"/>
  <c r="E559" i="43"/>
  <c r="C559" i="43"/>
  <c r="B559" i="43"/>
  <c r="A559" i="43"/>
  <c r="T558" i="43"/>
  <c r="E558" i="43"/>
  <c r="C558" i="43"/>
  <c r="B558" i="43"/>
  <c r="A558" i="43"/>
  <c r="T557" i="43"/>
  <c r="E557" i="43"/>
  <c r="C557" i="43"/>
  <c r="B557" i="43"/>
  <c r="A557" i="43"/>
  <c r="T556" i="43"/>
  <c r="E556" i="43"/>
  <c r="C556" i="43"/>
  <c r="B556" i="43"/>
  <c r="A556" i="43"/>
  <c r="T555" i="43"/>
  <c r="E555" i="43"/>
  <c r="C555" i="43"/>
  <c r="B555" i="43"/>
  <c r="A555" i="43"/>
  <c r="T554" i="43"/>
  <c r="E554" i="43"/>
  <c r="C554" i="43"/>
  <c r="B554" i="43"/>
  <c r="A554" i="43"/>
  <c r="T553" i="43"/>
  <c r="E553" i="43"/>
  <c r="C553" i="43"/>
  <c r="B553" i="43"/>
  <c r="A553" i="43"/>
  <c r="T552" i="43"/>
  <c r="E552" i="43"/>
  <c r="C552" i="43"/>
  <c r="B552" i="43"/>
  <c r="A552" i="43"/>
  <c r="T551" i="43"/>
  <c r="E551" i="43"/>
  <c r="C551" i="43"/>
  <c r="B551" i="43"/>
  <c r="A551" i="43"/>
  <c r="T550" i="43"/>
  <c r="E550" i="43"/>
  <c r="C550" i="43"/>
  <c r="B550" i="43"/>
  <c r="A550" i="43"/>
  <c r="T549" i="43"/>
  <c r="E549" i="43"/>
  <c r="C549" i="43"/>
  <c r="B549" i="43"/>
  <c r="A549" i="43"/>
  <c r="E548" i="43"/>
  <c r="E547" i="43"/>
  <c r="S546" i="43"/>
  <c r="E546" i="43"/>
  <c r="E545" i="43"/>
  <c r="S544" i="43"/>
  <c r="F544" i="43"/>
  <c r="F545" i="43" s="1"/>
  <c r="E544" i="43"/>
  <c r="C544" i="43"/>
  <c r="B544" i="43"/>
  <c r="A544" i="43"/>
  <c r="S543" i="43"/>
  <c r="E543" i="43"/>
  <c r="C543" i="43"/>
  <c r="B543" i="43"/>
  <c r="A543" i="43"/>
  <c r="S542" i="43"/>
  <c r="E542" i="43"/>
  <c r="C542" i="43"/>
  <c r="B542" i="43"/>
  <c r="A542" i="43"/>
  <c r="S541" i="43"/>
  <c r="E541" i="43"/>
  <c r="C541" i="43"/>
  <c r="B541" i="43"/>
  <c r="A541" i="43"/>
  <c r="S540" i="43"/>
  <c r="E540" i="43"/>
  <c r="C540" i="43"/>
  <c r="B540" i="43"/>
  <c r="A540" i="43"/>
  <c r="S539" i="43"/>
  <c r="E539" i="43"/>
  <c r="C539" i="43"/>
  <c r="B539" i="43"/>
  <c r="A539" i="43"/>
  <c r="S538" i="43"/>
  <c r="C538" i="43"/>
  <c r="B538" i="43"/>
  <c r="A538" i="43"/>
  <c r="S537" i="43"/>
  <c r="C537" i="43"/>
  <c r="B537" i="43"/>
  <c r="A537" i="43"/>
  <c r="S536" i="43"/>
  <c r="E536" i="43"/>
  <c r="C536" i="43"/>
  <c r="B536" i="43"/>
  <c r="A536" i="43"/>
  <c r="S535" i="43"/>
  <c r="E535" i="43"/>
  <c r="C535" i="43"/>
  <c r="B535" i="43"/>
  <c r="A535" i="43"/>
  <c r="S534" i="43"/>
  <c r="E534" i="43"/>
  <c r="C534" i="43"/>
  <c r="B534" i="43"/>
  <c r="A534" i="43"/>
  <c r="S533" i="43"/>
  <c r="E533" i="43"/>
  <c r="C533" i="43"/>
  <c r="B533" i="43"/>
  <c r="A533" i="43"/>
  <c r="E532" i="43"/>
  <c r="R531" i="43"/>
  <c r="R545" i="43" s="1"/>
  <c r="R547" i="43" s="1"/>
  <c r="Q531" i="43"/>
  <c r="Q545" i="43" s="1"/>
  <c r="Q547" i="43" s="1"/>
  <c r="P531" i="43"/>
  <c r="P545" i="43" s="1"/>
  <c r="P547" i="43" s="1"/>
  <c r="O531" i="43"/>
  <c r="O545" i="43" s="1"/>
  <c r="O547" i="43" s="1"/>
  <c r="N531" i="43"/>
  <c r="N545" i="43" s="1"/>
  <c r="N547" i="43" s="1"/>
  <c r="M531" i="43"/>
  <c r="M545" i="43" s="1"/>
  <c r="M547" i="43" s="1"/>
  <c r="L531" i="43"/>
  <c r="L545" i="43" s="1"/>
  <c r="L547" i="43" s="1"/>
  <c r="K531" i="43"/>
  <c r="K545" i="43" s="1"/>
  <c r="K547" i="43" s="1"/>
  <c r="J531" i="43"/>
  <c r="J545" i="43" s="1"/>
  <c r="J547" i="43" s="1"/>
  <c r="I531" i="43"/>
  <c r="I545" i="43" s="1"/>
  <c r="I547" i="43" s="1"/>
  <c r="H531" i="43"/>
  <c r="H545" i="43" s="1"/>
  <c r="H547" i="43" s="1"/>
  <c r="G531" i="43"/>
  <c r="G545" i="43" s="1"/>
  <c r="E531" i="43"/>
  <c r="S529" i="43"/>
  <c r="E529" i="43"/>
  <c r="C529" i="43"/>
  <c r="B529" i="43"/>
  <c r="A529" i="43"/>
  <c r="S528" i="43"/>
  <c r="E528" i="43"/>
  <c r="C528" i="43"/>
  <c r="B528" i="43"/>
  <c r="A528" i="43"/>
  <c r="S527" i="43"/>
  <c r="E527" i="43"/>
  <c r="B527" i="43"/>
  <c r="A527" i="43"/>
  <c r="S526" i="43"/>
  <c r="E526" i="43"/>
  <c r="C526" i="43"/>
  <c r="B526" i="43"/>
  <c r="A526" i="43"/>
  <c r="S525" i="43"/>
  <c r="E525" i="43"/>
  <c r="C525" i="43"/>
  <c r="B525" i="43"/>
  <c r="A525" i="43"/>
  <c r="S524" i="43"/>
  <c r="E524" i="43"/>
  <c r="C524" i="43"/>
  <c r="B524" i="43"/>
  <c r="A524" i="43"/>
  <c r="S523" i="43"/>
  <c r="E523" i="43"/>
  <c r="C523" i="43"/>
  <c r="B523" i="43"/>
  <c r="A523" i="43"/>
  <c r="S522" i="43"/>
  <c r="E522" i="43"/>
  <c r="C522" i="43"/>
  <c r="B522" i="43"/>
  <c r="A522" i="43"/>
  <c r="S521" i="43"/>
  <c r="E521" i="43"/>
  <c r="C521" i="43"/>
  <c r="B521" i="43"/>
  <c r="A521" i="43"/>
  <c r="S520" i="43"/>
  <c r="E520" i="43"/>
  <c r="C520" i="43"/>
  <c r="B520" i="43"/>
  <c r="A520" i="43"/>
  <c r="S519" i="43"/>
  <c r="E519" i="43"/>
  <c r="C519" i="43"/>
  <c r="B519" i="43"/>
  <c r="A519" i="43"/>
  <c r="S518" i="43"/>
  <c r="E518" i="43"/>
  <c r="C518" i="43"/>
  <c r="B518" i="43"/>
  <c r="A518" i="43"/>
  <c r="S517" i="43"/>
  <c r="E517" i="43"/>
  <c r="C517" i="43"/>
  <c r="B517" i="43"/>
  <c r="A517" i="43"/>
  <c r="S516" i="43"/>
  <c r="E516" i="43"/>
  <c r="C516" i="43"/>
  <c r="B516" i="43"/>
  <c r="A516" i="43"/>
  <c r="S515" i="43"/>
  <c r="E515" i="43"/>
  <c r="C515" i="43"/>
  <c r="B515" i="43"/>
  <c r="A515" i="43"/>
  <c r="S514" i="43"/>
  <c r="C514" i="43"/>
  <c r="B514" i="43"/>
  <c r="A514" i="43"/>
  <c r="S513" i="43"/>
  <c r="E513" i="43"/>
  <c r="C513" i="43"/>
  <c r="B513" i="43"/>
  <c r="A513" i="43"/>
  <c r="S512" i="43"/>
  <c r="E512" i="43"/>
  <c r="C512" i="43"/>
  <c r="B512" i="43"/>
  <c r="A512" i="43"/>
  <c r="S511" i="43"/>
  <c r="E511" i="43"/>
  <c r="C511" i="43"/>
  <c r="B511" i="43"/>
  <c r="A511" i="43"/>
  <c r="S510" i="43"/>
  <c r="E510" i="43"/>
  <c r="C510" i="43"/>
  <c r="B510" i="43"/>
  <c r="A510" i="43"/>
  <c r="S509" i="43"/>
  <c r="E509" i="43"/>
  <c r="C509" i="43"/>
  <c r="B509" i="43"/>
  <c r="A509" i="43"/>
  <c r="S507" i="43"/>
  <c r="E507" i="43"/>
  <c r="C507" i="43"/>
  <c r="B507" i="43"/>
  <c r="A507" i="43"/>
  <c r="S506" i="43"/>
  <c r="E506" i="43"/>
  <c r="C506" i="43"/>
  <c r="B506" i="43"/>
  <c r="A506" i="43"/>
  <c r="S505" i="43"/>
  <c r="E505" i="43"/>
  <c r="C505" i="43"/>
  <c r="B505" i="43"/>
  <c r="A505" i="43"/>
  <c r="S504" i="43"/>
  <c r="C504" i="43"/>
  <c r="B504" i="43"/>
  <c r="A504" i="43"/>
  <c r="S503" i="43"/>
  <c r="E503" i="43"/>
  <c r="C503" i="43"/>
  <c r="B503" i="43"/>
  <c r="A503" i="43"/>
  <c r="S502" i="43"/>
  <c r="E502" i="43"/>
  <c r="C502" i="43"/>
  <c r="B502" i="43"/>
  <c r="A502" i="43"/>
  <c r="S501" i="43"/>
  <c r="E501" i="43"/>
  <c r="C501" i="43"/>
  <c r="B501" i="43"/>
  <c r="A501" i="43"/>
  <c r="S500" i="43"/>
  <c r="E500" i="43"/>
  <c r="C500" i="43"/>
  <c r="B500" i="43"/>
  <c r="A500" i="43"/>
  <c r="S499" i="43"/>
  <c r="E499" i="43"/>
  <c r="C499" i="43"/>
  <c r="B499" i="43"/>
  <c r="A499" i="43"/>
  <c r="S498" i="43"/>
  <c r="E498" i="43"/>
  <c r="C498" i="43"/>
  <c r="B498" i="43"/>
  <c r="A498" i="43"/>
  <c r="S497" i="43"/>
  <c r="E497" i="43"/>
  <c r="C497" i="43"/>
  <c r="B497" i="43"/>
  <c r="A497" i="43"/>
  <c r="S496" i="43"/>
  <c r="E496" i="43"/>
  <c r="C496" i="43"/>
  <c r="B496" i="43"/>
  <c r="A496" i="43"/>
  <c r="S495" i="43"/>
  <c r="E495" i="43"/>
  <c r="C495" i="43"/>
  <c r="B495" i="43"/>
  <c r="A495" i="43"/>
  <c r="S494" i="43"/>
  <c r="E494" i="43"/>
  <c r="C494" i="43"/>
  <c r="B494" i="43"/>
  <c r="A494" i="43"/>
  <c r="S493" i="43"/>
  <c r="E493" i="43"/>
  <c r="C493" i="43"/>
  <c r="B493" i="43"/>
  <c r="A493" i="43"/>
  <c r="S492" i="43"/>
  <c r="E492" i="43"/>
  <c r="C492" i="43"/>
  <c r="B492" i="43"/>
  <c r="A492" i="43"/>
  <c r="S491" i="43"/>
  <c r="E491" i="43"/>
  <c r="C491" i="43"/>
  <c r="B491" i="43"/>
  <c r="A491" i="43"/>
  <c r="S490" i="43"/>
  <c r="E490" i="43"/>
  <c r="C490" i="43"/>
  <c r="B490" i="43"/>
  <c r="A490" i="43"/>
  <c r="S489" i="43"/>
  <c r="E489" i="43"/>
  <c r="C489" i="43"/>
  <c r="B489" i="43"/>
  <c r="A489" i="43"/>
  <c r="S488" i="43"/>
  <c r="E488" i="43"/>
  <c r="C488" i="43"/>
  <c r="B488" i="43"/>
  <c r="A488" i="43"/>
  <c r="S487" i="43"/>
  <c r="E487" i="43"/>
  <c r="C487" i="43"/>
  <c r="B487" i="43"/>
  <c r="A487" i="43"/>
  <c r="S486" i="43"/>
  <c r="E486" i="43"/>
  <c r="C486" i="43"/>
  <c r="B486" i="43"/>
  <c r="A486" i="43"/>
  <c r="S485" i="43"/>
  <c r="E485" i="43"/>
  <c r="C485" i="43"/>
  <c r="B485" i="43"/>
  <c r="A485" i="43"/>
  <c r="S484" i="43"/>
  <c r="E484" i="43"/>
  <c r="C484" i="43"/>
  <c r="B484" i="43"/>
  <c r="A484" i="43"/>
  <c r="S483" i="43"/>
  <c r="E483" i="43"/>
  <c r="C483" i="43"/>
  <c r="B483" i="43"/>
  <c r="A483" i="43"/>
  <c r="S482" i="43"/>
  <c r="E482" i="43"/>
  <c r="C482" i="43"/>
  <c r="B482" i="43"/>
  <c r="A482" i="43"/>
  <c r="S481" i="43"/>
  <c r="E481" i="43"/>
  <c r="C481" i="43"/>
  <c r="B481" i="43"/>
  <c r="A481" i="43"/>
  <c r="S480" i="43"/>
  <c r="E480" i="43"/>
  <c r="C480" i="43"/>
  <c r="B480" i="43"/>
  <c r="A480" i="43"/>
  <c r="S479" i="43"/>
  <c r="E479" i="43"/>
  <c r="C479" i="43"/>
  <c r="B479" i="43"/>
  <c r="A479" i="43"/>
  <c r="S478" i="43"/>
  <c r="E478" i="43"/>
  <c r="C478" i="43"/>
  <c r="B478" i="43"/>
  <c r="A478" i="43"/>
  <c r="S477" i="43"/>
  <c r="E477" i="43"/>
  <c r="C477" i="43"/>
  <c r="B477" i="43"/>
  <c r="A477" i="43"/>
  <c r="S476" i="43"/>
  <c r="E476" i="43"/>
  <c r="C476" i="43"/>
  <c r="B476" i="43"/>
  <c r="A476" i="43"/>
  <c r="S475" i="43"/>
  <c r="E475" i="43"/>
  <c r="C475" i="43"/>
  <c r="B475" i="43"/>
  <c r="A475" i="43"/>
  <c r="S474" i="43"/>
  <c r="E474" i="43"/>
  <c r="C474" i="43"/>
  <c r="B474" i="43"/>
  <c r="A474" i="43"/>
  <c r="S473" i="43"/>
  <c r="E473" i="43"/>
  <c r="C473" i="43"/>
  <c r="B473" i="43"/>
  <c r="A473" i="43"/>
  <c r="S472" i="43"/>
  <c r="E472" i="43"/>
  <c r="C472" i="43"/>
  <c r="B472" i="43"/>
  <c r="A472" i="43"/>
  <c r="S471" i="43"/>
  <c r="E471" i="43"/>
  <c r="C471" i="43"/>
  <c r="B471" i="43"/>
  <c r="A471" i="43"/>
  <c r="S470" i="43"/>
  <c r="E470" i="43"/>
  <c r="C470" i="43"/>
  <c r="B470" i="43"/>
  <c r="A470" i="43"/>
  <c r="S469" i="43"/>
  <c r="E469" i="43"/>
  <c r="C469" i="43"/>
  <c r="B469" i="43"/>
  <c r="A469" i="43"/>
  <c r="S468" i="43"/>
  <c r="E468" i="43"/>
  <c r="C468" i="43"/>
  <c r="B468" i="43"/>
  <c r="A468" i="43"/>
  <c r="S467" i="43"/>
  <c r="E467" i="43"/>
  <c r="C467" i="43"/>
  <c r="B467" i="43"/>
  <c r="A467" i="43"/>
  <c r="S466" i="43"/>
  <c r="E466" i="43"/>
  <c r="C466" i="43"/>
  <c r="B466" i="43"/>
  <c r="A466" i="43"/>
  <c r="S465" i="43"/>
  <c r="E465" i="43"/>
  <c r="C465" i="43"/>
  <c r="B465" i="43"/>
  <c r="A465" i="43"/>
  <c r="S464" i="43"/>
  <c r="E464" i="43"/>
  <c r="C464" i="43"/>
  <c r="B464" i="43"/>
  <c r="A464" i="43"/>
  <c r="S463" i="43"/>
  <c r="E463" i="43"/>
  <c r="C463" i="43"/>
  <c r="B463" i="43"/>
  <c r="A463" i="43"/>
  <c r="S462" i="43"/>
  <c r="E462" i="43"/>
  <c r="C462" i="43"/>
  <c r="B462" i="43"/>
  <c r="A462" i="43"/>
  <c r="S461" i="43"/>
  <c r="E461" i="43"/>
  <c r="C461" i="43"/>
  <c r="B461" i="43"/>
  <c r="A461" i="43"/>
  <c r="S460" i="43"/>
  <c r="E460" i="43"/>
  <c r="C460" i="43"/>
  <c r="B460" i="43"/>
  <c r="A460" i="43"/>
  <c r="S459" i="43"/>
  <c r="E459" i="43"/>
  <c r="C459" i="43"/>
  <c r="B459" i="43"/>
  <c r="A459" i="43"/>
  <c r="S458" i="43"/>
  <c r="E458" i="43"/>
  <c r="C458" i="43"/>
  <c r="B458" i="43"/>
  <c r="A458" i="43"/>
  <c r="S457" i="43"/>
  <c r="E457" i="43"/>
  <c r="C457" i="43"/>
  <c r="B457" i="43"/>
  <c r="A457" i="43"/>
  <c r="S456" i="43"/>
  <c r="E456" i="43"/>
  <c r="C456" i="43"/>
  <c r="B456" i="43"/>
  <c r="A456" i="43"/>
  <c r="S455" i="43"/>
  <c r="E455" i="43"/>
  <c r="C455" i="43"/>
  <c r="B455" i="43"/>
  <c r="A455" i="43"/>
  <c r="S454" i="43"/>
  <c r="E454" i="43"/>
  <c r="C454" i="43"/>
  <c r="B454" i="43"/>
  <c r="A454" i="43"/>
  <c r="S453" i="43"/>
  <c r="E453" i="43"/>
  <c r="C453" i="43"/>
  <c r="B453" i="43"/>
  <c r="A453" i="43"/>
  <c r="S452" i="43"/>
  <c r="E452" i="43"/>
  <c r="C452" i="43"/>
  <c r="B452" i="43"/>
  <c r="A452" i="43"/>
  <c r="S451" i="43"/>
  <c r="E451" i="43"/>
  <c r="C451" i="43"/>
  <c r="B451" i="43"/>
  <c r="A451" i="43"/>
  <c r="S450" i="43"/>
  <c r="E450" i="43"/>
  <c r="C450" i="43"/>
  <c r="B450" i="43"/>
  <c r="A450" i="43"/>
  <c r="S449" i="43"/>
  <c r="E449" i="43"/>
  <c r="C449" i="43"/>
  <c r="B449" i="43"/>
  <c r="A449" i="43"/>
  <c r="S448" i="43"/>
  <c r="E448" i="43"/>
  <c r="C448" i="43"/>
  <c r="B448" i="43"/>
  <c r="A448" i="43"/>
  <c r="S447" i="43"/>
  <c r="E447" i="43"/>
  <c r="C447" i="43"/>
  <c r="B447" i="43"/>
  <c r="A447" i="43"/>
  <c r="S446" i="43"/>
  <c r="E446" i="43"/>
  <c r="C446" i="43"/>
  <c r="B446" i="43"/>
  <c r="A446" i="43"/>
  <c r="S445" i="43"/>
  <c r="E445" i="43"/>
  <c r="C445" i="43"/>
  <c r="B445" i="43"/>
  <c r="A445" i="43"/>
  <c r="S444" i="43"/>
  <c r="E444" i="43"/>
  <c r="C444" i="43"/>
  <c r="B444" i="43"/>
  <c r="A444" i="43"/>
  <c r="S443" i="43"/>
  <c r="E443" i="43"/>
  <c r="C443" i="43"/>
  <c r="B443" i="43"/>
  <c r="A443" i="43"/>
  <c r="S442" i="43"/>
  <c r="E442" i="43"/>
  <c r="C442" i="43"/>
  <c r="B442" i="43"/>
  <c r="A442" i="43"/>
  <c r="S441" i="43"/>
  <c r="E441" i="43"/>
  <c r="C441" i="43"/>
  <c r="B441" i="43"/>
  <c r="A441" i="43"/>
  <c r="S440" i="43"/>
  <c r="E440" i="43"/>
  <c r="C440" i="43"/>
  <c r="B440" i="43"/>
  <c r="A440" i="43"/>
  <c r="S439" i="43"/>
  <c r="E439" i="43"/>
  <c r="C439" i="43"/>
  <c r="B439" i="43"/>
  <c r="A439" i="43"/>
  <c r="S438" i="43"/>
  <c r="E438" i="43"/>
  <c r="C438" i="43"/>
  <c r="B438" i="43"/>
  <c r="A438" i="43"/>
  <c r="S437" i="43"/>
  <c r="E437" i="43"/>
  <c r="C437" i="43"/>
  <c r="B437" i="43"/>
  <c r="A437" i="43"/>
  <c r="S436" i="43"/>
  <c r="E436" i="43"/>
  <c r="C436" i="43"/>
  <c r="B436" i="43"/>
  <c r="A436" i="43"/>
  <c r="S435" i="43"/>
  <c r="E435" i="43"/>
  <c r="C435" i="43"/>
  <c r="B435" i="43"/>
  <c r="A435" i="43"/>
  <c r="S434" i="43"/>
  <c r="E434" i="43"/>
  <c r="C434" i="43"/>
  <c r="B434" i="43"/>
  <c r="A434" i="43"/>
  <c r="S433" i="43"/>
  <c r="E433" i="43"/>
  <c r="C433" i="43"/>
  <c r="B433" i="43"/>
  <c r="A433" i="43"/>
  <c r="S432" i="43"/>
  <c r="E432" i="43"/>
  <c r="C432" i="43"/>
  <c r="B432" i="43"/>
  <c r="A432" i="43"/>
  <c r="S431" i="43"/>
  <c r="E431" i="43"/>
  <c r="C431" i="43"/>
  <c r="B431" i="43"/>
  <c r="A431" i="43"/>
  <c r="S430" i="43"/>
  <c r="E430" i="43"/>
  <c r="C430" i="43"/>
  <c r="B430" i="43"/>
  <c r="A430" i="43"/>
  <c r="S429" i="43"/>
  <c r="E429" i="43"/>
  <c r="C429" i="43"/>
  <c r="B429" i="43"/>
  <c r="A429" i="43"/>
  <c r="S428" i="43"/>
  <c r="E428" i="43"/>
  <c r="C428" i="43"/>
  <c r="B428" i="43"/>
  <c r="A428" i="43"/>
  <c r="S427" i="43"/>
  <c r="E427" i="43"/>
  <c r="C427" i="43"/>
  <c r="B427" i="43"/>
  <c r="A427" i="43"/>
  <c r="S426" i="43"/>
  <c r="E426" i="43"/>
  <c r="C426" i="43"/>
  <c r="B426" i="43"/>
  <c r="A426" i="43"/>
  <c r="S425" i="43"/>
  <c r="E425" i="43"/>
  <c r="C425" i="43"/>
  <c r="B425" i="43"/>
  <c r="A425" i="43"/>
  <c r="S424" i="43"/>
  <c r="E424" i="43"/>
  <c r="C424" i="43"/>
  <c r="B424" i="43"/>
  <c r="A424" i="43"/>
  <c r="S423" i="43"/>
  <c r="E423" i="43"/>
  <c r="C423" i="43"/>
  <c r="B423" i="43"/>
  <c r="A423" i="43"/>
  <c r="S422" i="43"/>
  <c r="E422" i="43"/>
  <c r="C422" i="43"/>
  <c r="B422" i="43"/>
  <c r="A422" i="43"/>
  <c r="S421" i="43"/>
  <c r="E421" i="43"/>
  <c r="C421" i="43"/>
  <c r="B421" i="43"/>
  <c r="A421" i="43"/>
  <c r="S420" i="43"/>
  <c r="E420" i="43"/>
  <c r="C420" i="43"/>
  <c r="B420" i="43"/>
  <c r="A420" i="43"/>
  <c r="S419" i="43"/>
  <c r="E419" i="43"/>
  <c r="C419" i="43"/>
  <c r="B419" i="43"/>
  <c r="A419" i="43"/>
  <c r="S418" i="43"/>
  <c r="E418" i="43"/>
  <c r="C418" i="43"/>
  <c r="B418" i="43"/>
  <c r="A418" i="43"/>
  <c r="S417" i="43"/>
  <c r="E417" i="43"/>
  <c r="C417" i="43"/>
  <c r="B417" i="43"/>
  <c r="A417" i="43"/>
  <c r="S416" i="43"/>
  <c r="E416" i="43"/>
  <c r="C416" i="43"/>
  <c r="B416" i="43"/>
  <c r="A416" i="43"/>
  <c r="S415" i="43"/>
  <c r="E415" i="43"/>
  <c r="C415" i="43"/>
  <c r="B415" i="43"/>
  <c r="A415" i="43"/>
  <c r="S414" i="43"/>
  <c r="E414" i="43"/>
  <c r="C414" i="43"/>
  <c r="B414" i="43"/>
  <c r="A414" i="43"/>
  <c r="S413" i="43"/>
  <c r="E413" i="43"/>
  <c r="C413" i="43"/>
  <c r="B413" i="43"/>
  <c r="A413" i="43"/>
  <c r="S412" i="43"/>
  <c r="E412" i="43"/>
  <c r="C412" i="43"/>
  <c r="B412" i="43"/>
  <c r="A412" i="43"/>
  <c r="E411" i="43"/>
  <c r="E410" i="43"/>
  <c r="T409" i="43"/>
  <c r="E409" i="43"/>
  <c r="C409" i="43"/>
  <c r="B409" i="43"/>
  <c r="A409" i="43"/>
  <c r="T408" i="43"/>
  <c r="E408" i="43"/>
  <c r="C408" i="43"/>
  <c r="B408" i="43"/>
  <c r="A408" i="43"/>
  <c r="T407" i="43"/>
  <c r="E407" i="43"/>
  <c r="B407" i="43"/>
  <c r="A407" i="43"/>
  <c r="T406" i="43"/>
  <c r="E406" i="43"/>
  <c r="C406" i="43"/>
  <c r="B406" i="43"/>
  <c r="A406" i="43"/>
  <c r="T405" i="43"/>
  <c r="E405" i="43"/>
  <c r="C405" i="43"/>
  <c r="B405" i="43"/>
  <c r="A405" i="43"/>
  <c r="T404" i="43"/>
  <c r="E404" i="43"/>
  <c r="C404" i="43"/>
  <c r="B404" i="43"/>
  <c r="A404" i="43"/>
  <c r="T403" i="43"/>
  <c r="E403" i="43"/>
  <c r="C403" i="43"/>
  <c r="B403" i="43"/>
  <c r="A403" i="43"/>
  <c r="T402" i="43"/>
  <c r="E402" i="43"/>
  <c r="C402" i="43"/>
  <c r="B402" i="43"/>
  <c r="A402" i="43"/>
  <c r="T401" i="43"/>
  <c r="E401" i="43"/>
  <c r="C401" i="43"/>
  <c r="B401" i="43"/>
  <c r="A401" i="43"/>
  <c r="T400" i="43"/>
  <c r="E400" i="43"/>
  <c r="C400" i="43"/>
  <c r="B400" i="43"/>
  <c r="A400" i="43"/>
  <c r="T399" i="43"/>
  <c r="E399" i="43"/>
  <c r="C399" i="43"/>
  <c r="B399" i="43"/>
  <c r="A399" i="43"/>
  <c r="T398" i="43"/>
  <c r="E398" i="43"/>
  <c r="C398" i="43"/>
  <c r="B398" i="43"/>
  <c r="A398" i="43"/>
  <c r="T397" i="43"/>
  <c r="E397" i="43"/>
  <c r="C397" i="43"/>
  <c r="B397" i="43"/>
  <c r="A397" i="43"/>
  <c r="T396" i="43"/>
  <c r="E396" i="43"/>
  <c r="C396" i="43"/>
  <c r="B396" i="43"/>
  <c r="A396" i="43"/>
  <c r="T395" i="43"/>
  <c r="E395" i="43"/>
  <c r="C395" i="43"/>
  <c r="B395" i="43"/>
  <c r="A395" i="43"/>
  <c r="T394" i="43"/>
  <c r="E394" i="43"/>
  <c r="C394" i="43"/>
  <c r="B394" i="43"/>
  <c r="A394" i="43"/>
  <c r="T393" i="43"/>
  <c r="E393" i="43"/>
  <c r="C393" i="43"/>
  <c r="B393" i="43"/>
  <c r="A393" i="43"/>
  <c r="T392" i="43"/>
  <c r="E392" i="43"/>
  <c r="C392" i="43"/>
  <c r="B392" i="43"/>
  <c r="A392" i="43"/>
  <c r="T391" i="43"/>
  <c r="E391" i="43"/>
  <c r="C391" i="43"/>
  <c r="B391" i="43"/>
  <c r="A391" i="43"/>
  <c r="T390" i="43"/>
  <c r="E390" i="43"/>
  <c r="C390" i="43"/>
  <c r="B390" i="43"/>
  <c r="A390" i="43"/>
  <c r="T389" i="43"/>
  <c r="E389" i="43"/>
  <c r="C389" i="43"/>
  <c r="B389" i="43"/>
  <c r="A389" i="43"/>
  <c r="T388" i="43"/>
  <c r="E388" i="43"/>
  <c r="C388" i="43"/>
  <c r="B388" i="43"/>
  <c r="A388" i="43"/>
  <c r="T387" i="43"/>
  <c r="E387" i="43"/>
  <c r="C387" i="43"/>
  <c r="B387" i="43"/>
  <c r="A387" i="43"/>
  <c r="T385" i="43"/>
  <c r="E385" i="43"/>
  <c r="C385" i="43"/>
  <c r="B385" i="43"/>
  <c r="A385" i="43"/>
  <c r="T384" i="43"/>
  <c r="E384" i="43"/>
  <c r="C384" i="43"/>
  <c r="B384" i="43"/>
  <c r="A384" i="43"/>
  <c r="T383" i="43"/>
  <c r="E383" i="43"/>
  <c r="C383" i="43"/>
  <c r="B383" i="43"/>
  <c r="A383" i="43"/>
  <c r="T382" i="43"/>
  <c r="C382" i="43"/>
  <c r="B382" i="43"/>
  <c r="A382" i="43"/>
  <c r="T381" i="43"/>
  <c r="E381" i="43"/>
  <c r="C381" i="43"/>
  <c r="B381" i="43"/>
  <c r="A381" i="43"/>
  <c r="T380" i="43"/>
  <c r="E380" i="43"/>
  <c r="C380" i="43"/>
  <c r="B380" i="43"/>
  <c r="A380" i="43"/>
  <c r="T379" i="43"/>
  <c r="E379" i="43"/>
  <c r="C379" i="43"/>
  <c r="B379" i="43"/>
  <c r="A379" i="43"/>
  <c r="T378" i="43"/>
  <c r="E378" i="43"/>
  <c r="C378" i="43"/>
  <c r="B378" i="43"/>
  <c r="A378" i="43"/>
  <c r="T377" i="43"/>
  <c r="E377" i="43"/>
  <c r="C377" i="43"/>
  <c r="B377" i="43"/>
  <c r="A377" i="43"/>
  <c r="T376" i="43"/>
  <c r="E376" i="43"/>
  <c r="C376" i="43"/>
  <c r="B376" i="43"/>
  <c r="A376" i="43"/>
  <c r="T375" i="43"/>
  <c r="E375" i="43"/>
  <c r="C375" i="43"/>
  <c r="B375" i="43"/>
  <c r="A375" i="43"/>
  <c r="T374" i="43"/>
  <c r="E374" i="43"/>
  <c r="C374" i="43"/>
  <c r="B374" i="43"/>
  <c r="A374" i="43"/>
  <c r="T373" i="43"/>
  <c r="E373" i="43"/>
  <c r="C373" i="43"/>
  <c r="B373" i="43"/>
  <c r="A373" i="43"/>
  <c r="T372" i="43"/>
  <c r="E372" i="43"/>
  <c r="C372" i="43"/>
  <c r="B372" i="43"/>
  <c r="A372" i="43"/>
  <c r="T371" i="43"/>
  <c r="E371" i="43"/>
  <c r="C371" i="43"/>
  <c r="B371" i="43"/>
  <c r="A371" i="43"/>
  <c r="T370" i="43"/>
  <c r="E370" i="43"/>
  <c r="C370" i="43"/>
  <c r="B370" i="43"/>
  <c r="A370" i="43"/>
  <c r="T369" i="43"/>
  <c r="E369" i="43"/>
  <c r="C369" i="43"/>
  <c r="B369" i="43"/>
  <c r="A369" i="43"/>
  <c r="T368" i="43"/>
  <c r="E368" i="43"/>
  <c r="C368" i="43"/>
  <c r="B368" i="43"/>
  <c r="A368" i="43"/>
  <c r="T367" i="43"/>
  <c r="E367" i="43"/>
  <c r="C367" i="43"/>
  <c r="B367" i="43"/>
  <c r="A367" i="43"/>
  <c r="T366" i="43"/>
  <c r="E366" i="43"/>
  <c r="C366" i="43"/>
  <c r="B366" i="43"/>
  <c r="A366" i="43"/>
  <c r="T365" i="43"/>
  <c r="E365" i="43"/>
  <c r="C365" i="43"/>
  <c r="B365" i="43"/>
  <c r="A365" i="43"/>
  <c r="T364" i="43"/>
  <c r="E364" i="43"/>
  <c r="C364" i="43"/>
  <c r="B364" i="43"/>
  <c r="A364" i="43"/>
  <c r="T363" i="43"/>
  <c r="E363" i="43"/>
  <c r="C363" i="43"/>
  <c r="B363" i="43"/>
  <c r="A363" i="43"/>
  <c r="T362" i="43"/>
  <c r="E362" i="43"/>
  <c r="C362" i="43"/>
  <c r="B362" i="43"/>
  <c r="A362" i="43"/>
  <c r="T361" i="43"/>
  <c r="E361" i="43"/>
  <c r="C361" i="43"/>
  <c r="B361" i="43"/>
  <c r="A361" i="43"/>
  <c r="T360" i="43"/>
  <c r="E360" i="43"/>
  <c r="C360" i="43"/>
  <c r="B360" i="43"/>
  <c r="A360" i="43"/>
  <c r="T359" i="43"/>
  <c r="E359" i="43"/>
  <c r="C359" i="43"/>
  <c r="B359" i="43"/>
  <c r="A359" i="43"/>
  <c r="T358" i="43"/>
  <c r="E358" i="43"/>
  <c r="C358" i="43"/>
  <c r="B358" i="43"/>
  <c r="A358" i="43"/>
  <c r="T357" i="43"/>
  <c r="E357" i="43"/>
  <c r="C357" i="43"/>
  <c r="B357" i="43"/>
  <c r="A357" i="43"/>
  <c r="T356" i="43"/>
  <c r="E356" i="43"/>
  <c r="C356" i="43"/>
  <c r="B356" i="43"/>
  <c r="A356" i="43"/>
  <c r="T355" i="43"/>
  <c r="E355" i="43"/>
  <c r="C355" i="43"/>
  <c r="B355" i="43"/>
  <c r="A355" i="43"/>
  <c r="T354" i="43"/>
  <c r="E354" i="43"/>
  <c r="C354" i="43"/>
  <c r="B354" i="43"/>
  <c r="A354" i="43"/>
  <c r="T353" i="43"/>
  <c r="E353" i="43"/>
  <c r="C353" i="43"/>
  <c r="B353" i="43"/>
  <c r="A353" i="43"/>
  <c r="T352" i="43"/>
  <c r="E352" i="43"/>
  <c r="C352" i="43"/>
  <c r="B352" i="43"/>
  <c r="A352" i="43"/>
  <c r="T351" i="43"/>
  <c r="E351" i="43"/>
  <c r="C351" i="43"/>
  <c r="B351" i="43"/>
  <c r="A351" i="43"/>
  <c r="T350" i="43"/>
  <c r="E350" i="43"/>
  <c r="C350" i="43"/>
  <c r="B350" i="43"/>
  <c r="A350" i="43"/>
  <c r="T349" i="43"/>
  <c r="E349" i="43"/>
  <c r="C349" i="43"/>
  <c r="B349" i="43"/>
  <c r="A349" i="43"/>
  <c r="T348" i="43"/>
  <c r="E348" i="43"/>
  <c r="C348" i="43"/>
  <c r="B348" i="43"/>
  <c r="A348" i="43"/>
  <c r="T347" i="43"/>
  <c r="E347" i="43"/>
  <c r="C347" i="43"/>
  <c r="B347" i="43"/>
  <c r="A347" i="43"/>
  <c r="T346" i="43"/>
  <c r="E346" i="43"/>
  <c r="C346" i="43"/>
  <c r="B346" i="43"/>
  <c r="A346" i="43"/>
  <c r="T345" i="43"/>
  <c r="E345" i="43"/>
  <c r="C345" i="43"/>
  <c r="B345" i="43"/>
  <c r="A345" i="43"/>
  <c r="T344" i="43"/>
  <c r="E344" i="43"/>
  <c r="C344" i="43"/>
  <c r="B344" i="43"/>
  <c r="A344" i="43"/>
  <c r="T343" i="43"/>
  <c r="E343" i="43"/>
  <c r="C343" i="43"/>
  <c r="B343" i="43"/>
  <c r="A343" i="43"/>
  <c r="T342" i="43"/>
  <c r="E342" i="43"/>
  <c r="C342" i="43"/>
  <c r="B342" i="43"/>
  <c r="A342" i="43"/>
  <c r="T341" i="43"/>
  <c r="E341" i="43"/>
  <c r="C341" i="43"/>
  <c r="B341" i="43"/>
  <c r="A341" i="43"/>
  <c r="T340" i="43"/>
  <c r="E340" i="43"/>
  <c r="C340" i="43"/>
  <c r="A340" i="43"/>
  <c r="T339" i="43"/>
  <c r="E339" i="43"/>
  <c r="C339" i="43"/>
  <c r="B339" i="43"/>
  <c r="A339" i="43"/>
  <c r="T338" i="43"/>
  <c r="E338" i="43"/>
  <c r="C338" i="43"/>
  <c r="B338" i="43"/>
  <c r="A338" i="43"/>
  <c r="T337" i="43"/>
  <c r="E337" i="43"/>
  <c r="C337" i="43"/>
  <c r="B337" i="43"/>
  <c r="A337" i="43"/>
  <c r="T336" i="43"/>
  <c r="E336" i="43"/>
  <c r="C336" i="43"/>
  <c r="B336" i="43"/>
  <c r="A336" i="43"/>
  <c r="T335" i="43"/>
  <c r="E335" i="43"/>
  <c r="C335" i="43"/>
  <c r="B335" i="43"/>
  <c r="A335" i="43"/>
  <c r="T334" i="43"/>
  <c r="E334" i="43"/>
  <c r="C334" i="43"/>
  <c r="B334" i="43"/>
  <c r="A334" i="43"/>
  <c r="T333" i="43"/>
  <c r="E333" i="43"/>
  <c r="C333" i="43"/>
  <c r="B333" i="43"/>
  <c r="A333" i="43"/>
  <c r="T332" i="43"/>
  <c r="E332" i="43"/>
  <c r="C332" i="43"/>
  <c r="B332" i="43"/>
  <c r="A332" i="43"/>
  <c r="T331" i="43"/>
  <c r="E331" i="43"/>
  <c r="C331" i="43"/>
  <c r="B331" i="43"/>
  <c r="A331" i="43"/>
  <c r="T330" i="43"/>
  <c r="E330" i="43"/>
  <c r="C330" i="43"/>
  <c r="B330" i="43"/>
  <c r="A330" i="43"/>
  <c r="T329" i="43"/>
  <c r="E329" i="43"/>
  <c r="C329" i="43"/>
  <c r="B329" i="43"/>
  <c r="A329" i="43"/>
  <c r="T328" i="43"/>
  <c r="E328" i="43"/>
  <c r="C328" i="43"/>
  <c r="B328" i="43"/>
  <c r="A328" i="43"/>
  <c r="T327" i="43"/>
  <c r="E327" i="43"/>
  <c r="C327" i="43"/>
  <c r="B327" i="43"/>
  <c r="A327" i="43"/>
  <c r="T326" i="43"/>
  <c r="E326" i="43"/>
  <c r="C326" i="43"/>
  <c r="B326" i="43"/>
  <c r="A326" i="43"/>
  <c r="T325" i="43"/>
  <c r="E325" i="43"/>
  <c r="C325" i="43"/>
  <c r="B325" i="43"/>
  <c r="A325" i="43"/>
  <c r="T324" i="43"/>
  <c r="E324" i="43"/>
  <c r="C324" i="43"/>
  <c r="B324" i="43"/>
  <c r="A324" i="43"/>
  <c r="T323" i="43"/>
  <c r="E323" i="43"/>
  <c r="C323" i="43"/>
  <c r="B323" i="43"/>
  <c r="A323" i="43"/>
  <c r="T322" i="43"/>
  <c r="E322" i="43"/>
  <c r="C322" i="43"/>
  <c r="B322" i="43"/>
  <c r="A322" i="43"/>
  <c r="T321" i="43"/>
  <c r="E321" i="43"/>
  <c r="C321" i="43"/>
  <c r="B321" i="43"/>
  <c r="A321" i="43"/>
  <c r="T320" i="43"/>
  <c r="E320" i="43"/>
  <c r="C320" i="43"/>
  <c r="B320" i="43"/>
  <c r="A320" i="43"/>
  <c r="T319" i="43"/>
  <c r="E319" i="43"/>
  <c r="C319" i="43"/>
  <c r="B319" i="43"/>
  <c r="A319" i="43"/>
  <c r="T318" i="43"/>
  <c r="E318" i="43"/>
  <c r="C318" i="43"/>
  <c r="B318" i="43"/>
  <c r="A318" i="43"/>
  <c r="T317" i="43"/>
  <c r="E317" i="43"/>
  <c r="C317" i="43"/>
  <c r="B317" i="43"/>
  <c r="A317" i="43"/>
  <c r="T316" i="43"/>
  <c r="E316" i="43"/>
  <c r="C316" i="43"/>
  <c r="B316" i="43"/>
  <c r="A316" i="43"/>
  <c r="T315" i="43"/>
  <c r="E315" i="43"/>
  <c r="C315" i="43"/>
  <c r="B315" i="43"/>
  <c r="A315" i="43"/>
  <c r="T314" i="43"/>
  <c r="E314" i="43"/>
  <c r="C314" i="43"/>
  <c r="B314" i="43"/>
  <c r="A314" i="43"/>
  <c r="T313" i="43"/>
  <c r="E313" i="43"/>
  <c r="C313" i="43"/>
  <c r="B313" i="43"/>
  <c r="A313" i="43"/>
  <c r="T312" i="43"/>
  <c r="E312" i="43"/>
  <c r="C312" i="43"/>
  <c r="B312" i="43"/>
  <c r="A312" i="43"/>
  <c r="T311" i="43"/>
  <c r="E311" i="43"/>
  <c r="C311" i="43"/>
  <c r="B311" i="43"/>
  <c r="A311" i="43"/>
  <c r="T310" i="43"/>
  <c r="E310" i="43"/>
  <c r="C310" i="43"/>
  <c r="B310" i="43"/>
  <c r="A310" i="43"/>
  <c r="T309" i="43"/>
  <c r="E309" i="43"/>
  <c r="C309" i="43"/>
  <c r="B309" i="43"/>
  <c r="A309" i="43"/>
  <c r="T308" i="43"/>
  <c r="E308" i="43"/>
  <c r="C308" i="43"/>
  <c r="B308" i="43"/>
  <c r="A308" i="43"/>
  <c r="T307" i="43"/>
  <c r="E307" i="43"/>
  <c r="C307" i="43"/>
  <c r="B307" i="43"/>
  <c r="A307" i="43"/>
  <c r="T306" i="43"/>
  <c r="E306" i="43"/>
  <c r="C306" i="43"/>
  <c r="B306" i="43"/>
  <c r="A306" i="43"/>
  <c r="T305" i="43"/>
  <c r="E305" i="43"/>
  <c r="C305" i="43"/>
  <c r="B305" i="43"/>
  <c r="A305" i="43"/>
  <c r="T304" i="43"/>
  <c r="E304" i="43"/>
  <c r="C304" i="43"/>
  <c r="B304" i="43"/>
  <c r="A304" i="43"/>
  <c r="T303" i="43"/>
  <c r="E303" i="43"/>
  <c r="C303" i="43"/>
  <c r="B303" i="43"/>
  <c r="A303" i="43"/>
  <c r="T302" i="43"/>
  <c r="E302" i="43"/>
  <c r="C302" i="43"/>
  <c r="B302" i="43"/>
  <c r="A302" i="43"/>
  <c r="T301" i="43"/>
  <c r="E301" i="43"/>
  <c r="C301" i="43"/>
  <c r="B301" i="43"/>
  <c r="A301" i="43"/>
  <c r="T299" i="43"/>
  <c r="E299" i="43"/>
  <c r="C299" i="43"/>
  <c r="B299" i="43"/>
  <c r="A299" i="43"/>
  <c r="T298" i="43"/>
  <c r="E298" i="43"/>
  <c r="C298" i="43"/>
  <c r="B298" i="43"/>
  <c r="A298" i="43"/>
  <c r="T297" i="43"/>
  <c r="E297" i="43"/>
  <c r="C297" i="43"/>
  <c r="B297" i="43"/>
  <c r="A297" i="43"/>
  <c r="T296" i="43"/>
  <c r="E296" i="43"/>
  <c r="C296" i="43"/>
  <c r="B296" i="43"/>
  <c r="A296" i="43"/>
  <c r="T293" i="43"/>
  <c r="E293" i="43"/>
  <c r="C293" i="43"/>
  <c r="B293" i="43"/>
  <c r="A293" i="43"/>
  <c r="T292" i="43"/>
  <c r="E292" i="43"/>
  <c r="C292" i="43"/>
  <c r="B292" i="43"/>
  <c r="A292" i="43"/>
  <c r="T291" i="43"/>
  <c r="E291" i="43"/>
  <c r="C291" i="43"/>
  <c r="B291" i="43"/>
  <c r="A291" i="43"/>
  <c r="T290" i="43"/>
  <c r="E290" i="43"/>
  <c r="C290" i="43"/>
  <c r="B290" i="43"/>
  <c r="A290" i="43"/>
  <c r="T289" i="43"/>
  <c r="E289" i="43"/>
  <c r="C289" i="43"/>
  <c r="B289" i="43"/>
  <c r="A289" i="43"/>
  <c r="T288" i="43"/>
  <c r="E288" i="43"/>
  <c r="C288" i="43"/>
  <c r="B288" i="43"/>
  <c r="A288" i="43"/>
  <c r="T287" i="43"/>
  <c r="E287" i="43"/>
  <c r="C287" i="43"/>
  <c r="B287" i="43"/>
  <c r="A287" i="43"/>
  <c r="T286" i="43"/>
  <c r="E286" i="43"/>
  <c r="C286" i="43"/>
  <c r="B286" i="43"/>
  <c r="A286" i="43"/>
  <c r="T285" i="43"/>
  <c r="E285" i="43"/>
  <c r="C285" i="43"/>
  <c r="B285" i="43"/>
  <c r="A285" i="43"/>
  <c r="E284" i="43"/>
  <c r="E283" i="43"/>
  <c r="S282" i="43"/>
  <c r="E282" i="43"/>
  <c r="C282" i="43"/>
  <c r="B282" i="43"/>
  <c r="A282" i="43"/>
  <c r="S281" i="43"/>
  <c r="E281" i="43"/>
  <c r="C281" i="43"/>
  <c r="B281" i="43"/>
  <c r="A281" i="43"/>
  <c r="S280" i="43"/>
  <c r="E280" i="43"/>
  <c r="C280" i="43"/>
  <c r="B280" i="43"/>
  <c r="A280" i="43"/>
  <c r="S279" i="43"/>
  <c r="E279" i="43"/>
  <c r="C279" i="43"/>
  <c r="B279" i="43"/>
  <c r="A279" i="43"/>
  <c r="S278" i="43"/>
  <c r="E278" i="43"/>
  <c r="C278" i="43"/>
  <c r="B278" i="43"/>
  <c r="A278" i="43"/>
  <c r="S277" i="43"/>
  <c r="E277" i="43"/>
  <c r="C277" i="43"/>
  <c r="B277" i="43"/>
  <c r="A277" i="43"/>
  <c r="S276" i="43"/>
  <c r="E276" i="43"/>
  <c r="C276" i="43"/>
  <c r="B276" i="43"/>
  <c r="A276" i="43"/>
  <c r="S275" i="43"/>
  <c r="E275" i="43"/>
  <c r="C275" i="43"/>
  <c r="B275" i="43"/>
  <c r="A275" i="43"/>
  <c r="S274" i="43"/>
  <c r="E274" i="43"/>
  <c r="C274" i="43"/>
  <c r="B274" i="43"/>
  <c r="A274" i="43"/>
  <c r="S273" i="43"/>
  <c r="E273" i="43"/>
  <c r="C273" i="43"/>
  <c r="B273" i="43"/>
  <c r="A273" i="43"/>
  <c r="S272" i="43"/>
  <c r="E272" i="43"/>
  <c r="C272" i="43"/>
  <c r="B272" i="43"/>
  <c r="A272" i="43"/>
  <c r="S271" i="43"/>
  <c r="E271" i="43"/>
  <c r="C271" i="43"/>
  <c r="B271" i="43"/>
  <c r="A271" i="43"/>
  <c r="S270" i="43"/>
  <c r="E270" i="43"/>
  <c r="C270" i="43"/>
  <c r="B270" i="43"/>
  <c r="A270" i="43"/>
  <c r="S269" i="43"/>
  <c r="E269" i="43"/>
  <c r="C269" i="43"/>
  <c r="B269" i="43"/>
  <c r="A269" i="43"/>
  <c r="S268" i="43"/>
  <c r="E268" i="43"/>
  <c r="C268" i="43"/>
  <c r="B268" i="43"/>
  <c r="A268" i="43"/>
  <c r="S267" i="43"/>
  <c r="E267" i="43"/>
  <c r="C267" i="43"/>
  <c r="B267" i="43"/>
  <c r="A267" i="43"/>
  <c r="S266" i="43"/>
  <c r="E266" i="43"/>
  <c r="C266" i="43"/>
  <c r="B266" i="43"/>
  <c r="A266" i="43"/>
  <c r="S265" i="43"/>
  <c r="E265" i="43"/>
  <c r="C265" i="43"/>
  <c r="B265" i="43"/>
  <c r="A265" i="43"/>
  <c r="S264" i="43"/>
  <c r="E264" i="43"/>
  <c r="C264" i="43"/>
  <c r="B264" i="43"/>
  <c r="A264" i="43"/>
  <c r="S263" i="43"/>
  <c r="E263" i="43"/>
  <c r="C263" i="43"/>
  <c r="B263" i="43"/>
  <c r="A263" i="43"/>
  <c r="S262" i="43"/>
  <c r="E262" i="43"/>
  <c r="C262" i="43"/>
  <c r="B262" i="43"/>
  <c r="A262" i="43"/>
  <c r="S261" i="43"/>
  <c r="E261" i="43"/>
  <c r="C261" i="43"/>
  <c r="B261" i="43"/>
  <c r="A261" i="43"/>
  <c r="S260" i="43"/>
  <c r="E260" i="43"/>
  <c r="C260" i="43"/>
  <c r="B260" i="43"/>
  <c r="A260" i="43"/>
  <c r="S259" i="43"/>
  <c r="E259" i="43"/>
  <c r="C259" i="43"/>
  <c r="B259" i="43"/>
  <c r="A259" i="43"/>
  <c r="S258" i="43"/>
  <c r="E258" i="43"/>
  <c r="C258" i="43"/>
  <c r="B258" i="43"/>
  <c r="A258" i="43"/>
  <c r="S257" i="43"/>
  <c r="E257" i="43"/>
  <c r="C257" i="43"/>
  <c r="B257" i="43"/>
  <c r="A257" i="43"/>
  <c r="S256" i="43"/>
  <c r="E256" i="43"/>
  <c r="C256" i="43"/>
  <c r="B256" i="43"/>
  <c r="A256" i="43"/>
  <c r="S255" i="43"/>
  <c r="E255" i="43"/>
  <c r="C255" i="43"/>
  <c r="B255" i="43"/>
  <c r="A255" i="43"/>
  <c r="S254" i="43"/>
  <c r="E254" i="43"/>
  <c r="C254" i="43"/>
  <c r="B254" i="43"/>
  <c r="A254" i="43"/>
  <c r="S253" i="43"/>
  <c r="E253" i="43"/>
  <c r="C253" i="43"/>
  <c r="B253" i="43"/>
  <c r="A253" i="43"/>
  <c r="S252" i="43"/>
  <c r="E252" i="43"/>
  <c r="C252" i="43"/>
  <c r="B252" i="43"/>
  <c r="A252" i="43"/>
  <c r="S251" i="43"/>
  <c r="E251" i="43"/>
  <c r="C251" i="43"/>
  <c r="B251" i="43"/>
  <c r="A251" i="43"/>
  <c r="S250" i="43"/>
  <c r="E250" i="43"/>
  <c r="C250" i="43"/>
  <c r="B250" i="43"/>
  <c r="A250" i="43"/>
  <c r="S249" i="43"/>
  <c r="E249" i="43"/>
  <c r="C249" i="43"/>
  <c r="B249" i="43"/>
  <c r="A249" i="43"/>
  <c r="S248" i="43"/>
  <c r="E248" i="43"/>
  <c r="C248" i="43"/>
  <c r="A248" i="43"/>
  <c r="S247" i="43"/>
  <c r="E247" i="43"/>
  <c r="C247" i="43"/>
  <c r="B247" i="43"/>
  <c r="A247" i="43"/>
  <c r="S246" i="43"/>
  <c r="E246" i="43"/>
  <c r="C246" i="43"/>
  <c r="B246" i="43"/>
  <c r="A246" i="43"/>
  <c r="S245" i="43"/>
  <c r="E245" i="43"/>
  <c r="C245" i="43"/>
  <c r="B245" i="43"/>
  <c r="A245" i="43"/>
  <c r="S244" i="43"/>
  <c r="E244" i="43"/>
  <c r="C244" i="43"/>
  <c r="B244" i="43"/>
  <c r="A244" i="43"/>
  <c r="S243" i="43"/>
  <c r="E243" i="43"/>
  <c r="C243" i="43"/>
  <c r="B243" i="43"/>
  <c r="A243" i="43"/>
  <c r="S242" i="43"/>
  <c r="E242" i="43"/>
  <c r="C242" i="43"/>
  <c r="B242" i="43"/>
  <c r="A242" i="43"/>
  <c r="S241" i="43"/>
  <c r="E241" i="43"/>
  <c r="C241" i="43"/>
  <c r="B241" i="43"/>
  <c r="A241" i="43"/>
  <c r="S240" i="43"/>
  <c r="E240" i="43"/>
  <c r="C240" i="43"/>
  <c r="B240" i="43"/>
  <c r="A240" i="43"/>
  <c r="S239" i="43"/>
  <c r="E239" i="43"/>
  <c r="C239" i="43"/>
  <c r="B239" i="43"/>
  <c r="A239" i="43"/>
  <c r="S238" i="43"/>
  <c r="E238" i="43"/>
  <c r="C238" i="43"/>
  <c r="B238" i="43"/>
  <c r="A238" i="43"/>
  <c r="S237" i="43"/>
  <c r="E237" i="43"/>
  <c r="C237" i="43"/>
  <c r="B237" i="43"/>
  <c r="A237" i="43"/>
  <c r="S236" i="43"/>
  <c r="E236" i="43"/>
  <c r="C236" i="43"/>
  <c r="B236" i="43"/>
  <c r="A236" i="43"/>
  <c r="S235" i="43"/>
  <c r="E235" i="43"/>
  <c r="C235" i="43"/>
  <c r="B235" i="43"/>
  <c r="A235" i="43"/>
  <c r="S234" i="43"/>
  <c r="E234" i="43"/>
  <c r="C234" i="43"/>
  <c r="B234" i="43"/>
  <c r="A234" i="43"/>
  <c r="S233" i="43"/>
  <c r="E233" i="43"/>
  <c r="C233" i="43"/>
  <c r="B233" i="43"/>
  <c r="A233" i="43"/>
  <c r="S232" i="43"/>
  <c r="E232" i="43"/>
  <c r="E231" i="43"/>
  <c r="S230" i="43"/>
  <c r="E230" i="43"/>
  <c r="C230" i="43"/>
  <c r="B230" i="43"/>
  <c r="A230" i="43"/>
  <c r="S229" i="43"/>
  <c r="E229" i="43"/>
  <c r="B229" i="43"/>
  <c r="A229" i="43"/>
  <c r="S228" i="43"/>
  <c r="E228" i="43"/>
  <c r="C228" i="43"/>
  <c r="B228" i="43"/>
  <c r="A228" i="43"/>
  <c r="S227" i="43"/>
  <c r="E227" i="43"/>
  <c r="C227" i="43"/>
  <c r="B227" i="43"/>
  <c r="A227" i="43"/>
  <c r="S226" i="43"/>
  <c r="E226" i="43"/>
  <c r="C226" i="43"/>
  <c r="B226" i="43"/>
  <c r="A226" i="43"/>
  <c r="S225" i="43"/>
  <c r="E225" i="43"/>
  <c r="C225" i="43"/>
  <c r="B225" i="43"/>
  <c r="A225" i="43"/>
  <c r="S224" i="43"/>
  <c r="E224" i="43"/>
  <c r="C224" i="43"/>
  <c r="B224" i="43"/>
  <c r="A224" i="43"/>
  <c r="S223" i="43"/>
  <c r="E223" i="43"/>
  <c r="C223" i="43"/>
  <c r="B223" i="43"/>
  <c r="A223" i="43"/>
  <c r="S222" i="43"/>
  <c r="E222" i="43"/>
  <c r="C222" i="43"/>
  <c r="B222" i="43"/>
  <c r="A222" i="43"/>
  <c r="S221" i="43"/>
  <c r="E221" i="43"/>
  <c r="C221" i="43"/>
  <c r="B221" i="43"/>
  <c r="A221" i="43"/>
  <c r="S220" i="43"/>
  <c r="E220" i="43"/>
  <c r="C220" i="43"/>
  <c r="B220" i="43"/>
  <c r="A220" i="43"/>
  <c r="S219" i="43"/>
  <c r="E219" i="43"/>
  <c r="C219" i="43"/>
  <c r="B219" i="43"/>
  <c r="A219" i="43"/>
  <c r="S218" i="43"/>
  <c r="E218" i="43"/>
  <c r="C218" i="43"/>
  <c r="B218" i="43"/>
  <c r="A218" i="43"/>
  <c r="S217" i="43"/>
  <c r="E217" i="43"/>
  <c r="C217" i="43"/>
  <c r="B217" i="43"/>
  <c r="A217" i="43"/>
  <c r="S216" i="43"/>
  <c r="E216" i="43"/>
  <c r="C216" i="43"/>
  <c r="B216" i="43"/>
  <c r="A216" i="43"/>
  <c r="S215" i="43"/>
  <c r="E215" i="43"/>
  <c r="C215" i="43"/>
  <c r="B215" i="43"/>
  <c r="A215" i="43"/>
  <c r="S214" i="43"/>
  <c r="E214" i="43"/>
  <c r="C214" i="43"/>
  <c r="B214" i="43"/>
  <c r="A214" i="43"/>
  <c r="S213" i="43"/>
  <c r="E213" i="43"/>
  <c r="C213" i="43"/>
  <c r="B213" i="43"/>
  <c r="A213" i="43"/>
  <c r="S212" i="43"/>
  <c r="E212" i="43"/>
  <c r="C212" i="43"/>
  <c r="B212" i="43"/>
  <c r="A212" i="43"/>
  <c r="S211" i="43"/>
  <c r="E211" i="43"/>
  <c r="C211" i="43"/>
  <c r="B211" i="43"/>
  <c r="A211" i="43"/>
  <c r="S210" i="43"/>
  <c r="C210" i="43"/>
  <c r="B210" i="43"/>
  <c r="A210" i="43"/>
  <c r="S209" i="43"/>
  <c r="E209" i="43"/>
  <c r="C209" i="43"/>
  <c r="B209" i="43"/>
  <c r="A209" i="43"/>
  <c r="S208" i="43"/>
  <c r="E208" i="43"/>
  <c r="C208" i="43"/>
  <c r="B208" i="43"/>
  <c r="A208" i="43"/>
  <c r="S207" i="43"/>
  <c r="E207" i="43"/>
  <c r="C207" i="43"/>
  <c r="B207" i="43"/>
  <c r="A207" i="43"/>
  <c r="S206" i="43"/>
  <c r="E206" i="43"/>
  <c r="C206" i="43"/>
  <c r="B206" i="43"/>
  <c r="A206" i="43"/>
  <c r="S205" i="43"/>
  <c r="E205" i="43"/>
  <c r="C205" i="43"/>
  <c r="B205" i="43"/>
  <c r="A205" i="43"/>
  <c r="S204" i="43"/>
  <c r="E204" i="43"/>
  <c r="C204" i="43"/>
  <c r="B204" i="43"/>
  <c r="A204" i="43"/>
  <c r="S203" i="43"/>
  <c r="E203" i="43"/>
  <c r="C203" i="43"/>
  <c r="B203" i="43"/>
  <c r="A203" i="43"/>
  <c r="S202" i="43"/>
  <c r="E202" i="43"/>
  <c r="C202" i="43"/>
  <c r="B202" i="43"/>
  <c r="A202" i="43"/>
  <c r="S201" i="43"/>
  <c r="E201" i="43"/>
  <c r="C201" i="43"/>
  <c r="B201" i="43"/>
  <c r="A201" i="43"/>
  <c r="S200" i="43"/>
  <c r="E200" i="43"/>
  <c r="C200" i="43"/>
  <c r="B200" i="43"/>
  <c r="A200" i="43"/>
  <c r="S199" i="43"/>
  <c r="E199" i="43"/>
  <c r="C199" i="43"/>
  <c r="B199" i="43"/>
  <c r="A199" i="43"/>
  <c r="S198" i="43"/>
  <c r="E198" i="43"/>
  <c r="C198" i="43"/>
  <c r="B198" i="43"/>
  <c r="A198" i="43"/>
  <c r="S197" i="43"/>
  <c r="E197" i="43"/>
  <c r="C197" i="43"/>
  <c r="B197" i="43"/>
  <c r="A197" i="43"/>
  <c r="S196" i="43"/>
  <c r="E196" i="43"/>
  <c r="C196" i="43"/>
  <c r="B196" i="43"/>
  <c r="A196" i="43"/>
  <c r="S195" i="43"/>
  <c r="E195" i="43"/>
  <c r="C195" i="43"/>
  <c r="B195" i="43"/>
  <c r="A195" i="43"/>
  <c r="S194" i="43"/>
  <c r="E194" i="43"/>
  <c r="C194" i="43"/>
  <c r="B194" i="43"/>
  <c r="A194" i="43"/>
  <c r="S193" i="43"/>
  <c r="E193" i="43"/>
  <c r="C193" i="43"/>
  <c r="B193" i="43"/>
  <c r="A193" i="43"/>
  <c r="S192" i="43"/>
  <c r="E192" i="43"/>
  <c r="C192" i="43"/>
  <c r="B192" i="43"/>
  <c r="A192" i="43"/>
  <c r="S191" i="43"/>
  <c r="E191" i="43"/>
  <c r="C191" i="43"/>
  <c r="B191" i="43"/>
  <c r="A191" i="43"/>
  <c r="S190" i="43"/>
  <c r="E190" i="43"/>
  <c r="C190" i="43"/>
  <c r="B190" i="43"/>
  <c r="A190" i="43"/>
  <c r="S189" i="43"/>
  <c r="E189" i="43"/>
  <c r="C189" i="43"/>
  <c r="B189" i="43"/>
  <c r="A189" i="43"/>
  <c r="S188" i="43"/>
  <c r="E188" i="43"/>
  <c r="C188" i="43"/>
  <c r="B188" i="43"/>
  <c r="A188" i="43"/>
  <c r="S187" i="43"/>
  <c r="E187" i="43"/>
  <c r="C187" i="43"/>
  <c r="B187" i="43"/>
  <c r="A187" i="43"/>
  <c r="S186" i="43"/>
  <c r="E186" i="43"/>
  <c r="C186" i="43"/>
  <c r="B186" i="43"/>
  <c r="A186" i="43"/>
  <c r="S185" i="43"/>
  <c r="E185" i="43"/>
  <c r="C185" i="43"/>
  <c r="B185" i="43"/>
  <c r="A185" i="43"/>
  <c r="S184" i="43"/>
  <c r="E184" i="43"/>
  <c r="C184" i="43"/>
  <c r="B184" i="43"/>
  <c r="A184" i="43"/>
  <c r="S183" i="43"/>
  <c r="E183" i="43"/>
  <c r="C183" i="43"/>
  <c r="A183" i="43"/>
  <c r="S182" i="43"/>
  <c r="E182" i="43"/>
  <c r="C182" i="43"/>
  <c r="B182" i="43"/>
  <c r="A182" i="43"/>
  <c r="S181" i="43"/>
  <c r="E181" i="43"/>
  <c r="C181" i="43"/>
  <c r="B181" i="43"/>
  <c r="A181" i="43"/>
  <c r="S180" i="43"/>
  <c r="E180" i="43"/>
  <c r="C180" i="43"/>
  <c r="B180" i="43"/>
  <c r="A180" i="43"/>
  <c r="S179" i="43"/>
  <c r="E179" i="43"/>
  <c r="C179" i="43"/>
  <c r="B179" i="43"/>
  <c r="A179" i="43"/>
  <c r="S178" i="43"/>
  <c r="E178" i="43"/>
  <c r="C178" i="43"/>
  <c r="B178" i="43"/>
  <c r="A178" i="43"/>
  <c r="S177" i="43"/>
  <c r="E177" i="43"/>
  <c r="C177" i="43"/>
  <c r="B177" i="43"/>
  <c r="A177" i="43"/>
  <c r="S176" i="43"/>
  <c r="E176" i="43"/>
  <c r="C176" i="43"/>
  <c r="B176" i="43"/>
  <c r="A176" i="43"/>
  <c r="S175" i="43"/>
  <c r="E175" i="43"/>
  <c r="C175" i="43"/>
  <c r="B175" i="43"/>
  <c r="A175" i="43"/>
  <c r="S174" i="43"/>
  <c r="E174" i="43"/>
  <c r="C174" i="43"/>
  <c r="B174" i="43"/>
  <c r="A174" i="43"/>
  <c r="S173" i="43"/>
  <c r="E173" i="43"/>
  <c r="C173" i="43"/>
  <c r="B173" i="43"/>
  <c r="A173" i="43"/>
  <c r="S172" i="43"/>
  <c r="E172" i="43"/>
  <c r="C172" i="43"/>
  <c r="B172" i="43"/>
  <c r="A172" i="43"/>
  <c r="S171" i="43"/>
  <c r="E171" i="43"/>
  <c r="C171" i="43"/>
  <c r="B171" i="43"/>
  <c r="A171" i="43"/>
  <c r="S170" i="43"/>
  <c r="E170" i="43"/>
  <c r="C170" i="43"/>
  <c r="B170" i="43"/>
  <c r="A170" i="43"/>
  <c r="S169" i="43"/>
  <c r="E169" i="43"/>
  <c r="C169" i="43"/>
  <c r="B169" i="43"/>
  <c r="A169" i="43"/>
  <c r="S168" i="43"/>
  <c r="E168" i="43"/>
  <c r="C168" i="43"/>
  <c r="B168" i="43"/>
  <c r="A168" i="43"/>
  <c r="S167" i="43"/>
  <c r="E167" i="43"/>
  <c r="C167" i="43"/>
  <c r="B167" i="43"/>
  <c r="A167" i="43"/>
  <c r="S166" i="43"/>
  <c r="E166" i="43"/>
  <c r="C166" i="43"/>
  <c r="B166" i="43"/>
  <c r="A166" i="43"/>
  <c r="S165" i="43"/>
  <c r="E165" i="43"/>
  <c r="C165" i="43"/>
  <c r="B165" i="43"/>
  <c r="A165" i="43"/>
  <c r="S164" i="43"/>
  <c r="E164" i="43"/>
  <c r="C164" i="43"/>
  <c r="B164" i="43"/>
  <c r="A164" i="43"/>
  <c r="S163" i="43"/>
  <c r="E163" i="43"/>
  <c r="C163" i="43"/>
  <c r="B163" i="43"/>
  <c r="A163" i="43"/>
  <c r="S162" i="43"/>
  <c r="E162" i="43"/>
  <c r="C162" i="43"/>
  <c r="B162" i="43"/>
  <c r="A162" i="43"/>
  <c r="S161" i="43"/>
  <c r="E161" i="43"/>
  <c r="C161" i="43"/>
  <c r="B161" i="43"/>
  <c r="A161" i="43"/>
  <c r="S160" i="43"/>
  <c r="E160" i="43"/>
  <c r="C160" i="43"/>
  <c r="B160" i="43"/>
  <c r="A160" i="43"/>
  <c r="S159" i="43"/>
  <c r="E159" i="43"/>
  <c r="C159" i="43"/>
  <c r="B159" i="43"/>
  <c r="A159" i="43"/>
  <c r="S158" i="43"/>
  <c r="E158" i="43"/>
  <c r="C158" i="43"/>
  <c r="B158" i="43"/>
  <c r="A158" i="43"/>
  <c r="S157" i="43"/>
  <c r="E157" i="43"/>
  <c r="C157" i="43"/>
  <c r="B157" i="43"/>
  <c r="A157" i="43"/>
  <c r="S156" i="43"/>
  <c r="E156" i="43"/>
  <c r="C156" i="43"/>
  <c r="B156" i="43"/>
  <c r="A156" i="43"/>
  <c r="S155" i="43"/>
  <c r="E155" i="43"/>
  <c r="C155" i="43"/>
  <c r="B155" i="43"/>
  <c r="A155" i="43"/>
  <c r="S154" i="43"/>
  <c r="E154" i="43"/>
  <c r="C154" i="43"/>
  <c r="B154" i="43"/>
  <c r="A154" i="43"/>
  <c r="S153" i="43"/>
  <c r="E153" i="43"/>
  <c r="C153" i="43"/>
  <c r="B153" i="43"/>
  <c r="A153" i="43"/>
  <c r="S152" i="43"/>
  <c r="E152" i="43"/>
  <c r="C152" i="43"/>
  <c r="B152" i="43"/>
  <c r="A152" i="43"/>
  <c r="S151" i="43"/>
  <c r="E151" i="43"/>
  <c r="C151" i="43"/>
  <c r="B151" i="43"/>
  <c r="A151" i="43"/>
  <c r="S150" i="43"/>
  <c r="E150" i="43"/>
  <c r="C150" i="43"/>
  <c r="B150" i="43"/>
  <c r="A150" i="43"/>
  <c r="S149" i="43"/>
  <c r="E149" i="43"/>
  <c r="C149" i="43"/>
  <c r="B149" i="43"/>
  <c r="A149" i="43"/>
  <c r="S148" i="43"/>
  <c r="E148" i="43"/>
  <c r="C148" i="43"/>
  <c r="B148" i="43"/>
  <c r="A148" i="43"/>
  <c r="S147" i="43"/>
  <c r="E147" i="43"/>
  <c r="C147" i="43"/>
  <c r="B147" i="43"/>
  <c r="A147" i="43"/>
  <c r="S146" i="43"/>
  <c r="E146" i="43"/>
  <c r="C146" i="43"/>
  <c r="B146" i="43"/>
  <c r="A146" i="43"/>
  <c r="S145" i="43"/>
  <c r="E145" i="43"/>
  <c r="C145" i="43"/>
  <c r="B145" i="43"/>
  <c r="A145" i="43"/>
  <c r="S144" i="43"/>
  <c r="E144" i="43"/>
  <c r="C144" i="43"/>
  <c r="B144" i="43"/>
  <c r="A144" i="43"/>
  <c r="S143" i="43"/>
  <c r="E143" i="43"/>
  <c r="C143" i="43"/>
  <c r="B143" i="43"/>
  <c r="A143" i="43"/>
  <c r="S142" i="43"/>
  <c r="E142" i="43"/>
  <c r="C142" i="43"/>
  <c r="B142" i="43"/>
  <c r="A142" i="43"/>
  <c r="E141" i="43"/>
  <c r="T139" i="43"/>
  <c r="E139" i="43"/>
  <c r="C139" i="43"/>
  <c r="B139" i="43"/>
  <c r="A139" i="43"/>
  <c r="T138" i="43"/>
  <c r="E138" i="43"/>
  <c r="C138" i="43"/>
  <c r="B138" i="43"/>
  <c r="A138" i="43"/>
  <c r="T137" i="43"/>
  <c r="E137" i="43"/>
  <c r="C137" i="43"/>
  <c r="B137" i="43"/>
  <c r="A137" i="43"/>
  <c r="T136" i="43"/>
  <c r="E136" i="43"/>
  <c r="B136" i="43"/>
  <c r="A136" i="43"/>
  <c r="T135" i="43"/>
  <c r="E135" i="43"/>
  <c r="C135" i="43"/>
  <c r="B135" i="43"/>
  <c r="A135" i="43"/>
  <c r="T134" i="43"/>
  <c r="E134" i="43"/>
  <c r="C134" i="43"/>
  <c r="B134" i="43"/>
  <c r="A134" i="43"/>
  <c r="T133" i="43"/>
  <c r="E133" i="43"/>
  <c r="C133" i="43"/>
  <c r="B133" i="43"/>
  <c r="A133" i="43"/>
  <c r="T132" i="43"/>
  <c r="E132" i="43"/>
  <c r="C132" i="43"/>
  <c r="B132" i="43"/>
  <c r="A132" i="43"/>
  <c r="T131" i="43"/>
  <c r="E131" i="43"/>
  <c r="C131" i="43"/>
  <c r="B131" i="43"/>
  <c r="A131" i="43"/>
  <c r="T130" i="43"/>
  <c r="E130" i="43"/>
  <c r="C130" i="43"/>
  <c r="B130" i="43"/>
  <c r="A130" i="43"/>
  <c r="T129" i="43"/>
  <c r="E129" i="43"/>
  <c r="C129" i="43"/>
  <c r="B129" i="43"/>
  <c r="A129" i="43"/>
  <c r="T128" i="43"/>
  <c r="E128" i="43"/>
  <c r="C128" i="43"/>
  <c r="B128" i="43"/>
  <c r="A128" i="43"/>
  <c r="T127" i="43"/>
  <c r="E127" i="43"/>
  <c r="C127" i="43"/>
  <c r="B127" i="43"/>
  <c r="A127" i="43"/>
  <c r="T126" i="43"/>
  <c r="E126" i="43"/>
  <c r="C126" i="43"/>
  <c r="B126" i="43"/>
  <c r="A126" i="43"/>
  <c r="T125" i="43"/>
  <c r="E125" i="43"/>
  <c r="C125" i="43"/>
  <c r="B125" i="43"/>
  <c r="A125" i="43"/>
  <c r="T124" i="43"/>
  <c r="E124" i="43"/>
  <c r="C124" i="43"/>
  <c r="B124" i="43"/>
  <c r="A124" i="43"/>
  <c r="T123" i="43"/>
  <c r="E123" i="43"/>
  <c r="C123" i="43"/>
  <c r="B123" i="43"/>
  <c r="A123" i="43"/>
  <c r="T122" i="43"/>
  <c r="E122" i="43"/>
  <c r="C122" i="43"/>
  <c r="B122" i="43"/>
  <c r="A122" i="43"/>
  <c r="T121" i="43"/>
  <c r="E121" i="43"/>
  <c r="C121" i="43"/>
  <c r="B121" i="43"/>
  <c r="A121" i="43"/>
  <c r="T120" i="43"/>
  <c r="E120" i="43"/>
  <c r="C120" i="43"/>
  <c r="B120" i="43"/>
  <c r="A120" i="43"/>
  <c r="T119" i="43"/>
  <c r="E119" i="43"/>
  <c r="C119" i="43"/>
  <c r="B119" i="43"/>
  <c r="A119" i="43"/>
  <c r="T118" i="43"/>
  <c r="E118" i="43"/>
  <c r="C118" i="43"/>
  <c r="B118" i="43"/>
  <c r="A118" i="43"/>
  <c r="T117" i="43"/>
  <c r="E117" i="43"/>
  <c r="C117" i="43"/>
  <c r="B117" i="43"/>
  <c r="A117" i="43"/>
  <c r="T116" i="43"/>
  <c r="E116" i="43"/>
  <c r="C116" i="43"/>
  <c r="B116" i="43"/>
  <c r="A116" i="43"/>
  <c r="T115" i="43"/>
  <c r="E115" i="43"/>
  <c r="C115" i="43"/>
  <c r="B115" i="43"/>
  <c r="A115" i="43"/>
  <c r="T114" i="43"/>
  <c r="E114" i="43"/>
  <c r="C114" i="43"/>
  <c r="B114" i="43"/>
  <c r="A114" i="43"/>
  <c r="T112" i="43"/>
  <c r="E112" i="43"/>
  <c r="C112" i="43"/>
  <c r="B112" i="43"/>
  <c r="A112" i="43"/>
  <c r="T111" i="43"/>
  <c r="E111" i="43"/>
  <c r="C111" i="43"/>
  <c r="B111" i="43"/>
  <c r="A111" i="43"/>
  <c r="T110" i="43"/>
  <c r="E110" i="43"/>
  <c r="C110" i="43"/>
  <c r="B110" i="43"/>
  <c r="A110" i="43"/>
  <c r="T109" i="43"/>
  <c r="C109" i="43"/>
  <c r="B109" i="43"/>
  <c r="A109" i="43"/>
  <c r="T108" i="43"/>
  <c r="E108" i="43"/>
  <c r="C108" i="43"/>
  <c r="B108" i="43"/>
  <c r="A108" i="43"/>
  <c r="T107" i="43"/>
  <c r="E107" i="43"/>
  <c r="C107" i="43"/>
  <c r="B107" i="43"/>
  <c r="A107" i="43"/>
  <c r="T106" i="43"/>
  <c r="E106" i="43"/>
  <c r="C106" i="43"/>
  <c r="B106" i="43"/>
  <c r="A106" i="43"/>
  <c r="T105" i="43"/>
  <c r="E105" i="43"/>
  <c r="C105" i="43"/>
  <c r="B105" i="43"/>
  <c r="A105" i="43"/>
  <c r="T104" i="43"/>
  <c r="E104" i="43"/>
  <c r="C104" i="43"/>
  <c r="B104" i="43"/>
  <c r="A104" i="43"/>
  <c r="T103" i="43"/>
  <c r="E103" i="43"/>
  <c r="C103" i="43"/>
  <c r="B103" i="43"/>
  <c r="A103" i="43"/>
  <c r="T102" i="43"/>
  <c r="E102" i="43"/>
  <c r="C102" i="43"/>
  <c r="B102" i="43"/>
  <c r="A102" i="43"/>
  <c r="T101" i="43"/>
  <c r="E101" i="43"/>
  <c r="C101" i="43"/>
  <c r="B101" i="43"/>
  <c r="A101" i="43"/>
  <c r="T100" i="43"/>
  <c r="E100" i="43"/>
  <c r="C100" i="43"/>
  <c r="B100" i="43"/>
  <c r="A100" i="43"/>
  <c r="T99" i="43"/>
  <c r="E99" i="43"/>
  <c r="C99" i="43"/>
  <c r="B99" i="43"/>
  <c r="A99" i="43"/>
  <c r="T98" i="43"/>
  <c r="E98" i="43"/>
  <c r="C98" i="43"/>
  <c r="B98" i="43"/>
  <c r="A98" i="43"/>
  <c r="T97" i="43"/>
  <c r="E97" i="43"/>
  <c r="C97" i="43"/>
  <c r="B97" i="43"/>
  <c r="A97" i="43"/>
  <c r="T96" i="43"/>
  <c r="E96" i="43"/>
  <c r="C96" i="43"/>
  <c r="B96" i="43"/>
  <c r="A96" i="43"/>
  <c r="T95" i="43"/>
  <c r="E95" i="43"/>
  <c r="C95" i="43"/>
  <c r="B95" i="43"/>
  <c r="A95" i="43"/>
  <c r="T94" i="43"/>
  <c r="E94" i="43"/>
  <c r="C94" i="43"/>
  <c r="B94" i="43"/>
  <c r="A94" i="43"/>
  <c r="T93" i="43"/>
  <c r="E93" i="43"/>
  <c r="C93" i="43"/>
  <c r="B93" i="43"/>
  <c r="A93" i="43"/>
  <c r="T92" i="43"/>
  <c r="E92" i="43"/>
  <c r="C92" i="43"/>
  <c r="B92" i="43"/>
  <c r="A92" i="43"/>
  <c r="T91" i="43"/>
  <c r="E91" i="43"/>
  <c r="C91" i="43"/>
  <c r="B91" i="43"/>
  <c r="A91" i="43"/>
  <c r="T90" i="43"/>
  <c r="E90" i="43"/>
  <c r="C90" i="43"/>
  <c r="B90" i="43"/>
  <c r="A90" i="43"/>
  <c r="T89" i="43"/>
  <c r="E89" i="43"/>
  <c r="C89" i="43"/>
  <c r="B89" i="43"/>
  <c r="A89" i="43"/>
  <c r="T88" i="43"/>
  <c r="E88" i="43"/>
  <c r="C88" i="43"/>
  <c r="B88" i="43"/>
  <c r="A88" i="43"/>
  <c r="T87" i="43"/>
  <c r="E87" i="43"/>
  <c r="C87" i="43"/>
  <c r="B87" i="43"/>
  <c r="A87" i="43"/>
  <c r="T86" i="43"/>
  <c r="E86" i="43"/>
  <c r="C86" i="43"/>
  <c r="B86" i="43"/>
  <c r="A86" i="43"/>
  <c r="T85" i="43"/>
  <c r="E85" i="43"/>
  <c r="C85" i="43"/>
  <c r="B85" i="43"/>
  <c r="A85" i="43"/>
  <c r="T84" i="43"/>
  <c r="E84" i="43"/>
  <c r="C84" i="43"/>
  <c r="B84" i="43"/>
  <c r="A84" i="43"/>
  <c r="T83" i="43"/>
  <c r="E83" i="43"/>
  <c r="C83" i="43"/>
  <c r="B83" i="43"/>
  <c r="A83" i="43"/>
  <c r="T82" i="43"/>
  <c r="E82" i="43"/>
  <c r="C82" i="43"/>
  <c r="B82" i="43"/>
  <c r="A82" i="43"/>
  <c r="T81" i="43"/>
  <c r="E81" i="43"/>
  <c r="C81" i="43"/>
  <c r="B81" i="43"/>
  <c r="A81" i="43"/>
  <c r="T80" i="43"/>
  <c r="E80" i="43"/>
  <c r="C80" i="43"/>
  <c r="B80" i="43"/>
  <c r="A80" i="43"/>
  <c r="T79" i="43"/>
  <c r="E79" i="43"/>
  <c r="C79" i="43"/>
  <c r="B79" i="43"/>
  <c r="A79" i="43"/>
  <c r="T78" i="43"/>
  <c r="E78" i="43"/>
  <c r="C78" i="43"/>
  <c r="B78" i="43"/>
  <c r="A78" i="43"/>
  <c r="T77" i="43"/>
  <c r="E77" i="43"/>
  <c r="C77" i="43"/>
  <c r="B77" i="43"/>
  <c r="A77" i="43"/>
  <c r="T76" i="43"/>
  <c r="E76" i="43"/>
  <c r="C76" i="43"/>
  <c r="B76" i="43"/>
  <c r="A76" i="43"/>
  <c r="T75" i="43"/>
  <c r="E75" i="43"/>
  <c r="C75" i="43"/>
  <c r="B75" i="43"/>
  <c r="A75" i="43"/>
  <c r="T74" i="43"/>
  <c r="E74" i="43"/>
  <c r="C74" i="43"/>
  <c r="B74" i="43"/>
  <c r="A74" i="43"/>
  <c r="T73" i="43"/>
  <c r="E73" i="43"/>
  <c r="C73" i="43"/>
  <c r="B73" i="43"/>
  <c r="A73" i="43"/>
  <c r="T72" i="43"/>
  <c r="E72" i="43"/>
  <c r="C72" i="43"/>
  <c r="B72" i="43"/>
  <c r="A72" i="43"/>
  <c r="T71" i="43"/>
  <c r="E71" i="43"/>
  <c r="C71" i="43"/>
  <c r="B71" i="43"/>
  <c r="A71" i="43"/>
  <c r="T70" i="43"/>
  <c r="E70" i="43"/>
  <c r="C70" i="43"/>
  <c r="B70" i="43"/>
  <c r="A70" i="43"/>
  <c r="T69" i="43"/>
  <c r="E69" i="43"/>
  <c r="C69" i="43"/>
  <c r="B69" i="43"/>
  <c r="A69" i="43"/>
  <c r="T68" i="43"/>
  <c r="E68" i="43"/>
  <c r="C68" i="43"/>
  <c r="B68" i="43"/>
  <c r="A68" i="43"/>
  <c r="T67" i="43"/>
  <c r="E67" i="43"/>
  <c r="C67" i="43"/>
  <c r="B67" i="43"/>
  <c r="A67" i="43"/>
  <c r="T66" i="43"/>
  <c r="E66" i="43"/>
  <c r="C66" i="43"/>
  <c r="A66" i="43"/>
  <c r="T65" i="43"/>
  <c r="E65" i="43"/>
  <c r="C65" i="43"/>
  <c r="B65" i="43"/>
  <c r="A65" i="43"/>
  <c r="T64" i="43"/>
  <c r="E64" i="43"/>
  <c r="C64" i="43"/>
  <c r="B64" i="43"/>
  <c r="A64" i="43"/>
  <c r="T63" i="43"/>
  <c r="E63" i="43"/>
  <c r="C63" i="43"/>
  <c r="B63" i="43"/>
  <c r="A63" i="43"/>
  <c r="T62" i="43"/>
  <c r="E62" i="43"/>
  <c r="C62" i="43"/>
  <c r="B62" i="43"/>
  <c r="A62" i="43"/>
  <c r="T61" i="43"/>
  <c r="E61" i="43"/>
  <c r="C61" i="43"/>
  <c r="B61" i="43"/>
  <c r="A61" i="43"/>
  <c r="T60" i="43"/>
  <c r="E60" i="43"/>
  <c r="C60" i="43"/>
  <c r="B60" i="43"/>
  <c r="A60" i="43"/>
  <c r="T59" i="43"/>
  <c r="E59" i="43"/>
  <c r="C59" i="43"/>
  <c r="B59" i="43"/>
  <c r="A59" i="43"/>
  <c r="T58" i="43"/>
  <c r="E58" i="43"/>
  <c r="C58" i="43"/>
  <c r="B58" i="43"/>
  <c r="A58" i="43"/>
  <c r="T57" i="43"/>
  <c r="E57" i="43"/>
  <c r="C57" i="43"/>
  <c r="B57" i="43"/>
  <c r="A57" i="43"/>
  <c r="T56" i="43"/>
  <c r="E56" i="43"/>
  <c r="C56" i="43"/>
  <c r="B56" i="43"/>
  <c r="A56" i="43"/>
  <c r="T55" i="43"/>
  <c r="E55" i="43"/>
  <c r="C55" i="43"/>
  <c r="B55" i="43"/>
  <c r="A55" i="43"/>
  <c r="T54" i="43"/>
  <c r="E54" i="43"/>
  <c r="C54" i="43"/>
  <c r="B54" i="43"/>
  <c r="A54" i="43"/>
  <c r="T53" i="43"/>
  <c r="E53" i="43"/>
  <c r="C53" i="43"/>
  <c r="B53" i="43"/>
  <c r="A53" i="43"/>
  <c r="T52" i="43"/>
  <c r="E52" i="43"/>
  <c r="C52" i="43"/>
  <c r="B52" i="43"/>
  <c r="A52" i="43"/>
  <c r="T51" i="43"/>
  <c r="E51" i="43"/>
  <c r="C51" i="43"/>
  <c r="B51" i="43"/>
  <c r="A51" i="43"/>
  <c r="T50" i="43"/>
  <c r="E50" i="43"/>
  <c r="C50" i="43"/>
  <c r="B50" i="43"/>
  <c r="A50" i="43"/>
  <c r="T49" i="43"/>
  <c r="E49" i="43"/>
  <c r="C49" i="43"/>
  <c r="B49" i="43"/>
  <c r="A49" i="43"/>
  <c r="T48" i="43"/>
  <c r="E48" i="43"/>
  <c r="C48" i="43"/>
  <c r="B48" i="43"/>
  <c r="A48" i="43"/>
  <c r="T47" i="43"/>
  <c r="E47" i="43"/>
  <c r="C47" i="43"/>
  <c r="B47" i="43"/>
  <c r="A47" i="43"/>
  <c r="T46" i="43"/>
  <c r="E46" i="43"/>
  <c r="C46" i="43"/>
  <c r="B46" i="43"/>
  <c r="A46" i="43"/>
  <c r="T45" i="43"/>
  <c r="E45" i="43"/>
  <c r="C45" i="43"/>
  <c r="B45" i="43"/>
  <c r="A45" i="43"/>
  <c r="T44" i="43"/>
  <c r="E44" i="43"/>
  <c r="C44" i="43"/>
  <c r="B44" i="43"/>
  <c r="A44" i="43"/>
  <c r="T43" i="43"/>
  <c r="E43" i="43"/>
  <c r="C43" i="43"/>
  <c r="B43" i="43"/>
  <c r="A43" i="43"/>
  <c r="T42" i="43"/>
  <c r="E42" i="43"/>
  <c r="C42" i="43"/>
  <c r="B42" i="43"/>
  <c r="A42" i="43"/>
  <c r="T41" i="43"/>
  <c r="E41" i="43"/>
  <c r="C41" i="43"/>
  <c r="B41" i="43"/>
  <c r="A41" i="43"/>
  <c r="T40" i="43"/>
  <c r="E40" i="43"/>
  <c r="C40" i="43"/>
  <c r="B40" i="43"/>
  <c r="A40" i="43"/>
  <c r="T39" i="43"/>
  <c r="E39" i="43"/>
  <c r="C39" i="43"/>
  <c r="B39" i="43"/>
  <c r="A39" i="43"/>
  <c r="T38" i="43"/>
  <c r="E38" i="43"/>
  <c r="C38" i="43"/>
  <c r="B38" i="43"/>
  <c r="A38" i="43"/>
  <c r="T37" i="43"/>
  <c r="E37" i="43"/>
  <c r="C37" i="43"/>
  <c r="B37" i="43"/>
  <c r="A37" i="43"/>
  <c r="T36" i="43"/>
  <c r="E36" i="43"/>
  <c r="C36" i="43"/>
  <c r="B36" i="43"/>
  <c r="A36" i="43"/>
  <c r="T35" i="43"/>
  <c r="E35" i="43"/>
  <c r="C35" i="43"/>
  <c r="B35" i="43"/>
  <c r="A35" i="43"/>
  <c r="T34" i="43"/>
  <c r="E34" i="43"/>
  <c r="C34" i="43"/>
  <c r="B34" i="43"/>
  <c r="A34" i="43"/>
  <c r="T33" i="43"/>
  <c r="E33" i="43"/>
  <c r="C33" i="43"/>
  <c r="B33" i="43"/>
  <c r="A33" i="43"/>
  <c r="T32" i="43"/>
  <c r="E32" i="43"/>
  <c r="C32" i="43"/>
  <c r="B32" i="43"/>
  <c r="A32" i="43"/>
  <c r="T31" i="43"/>
  <c r="E31" i="43"/>
  <c r="C31" i="43"/>
  <c r="B31" i="43"/>
  <c r="A31" i="43"/>
  <c r="T30" i="43"/>
  <c r="E30" i="43"/>
  <c r="C30" i="43"/>
  <c r="B30" i="43"/>
  <c r="A30" i="43"/>
  <c r="T29" i="43"/>
  <c r="E29" i="43"/>
  <c r="C29" i="43"/>
  <c r="B29" i="43"/>
  <c r="A29" i="43"/>
  <c r="T28" i="43"/>
  <c r="E28" i="43"/>
  <c r="C28" i="43"/>
  <c r="B28" i="43"/>
  <c r="A28" i="43"/>
  <c r="T27" i="43"/>
  <c r="E27" i="43"/>
  <c r="C27" i="43"/>
  <c r="B27" i="43"/>
  <c r="A27" i="43"/>
  <c r="T26" i="43"/>
  <c r="E26" i="43"/>
  <c r="C26" i="43"/>
  <c r="B26" i="43"/>
  <c r="A26" i="43"/>
  <c r="T25" i="43"/>
  <c r="E25" i="43"/>
  <c r="C25" i="43"/>
  <c r="B25" i="43"/>
  <c r="A25" i="43"/>
  <c r="T24" i="43"/>
  <c r="E24" i="43"/>
  <c r="C24" i="43"/>
  <c r="B24" i="43"/>
  <c r="A24" i="43"/>
  <c r="T23" i="43"/>
  <c r="E23" i="43"/>
  <c r="C23" i="43"/>
  <c r="B23" i="43"/>
  <c r="A23" i="43"/>
  <c r="T22" i="43"/>
  <c r="E22" i="43"/>
  <c r="C22" i="43"/>
  <c r="B22" i="43"/>
  <c r="A22" i="43"/>
  <c r="T21" i="43"/>
  <c r="E21" i="43"/>
  <c r="C21" i="43"/>
  <c r="B21" i="43"/>
  <c r="A21" i="43"/>
  <c r="T20" i="43"/>
  <c r="E20" i="43"/>
  <c r="C20" i="43"/>
  <c r="B20" i="43"/>
  <c r="A20" i="43"/>
  <c r="T19" i="43"/>
  <c r="E19" i="43"/>
  <c r="C19" i="43"/>
  <c r="B19" i="43"/>
  <c r="A19" i="43"/>
  <c r="T18" i="43"/>
  <c r="E18" i="43"/>
  <c r="C18" i="43"/>
  <c r="B18" i="43"/>
  <c r="A18" i="43"/>
  <c r="T17" i="43"/>
  <c r="E17" i="43"/>
  <c r="C17" i="43"/>
  <c r="B17" i="43"/>
  <c r="A17" i="43"/>
  <c r="T16" i="43"/>
  <c r="E16" i="43"/>
  <c r="C16" i="43"/>
  <c r="B16" i="43"/>
  <c r="A16" i="43"/>
  <c r="T15" i="43"/>
  <c r="E15" i="43"/>
  <c r="C15" i="43"/>
  <c r="B15" i="43"/>
  <c r="A15" i="43"/>
  <c r="T14" i="43"/>
  <c r="E14" i="43"/>
  <c r="C14" i="43"/>
  <c r="B14" i="43"/>
  <c r="A14" i="43"/>
  <c r="T13" i="43"/>
  <c r="E13" i="43"/>
  <c r="C13" i="43"/>
  <c r="B13" i="43"/>
  <c r="A13" i="43"/>
  <c r="T12" i="43"/>
  <c r="E12" i="43"/>
  <c r="C12" i="43"/>
  <c r="B12" i="43"/>
  <c r="A12" i="43"/>
  <c r="T11" i="43"/>
  <c r="E11" i="43"/>
  <c r="C11" i="43"/>
  <c r="B11" i="43"/>
  <c r="A11" i="43"/>
  <c r="T10" i="43"/>
  <c r="E10" i="43"/>
  <c r="C10" i="43"/>
  <c r="B10" i="43"/>
  <c r="A10" i="43"/>
  <c r="T9" i="43"/>
  <c r="E9" i="43"/>
  <c r="C9" i="43"/>
  <c r="B9" i="43"/>
  <c r="A9" i="43"/>
  <c r="T8" i="43"/>
  <c r="E8" i="43"/>
  <c r="C8" i="43"/>
  <c r="B8" i="43"/>
  <c r="A8" i="43"/>
  <c r="T7" i="43"/>
  <c r="E7" i="43"/>
  <c r="C7" i="43"/>
  <c r="B7" i="43"/>
  <c r="A7" i="43"/>
  <c r="T6" i="43"/>
  <c r="E6" i="43"/>
  <c r="C6" i="43"/>
  <c r="B6" i="43"/>
  <c r="A6" i="43"/>
  <c r="G13" i="9"/>
  <c r="G20" i="9" s="1"/>
  <c r="F20" i="9" s="1"/>
  <c r="I116" i="5"/>
  <c r="H116" i="5"/>
  <c r="D116" i="5"/>
  <c r="B46" i="41"/>
  <c r="B310" i="41"/>
  <c r="B309" i="41"/>
  <c r="B308" i="41"/>
  <c r="B304" i="41"/>
  <c r="B302" i="41"/>
  <c r="B301" i="41"/>
  <c r="B300" i="41"/>
  <c r="B299" i="41"/>
  <c r="B298" i="41"/>
  <c r="B297" i="41"/>
  <c r="B296" i="41"/>
  <c r="B295" i="41"/>
  <c r="B294" i="41"/>
  <c r="B292" i="41"/>
  <c r="B244" i="41"/>
  <c r="B243" i="41"/>
  <c r="B242" i="41"/>
  <c r="B241" i="41"/>
  <c r="B240" i="41"/>
  <c r="B239" i="41"/>
  <c r="B238" i="41"/>
  <c r="B236" i="41"/>
  <c r="B232" i="41"/>
  <c r="B228" i="41"/>
  <c r="B226" i="41"/>
  <c r="B225" i="41"/>
  <c r="B224" i="41"/>
  <c r="B223" i="41"/>
  <c r="B222" i="41"/>
  <c r="B221" i="41"/>
  <c r="B219" i="41"/>
  <c r="B217" i="41"/>
  <c r="B216" i="41"/>
  <c r="B212" i="41"/>
  <c r="B211" i="41"/>
  <c r="B209" i="41"/>
  <c r="B208" i="41"/>
  <c r="B207" i="41"/>
  <c r="B206" i="41"/>
  <c r="B205" i="41"/>
  <c r="B204" i="41"/>
  <c r="B203" i="41"/>
  <c r="B202" i="41"/>
  <c r="B201" i="41"/>
  <c r="B199" i="41"/>
  <c r="B110" i="41"/>
  <c r="B109" i="41"/>
  <c r="B108" i="41"/>
  <c r="B107" i="41"/>
  <c r="B106" i="41"/>
  <c r="B105" i="41"/>
  <c r="B102" i="41"/>
  <c r="B100" i="41"/>
  <c r="B98" i="41"/>
  <c r="B96" i="41"/>
  <c r="B93" i="41"/>
  <c r="B92" i="41"/>
  <c r="B90" i="41"/>
  <c r="B88" i="41"/>
  <c r="B86" i="41"/>
  <c r="B84" i="41"/>
  <c r="B83" i="41"/>
  <c r="B79" i="41"/>
  <c r="B78" i="41"/>
  <c r="B76" i="41"/>
  <c r="B75" i="41"/>
  <c r="B74" i="41"/>
  <c r="B72" i="41"/>
  <c r="B71" i="41"/>
  <c r="B69" i="41"/>
  <c r="B64" i="41"/>
  <c r="B63" i="41"/>
  <c r="B62" i="41"/>
  <c r="B58" i="41"/>
  <c r="B57" i="41"/>
  <c r="B56" i="41"/>
  <c r="B55" i="41"/>
  <c r="B54" i="41"/>
  <c r="B53" i="41"/>
  <c r="B52" i="41"/>
  <c r="B51" i="41"/>
  <c r="B47" i="41"/>
  <c r="B44" i="41"/>
  <c r="B43" i="41"/>
  <c r="B42" i="41"/>
  <c r="B41" i="41"/>
  <c r="B40" i="41"/>
  <c r="B38" i="41"/>
  <c r="B34" i="41"/>
  <c r="B32" i="41"/>
  <c r="B31" i="41"/>
  <c r="B26" i="41"/>
  <c r="B25" i="41"/>
  <c r="B24" i="41"/>
  <c r="B21" i="41"/>
  <c r="B20" i="41"/>
  <c r="B19" i="41"/>
  <c r="B18" i="41"/>
  <c r="B17" i="41"/>
  <c r="B16" i="41"/>
  <c r="B15" i="41"/>
  <c r="B14" i="41"/>
  <c r="B13" i="41"/>
  <c r="B11" i="41"/>
  <c r="S619" i="43" l="1"/>
  <c r="T626" i="43"/>
  <c r="T637" i="43"/>
  <c r="S608" i="43"/>
  <c r="S532" i="43"/>
  <c r="F14" i="68"/>
  <c r="D15" i="16"/>
  <c r="D45" i="26"/>
  <c r="F45" i="25"/>
  <c r="G547" i="43"/>
  <c r="S547" i="43" s="1"/>
  <c r="S545" i="43"/>
  <c r="S531" i="43"/>
  <c r="F27" i="31"/>
  <c r="F26" i="31"/>
  <c r="F24" i="31"/>
  <c r="F20" i="31"/>
  <c r="C29" i="44"/>
  <c r="A29" i="44"/>
  <c r="C28" i="44"/>
  <c r="A28" i="44"/>
  <c r="C6" i="44"/>
  <c r="C7" i="44"/>
  <c r="C8" i="44"/>
  <c r="C9" i="44"/>
  <c r="C10" i="44"/>
  <c r="C11" i="44"/>
  <c r="C12" i="44"/>
  <c r="C13" i="44"/>
  <c r="C14" i="44"/>
  <c r="C15" i="44"/>
  <c r="C16" i="44"/>
  <c r="C17" i="44"/>
  <c r="C18" i="44"/>
  <c r="C19" i="44"/>
  <c r="C20" i="44"/>
  <c r="R656" i="42"/>
  <c r="Q656" i="42"/>
  <c r="P656" i="42"/>
  <c r="O656" i="42"/>
  <c r="N656" i="42"/>
  <c r="M656" i="42"/>
  <c r="L656" i="42"/>
  <c r="K656" i="42"/>
  <c r="J656" i="42"/>
  <c r="I656" i="42"/>
  <c r="H656" i="42"/>
  <c r="G656" i="42"/>
  <c r="F656" i="42"/>
  <c r="E656" i="42"/>
  <c r="E655" i="42"/>
  <c r="C655" i="42"/>
  <c r="B655" i="42"/>
  <c r="A655" i="42"/>
  <c r="C654" i="42"/>
  <c r="B654" i="42"/>
  <c r="A654" i="42"/>
  <c r="C653" i="42"/>
  <c r="B653" i="42"/>
  <c r="A653" i="42"/>
  <c r="C652" i="42"/>
  <c r="B652" i="42"/>
  <c r="A652" i="42"/>
  <c r="C651" i="42"/>
  <c r="B651" i="42"/>
  <c r="A651" i="42"/>
  <c r="E650" i="42"/>
  <c r="C650" i="42"/>
  <c r="B650" i="42"/>
  <c r="A650" i="42"/>
  <c r="E649" i="42"/>
  <c r="C649" i="42"/>
  <c r="B649" i="42"/>
  <c r="A649" i="42"/>
  <c r="E648" i="42"/>
  <c r="C648" i="42"/>
  <c r="B648" i="42"/>
  <c r="A648" i="42"/>
  <c r="E647" i="42"/>
  <c r="E646" i="42"/>
  <c r="R645" i="42"/>
  <c r="Q645" i="42"/>
  <c r="P645" i="42"/>
  <c r="O645" i="42"/>
  <c r="N645" i="42"/>
  <c r="M645" i="42"/>
  <c r="L645" i="42"/>
  <c r="K645" i="42"/>
  <c r="J645" i="42"/>
  <c r="I645" i="42"/>
  <c r="H645" i="42"/>
  <c r="G645" i="42"/>
  <c r="F645" i="42"/>
  <c r="E645" i="42"/>
  <c r="E644" i="42"/>
  <c r="C644" i="42"/>
  <c r="B644" i="42"/>
  <c r="A644" i="42"/>
  <c r="E643" i="42"/>
  <c r="C643" i="42"/>
  <c r="B643" i="42"/>
  <c r="A643" i="42"/>
  <c r="E642" i="42"/>
  <c r="C642" i="42"/>
  <c r="B642" i="42"/>
  <c r="A642" i="42"/>
  <c r="E641" i="42"/>
  <c r="C641" i="42"/>
  <c r="B641" i="42"/>
  <c r="A641" i="42"/>
  <c r="E640" i="42"/>
  <c r="E639" i="42"/>
  <c r="R638" i="42"/>
  <c r="Q638" i="42"/>
  <c r="P638" i="42"/>
  <c r="O638" i="42"/>
  <c r="N638" i="42"/>
  <c r="M638" i="42"/>
  <c r="L638" i="42"/>
  <c r="K638" i="42"/>
  <c r="J638" i="42"/>
  <c r="I638" i="42"/>
  <c r="H638" i="42"/>
  <c r="G638" i="42"/>
  <c r="F638" i="42"/>
  <c r="E638" i="42"/>
  <c r="S637" i="42"/>
  <c r="E637" i="42"/>
  <c r="C637" i="42"/>
  <c r="B637" i="42"/>
  <c r="A637" i="42"/>
  <c r="S636" i="42"/>
  <c r="C636" i="42"/>
  <c r="B636" i="42"/>
  <c r="A636" i="42"/>
  <c r="S635" i="42"/>
  <c r="C635" i="42"/>
  <c r="B635" i="42"/>
  <c r="A635" i="42"/>
  <c r="S634" i="42"/>
  <c r="C634" i="42"/>
  <c r="B634" i="42"/>
  <c r="A634" i="42"/>
  <c r="S633" i="42"/>
  <c r="C633" i="42"/>
  <c r="B633" i="42"/>
  <c r="A633" i="42"/>
  <c r="S632" i="42"/>
  <c r="E632" i="42"/>
  <c r="C632" i="42"/>
  <c r="B632" i="42"/>
  <c r="A632" i="42"/>
  <c r="S631" i="42"/>
  <c r="E631" i="42"/>
  <c r="C631" i="42"/>
  <c r="B631" i="42"/>
  <c r="A631" i="42"/>
  <c r="S630" i="42"/>
  <c r="E630" i="42"/>
  <c r="C630" i="42"/>
  <c r="B630" i="42"/>
  <c r="A630" i="42"/>
  <c r="S629" i="42"/>
  <c r="E629" i="42"/>
  <c r="S628" i="42"/>
  <c r="E628" i="42"/>
  <c r="R627" i="42"/>
  <c r="Q627" i="42"/>
  <c r="P627" i="42"/>
  <c r="O627" i="42"/>
  <c r="N627" i="42"/>
  <c r="M627" i="42"/>
  <c r="L627" i="42"/>
  <c r="K627" i="42"/>
  <c r="J627" i="42"/>
  <c r="I627" i="42"/>
  <c r="H627" i="42"/>
  <c r="G627" i="42"/>
  <c r="F627" i="42"/>
  <c r="E627" i="42"/>
  <c r="S626" i="42"/>
  <c r="E626" i="42"/>
  <c r="C626" i="42"/>
  <c r="B626" i="42"/>
  <c r="A626" i="42"/>
  <c r="S625" i="42"/>
  <c r="E625" i="42"/>
  <c r="C625" i="42"/>
  <c r="B625" i="42"/>
  <c r="A625" i="42"/>
  <c r="S624" i="42"/>
  <c r="E624" i="42"/>
  <c r="C624" i="42"/>
  <c r="B624" i="42"/>
  <c r="A624" i="42"/>
  <c r="S623" i="42"/>
  <c r="E623" i="42"/>
  <c r="C623" i="42"/>
  <c r="B623" i="42"/>
  <c r="A623" i="42"/>
  <c r="E622" i="42"/>
  <c r="R621" i="42"/>
  <c r="E621" i="42"/>
  <c r="E620" i="42"/>
  <c r="C620" i="42"/>
  <c r="B620" i="42"/>
  <c r="A620" i="42"/>
  <c r="E619" i="42"/>
  <c r="C619" i="42"/>
  <c r="B619" i="42"/>
  <c r="A619" i="42"/>
  <c r="E618" i="42"/>
  <c r="C618" i="42"/>
  <c r="B618" i="42"/>
  <c r="A618" i="42"/>
  <c r="E617" i="42"/>
  <c r="C617" i="42"/>
  <c r="B617" i="42"/>
  <c r="A617" i="42"/>
  <c r="E616" i="42"/>
  <c r="C616" i="42"/>
  <c r="B616" i="42"/>
  <c r="A616" i="42"/>
  <c r="E615" i="42"/>
  <c r="C615" i="42"/>
  <c r="B615" i="42"/>
  <c r="A615" i="42"/>
  <c r="E614" i="42"/>
  <c r="C614" i="42"/>
  <c r="B614" i="42"/>
  <c r="A614" i="42"/>
  <c r="E613" i="42"/>
  <c r="C613" i="42"/>
  <c r="B613" i="42"/>
  <c r="A613" i="42"/>
  <c r="E612" i="42"/>
  <c r="C612" i="42"/>
  <c r="B612" i="42"/>
  <c r="A612" i="42"/>
  <c r="E611" i="42"/>
  <c r="C611" i="42"/>
  <c r="B611" i="42"/>
  <c r="A611" i="42"/>
  <c r="E610" i="42"/>
  <c r="C610" i="42"/>
  <c r="B610" i="42"/>
  <c r="A610" i="42"/>
  <c r="E609" i="42"/>
  <c r="C609" i="42"/>
  <c r="B609" i="42"/>
  <c r="A609" i="42"/>
  <c r="E608" i="42"/>
  <c r="C608" i="42"/>
  <c r="B608" i="42"/>
  <c r="A608" i="42"/>
  <c r="E607" i="42"/>
  <c r="C607" i="42"/>
  <c r="B607" i="42"/>
  <c r="A607" i="42"/>
  <c r="E606" i="42"/>
  <c r="C606" i="42"/>
  <c r="B606" i="42"/>
  <c r="A606" i="42"/>
  <c r="E605" i="42"/>
  <c r="C605" i="42"/>
  <c r="B605" i="42"/>
  <c r="A605" i="42"/>
  <c r="E604" i="42"/>
  <c r="C604" i="42"/>
  <c r="B604" i="42"/>
  <c r="A604" i="42"/>
  <c r="E603" i="42"/>
  <c r="C603" i="42"/>
  <c r="B603" i="42"/>
  <c r="A603" i="42"/>
  <c r="E602" i="42"/>
  <c r="C602" i="42"/>
  <c r="B602" i="42"/>
  <c r="A602" i="42"/>
  <c r="E601" i="42"/>
  <c r="C601" i="42"/>
  <c r="B601" i="42"/>
  <c r="A601" i="42"/>
  <c r="E600" i="42"/>
  <c r="C600" i="42"/>
  <c r="B600" i="42"/>
  <c r="A600" i="42"/>
  <c r="E599" i="42"/>
  <c r="C599" i="42"/>
  <c r="B599" i="42"/>
  <c r="A599" i="42"/>
  <c r="E598" i="42"/>
  <c r="C598" i="42"/>
  <c r="B598" i="42"/>
  <c r="A598" i="42"/>
  <c r="E597" i="42"/>
  <c r="C597" i="42"/>
  <c r="B597" i="42"/>
  <c r="A597" i="42"/>
  <c r="E596" i="42"/>
  <c r="C596" i="42"/>
  <c r="B596" i="42"/>
  <c r="A596" i="42"/>
  <c r="E595" i="42"/>
  <c r="C595" i="42"/>
  <c r="B595" i="42"/>
  <c r="A595" i="42"/>
  <c r="E594" i="42"/>
  <c r="C594" i="42"/>
  <c r="B594" i="42"/>
  <c r="A594" i="42"/>
  <c r="E593" i="42"/>
  <c r="C593" i="42"/>
  <c r="B593" i="42"/>
  <c r="A593" i="42"/>
  <c r="E592" i="42"/>
  <c r="C592" i="42"/>
  <c r="B592" i="42"/>
  <c r="A592" i="42"/>
  <c r="E591" i="42"/>
  <c r="C591" i="42"/>
  <c r="B591" i="42"/>
  <c r="A591" i="42"/>
  <c r="E590" i="42"/>
  <c r="S583" i="42"/>
  <c r="E583" i="42"/>
  <c r="S582" i="42"/>
  <c r="E582" i="42"/>
  <c r="S581" i="42"/>
  <c r="E581" i="42"/>
  <c r="S580" i="42"/>
  <c r="E580" i="42"/>
  <c r="S579" i="42"/>
  <c r="E579" i="42"/>
  <c r="S578" i="42"/>
  <c r="E578" i="42"/>
  <c r="S577" i="42"/>
  <c r="E577" i="42"/>
  <c r="S576" i="42"/>
  <c r="E576" i="42"/>
  <c r="S575" i="42"/>
  <c r="E575" i="42"/>
  <c r="S574" i="42"/>
  <c r="E574" i="42"/>
  <c r="S573" i="42"/>
  <c r="E573" i="42"/>
  <c r="S572" i="42"/>
  <c r="E572" i="42"/>
  <c r="S571" i="42"/>
  <c r="E571" i="42"/>
  <c r="S570" i="42"/>
  <c r="E570" i="42"/>
  <c r="G551" i="42"/>
  <c r="C546" i="42"/>
  <c r="C564" i="42"/>
  <c r="B564" i="42"/>
  <c r="A564" i="42"/>
  <c r="C563" i="42"/>
  <c r="B563" i="42"/>
  <c r="A563" i="42"/>
  <c r="C562" i="42"/>
  <c r="B562" i="42"/>
  <c r="A562" i="42"/>
  <c r="C561" i="42"/>
  <c r="B561" i="42"/>
  <c r="A561" i="42"/>
  <c r="E566" i="42"/>
  <c r="E565" i="42"/>
  <c r="S564" i="42"/>
  <c r="F564" i="42"/>
  <c r="F565" i="42" s="1"/>
  <c r="E564" i="42"/>
  <c r="S563" i="42"/>
  <c r="E563" i="42"/>
  <c r="S562" i="42"/>
  <c r="E562" i="42"/>
  <c r="S561" i="42"/>
  <c r="E561" i="42"/>
  <c r="S560" i="42"/>
  <c r="E560" i="42"/>
  <c r="S559" i="42"/>
  <c r="E559" i="42"/>
  <c r="S558" i="42"/>
  <c r="S557" i="42"/>
  <c r="S556" i="42"/>
  <c r="E556" i="42"/>
  <c r="S555" i="42"/>
  <c r="E555" i="42"/>
  <c r="S554" i="42"/>
  <c r="E554" i="42"/>
  <c r="S553" i="42"/>
  <c r="E553" i="42"/>
  <c r="E552" i="42"/>
  <c r="R551" i="42"/>
  <c r="R565" i="42" s="1"/>
  <c r="Q551" i="42"/>
  <c r="Q565" i="42" s="1"/>
  <c r="P551" i="42"/>
  <c r="P565" i="42" s="1"/>
  <c r="O551" i="42"/>
  <c r="O565" i="42" s="1"/>
  <c r="N551" i="42"/>
  <c r="N565" i="42" s="1"/>
  <c r="M551" i="42"/>
  <c r="M565" i="42" s="1"/>
  <c r="L551" i="42"/>
  <c r="L565" i="42" s="1"/>
  <c r="K551" i="42"/>
  <c r="K565" i="42" s="1"/>
  <c r="J551" i="42"/>
  <c r="J565" i="42" s="1"/>
  <c r="I551" i="42"/>
  <c r="I565" i="42" s="1"/>
  <c r="H551" i="42"/>
  <c r="H565" i="42" s="1"/>
  <c r="G565" i="42"/>
  <c r="E551" i="42"/>
  <c r="S549" i="42"/>
  <c r="E549" i="42"/>
  <c r="S548" i="42"/>
  <c r="E548" i="42"/>
  <c r="S547" i="42"/>
  <c r="E547" i="42"/>
  <c r="S546" i="42"/>
  <c r="E546" i="42"/>
  <c r="S545" i="42"/>
  <c r="E545" i="42"/>
  <c r="S544" i="42"/>
  <c r="E544" i="42"/>
  <c r="S543" i="42"/>
  <c r="E543" i="42"/>
  <c r="S542" i="42"/>
  <c r="E542" i="42"/>
  <c r="S541" i="42"/>
  <c r="E541" i="42"/>
  <c r="S540" i="42"/>
  <c r="E540" i="42"/>
  <c r="S539" i="42"/>
  <c r="E539" i="42"/>
  <c r="S538" i="42"/>
  <c r="E538" i="42"/>
  <c r="S537" i="42"/>
  <c r="E537" i="42"/>
  <c r="S536" i="42"/>
  <c r="E536" i="42"/>
  <c r="S535" i="42"/>
  <c r="E535" i="42"/>
  <c r="S534" i="42"/>
  <c r="E534" i="42"/>
  <c r="S533" i="42"/>
  <c r="E533" i="42"/>
  <c r="S532" i="42"/>
  <c r="E532" i="42"/>
  <c r="S531" i="42"/>
  <c r="E531" i="42"/>
  <c r="S530" i="42"/>
  <c r="E530" i="42"/>
  <c r="S529" i="42"/>
  <c r="E529" i="42"/>
  <c r="S527" i="42"/>
  <c r="E527" i="42"/>
  <c r="S526" i="42"/>
  <c r="E526" i="42"/>
  <c r="S525" i="42"/>
  <c r="E525" i="42"/>
  <c r="S524" i="42"/>
  <c r="E524" i="42"/>
  <c r="S523" i="42"/>
  <c r="E523" i="42"/>
  <c r="S522" i="42"/>
  <c r="E522" i="42"/>
  <c r="S521" i="42"/>
  <c r="E521" i="42"/>
  <c r="S520" i="42"/>
  <c r="E520" i="42"/>
  <c r="S519" i="42"/>
  <c r="E519" i="42"/>
  <c r="S518" i="42"/>
  <c r="E518" i="42"/>
  <c r="S517" i="42"/>
  <c r="E517" i="42"/>
  <c r="S516" i="42"/>
  <c r="E516" i="42"/>
  <c r="S515" i="42"/>
  <c r="E515" i="42"/>
  <c r="S514" i="42"/>
  <c r="E514" i="42"/>
  <c r="S513" i="42"/>
  <c r="E513" i="42"/>
  <c r="S512" i="42"/>
  <c r="E512" i="42"/>
  <c r="S511" i="42"/>
  <c r="E511" i="42"/>
  <c r="S510" i="42"/>
  <c r="E510" i="42"/>
  <c r="S509" i="42"/>
  <c r="E509" i="42"/>
  <c r="S508" i="42"/>
  <c r="E508" i="42"/>
  <c r="S507" i="42"/>
  <c r="E507" i="42"/>
  <c r="S506" i="42"/>
  <c r="E506" i="42"/>
  <c r="S505" i="42"/>
  <c r="E505" i="42"/>
  <c r="S504" i="42"/>
  <c r="E504" i="42"/>
  <c r="S503" i="42"/>
  <c r="E503" i="42"/>
  <c r="S502" i="42"/>
  <c r="E502" i="42"/>
  <c r="S501" i="42"/>
  <c r="E501" i="42"/>
  <c r="S500" i="42"/>
  <c r="E500" i="42"/>
  <c r="S499" i="42"/>
  <c r="E499" i="42"/>
  <c r="S498" i="42"/>
  <c r="E498" i="42"/>
  <c r="S497" i="42"/>
  <c r="E497" i="42"/>
  <c r="S496" i="42"/>
  <c r="E496" i="42"/>
  <c r="S495" i="42"/>
  <c r="E495" i="42"/>
  <c r="S494" i="42"/>
  <c r="E494" i="42"/>
  <c r="S493" i="42"/>
  <c r="E493" i="42"/>
  <c r="S492" i="42"/>
  <c r="E492" i="42"/>
  <c r="S491" i="42"/>
  <c r="E491" i="42"/>
  <c r="S490" i="42"/>
  <c r="E490" i="42"/>
  <c r="S489" i="42"/>
  <c r="E489" i="42"/>
  <c r="S488" i="42"/>
  <c r="E488" i="42"/>
  <c r="S487" i="42"/>
  <c r="E487" i="42"/>
  <c r="S486" i="42"/>
  <c r="E486" i="42"/>
  <c r="S485" i="42"/>
  <c r="E485" i="42"/>
  <c r="S484" i="42"/>
  <c r="E484" i="42"/>
  <c r="S483" i="42"/>
  <c r="E483" i="42"/>
  <c r="S482" i="42"/>
  <c r="E482" i="42"/>
  <c r="S481" i="42"/>
  <c r="E481" i="42"/>
  <c r="S480" i="42"/>
  <c r="E480" i="42"/>
  <c r="S479" i="42"/>
  <c r="E479" i="42"/>
  <c r="S478" i="42"/>
  <c r="E478" i="42"/>
  <c r="S477" i="42"/>
  <c r="E477" i="42"/>
  <c r="S476" i="42"/>
  <c r="E476" i="42"/>
  <c r="S475" i="42"/>
  <c r="E475" i="42"/>
  <c r="S474" i="42"/>
  <c r="E474" i="42"/>
  <c r="S473" i="42"/>
  <c r="E473" i="42"/>
  <c r="S472" i="42"/>
  <c r="E472" i="42"/>
  <c r="S471" i="42"/>
  <c r="E471" i="42"/>
  <c r="S470" i="42"/>
  <c r="E470" i="42"/>
  <c r="S469" i="42"/>
  <c r="E469" i="42"/>
  <c r="S468" i="42"/>
  <c r="E468" i="42"/>
  <c r="S467" i="42"/>
  <c r="E467" i="42"/>
  <c r="S466" i="42"/>
  <c r="E466" i="42"/>
  <c r="S465" i="42"/>
  <c r="E465" i="42"/>
  <c r="S464" i="42"/>
  <c r="E464" i="42"/>
  <c r="S463" i="42"/>
  <c r="E463" i="42"/>
  <c r="S462" i="42"/>
  <c r="E462" i="42"/>
  <c r="S461" i="42"/>
  <c r="E461" i="42"/>
  <c r="S460" i="42"/>
  <c r="E460" i="42"/>
  <c r="S459" i="42"/>
  <c r="E459" i="42"/>
  <c r="S458" i="42"/>
  <c r="E458" i="42"/>
  <c r="S457" i="42"/>
  <c r="E457" i="42"/>
  <c r="S456" i="42"/>
  <c r="E456" i="42"/>
  <c r="S455" i="42"/>
  <c r="E455" i="42"/>
  <c r="S454" i="42"/>
  <c r="E454" i="42"/>
  <c r="S453" i="42"/>
  <c r="E453" i="42"/>
  <c r="S452" i="42"/>
  <c r="E452" i="42"/>
  <c r="S451" i="42"/>
  <c r="E451" i="42"/>
  <c r="S450" i="42"/>
  <c r="E450" i="42"/>
  <c r="S449" i="42"/>
  <c r="E449" i="42"/>
  <c r="S448" i="42"/>
  <c r="E448" i="42"/>
  <c r="S447" i="42"/>
  <c r="E447" i="42"/>
  <c r="S446" i="42"/>
  <c r="E446" i="42"/>
  <c r="S445" i="42"/>
  <c r="E445" i="42"/>
  <c r="S444" i="42"/>
  <c r="E444" i="42"/>
  <c r="S443" i="42"/>
  <c r="E443" i="42"/>
  <c r="S442" i="42"/>
  <c r="E442" i="42"/>
  <c r="S441" i="42"/>
  <c r="E441" i="42"/>
  <c r="S440" i="42"/>
  <c r="E440" i="42"/>
  <c r="S439" i="42"/>
  <c r="E439" i="42"/>
  <c r="S438" i="42"/>
  <c r="E438" i="42"/>
  <c r="S437" i="42"/>
  <c r="E437" i="42"/>
  <c r="S436" i="42"/>
  <c r="E436" i="42"/>
  <c r="S435" i="42"/>
  <c r="E435" i="42"/>
  <c r="S434" i="42"/>
  <c r="E434" i="42"/>
  <c r="S433" i="42"/>
  <c r="E433" i="42"/>
  <c r="S432" i="42"/>
  <c r="E432" i="42"/>
  <c r="B360" i="42"/>
  <c r="C426" i="42"/>
  <c r="E427" i="42"/>
  <c r="E426" i="42"/>
  <c r="E425" i="42"/>
  <c r="E424" i="42"/>
  <c r="E423" i="42"/>
  <c r="E422" i="42"/>
  <c r="E421" i="42"/>
  <c r="E420" i="42"/>
  <c r="E419" i="42"/>
  <c r="E418" i="42"/>
  <c r="E417" i="42"/>
  <c r="E416" i="42"/>
  <c r="E415" i="42"/>
  <c r="E414" i="42"/>
  <c r="E413" i="42"/>
  <c r="E412" i="42"/>
  <c r="E411" i="42"/>
  <c r="E410" i="42"/>
  <c r="E409" i="42"/>
  <c r="E408" i="42"/>
  <c r="E407" i="42"/>
  <c r="E406" i="42"/>
  <c r="E405" i="42"/>
  <c r="E403" i="42"/>
  <c r="E402" i="42"/>
  <c r="E401" i="42"/>
  <c r="E400" i="42"/>
  <c r="E399" i="42"/>
  <c r="E398" i="42"/>
  <c r="E397" i="42"/>
  <c r="E396" i="42"/>
  <c r="E395" i="42"/>
  <c r="E394" i="42"/>
  <c r="E393" i="42"/>
  <c r="E392" i="42"/>
  <c r="E391" i="42"/>
  <c r="E390" i="42"/>
  <c r="E389" i="42"/>
  <c r="E388" i="42"/>
  <c r="E387" i="42"/>
  <c r="E386" i="42"/>
  <c r="E385" i="42"/>
  <c r="E384" i="42"/>
  <c r="E383" i="42"/>
  <c r="E382" i="42"/>
  <c r="E381" i="42"/>
  <c r="E380" i="42"/>
  <c r="E379" i="42"/>
  <c r="E378" i="42"/>
  <c r="E377" i="42"/>
  <c r="E376" i="42"/>
  <c r="E375" i="42"/>
  <c r="E374" i="42"/>
  <c r="E373" i="42"/>
  <c r="E372" i="42"/>
  <c r="E371" i="42"/>
  <c r="E370" i="42"/>
  <c r="E369" i="42"/>
  <c r="E368" i="42"/>
  <c r="E367" i="42"/>
  <c r="E366" i="42"/>
  <c r="E365" i="42"/>
  <c r="E364" i="42"/>
  <c r="E363" i="42"/>
  <c r="E362" i="42"/>
  <c r="E361" i="42"/>
  <c r="E360" i="42"/>
  <c r="E359" i="42"/>
  <c r="E358" i="42"/>
  <c r="E357" i="42"/>
  <c r="E356" i="42"/>
  <c r="E355" i="42"/>
  <c r="E354" i="42"/>
  <c r="E353" i="42"/>
  <c r="E352" i="42"/>
  <c r="E351" i="42"/>
  <c r="E350" i="42"/>
  <c r="E349" i="42"/>
  <c r="E348" i="42"/>
  <c r="E347" i="42"/>
  <c r="E346" i="42"/>
  <c r="E345" i="42"/>
  <c r="E344" i="42"/>
  <c r="E343" i="42"/>
  <c r="E342" i="42"/>
  <c r="E341" i="42"/>
  <c r="E340" i="42"/>
  <c r="E339" i="42"/>
  <c r="E338" i="42"/>
  <c r="E337" i="42"/>
  <c r="E336" i="42"/>
  <c r="E335" i="42"/>
  <c r="E334" i="42"/>
  <c r="E333" i="42"/>
  <c r="E332" i="42"/>
  <c r="E331" i="42"/>
  <c r="E330" i="42"/>
  <c r="E329" i="42"/>
  <c r="E328" i="42"/>
  <c r="E327" i="42"/>
  <c r="E326" i="42"/>
  <c r="E325" i="42"/>
  <c r="E324" i="42"/>
  <c r="E323" i="42"/>
  <c r="E322" i="42"/>
  <c r="E321" i="42"/>
  <c r="E320" i="42"/>
  <c r="E319" i="42"/>
  <c r="E317" i="42"/>
  <c r="E316" i="42"/>
  <c r="E315" i="42"/>
  <c r="E314" i="42"/>
  <c r="E311" i="42"/>
  <c r="E310" i="42"/>
  <c r="E309" i="42"/>
  <c r="E308" i="42"/>
  <c r="E307" i="42"/>
  <c r="E306" i="42"/>
  <c r="E305" i="42"/>
  <c r="E304" i="42"/>
  <c r="E303" i="42"/>
  <c r="B261" i="42"/>
  <c r="E292" i="42"/>
  <c r="E291" i="42"/>
  <c r="E290" i="42"/>
  <c r="E289" i="42"/>
  <c r="E288" i="42"/>
  <c r="E287" i="42"/>
  <c r="E286" i="42"/>
  <c r="E285" i="42"/>
  <c r="E284" i="42"/>
  <c r="E283" i="42"/>
  <c r="E282" i="42"/>
  <c r="E281" i="42"/>
  <c r="E280" i="42"/>
  <c r="E279" i="42"/>
  <c r="E278" i="42"/>
  <c r="E277" i="42"/>
  <c r="E276" i="42"/>
  <c r="E275" i="42"/>
  <c r="E274" i="42"/>
  <c r="E273" i="42"/>
  <c r="E272" i="42"/>
  <c r="E271" i="42"/>
  <c r="E270" i="42"/>
  <c r="E269" i="42"/>
  <c r="E268" i="42"/>
  <c r="E267" i="42"/>
  <c r="E266" i="42"/>
  <c r="E265" i="42"/>
  <c r="E264" i="42"/>
  <c r="E263" i="42"/>
  <c r="E262" i="42"/>
  <c r="E261" i="42"/>
  <c r="E260" i="42"/>
  <c r="E259" i="42"/>
  <c r="E258" i="42"/>
  <c r="E257" i="42"/>
  <c r="E256" i="42"/>
  <c r="E255" i="42"/>
  <c r="E254" i="42"/>
  <c r="E253" i="42"/>
  <c r="E252" i="42"/>
  <c r="E251" i="42"/>
  <c r="E250" i="42"/>
  <c r="E249" i="42"/>
  <c r="E248" i="42"/>
  <c r="E247" i="42"/>
  <c r="E246" i="42"/>
  <c r="E245" i="42"/>
  <c r="E244" i="42"/>
  <c r="E243" i="42"/>
  <c r="B187" i="42"/>
  <c r="C231" i="42"/>
  <c r="E237" i="42"/>
  <c r="E236" i="42"/>
  <c r="E235" i="42"/>
  <c r="E234" i="42"/>
  <c r="E233" i="42"/>
  <c r="E232" i="42"/>
  <c r="E231" i="42"/>
  <c r="E230" i="42"/>
  <c r="E229" i="42"/>
  <c r="E228" i="42"/>
  <c r="E227" i="42"/>
  <c r="E226" i="42"/>
  <c r="E225" i="42"/>
  <c r="E224" i="42"/>
  <c r="E223" i="42"/>
  <c r="E222" i="42"/>
  <c r="E221" i="42"/>
  <c r="E220" i="42"/>
  <c r="E218" i="42"/>
  <c r="E217" i="42"/>
  <c r="E216" i="42"/>
  <c r="E215" i="42"/>
  <c r="E214" i="42"/>
  <c r="E213" i="42"/>
  <c r="E212" i="42"/>
  <c r="E211" i="42"/>
  <c r="E210" i="42"/>
  <c r="E209" i="42"/>
  <c r="E208" i="42"/>
  <c r="E207" i="42"/>
  <c r="E206" i="42"/>
  <c r="E205" i="42"/>
  <c r="E204" i="42"/>
  <c r="E203" i="42"/>
  <c r="E202" i="42"/>
  <c r="E201" i="42"/>
  <c r="E200" i="42"/>
  <c r="E199" i="42"/>
  <c r="E198" i="42"/>
  <c r="E197" i="42"/>
  <c r="E196" i="42"/>
  <c r="E195" i="42"/>
  <c r="E194" i="42"/>
  <c r="E193" i="42"/>
  <c r="E192" i="42"/>
  <c r="E191" i="42"/>
  <c r="E190" i="42"/>
  <c r="E189" i="42"/>
  <c r="E188" i="42"/>
  <c r="E187" i="42"/>
  <c r="E186" i="42"/>
  <c r="E185" i="42"/>
  <c r="E184" i="42"/>
  <c r="E183" i="42"/>
  <c r="E182" i="42"/>
  <c r="E181" i="42"/>
  <c r="E180" i="42"/>
  <c r="E179" i="42"/>
  <c r="E178" i="42"/>
  <c r="E177" i="42"/>
  <c r="E176" i="42"/>
  <c r="E175" i="42"/>
  <c r="E174" i="42"/>
  <c r="E173" i="42"/>
  <c r="E172" i="42"/>
  <c r="E171" i="42"/>
  <c r="E170" i="42"/>
  <c r="E169" i="42"/>
  <c r="E168" i="42"/>
  <c r="E167" i="42"/>
  <c r="E166" i="42"/>
  <c r="E165" i="42"/>
  <c r="E164" i="42"/>
  <c r="E163" i="42"/>
  <c r="E162" i="42"/>
  <c r="E161" i="42"/>
  <c r="E160" i="42"/>
  <c r="E159" i="42"/>
  <c r="E158" i="42"/>
  <c r="E157" i="42"/>
  <c r="E156" i="42"/>
  <c r="E155" i="42"/>
  <c r="E154" i="42"/>
  <c r="E153" i="42"/>
  <c r="E152" i="42"/>
  <c r="E151" i="42"/>
  <c r="E150" i="42"/>
  <c r="E149" i="42"/>
  <c r="E148" i="42"/>
  <c r="S236" i="42"/>
  <c r="C236" i="42"/>
  <c r="B236" i="42"/>
  <c r="A236" i="42"/>
  <c r="S235" i="42"/>
  <c r="C235" i="42"/>
  <c r="B235" i="42"/>
  <c r="A235" i="42"/>
  <c r="S234" i="42"/>
  <c r="C234" i="42"/>
  <c r="B234" i="42"/>
  <c r="A234" i="42"/>
  <c r="S233" i="42"/>
  <c r="C233" i="42"/>
  <c r="B233" i="42"/>
  <c r="A233" i="42"/>
  <c r="C132" i="42"/>
  <c r="B78" i="42"/>
  <c r="B65" i="42"/>
  <c r="E139" i="42"/>
  <c r="E138" i="42"/>
  <c r="E137" i="42"/>
  <c r="E136" i="42"/>
  <c r="E135" i="42"/>
  <c r="E134" i="42"/>
  <c r="E133" i="42"/>
  <c r="E132" i="42"/>
  <c r="E131" i="42"/>
  <c r="E130" i="42"/>
  <c r="E129" i="42"/>
  <c r="E128" i="42"/>
  <c r="E127" i="42"/>
  <c r="E126" i="42"/>
  <c r="E125" i="42"/>
  <c r="E124" i="42"/>
  <c r="E123" i="42"/>
  <c r="E122" i="42"/>
  <c r="E121" i="42"/>
  <c r="E120" i="42"/>
  <c r="E119" i="42"/>
  <c r="E118" i="42"/>
  <c r="E117" i="42"/>
  <c r="E116" i="42"/>
  <c r="E115" i="42"/>
  <c r="E112" i="42"/>
  <c r="E111" i="42"/>
  <c r="E110" i="42"/>
  <c r="E109" i="42"/>
  <c r="E108" i="42"/>
  <c r="E107" i="42"/>
  <c r="E106" i="42"/>
  <c r="E105" i="42"/>
  <c r="E104" i="42"/>
  <c r="E103" i="42"/>
  <c r="E102" i="42"/>
  <c r="E101" i="42"/>
  <c r="E100" i="42"/>
  <c r="E99" i="42"/>
  <c r="E98"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E63" i="42"/>
  <c r="E62" i="42"/>
  <c r="E61" i="42"/>
  <c r="E60" i="42"/>
  <c r="E59" i="42"/>
  <c r="E58" i="42"/>
  <c r="E57"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E6" i="42"/>
  <c r="C138" i="42"/>
  <c r="B138" i="42"/>
  <c r="A138" i="42"/>
  <c r="C137" i="42"/>
  <c r="B137" i="42"/>
  <c r="A137" i="42"/>
  <c r="C136" i="42"/>
  <c r="B136" i="42"/>
  <c r="A136" i="42"/>
  <c r="S638" i="42" l="1"/>
  <c r="S552" i="42"/>
  <c r="S627" i="42"/>
  <c r="F19" i="25"/>
  <c r="D20" i="26"/>
  <c r="K13" i="18"/>
  <c r="K18" i="18"/>
  <c r="K25" i="18"/>
  <c r="K22" i="11"/>
  <c r="K17" i="11"/>
  <c r="K12" i="11"/>
  <c r="S565" i="42"/>
  <c r="S551" i="42"/>
  <c r="N13" i="18" l="1"/>
  <c r="F16" i="28" l="1"/>
  <c r="D16" i="28"/>
  <c r="F14" i="28"/>
  <c r="D14" i="28"/>
  <c r="F12" i="28"/>
  <c r="D12" i="28"/>
  <c r="E18" i="26"/>
  <c r="C18" i="26"/>
  <c r="E16" i="26"/>
  <c r="C16" i="26"/>
  <c r="E14" i="26"/>
  <c r="C14" i="26"/>
  <c r="H20" i="20"/>
  <c r="H18" i="20"/>
  <c r="H16" i="20"/>
  <c r="C20" i="20"/>
  <c r="C18" i="20"/>
  <c r="C16" i="20"/>
  <c r="C14" i="20"/>
  <c r="H14" i="20"/>
  <c r="D14" i="20"/>
  <c r="L114" i="17"/>
  <c r="L90" i="17"/>
  <c r="L74" i="17"/>
  <c r="L62" i="17"/>
  <c r="L39" i="17"/>
  <c r="L28" i="17"/>
  <c r="L17" i="17"/>
  <c r="B591" i="13"/>
  <c r="B590" i="13"/>
  <c r="B589" i="13"/>
  <c r="B587" i="13"/>
  <c r="B586" i="13"/>
  <c r="B585" i="13"/>
  <c r="B584" i="13"/>
  <c r="B582" i="13"/>
  <c r="B581" i="13"/>
  <c r="B580" i="13"/>
  <c r="B225" i="13"/>
  <c r="B220" i="13"/>
  <c r="B205" i="13"/>
  <c r="B193" i="13"/>
  <c r="B185" i="13"/>
  <c r="B176" i="13"/>
  <c r="B167" i="13"/>
  <c r="B150" i="13"/>
  <c r="B141" i="13"/>
  <c r="B130" i="13"/>
  <c r="B111" i="13"/>
  <c r="B110" i="13"/>
  <c r="B109" i="13"/>
  <c r="B108" i="13"/>
  <c r="B107" i="13"/>
  <c r="B106" i="13"/>
  <c r="B105" i="13"/>
  <c r="B104" i="13"/>
  <c r="B102" i="13"/>
  <c r="B98" i="13"/>
  <c r="B97" i="13"/>
  <c r="B96" i="13"/>
  <c r="B95" i="13"/>
  <c r="B94" i="13"/>
  <c r="B93" i="13"/>
  <c r="B92" i="13"/>
  <c r="B91" i="13"/>
  <c r="B89" i="13"/>
  <c r="B85" i="13"/>
  <c r="B84" i="13"/>
  <c r="B83" i="13"/>
  <c r="B82" i="13"/>
  <c r="B81" i="13"/>
  <c r="B80" i="13"/>
  <c r="B79" i="13"/>
  <c r="B76" i="13"/>
  <c r="B74" i="13"/>
  <c r="B73" i="13"/>
  <c r="C355" i="1"/>
  <c r="C320" i="1"/>
  <c r="B310" i="1"/>
  <c r="B309" i="1"/>
  <c r="B308" i="1"/>
  <c r="B304" i="1"/>
  <c r="B302" i="1"/>
  <c r="B301" i="1"/>
  <c r="B300" i="1"/>
  <c r="B299" i="1"/>
  <c r="B298" i="1"/>
  <c r="B297" i="1"/>
  <c r="B296" i="1"/>
  <c r="B295" i="1"/>
  <c r="B294" i="1"/>
  <c r="B292" i="1"/>
  <c r="C283" i="1"/>
  <c r="B244" i="1"/>
  <c r="B243" i="1"/>
  <c r="B242" i="1"/>
  <c r="B241" i="1"/>
  <c r="B240" i="1"/>
  <c r="B239" i="1"/>
  <c r="B238" i="1"/>
  <c r="B236" i="1"/>
  <c r="B232" i="1"/>
  <c r="B228" i="1"/>
  <c r="B226" i="1"/>
  <c r="B225" i="1"/>
  <c r="B224" i="1"/>
  <c r="B223" i="1"/>
  <c r="B222" i="1"/>
  <c r="B221" i="1"/>
  <c r="B219" i="1"/>
  <c r="B217" i="1"/>
  <c r="B216" i="1"/>
  <c r="B212" i="1"/>
  <c r="B211" i="1"/>
  <c r="B209" i="1"/>
  <c r="B208" i="1"/>
  <c r="B207" i="1"/>
  <c r="B206" i="1"/>
  <c r="B205" i="1"/>
  <c r="B204" i="1"/>
  <c r="B203" i="1"/>
  <c r="B202" i="1"/>
  <c r="B201" i="1"/>
  <c r="B199" i="1"/>
  <c r="C191" i="1"/>
  <c r="B110" i="1"/>
  <c r="B109" i="1"/>
  <c r="B108" i="1"/>
  <c r="B107" i="1"/>
  <c r="B106" i="1"/>
  <c r="B105" i="1"/>
  <c r="B102" i="1"/>
  <c r="B100" i="1"/>
  <c r="B98" i="1"/>
  <c r="B96" i="1"/>
  <c r="B93" i="1"/>
  <c r="B92" i="1"/>
  <c r="B90" i="1"/>
  <c r="B88" i="1"/>
  <c r="B86" i="1"/>
  <c r="B84" i="1"/>
  <c r="B83" i="1"/>
  <c r="B79" i="1"/>
  <c r="B78" i="1"/>
  <c r="B76" i="1"/>
  <c r="B75" i="1"/>
  <c r="B74" i="1"/>
  <c r="B72" i="1"/>
  <c r="B71" i="1"/>
  <c r="B69" i="1"/>
  <c r="B64" i="1"/>
  <c r="B63" i="1"/>
  <c r="B62" i="1"/>
  <c r="B58" i="1"/>
  <c r="B57" i="1"/>
  <c r="B56" i="1"/>
  <c r="B55" i="1"/>
  <c r="B54" i="1"/>
  <c r="B53" i="1"/>
  <c r="B52" i="1"/>
  <c r="B51" i="1"/>
  <c r="B47" i="1"/>
  <c r="B44" i="1"/>
  <c r="B43" i="1"/>
  <c r="B42" i="1"/>
  <c r="B41" i="1"/>
  <c r="B40" i="1"/>
  <c r="B38" i="1"/>
  <c r="B34" i="1"/>
  <c r="B32" i="1"/>
  <c r="B31" i="1"/>
  <c r="B26" i="1"/>
  <c r="B25" i="1"/>
  <c r="B24" i="1"/>
  <c r="B21" i="1"/>
  <c r="B20" i="1"/>
  <c r="B19" i="1"/>
  <c r="B18" i="1"/>
  <c r="B17" i="1"/>
  <c r="B16" i="1"/>
  <c r="B15" i="1"/>
  <c r="B14" i="1"/>
  <c r="B13" i="1"/>
  <c r="B11" i="1"/>
  <c r="A41" i="50" l="1"/>
  <c r="A40" i="50" l="1"/>
  <c r="A39" i="50"/>
  <c r="A33" i="50"/>
  <c r="D116" i="4" l="1"/>
  <c r="H116" i="4"/>
  <c r="I81" i="66"/>
  <c r="K81" i="66"/>
  <c r="D116" i="66" l="1"/>
  <c r="D115" i="66"/>
  <c r="D114" i="66"/>
  <c r="D113" i="66"/>
  <c r="D112" i="66"/>
  <c r="D111" i="66"/>
  <c r="D110" i="66"/>
  <c r="D106" i="66"/>
  <c r="D105" i="66"/>
  <c r="D104" i="66"/>
  <c r="D103" i="66"/>
  <c r="D102" i="66"/>
  <c r="D101" i="66"/>
  <c r="D100" i="66"/>
  <c r="D99" i="66"/>
  <c r="D98" i="66"/>
  <c r="D94" i="66"/>
  <c r="D93" i="66"/>
  <c r="D95" i="66" s="1"/>
  <c r="D89" i="66"/>
  <c r="D88" i="66"/>
  <c r="D87" i="66"/>
  <c r="D83" i="66"/>
  <c r="D82" i="66"/>
  <c r="D81" i="66"/>
  <c r="D80" i="66"/>
  <c r="D79" i="66"/>
  <c r="D78" i="66"/>
  <c r="D56" i="66"/>
  <c r="D55" i="66"/>
  <c r="D54" i="66"/>
  <c r="D53" i="66"/>
  <c r="D52" i="66"/>
  <c r="D51" i="66"/>
  <c r="D50" i="66"/>
  <c r="D46" i="66"/>
  <c r="D45" i="66"/>
  <c r="D44" i="66"/>
  <c r="D43" i="66"/>
  <c r="D42" i="66"/>
  <c r="D41" i="66"/>
  <c r="D40" i="66"/>
  <c r="D39" i="66"/>
  <c r="D38" i="66"/>
  <c r="D37" i="66"/>
  <c r="D36" i="66"/>
  <c r="D35" i="66"/>
  <c r="D34" i="66"/>
  <c r="D33" i="66"/>
  <c r="D32" i="66"/>
  <c r="D31" i="66"/>
  <c r="D27" i="66"/>
  <c r="D26" i="66"/>
  <c r="D25" i="66"/>
  <c r="D24" i="66"/>
  <c r="D20" i="66"/>
  <c r="D18" i="66"/>
  <c r="D17" i="66"/>
  <c r="F116" i="66"/>
  <c r="F115" i="66"/>
  <c r="F114" i="66"/>
  <c r="F113" i="66"/>
  <c r="F112" i="66"/>
  <c r="F111" i="66"/>
  <c r="F110" i="66"/>
  <c r="F106" i="66"/>
  <c r="F105" i="66"/>
  <c r="F104" i="66"/>
  <c r="F103" i="66"/>
  <c r="F102" i="66"/>
  <c r="F101" i="66"/>
  <c r="F100" i="66"/>
  <c r="F99" i="66"/>
  <c r="F98" i="66"/>
  <c r="F94" i="66"/>
  <c r="F93" i="66"/>
  <c r="F89" i="66"/>
  <c r="F88" i="66"/>
  <c r="F87" i="66"/>
  <c r="F83" i="66"/>
  <c r="F82" i="66"/>
  <c r="F81" i="66"/>
  <c r="F80" i="66"/>
  <c r="F79" i="66"/>
  <c r="F78" i="66"/>
  <c r="F56" i="66"/>
  <c r="F55" i="66"/>
  <c r="F54" i="66"/>
  <c r="F53" i="66"/>
  <c r="F52" i="66"/>
  <c r="F51" i="66"/>
  <c r="F50" i="66"/>
  <c r="F46" i="66"/>
  <c r="F45" i="66"/>
  <c r="F44" i="66"/>
  <c r="F43" i="66"/>
  <c r="F42" i="66"/>
  <c r="F41" i="66"/>
  <c r="F40" i="66"/>
  <c r="F39" i="66"/>
  <c r="F38" i="66"/>
  <c r="F37" i="66"/>
  <c r="F36" i="66"/>
  <c r="F35" i="66"/>
  <c r="F34" i="66"/>
  <c r="F33" i="66"/>
  <c r="F32" i="66"/>
  <c r="F31" i="66"/>
  <c r="F27" i="66"/>
  <c r="F26" i="66"/>
  <c r="F25" i="66"/>
  <c r="F24" i="66"/>
  <c r="F20" i="66"/>
  <c r="F18" i="66"/>
  <c r="F17" i="66"/>
  <c r="D90" i="66" l="1"/>
  <c r="D117" i="66"/>
  <c r="D84" i="66"/>
  <c r="F84" i="66"/>
  <c r="D19" i="66"/>
  <c r="D107" i="66"/>
  <c r="F57" i="66"/>
  <c r="F90" i="66"/>
  <c r="F19" i="66"/>
  <c r="F21" i="66" s="1"/>
  <c r="F47" i="66"/>
  <c r="F95" i="66"/>
  <c r="D47" i="66"/>
  <c r="F117" i="66"/>
  <c r="E53" i="66"/>
  <c r="F107" i="66"/>
  <c r="D28" i="66"/>
  <c r="F28" i="66"/>
  <c r="D57" i="66"/>
  <c r="D21" i="66"/>
  <c r="K114" i="19" l="1"/>
  <c r="K30" i="50" l="1"/>
  <c r="G64" i="50" l="1"/>
  <c r="F64" i="50"/>
  <c r="E64" i="50"/>
  <c r="D64" i="50"/>
  <c r="C64" i="50"/>
  <c r="H64" i="50"/>
  <c r="A60" i="50"/>
  <c r="A59" i="50"/>
  <c r="A58" i="50"/>
  <c r="A57" i="50"/>
  <c r="A56" i="50"/>
  <c r="A55" i="50"/>
  <c r="A54" i="50"/>
  <c r="A53" i="50"/>
  <c r="A52" i="50"/>
  <c r="H5" i="50" l="1"/>
  <c r="G5" i="50"/>
  <c r="F5" i="50"/>
  <c r="E5" i="50"/>
  <c r="D5" i="50"/>
  <c r="C5" i="50"/>
  <c r="O15" i="50" l="1"/>
  <c r="O5" i="50"/>
  <c r="N23" i="50"/>
  <c r="M23" i="50"/>
  <c r="L23" i="50"/>
  <c r="K23" i="50"/>
  <c r="J23" i="50"/>
  <c r="I23" i="50"/>
  <c r="N22" i="50"/>
  <c r="M22" i="50"/>
  <c r="L22" i="50"/>
  <c r="K22" i="50"/>
  <c r="J22" i="50"/>
  <c r="I22" i="50"/>
  <c r="N21" i="50"/>
  <c r="M21" i="50"/>
  <c r="L21" i="50"/>
  <c r="K21" i="50"/>
  <c r="J21" i="50"/>
  <c r="I21" i="50"/>
  <c r="N20" i="50"/>
  <c r="M20" i="50"/>
  <c r="L20" i="50"/>
  <c r="K20" i="50"/>
  <c r="J20" i="50"/>
  <c r="I20" i="50"/>
  <c r="N15" i="51"/>
  <c r="N14" i="51"/>
  <c r="N13" i="51"/>
  <c r="N12" i="51"/>
  <c r="N11" i="51"/>
  <c r="N10" i="51"/>
  <c r="N9" i="51"/>
  <c r="N7" i="51"/>
  <c r="N6" i="51"/>
  <c r="N5" i="51"/>
  <c r="M22" i="51"/>
  <c r="L22" i="51"/>
  <c r="K22" i="51"/>
  <c r="J22" i="51"/>
  <c r="I22" i="51"/>
  <c r="H22" i="51"/>
  <c r="G22" i="51"/>
  <c r="F22" i="51"/>
  <c r="E22" i="51"/>
  <c r="D22" i="51"/>
  <c r="C22" i="51"/>
  <c r="B22" i="51"/>
  <c r="M21" i="51"/>
  <c r="L21" i="51"/>
  <c r="K21" i="51"/>
  <c r="J21" i="51"/>
  <c r="I21" i="51"/>
  <c r="H21" i="51"/>
  <c r="G21" i="51"/>
  <c r="F21" i="51"/>
  <c r="E21" i="51"/>
  <c r="D21" i="51"/>
  <c r="C21" i="51"/>
  <c r="B21" i="51"/>
  <c r="M20" i="51"/>
  <c r="L20" i="51"/>
  <c r="K20" i="51"/>
  <c r="J20" i="51"/>
  <c r="I20" i="51"/>
  <c r="H20" i="51"/>
  <c r="G20" i="51"/>
  <c r="F20" i="51"/>
  <c r="E20" i="51"/>
  <c r="D20" i="51"/>
  <c r="C20" i="51"/>
  <c r="B20" i="51"/>
  <c r="M19" i="51"/>
  <c r="M24" i="51" s="1"/>
  <c r="L19" i="51"/>
  <c r="L24" i="51" s="1"/>
  <c r="K19" i="51"/>
  <c r="K24" i="51" s="1"/>
  <c r="J19" i="51"/>
  <c r="J24" i="51" s="1"/>
  <c r="I19" i="51"/>
  <c r="I24" i="51" s="1"/>
  <c r="H19" i="51"/>
  <c r="H24" i="51" s="1"/>
  <c r="G19" i="51"/>
  <c r="G24" i="51" s="1"/>
  <c r="F19" i="51"/>
  <c r="F24" i="51" s="1"/>
  <c r="E19" i="51"/>
  <c r="E24" i="51" s="1"/>
  <c r="D19" i="51"/>
  <c r="D24" i="51" s="1"/>
  <c r="C19" i="51"/>
  <c r="C24" i="51" s="1"/>
  <c r="B19" i="51"/>
  <c r="B24" i="51" s="1"/>
  <c r="A62" i="50"/>
  <c r="A61" i="50"/>
  <c r="A51" i="50"/>
  <c r="A50" i="50"/>
  <c r="A49" i="50"/>
  <c r="A48" i="50"/>
  <c r="A47" i="50"/>
  <c r="A46" i="50"/>
  <c r="A45" i="50"/>
  <c r="A44" i="50"/>
  <c r="A42" i="50"/>
  <c r="A38" i="50"/>
  <c r="A37" i="50"/>
  <c r="A36" i="50"/>
  <c r="A35" i="50"/>
  <c r="A34" i="50"/>
  <c r="A31" i="50"/>
  <c r="AD11" i="56"/>
  <c r="AD10" i="56"/>
  <c r="AD2" i="56"/>
  <c r="C71" i="50" l="1"/>
  <c r="C8" i="50" s="1"/>
  <c r="H71" i="50"/>
  <c r="H8" i="50" s="1"/>
  <c r="D71" i="50"/>
  <c r="D8" i="50" s="1"/>
  <c r="E71" i="50"/>
  <c r="E8" i="50" s="1"/>
  <c r="F71" i="50"/>
  <c r="F8" i="50" s="1"/>
  <c r="G71" i="50"/>
  <c r="G8" i="50" s="1"/>
  <c r="K25" i="50"/>
  <c r="N20" i="51"/>
  <c r="N22" i="51"/>
  <c r="N21" i="51"/>
  <c r="J25" i="50"/>
  <c r="N25" i="50"/>
  <c r="E69" i="50"/>
  <c r="L25" i="50"/>
  <c r="I25" i="50"/>
  <c r="M25" i="50"/>
  <c r="F69" i="50"/>
  <c r="H78" i="50"/>
  <c r="H16" i="50" s="1"/>
  <c r="G70" i="50"/>
  <c r="G7" i="50" s="1"/>
  <c r="C73" i="50"/>
  <c r="C10" i="50" s="1"/>
  <c r="C20" i="50" s="1"/>
  <c r="E74" i="50"/>
  <c r="E11" i="50" s="1"/>
  <c r="E21" i="50" s="1"/>
  <c r="G75" i="50"/>
  <c r="G12" i="50" s="1"/>
  <c r="G22" i="50" s="1"/>
  <c r="C77" i="50"/>
  <c r="C14" i="50" s="1"/>
  <c r="C23" i="50" s="1"/>
  <c r="E78" i="50"/>
  <c r="E16" i="50" s="1"/>
  <c r="H70" i="50"/>
  <c r="H7" i="50" s="1"/>
  <c r="F72" i="50"/>
  <c r="F9" i="50" s="1"/>
  <c r="H73" i="50"/>
  <c r="H10" i="50" s="1"/>
  <c r="H20" i="50" s="1"/>
  <c r="D75" i="50"/>
  <c r="D12" i="50" s="1"/>
  <c r="D22" i="50" s="1"/>
  <c r="D77" i="50"/>
  <c r="D14" i="50" s="1"/>
  <c r="D23" i="50" s="1"/>
  <c r="H77" i="50"/>
  <c r="H14" i="50" s="1"/>
  <c r="H23" i="50" s="1"/>
  <c r="C69" i="50"/>
  <c r="G69" i="50"/>
  <c r="E70" i="50"/>
  <c r="E7" i="50" s="1"/>
  <c r="C72" i="50"/>
  <c r="C9" i="50" s="1"/>
  <c r="G72" i="50"/>
  <c r="G9" i="50" s="1"/>
  <c r="E73" i="50"/>
  <c r="E10" i="50" s="1"/>
  <c r="E20" i="50" s="1"/>
  <c r="C74" i="50"/>
  <c r="C11" i="50" s="1"/>
  <c r="C21" i="50" s="1"/>
  <c r="G74" i="50"/>
  <c r="G11" i="50" s="1"/>
  <c r="G21" i="50" s="1"/>
  <c r="E75" i="50"/>
  <c r="E12" i="50" s="1"/>
  <c r="E22" i="50" s="1"/>
  <c r="C76" i="50"/>
  <c r="G76" i="50"/>
  <c r="E77" i="50"/>
  <c r="E14" i="50" s="1"/>
  <c r="E23" i="50" s="1"/>
  <c r="C78" i="50"/>
  <c r="C16" i="50" s="1"/>
  <c r="G78" i="50"/>
  <c r="G16" i="50" s="1"/>
  <c r="C70" i="50"/>
  <c r="C7" i="50" s="1"/>
  <c r="E72" i="50"/>
  <c r="E9" i="50" s="1"/>
  <c r="G73" i="50"/>
  <c r="G10" i="50" s="1"/>
  <c r="G20" i="50" s="1"/>
  <c r="C75" i="50"/>
  <c r="C12" i="50" s="1"/>
  <c r="C22" i="50" s="1"/>
  <c r="E76" i="50"/>
  <c r="G77" i="50"/>
  <c r="G14" i="50" s="1"/>
  <c r="G23" i="50" s="1"/>
  <c r="D70" i="50"/>
  <c r="D7" i="50" s="1"/>
  <c r="D73" i="50"/>
  <c r="D10" i="50" s="1"/>
  <c r="D20" i="50" s="1"/>
  <c r="F74" i="50"/>
  <c r="F11" i="50" s="1"/>
  <c r="F21" i="50" s="1"/>
  <c r="H75" i="50"/>
  <c r="H12" i="50" s="1"/>
  <c r="H22" i="50" s="1"/>
  <c r="F76" i="50"/>
  <c r="F78" i="50"/>
  <c r="F16" i="50" s="1"/>
  <c r="D69" i="50"/>
  <c r="H69" i="50"/>
  <c r="F70" i="50"/>
  <c r="F7" i="50" s="1"/>
  <c r="D72" i="50"/>
  <c r="D9" i="50" s="1"/>
  <c r="H72" i="50"/>
  <c r="H9" i="50" s="1"/>
  <c r="F73" i="50"/>
  <c r="F10" i="50" s="1"/>
  <c r="F20" i="50" s="1"/>
  <c r="D74" i="50"/>
  <c r="D11" i="50" s="1"/>
  <c r="D21" i="50" s="1"/>
  <c r="H74" i="50"/>
  <c r="H11" i="50" s="1"/>
  <c r="H21" i="50" s="1"/>
  <c r="F75" i="50"/>
  <c r="F12" i="50" s="1"/>
  <c r="F22" i="50" s="1"/>
  <c r="D76" i="50"/>
  <c r="H76" i="50"/>
  <c r="F77" i="50"/>
  <c r="F14" i="50" s="1"/>
  <c r="F23" i="50" s="1"/>
  <c r="D78" i="50"/>
  <c r="D16" i="50" s="1"/>
  <c r="N19" i="51"/>
  <c r="N24" i="51"/>
  <c r="N16" i="51"/>
  <c r="O8" i="50" l="1"/>
  <c r="C13" i="50"/>
  <c r="C17" i="50" s="1"/>
  <c r="C80" i="50"/>
  <c r="F13" i="50"/>
  <c r="F17" i="50" s="1"/>
  <c r="F80" i="50"/>
  <c r="D13" i="50"/>
  <c r="D17" i="50" s="1"/>
  <c r="D80" i="50"/>
  <c r="E13" i="50"/>
  <c r="E17" i="50" s="1"/>
  <c r="E80" i="50"/>
  <c r="G13" i="50"/>
  <c r="G17" i="50" s="1"/>
  <c r="G80" i="50"/>
  <c r="H13" i="50"/>
  <c r="H17" i="50" s="1"/>
  <c r="H80" i="50"/>
  <c r="E25" i="50"/>
  <c r="G60" i="82" s="1"/>
  <c r="O9" i="50"/>
  <c r="O20" i="50"/>
  <c r="H25" i="50"/>
  <c r="J60" i="82" s="1"/>
  <c r="O11" i="50"/>
  <c r="F25" i="50"/>
  <c r="H60" i="82" s="1"/>
  <c r="G25" i="50"/>
  <c r="I60" i="82" s="1"/>
  <c r="O22" i="50"/>
  <c r="G79" i="50"/>
  <c r="O16" i="50"/>
  <c r="O7" i="50"/>
  <c r="D79" i="50"/>
  <c r="C79" i="50"/>
  <c r="O12" i="50"/>
  <c r="F79" i="50"/>
  <c r="E79" i="50"/>
  <c r="O6" i="50"/>
  <c r="O14" i="50"/>
  <c r="H79" i="50"/>
  <c r="O23" i="50"/>
  <c r="D25" i="50"/>
  <c r="F60" i="82" s="1"/>
  <c r="O10" i="50"/>
  <c r="O21" i="50"/>
  <c r="C25" i="50"/>
  <c r="E60" i="82" l="1"/>
  <c r="Q60" i="82" s="1"/>
  <c r="O13" i="50"/>
  <c r="O17" i="50" s="1"/>
  <c r="O25" i="50"/>
  <c r="W60" i="82" l="1"/>
  <c r="W64" i="82" s="1"/>
  <c r="W66" i="82" s="1"/>
  <c r="Q80" i="81" s="1"/>
  <c r="Q64" i="82"/>
  <c r="Q66" i="82" s="1"/>
  <c r="C418" i="42"/>
  <c r="B418" i="42"/>
  <c r="A418" i="42"/>
  <c r="C315" i="42"/>
  <c r="B315" i="42"/>
  <c r="A315" i="42"/>
  <c r="C311" i="42"/>
  <c r="B311" i="42"/>
  <c r="A311" i="42"/>
  <c r="Q82" i="81" l="1"/>
  <c r="G21" i="25" s="1"/>
  <c r="F38" i="59"/>
  <c r="D196" i="69" l="1"/>
  <c r="D194" i="69"/>
  <c r="D181" i="69"/>
  <c r="D180" i="69"/>
  <c r="D145" i="69" l="1"/>
  <c r="D148" i="69"/>
  <c r="D60" i="69"/>
  <c r="D16" i="69"/>
  <c r="L41" i="59"/>
  <c r="J41" i="59"/>
  <c r="H41" i="59"/>
  <c r="L41" i="58"/>
  <c r="J41" i="58"/>
  <c r="H41" i="58"/>
  <c r="D48" i="69" l="1"/>
  <c r="D175" i="69"/>
  <c r="D20" i="69"/>
  <c r="D54" i="69"/>
  <c r="D21" i="69"/>
  <c r="D25" i="69"/>
  <c r="D32" i="69"/>
  <c r="D36" i="69"/>
  <c r="D43" i="69"/>
  <c r="D47" i="69"/>
  <c r="D55" i="69"/>
  <c r="D59" i="69"/>
  <c r="D23" i="69"/>
  <c r="D30" i="69"/>
  <c r="D34" i="69"/>
  <c r="D41" i="69"/>
  <c r="D45" i="69"/>
  <c r="D57" i="69"/>
  <c r="D24" i="69"/>
  <c r="D31" i="69"/>
  <c r="D35" i="69"/>
  <c r="D42" i="69"/>
  <c r="D46" i="69"/>
  <c r="D58" i="69"/>
  <c r="D22" i="69"/>
  <c r="D26" i="69"/>
  <c r="D33" i="69"/>
  <c r="D37" i="69"/>
  <c r="D44" i="69"/>
  <c r="D56" i="69"/>
  <c r="K98" i="31" l="1"/>
  <c r="C25" i="68" l="1"/>
  <c r="D25" i="68" s="1"/>
  <c r="R39" i="59"/>
  <c r="J21" i="31"/>
  <c r="D39" i="59" l="1"/>
  <c r="G18" i="28"/>
  <c r="F39" i="59" s="1"/>
  <c r="H21" i="31"/>
  <c r="H28" i="31"/>
  <c r="H57" i="31"/>
  <c r="P39" i="59" l="1"/>
  <c r="N39" i="59"/>
  <c r="H18" i="28"/>
  <c r="D26" i="16" s="1"/>
  <c r="H59" i="31"/>
  <c r="A4" i="67" l="1"/>
  <c r="A22" i="40"/>
  <c r="A29" i="20"/>
  <c r="A4" i="25"/>
  <c r="A25" i="28"/>
  <c r="A4" i="26"/>
  <c r="A30" i="25"/>
  <c r="A29" i="26"/>
  <c r="A7" i="66" l="1"/>
  <c r="M98" i="31"/>
  <c r="O89" i="31"/>
  <c r="O81" i="31"/>
  <c r="F51" i="31" l="1"/>
  <c r="F52" i="31"/>
  <c r="B476" i="13"/>
  <c r="F14" i="9" l="1"/>
  <c r="F13" i="9" l="1"/>
  <c r="C48" i="18" l="1"/>
  <c r="B48" i="18"/>
  <c r="C18" i="18"/>
  <c r="B18" i="18"/>
  <c r="C50" i="11"/>
  <c r="B50" i="11"/>
  <c r="C19" i="11"/>
  <c r="B19" i="11"/>
  <c r="B59" i="11"/>
  <c r="B58" i="11"/>
  <c r="B55" i="11"/>
  <c r="B54" i="11"/>
  <c r="B53" i="11"/>
  <c r="B52" i="11"/>
  <c r="B47" i="11"/>
  <c r="B46" i="11"/>
  <c r="B45" i="11"/>
  <c r="D45" i="11" s="1"/>
  <c r="B44" i="11"/>
  <c r="B43" i="11"/>
  <c r="B23" i="18"/>
  <c r="B22" i="18"/>
  <c r="B21" i="18"/>
  <c r="B51" i="18" s="1"/>
  <c r="B20" i="18"/>
  <c r="B15" i="18"/>
  <c r="B45" i="18" l="1"/>
  <c r="B50" i="18"/>
  <c r="B52" i="18"/>
  <c r="B53" i="18"/>
  <c r="C48" i="3" l="1"/>
  <c r="C47" i="3"/>
  <c r="C46" i="3"/>
  <c r="C45" i="3"/>
  <c r="C44" i="3"/>
  <c r="C43" i="3"/>
  <c r="C42" i="3"/>
  <c r="C41" i="3"/>
  <c r="C40" i="3"/>
  <c r="C39" i="3"/>
  <c r="C37" i="3"/>
  <c r="C36" i="3"/>
  <c r="R2" i="58" l="1"/>
  <c r="R2" i="59"/>
  <c r="B27" i="18"/>
  <c r="B57" i="18" s="1"/>
  <c r="B26" i="18"/>
  <c r="B56" i="18" s="1"/>
  <c r="B14" i="18"/>
  <c r="B13" i="18"/>
  <c r="B12" i="18"/>
  <c r="B42" i="18" s="1"/>
  <c r="O274" i="72"/>
  <c r="O273" i="72"/>
  <c r="O272" i="72"/>
  <c r="O271" i="72"/>
  <c r="O270" i="72"/>
  <c r="O269" i="72"/>
  <c r="O268" i="72"/>
  <c r="O267" i="72"/>
  <c r="O266" i="72"/>
  <c r="O265" i="72"/>
  <c r="O264" i="72"/>
  <c r="O263" i="72"/>
  <c r="O262" i="72"/>
  <c r="O261" i="72"/>
  <c r="O260" i="72"/>
  <c r="O259" i="72"/>
  <c r="O258" i="72"/>
  <c r="O257" i="72"/>
  <c r="O256" i="72"/>
  <c r="O255" i="72"/>
  <c r="O254" i="72"/>
  <c r="O253" i="72"/>
  <c r="O252" i="72"/>
  <c r="O251" i="72"/>
  <c r="O250" i="72"/>
  <c r="O249" i="72"/>
  <c r="O248" i="72"/>
  <c r="O247" i="72"/>
  <c r="O246" i="72"/>
  <c r="O245" i="72"/>
  <c r="O244" i="72"/>
  <c r="O243" i="72"/>
  <c r="O242" i="72"/>
  <c r="O241" i="72"/>
  <c r="O240" i="72"/>
  <c r="O239" i="72"/>
  <c r="O238" i="72"/>
  <c r="O237" i="72"/>
  <c r="O236" i="72"/>
  <c r="O235" i="72"/>
  <c r="O234" i="72"/>
  <c r="O233" i="72"/>
  <c r="O232" i="72"/>
  <c r="O231" i="72"/>
  <c r="O230" i="72"/>
  <c r="O229" i="72"/>
  <c r="O228" i="72"/>
  <c r="O227" i="72"/>
  <c r="O226" i="72"/>
  <c r="O225" i="72"/>
  <c r="O224" i="72"/>
  <c r="O223" i="72"/>
  <c r="O222" i="72"/>
  <c r="O221" i="72"/>
  <c r="O220" i="72"/>
  <c r="O219" i="72"/>
  <c r="O218" i="72"/>
  <c r="O217" i="72"/>
  <c r="O216" i="72"/>
  <c r="O215" i="72"/>
  <c r="O214" i="72"/>
  <c r="O213" i="72"/>
  <c r="O212" i="72"/>
  <c r="O211" i="72"/>
  <c r="O210" i="72"/>
  <c r="O209" i="72"/>
  <c r="O208" i="72"/>
  <c r="O207" i="72"/>
  <c r="O206" i="72"/>
  <c r="O205" i="72"/>
  <c r="O204" i="72"/>
  <c r="O203" i="72"/>
  <c r="O202" i="72"/>
  <c r="O201" i="72"/>
  <c r="O200" i="72"/>
  <c r="O199" i="72"/>
  <c r="O198" i="72"/>
  <c r="O197" i="72"/>
  <c r="O196" i="72"/>
  <c r="O195" i="72"/>
  <c r="O194" i="72"/>
  <c r="O193" i="72"/>
  <c r="O192" i="72"/>
  <c r="O191" i="72"/>
  <c r="O190" i="72"/>
  <c r="O189" i="72"/>
  <c r="O188" i="72"/>
  <c r="O187" i="72"/>
  <c r="O186" i="72"/>
  <c r="O185" i="72"/>
  <c r="O184" i="72"/>
  <c r="O183" i="72"/>
  <c r="O182" i="72"/>
  <c r="O181" i="72"/>
  <c r="O180" i="72"/>
  <c r="O179" i="72"/>
  <c r="O178" i="72"/>
  <c r="O177" i="72"/>
  <c r="O176" i="72"/>
  <c r="O175" i="72"/>
  <c r="O174" i="72"/>
  <c r="O173" i="72"/>
  <c r="O172" i="72"/>
  <c r="O171" i="72"/>
  <c r="O170" i="72"/>
  <c r="O169" i="72"/>
  <c r="O168" i="72"/>
  <c r="O167" i="72"/>
  <c r="O166" i="72"/>
  <c r="O165" i="72"/>
  <c r="O164" i="72"/>
  <c r="O163" i="72"/>
  <c r="O162" i="72"/>
  <c r="O161" i="72"/>
  <c r="O160" i="72"/>
  <c r="O159" i="72"/>
  <c r="O158" i="72"/>
  <c r="O157" i="72"/>
  <c r="O156" i="72"/>
  <c r="O155" i="72"/>
  <c r="O154" i="72"/>
  <c r="O153" i="72"/>
  <c r="O152" i="72"/>
  <c r="O151" i="72"/>
  <c r="O150" i="72"/>
  <c r="O149" i="72"/>
  <c r="O148" i="72"/>
  <c r="O147" i="72"/>
  <c r="O146" i="72"/>
  <c r="O145" i="72"/>
  <c r="O144" i="72"/>
  <c r="O143" i="72"/>
  <c r="O142" i="72"/>
  <c r="O141" i="72"/>
  <c r="O140" i="72"/>
  <c r="O139" i="72"/>
  <c r="O138" i="72"/>
  <c r="O137" i="72"/>
  <c r="O136" i="72"/>
  <c r="O135" i="72"/>
  <c r="O134" i="72"/>
  <c r="O133" i="72"/>
  <c r="O132" i="72"/>
  <c r="O131" i="72"/>
  <c r="O130" i="72"/>
  <c r="O129" i="72"/>
  <c r="O128" i="72"/>
  <c r="O127" i="72"/>
  <c r="O126" i="72"/>
  <c r="O125" i="72"/>
  <c r="O124" i="72"/>
  <c r="O123" i="72"/>
  <c r="O122" i="72"/>
  <c r="O121" i="72"/>
  <c r="O120" i="72"/>
  <c r="O119" i="72"/>
  <c r="O118" i="72"/>
  <c r="O117" i="72"/>
  <c r="O116" i="72"/>
  <c r="O115" i="72"/>
  <c r="O114" i="72"/>
  <c r="O113" i="72"/>
  <c r="O112" i="72"/>
  <c r="O111" i="72"/>
  <c r="O110" i="72"/>
  <c r="O109" i="72"/>
  <c r="O108" i="72"/>
  <c r="O107" i="72"/>
  <c r="O106" i="72"/>
  <c r="O105" i="72"/>
  <c r="O104" i="72"/>
  <c r="O103" i="72"/>
  <c r="O102" i="72"/>
  <c r="O101" i="72"/>
  <c r="O100" i="72"/>
  <c r="O99" i="72"/>
  <c r="O98" i="72"/>
  <c r="O97" i="72"/>
  <c r="O96" i="72"/>
  <c r="O95" i="72"/>
  <c r="O94" i="72"/>
  <c r="O93" i="72"/>
  <c r="O92" i="72"/>
  <c r="O91" i="72"/>
  <c r="O90" i="72"/>
  <c r="O89" i="72"/>
  <c r="O88" i="72"/>
  <c r="O87" i="72"/>
  <c r="O86" i="72"/>
  <c r="O85" i="72"/>
  <c r="O84" i="72"/>
  <c r="O83" i="72"/>
  <c r="O82" i="72"/>
  <c r="O81" i="72"/>
  <c r="O80" i="72"/>
  <c r="O79" i="72"/>
  <c r="O78" i="72"/>
  <c r="O77" i="72"/>
  <c r="O76" i="72"/>
  <c r="O75" i="72"/>
  <c r="O74" i="72"/>
  <c r="O73" i="72"/>
  <c r="O72" i="72"/>
  <c r="O71" i="72"/>
  <c r="O70" i="72"/>
  <c r="O69" i="72"/>
  <c r="O68" i="72"/>
  <c r="O67" i="72"/>
  <c r="O66" i="72"/>
  <c r="O65" i="72"/>
  <c r="O64" i="72"/>
  <c r="O63" i="72"/>
  <c r="O62" i="72"/>
  <c r="O61" i="72"/>
  <c r="O60" i="72"/>
  <c r="O59" i="72"/>
  <c r="O58" i="72"/>
  <c r="O57" i="72"/>
  <c r="O56" i="72"/>
  <c r="O55" i="72"/>
  <c r="O54" i="72"/>
  <c r="O53" i="72"/>
  <c r="O52" i="7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AF274" i="72"/>
  <c r="AF273" i="72"/>
  <c r="AF272" i="72"/>
  <c r="AF271" i="72"/>
  <c r="AF270" i="72"/>
  <c r="AF269" i="72"/>
  <c r="AF268" i="72"/>
  <c r="AF267" i="72"/>
  <c r="D94" i="31" s="1"/>
  <c r="AF266" i="72"/>
  <c r="AF265" i="72"/>
  <c r="AF264" i="72"/>
  <c r="AF263" i="72"/>
  <c r="AF262" i="72"/>
  <c r="AF261" i="72"/>
  <c r="AF260" i="72"/>
  <c r="AF259" i="72"/>
  <c r="AF258" i="72"/>
  <c r="AF257" i="72"/>
  <c r="AF256" i="72"/>
  <c r="D93" i="31" s="1"/>
  <c r="D95" i="31" s="1"/>
  <c r="AF255" i="72"/>
  <c r="AF254" i="72"/>
  <c r="AF253" i="72"/>
  <c r="D112" i="31" s="1"/>
  <c r="AF252" i="72"/>
  <c r="AF251" i="72"/>
  <c r="AF250" i="72"/>
  <c r="AF249" i="72"/>
  <c r="AF248" i="72"/>
  <c r="AF247" i="72"/>
  <c r="AF246" i="72"/>
  <c r="D114" i="31" s="1"/>
  <c r="AF245" i="72"/>
  <c r="AF244" i="72"/>
  <c r="AF243" i="72"/>
  <c r="AF242" i="72"/>
  <c r="AF241" i="72"/>
  <c r="D110" i="31" s="1"/>
  <c r="AF240" i="72"/>
  <c r="AF239" i="72"/>
  <c r="AF238" i="72"/>
  <c r="AF237" i="72"/>
  <c r="AF236" i="72"/>
  <c r="D113" i="31" s="1"/>
  <c r="AF235" i="72"/>
  <c r="AF234" i="72"/>
  <c r="AF233" i="72"/>
  <c r="AF232" i="72"/>
  <c r="AF231" i="72"/>
  <c r="AF230" i="72"/>
  <c r="AF229" i="72"/>
  <c r="AF228" i="72"/>
  <c r="D111" i="31" s="1"/>
  <c r="AF227" i="72"/>
  <c r="AF226" i="72"/>
  <c r="AF225" i="72"/>
  <c r="AF224" i="72"/>
  <c r="AF223" i="72"/>
  <c r="D116" i="31" s="1"/>
  <c r="AF222" i="72"/>
  <c r="AF221" i="72"/>
  <c r="AF220" i="72"/>
  <c r="AF219" i="72"/>
  <c r="AF218" i="72"/>
  <c r="AF217" i="72"/>
  <c r="AF216" i="72"/>
  <c r="AF215" i="72"/>
  <c r="AF214" i="72"/>
  <c r="AF213" i="72"/>
  <c r="AF212" i="72"/>
  <c r="AF211" i="72"/>
  <c r="AG211" i="72" s="1"/>
  <c r="AF210" i="72"/>
  <c r="AF209" i="72"/>
  <c r="AF208" i="72"/>
  <c r="AF207" i="72"/>
  <c r="AF206" i="72"/>
  <c r="D105" i="31" s="1"/>
  <c r="AF205" i="72"/>
  <c r="AF204" i="72"/>
  <c r="AF203" i="72"/>
  <c r="AF202" i="72"/>
  <c r="AF201" i="72"/>
  <c r="D104" i="31" s="1"/>
  <c r="AF200" i="72"/>
  <c r="AF199" i="72"/>
  <c r="AF198" i="72"/>
  <c r="AF197" i="72"/>
  <c r="D103" i="31" s="1"/>
  <c r="AF196" i="72"/>
  <c r="AF195" i="72"/>
  <c r="D102" i="31" s="1"/>
  <c r="AF194" i="72"/>
  <c r="AF193" i="72"/>
  <c r="D101" i="31" s="1"/>
  <c r="AF192" i="72"/>
  <c r="AF191" i="72"/>
  <c r="AF190" i="72"/>
  <c r="AF189" i="72"/>
  <c r="AF188" i="72"/>
  <c r="D99" i="31" s="1"/>
  <c r="AF187" i="72"/>
  <c r="AF186" i="72"/>
  <c r="AF185" i="72"/>
  <c r="AF184" i="72"/>
  <c r="AF183" i="72"/>
  <c r="AF182" i="72"/>
  <c r="D98" i="31" s="1"/>
  <c r="AF181" i="72"/>
  <c r="AF180" i="72"/>
  <c r="AF179" i="72"/>
  <c r="AF178" i="72"/>
  <c r="D100" i="31" s="1"/>
  <c r="AF177" i="72"/>
  <c r="AF176" i="72"/>
  <c r="AF175" i="72"/>
  <c r="AF174" i="72"/>
  <c r="AF173" i="72"/>
  <c r="AF172" i="72"/>
  <c r="AF171" i="72"/>
  <c r="AF170" i="72"/>
  <c r="AF169" i="72"/>
  <c r="AF168" i="72"/>
  <c r="D89" i="31" s="1"/>
  <c r="AF167" i="72"/>
  <c r="AF166" i="72"/>
  <c r="AF165" i="72"/>
  <c r="AF164" i="72"/>
  <c r="AF163" i="72"/>
  <c r="AF162" i="72"/>
  <c r="AF161" i="72"/>
  <c r="AF160" i="72"/>
  <c r="AF159" i="72"/>
  <c r="D81" i="31" s="1"/>
  <c r="AF158" i="72"/>
  <c r="AF157" i="72"/>
  <c r="AF156" i="72"/>
  <c r="AF155" i="72"/>
  <c r="AF154" i="72"/>
  <c r="D82" i="31" s="1"/>
  <c r="AF153" i="72"/>
  <c r="AF152" i="72"/>
  <c r="AF151" i="72"/>
  <c r="AF150" i="72"/>
  <c r="D79" i="31" s="1"/>
  <c r="AF149" i="72"/>
  <c r="AF148" i="72"/>
  <c r="AF147" i="72"/>
  <c r="AF146" i="72"/>
  <c r="D80" i="31" s="1"/>
  <c r="AF145" i="72"/>
  <c r="AF144" i="72"/>
  <c r="AF143" i="72"/>
  <c r="AF142" i="72"/>
  <c r="D78" i="31" s="1"/>
  <c r="AF141" i="72"/>
  <c r="AF140" i="72"/>
  <c r="AF139" i="72"/>
  <c r="AF138" i="72"/>
  <c r="AF137" i="72"/>
  <c r="AF136" i="72"/>
  <c r="AF135" i="72"/>
  <c r="AF134" i="72"/>
  <c r="AF133" i="72"/>
  <c r="AF132" i="72"/>
  <c r="AF131" i="72"/>
  <c r="AF130" i="72"/>
  <c r="AF129" i="72"/>
  <c r="AF128" i="72"/>
  <c r="AF127" i="72"/>
  <c r="AF126" i="72"/>
  <c r="AG126" i="72" s="1"/>
  <c r="AF125" i="72"/>
  <c r="AF124" i="72"/>
  <c r="AF123" i="72"/>
  <c r="AF122" i="72"/>
  <c r="AF121" i="72"/>
  <c r="AF120" i="72"/>
  <c r="D53" i="31" s="1"/>
  <c r="E53" i="31" s="1"/>
  <c r="AF119" i="72"/>
  <c r="AF118" i="72"/>
  <c r="D52" i="31" s="1"/>
  <c r="AF117" i="72"/>
  <c r="AF116" i="72"/>
  <c r="AF115" i="72"/>
  <c r="D51" i="31" s="1"/>
  <c r="AF114" i="72"/>
  <c r="AF113" i="72"/>
  <c r="AF112" i="72"/>
  <c r="AF111" i="72"/>
  <c r="AF110" i="72"/>
  <c r="AF109" i="72"/>
  <c r="AF108" i="72"/>
  <c r="AF107" i="72"/>
  <c r="AF106" i="72"/>
  <c r="D56" i="31" s="1"/>
  <c r="AF105" i="72"/>
  <c r="AF104" i="72"/>
  <c r="AF103" i="72"/>
  <c r="AF102" i="72"/>
  <c r="AF101" i="72"/>
  <c r="AF100" i="72"/>
  <c r="AF99" i="72"/>
  <c r="D55" i="31" s="1"/>
  <c r="AF98" i="72"/>
  <c r="D50" i="31" s="1"/>
  <c r="AF97" i="72"/>
  <c r="AF96" i="72"/>
  <c r="AF95" i="72"/>
  <c r="AF94" i="72"/>
  <c r="AF93" i="72"/>
  <c r="AF92" i="72"/>
  <c r="AF91" i="72"/>
  <c r="D46" i="31" s="1"/>
  <c r="AF90" i="72"/>
  <c r="AF89" i="72"/>
  <c r="AF88" i="72"/>
  <c r="AF87" i="72"/>
  <c r="D43" i="31" s="1"/>
  <c r="AF86" i="72"/>
  <c r="AF85" i="72"/>
  <c r="AF84" i="72"/>
  <c r="AF83" i="72"/>
  <c r="AF82" i="72"/>
  <c r="AF81" i="72"/>
  <c r="AF80" i="72"/>
  <c r="D42" i="31" s="1"/>
  <c r="AF79" i="72"/>
  <c r="D41" i="31" s="1"/>
  <c r="AF78" i="72"/>
  <c r="D40" i="31" s="1"/>
  <c r="AF77" i="72"/>
  <c r="D39" i="31" s="1"/>
  <c r="AF76" i="72"/>
  <c r="AF75" i="72"/>
  <c r="AF74" i="72"/>
  <c r="D38" i="31" s="1"/>
  <c r="AF73" i="72"/>
  <c r="AF72" i="72"/>
  <c r="AF71" i="72"/>
  <c r="AF70" i="72"/>
  <c r="AF69" i="72"/>
  <c r="AF68" i="72"/>
  <c r="AF67" i="72"/>
  <c r="D45" i="31" s="1"/>
  <c r="AF66" i="72"/>
  <c r="AF65" i="72"/>
  <c r="AF64" i="72"/>
  <c r="AF63" i="72"/>
  <c r="AF62" i="72"/>
  <c r="AF61" i="72"/>
  <c r="AF60" i="72"/>
  <c r="AF59" i="72"/>
  <c r="AF58" i="72"/>
  <c r="D35" i="31" s="1"/>
  <c r="AF57" i="72"/>
  <c r="AF56" i="72"/>
  <c r="AF55" i="72"/>
  <c r="AF54" i="72"/>
  <c r="D34" i="31" s="1"/>
  <c r="AF53" i="72"/>
  <c r="AF52" i="72"/>
  <c r="AF51" i="72"/>
  <c r="AF50" i="72"/>
  <c r="D33" i="31" s="1"/>
  <c r="AF49" i="72"/>
  <c r="D31" i="31" s="1"/>
  <c r="AF48" i="72"/>
  <c r="AF47" i="72"/>
  <c r="AF46" i="72"/>
  <c r="AF45" i="72"/>
  <c r="AF44" i="72"/>
  <c r="AF43" i="72"/>
  <c r="D27" i="31" s="1"/>
  <c r="E27" i="31" s="1"/>
  <c r="AF42" i="72"/>
  <c r="AF41" i="72"/>
  <c r="AF40" i="72"/>
  <c r="AF39" i="72"/>
  <c r="D24" i="31" s="1"/>
  <c r="AF38" i="72"/>
  <c r="AF37" i="72"/>
  <c r="AF36" i="72"/>
  <c r="AF35" i="72"/>
  <c r="D26" i="31" s="1"/>
  <c r="AF34" i="72"/>
  <c r="AF33" i="72"/>
  <c r="AF32" i="72"/>
  <c r="AF31" i="72"/>
  <c r="AF30" i="72"/>
  <c r="AF29" i="72"/>
  <c r="AF28" i="72"/>
  <c r="D20" i="31" s="1"/>
  <c r="AF27" i="72"/>
  <c r="AF26" i="72"/>
  <c r="AF25" i="72"/>
  <c r="AF24" i="72"/>
  <c r="AG24" i="72" s="1"/>
  <c r="AF23" i="72"/>
  <c r="AF22" i="72"/>
  <c r="AF21" i="72"/>
  <c r="AF20" i="72"/>
  <c r="AF19" i="72"/>
  <c r="AF18" i="72"/>
  <c r="AF17" i="72"/>
  <c r="AF16" i="72"/>
  <c r="AJ16" i="72" s="1"/>
  <c r="AJ18" i="72" s="1"/>
  <c r="AF15" i="72"/>
  <c r="AF14" i="72"/>
  <c r="AF13" i="72"/>
  <c r="AF12" i="72"/>
  <c r="AG12" i="72" s="1"/>
  <c r="AG25" i="72" s="1"/>
  <c r="AF11" i="72"/>
  <c r="AF10" i="72"/>
  <c r="A45" i="45"/>
  <c r="A44" i="45"/>
  <c r="A43" i="45"/>
  <c r="A42" i="45"/>
  <c r="A41" i="45"/>
  <c r="A40" i="45"/>
  <c r="A39" i="45"/>
  <c r="A38" i="45"/>
  <c r="A37" i="45"/>
  <c r="A36" i="45"/>
  <c r="A35" i="45"/>
  <c r="A34" i="45"/>
  <c r="A33" i="45"/>
  <c r="A32" i="45"/>
  <c r="A31" i="45"/>
  <c r="A30" i="45"/>
  <c r="A29" i="45"/>
  <c r="A26" i="45"/>
  <c r="A25" i="45"/>
  <c r="A24" i="45"/>
  <c r="A23" i="45"/>
  <c r="A20" i="45"/>
  <c r="A19" i="45"/>
  <c r="A18" i="45"/>
  <c r="A17" i="45"/>
  <c r="A16" i="45"/>
  <c r="A15" i="45"/>
  <c r="A14" i="45"/>
  <c r="A13" i="45"/>
  <c r="A12" i="45"/>
  <c r="A11" i="45"/>
  <c r="A10" i="45"/>
  <c r="A9" i="45"/>
  <c r="A8" i="45"/>
  <c r="A7" i="45"/>
  <c r="A6" i="45"/>
  <c r="C47" i="45"/>
  <c r="C45" i="45"/>
  <c r="C44" i="45"/>
  <c r="C43" i="45"/>
  <c r="C42" i="45"/>
  <c r="C41" i="45"/>
  <c r="C40" i="45"/>
  <c r="C39" i="45"/>
  <c r="C38" i="45"/>
  <c r="C37" i="45"/>
  <c r="C36" i="45"/>
  <c r="C35" i="45"/>
  <c r="C34" i="45"/>
  <c r="C33" i="45"/>
  <c r="C32" i="45"/>
  <c r="C31" i="45"/>
  <c r="C30" i="45"/>
  <c r="C29" i="45"/>
  <c r="C26" i="45"/>
  <c r="C25" i="45"/>
  <c r="C24" i="45"/>
  <c r="C23" i="45"/>
  <c r="C20" i="45"/>
  <c r="C19" i="45"/>
  <c r="C18" i="45"/>
  <c r="C17" i="45"/>
  <c r="C16" i="45"/>
  <c r="C15" i="45"/>
  <c r="C14" i="45"/>
  <c r="C13" i="45"/>
  <c r="C12" i="45"/>
  <c r="C11" i="45"/>
  <c r="C10" i="45"/>
  <c r="C9" i="45"/>
  <c r="C8" i="45"/>
  <c r="C7" i="45"/>
  <c r="C6" i="45"/>
  <c r="Q31" i="45"/>
  <c r="Q30" i="45"/>
  <c r="Q29" i="45"/>
  <c r="Q26" i="45"/>
  <c r="Q25" i="45"/>
  <c r="Q20" i="45"/>
  <c r="Q19" i="45"/>
  <c r="Q18" i="45"/>
  <c r="Q17" i="45"/>
  <c r="Q16" i="45"/>
  <c r="Q15" i="45"/>
  <c r="Q14" i="45"/>
  <c r="Q13" i="45"/>
  <c r="Q12" i="45"/>
  <c r="Q11" i="45"/>
  <c r="Q10" i="45"/>
  <c r="Q9" i="45"/>
  <c r="Q8" i="45"/>
  <c r="Q7" i="45"/>
  <c r="Q6" i="45"/>
  <c r="C45" i="44"/>
  <c r="C44" i="44"/>
  <c r="C43" i="44"/>
  <c r="C42" i="44"/>
  <c r="C41" i="44"/>
  <c r="C40" i="44"/>
  <c r="C39" i="44"/>
  <c r="C38" i="44"/>
  <c r="C37" i="44"/>
  <c r="C36" i="44"/>
  <c r="C35" i="44"/>
  <c r="C34" i="44"/>
  <c r="C33" i="44"/>
  <c r="C32" i="44"/>
  <c r="C30" i="44"/>
  <c r="C27" i="44"/>
  <c r="C26" i="44"/>
  <c r="C25" i="44"/>
  <c r="C24" i="44"/>
  <c r="C23" i="44"/>
  <c r="A45" i="44"/>
  <c r="A44" i="44"/>
  <c r="A43" i="44"/>
  <c r="A42" i="44"/>
  <c r="A41" i="44"/>
  <c r="A40" i="44"/>
  <c r="A39" i="44"/>
  <c r="A38" i="44"/>
  <c r="A37" i="44"/>
  <c r="A36" i="44"/>
  <c r="A35" i="44"/>
  <c r="A34" i="44"/>
  <c r="A33" i="44"/>
  <c r="A32" i="44"/>
  <c r="A30" i="44"/>
  <c r="A27" i="44"/>
  <c r="A26" i="44"/>
  <c r="A25" i="44"/>
  <c r="A24" i="44"/>
  <c r="A23" i="44"/>
  <c r="A20" i="44"/>
  <c r="A19" i="44"/>
  <c r="A18" i="44"/>
  <c r="A17" i="44"/>
  <c r="A16" i="44"/>
  <c r="A15" i="44"/>
  <c r="A14" i="44"/>
  <c r="A13" i="44"/>
  <c r="A12" i="44"/>
  <c r="A11" i="44"/>
  <c r="A10" i="44"/>
  <c r="A9" i="44"/>
  <c r="A8" i="44"/>
  <c r="A7" i="44"/>
  <c r="A6" i="44"/>
  <c r="D28" i="31" l="1"/>
  <c r="D36" i="31"/>
  <c r="D37" i="31"/>
  <c r="D47" i="31" s="1"/>
  <c r="D54" i="31"/>
  <c r="D84" i="31"/>
  <c r="D87" i="31"/>
  <c r="D90" i="31" s="1"/>
  <c r="D106" i="31"/>
  <c r="D107" i="31" s="1"/>
  <c r="D44" i="31"/>
  <c r="AG258" i="72"/>
  <c r="D115" i="31"/>
  <c r="Q21" i="45"/>
  <c r="C12" i="40"/>
  <c r="C30" i="40"/>
  <c r="B44" i="18"/>
  <c r="B43" i="18"/>
  <c r="D43" i="18" s="1"/>
  <c r="R39" i="58" l="1"/>
  <c r="C25" i="67"/>
  <c r="D25" i="67" s="1"/>
  <c r="G40" i="28" l="1"/>
  <c r="F39" i="58" s="1"/>
  <c r="D39" i="58"/>
  <c r="K43" i="18"/>
  <c r="K48" i="11"/>
  <c r="K43" i="11"/>
  <c r="D43" i="11"/>
  <c r="D44" i="11"/>
  <c r="D54" i="11"/>
  <c r="D53" i="11"/>
  <c r="D47" i="11"/>
  <c r="D52" i="11"/>
  <c r="D46" i="11"/>
  <c r="D59" i="11"/>
  <c r="D55" i="11"/>
  <c r="D58" i="11"/>
  <c r="K48" i="18"/>
  <c r="D45" i="18"/>
  <c r="D51" i="18"/>
  <c r="D50" i="18"/>
  <c r="D53" i="18"/>
  <c r="D52" i="18"/>
  <c r="K55" i="18"/>
  <c r="D42" i="18"/>
  <c r="D57" i="18"/>
  <c r="D56" i="18"/>
  <c r="D44" i="18"/>
  <c r="K44" i="18" l="1"/>
  <c r="K44" i="11"/>
  <c r="H40" i="28"/>
  <c r="F26" i="16" s="1"/>
  <c r="P39" i="58"/>
  <c r="N39" i="58"/>
  <c r="C583" i="42" l="1"/>
  <c r="B583" i="42"/>
  <c r="A583" i="42"/>
  <c r="C582" i="42"/>
  <c r="B582" i="42"/>
  <c r="A582" i="42"/>
  <c r="C581" i="42"/>
  <c r="B581" i="42"/>
  <c r="A581" i="42"/>
  <c r="C580" i="42"/>
  <c r="B580" i="42"/>
  <c r="A580" i="42"/>
  <c r="C579" i="42"/>
  <c r="B579" i="42"/>
  <c r="A579" i="42"/>
  <c r="C578" i="42"/>
  <c r="B578" i="42"/>
  <c r="A578" i="42"/>
  <c r="C577" i="42"/>
  <c r="B577" i="42"/>
  <c r="A577" i="42"/>
  <c r="C576" i="42"/>
  <c r="B576" i="42"/>
  <c r="A576" i="42"/>
  <c r="C575" i="42"/>
  <c r="B575" i="42"/>
  <c r="A575" i="42"/>
  <c r="C574" i="42"/>
  <c r="B574" i="42"/>
  <c r="A574" i="42"/>
  <c r="C573" i="42"/>
  <c r="B573" i="42"/>
  <c r="A573" i="42"/>
  <c r="C572" i="42"/>
  <c r="B572" i="42"/>
  <c r="A572" i="42"/>
  <c r="C571" i="42"/>
  <c r="B571" i="42"/>
  <c r="A571" i="42"/>
  <c r="C570" i="42"/>
  <c r="B570" i="42"/>
  <c r="A570" i="42"/>
  <c r="C560" i="42"/>
  <c r="B560" i="42"/>
  <c r="A560" i="42"/>
  <c r="C559" i="42"/>
  <c r="B559" i="42"/>
  <c r="A559" i="42"/>
  <c r="C558" i="42"/>
  <c r="B558" i="42"/>
  <c r="A558" i="42"/>
  <c r="C557" i="42"/>
  <c r="B557" i="42"/>
  <c r="A557" i="42"/>
  <c r="C556" i="42"/>
  <c r="B556" i="42"/>
  <c r="A556" i="42"/>
  <c r="C555" i="42"/>
  <c r="B555" i="42"/>
  <c r="A555" i="42"/>
  <c r="C554" i="42"/>
  <c r="B554" i="42"/>
  <c r="A554" i="42"/>
  <c r="C553" i="42"/>
  <c r="B553" i="42"/>
  <c r="A553" i="42"/>
  <c r="C548" i="42"/>
  <c r="B548" i="42"/>
  <c r="A548" i="42"/>
  <c r="C547" i="42"/>
  <c r="B547" i="42"/>
  <c r="A547" i="42"/>
  <c r="B546" i="42"/>
  <c r="A546" i="42"/>
  <c r="C545" i="42"/>
  <c r="B545" i="42"/>
  <c r="A545" i="42"/>
  <c r="C544" i="42"/>
  <c r="B544" i="42"/>
  <c r="A544" i="42"/>
  <c r="C543" i="42"/>
  <c r="B543" i="42"/>
  <c r="A543" i="42"/>
  <c r="C542" i="42"/>
  <c r="B542" i="42"/>
  <c r="A542" i="42"/>
  <c r="C541" i="42"/>
  <c r="B541" i="42"/>
  <c r="A541" i="42"/>
  <c r="C540" i="42"/>
  <c r="B540" i="42"/>
  <c r="A540" i="42"/>
  <c r="C539" i="42"/>
  <c r="B539" i="42"/>
  <c r="A539" i="42"/>
  <c r="C538" i="42"/>
  <c r="B538" i="42"/>
  <c r="A538" i="42"/>
  <c r="C537" i="42"/>
  <c r="B537" i="42"/>
  <c r="A537" i="42"/>
  <c r="C536" i="42"/>
  <c r="B536" i="42"/>
  <c r="A536" i="42"/>
  <c r="C535" i="42"/>
  <c r="B535" i="42"/>
  <c r="A535" i="42"/>
  <c r="C534" i="42"/>
  <c r="B534" i="42"/>
  <c r="A534" i="42"/>
  <c r="C533" i="42"/>
  <c r="B533" i="42"/>
  <c r="A533" i="42"/>
  <c r="C532" i="42"/>
  <c r="B532" i="42"/>
  <c r="A532" i="42"/>
  <c r="C531" i="42"/>
  <c r="B531" i="42"/>
  <c r="A531" i="42"/>
  <c r="C530" i="42"/>
  <c r="B530" i="42"/>
  <c r="A530" i="42"/>
  <c r="C529" i="42"/>
  <c r="B529" i="42"/>
  <c r="A529" i="42"/>
  <c r="C527" i="42"/>
  <c r="B527" i="42"/>
  <c r="A527" i="42"/>
  <c r="C526" i="42"/>
  <c r="B526" i="42"/>
  <c r="A526" i="42"/>
  <c r="C525" i="42"/>
  <c r="B525" i="42"/>
  <c r="A525" i="42"/>
  <c r="C524" i="42"/>
  <c r="B524" i="42"/>
  <c r="A524" i="42"/>
  <c r="C523" i="42"/>
  <c r="B523" i="42"/>
  <c r="A523" i="42"/>
  <c r="C522" i="42"/>
  <c r="B522" i="42"/>
  <c r="A522" i="42"/>
  <c r="C521" i="42"/>
  <c r="B521" i="42"/>
  <c r="A521" i="42"/>
  <c r="C520" i="42"/>
  <c r="B520" i="42"/>
  <c r="A520" i="42"/>
  <c r="C519" i="42"/>
  <c r="B519" i="42"/>
  <c r="A519" i="42"/>
  <c r="C518" i="42"/>
  <c r="B518" i="42"/>
  <c r="A518" i="42"/>
  <c r="C517" i="42"/>
  <c r="B517" i="42"/>
  <c r="A517" i="42"/>
  <c r="C516" i="42"/>
  <c r="B516" i="42"/>
  <c r="A516" i="42"/>
  <c r="C515" i="42"/>
  <c r="B515" i="42"/>
  <c r="A515" i="42"/>
  <c r="C514" i="42"/>
  <c r="B514" i="42"/>
  <c r="A514" i="42"/>
  <c r="C513" i="42"/>
  <c r="B513" i="42"/>
  <c r="A513" i="42"/>
  <c r="C512" i="42"/>
  <c r="B512" i="42"/>
  <c r="A512" i="42"/>
  <c r="C511" i="42"/>
  <c r="B511" i="42"/>
  <c r="A511" i="42"/>
  <c r="C510" i="42"/>
  <c r="B510" i="42"/>
  <c r="A510" i="42"/>
  <c r="C509" i="42"/>
  <c r="B509" i="42"/>
  <c r="A509" i="42"/>
  <c r="C508" i="42"/>
  <c r="B508" i="42"/>
  <c r="A508" i="42"/>
  <c r="C507" i="42"/>
  <c r="B507" i="42"/>
  <c r="A507" i="42"/>
  <c r="C506" i="42"/>
  <c r="B506" i="42"/>
  <c r="A506" i="42"/>
  <c r="C505" i="42"/>
  <c r="B505" i="42"/>
  <c r="A505" i="42"/>
  <c r="C504" i="42"/>
  <c r="B504" i="42"/>
  <c r="A504" i="42"/>
  <c r="C503" i="42"/>
  <c r="B503" i="42"/>
  <c r="A503" i="42"/>
  <c r="C502" i="42"/>
  <c r="B502" i="42"/>
  <c r="A502" i="42"/>
  <c r="C501" i="42"/>
  <c r="B501" i="42"/>
  <c r="A501" i="42"/>
  <c r="C500" i="42"/>
  <c r="B500" i="42"/>
  <c r="A500" i="42"/>
  <c r="C499" i="42"/>
  <c r="B499" i="42"/>
  <c r="A499" i="42"/>
  <c r="C498" i="42"/>
  <c r="B498" i="42"/>
  <c r="A498" i="42"/>
  <c r="C497" i="42"/>
  <c r="B497" i="42"/>
  <c r="A497" i="42"/>
  <c r="C496" i="42"/>
  <c r="B496" i="42"/>
  <c r="A496" i="42"/>
  <c r="C495" i="42"/>
  <c r="B495" i="42"/>
  <c r="A495" i="42"/>
  <c r="C494" i="42"/>
  <c r="B494" i="42"/>
  <c r="A494" i="42"/>
  <c r="C493" i="42"/>
  <c r="B493" i="42"/>
  <c r="A493" i="42"/>
  <c r="C492" i="42"/>
  <c r="B492" i="42"/>
  <c r="A492" i="42"/>
  <c r="C491" i="42"/>
  <c r="B491" i="42"/>
  <c r="A491" i="42"/>
  <c r="C490" i="42"/>
  <c r="B490" i="42"/>
  <c r="A490" i="42"/>
  <c r="C489" i="42"/>
  <c r="B489" i="42"/>
  <c r="A489" i="42"/>
  <c r="C488" i="42"/>
  <c r="B488" i="42"/>
  <c r="A488" i="42"/>
  <c r="C487" i="42"/>
  <c r="B487" i="42"/>
  <c r="A487" i="42"/>
  <c r="C486" i="42"/>
  <c r="B486" i="42"/>
  <c r="A486" i="42"/>
  <c r="C485" i="42"/>
  <c r="B485" i="42"/>
  <c r="A485" i="42"/>
  <c r="C484" i="42"/>
  <c r="B484" i="42"/>
  <c r="A484" i="42"/>
  <c r="C483" i="42"/>
  <c r="B483" i="42"/>
  <c r="A483" i="42"/>
  <c r="C482" i="42"/>
  <c r="B482" i="42"/>
  <c r="A482" i="42"/>
  <c r="C481" i="42"/>
  <c r="B481" i="42"/>
  <c r="A481" i="42"/>
  <c r="C480" i="42"/>
  <c r="B480" i="42"/>
  <c r="A480" i="42"/>
  <c r="C479" i="42"/>
  <c r="B479" i="42"/>
  <c r="A479" i="42"/>
  <c r="C478" i="42"/>
  <c r="B478" i="42"/>
  <c r="A478" i="42"/>
  <c r="C477" i="42"/>
  <c r="B477" i="42"/>
  <c r="A477" i="42"/>
  <c r="C476" i="42"/>
  <c r="B476" i="42"/>
  <c r="A476" i="42"/>
  <c r="C475" i="42"/>
  <c r="B475" i="42"/>
  <c r="A475" i="42"/>
  <c r="C474" i="42"/>
  <c r="B474" i="42"/>
  <c r="A474" i="42"/>
  <c r="C473" i="42"/>
  <c r="B473" i="42"/>
  <c r="A473" i="42"/>
  <c r="C472" i="42"/>
  <c r="B472" i="42"/>
  <c r="A472" i="42"/>
  <c r="C471" i="42"/>
  <c r="B471" i="42"/>
  <c r="A471" i="42"/>
  <c r="C470" i="42"/>
  <c r="B470" i="42"/>
  <c r="A470" i="42"/>
  <c r="C469" i="42"/>
  <c r="B469" i="42"/>
  <c r="A469" i="42"/>
  <c r="C468" i="42"/>
  <c r="B468" i="42"/>
  <c r="A468" i="42"/>
  <c r="C467" i="42"/>
  <c r="B467" i="42"/>
  <c r="A467" i="42"/>
  <c r="C466" i="42"/>
  <c r="B466" i="42"/>
  <c r="A466" i="42"/>
  <c r="C465" i="42"/>
  <c r="B465" i="42"/>
  <c r="A465" i="42"/>
  <c r="C464" i="42"/>
  <c r="B464" i="42"/>
  <c r="A464" i="42"/>
  <c r="C463" i="42"/>
  <c r="B463" i="42"/>
  <c r="A463" i="42"/>
  <c r="C462" i="42"/>
  <c r="B462" i="42"/>
  <c r="A462" i="42"/>
  <c r="C461" i="42"/>
  <c r="B461" i="42"/>
  <c r="A461" i="42"/>
  <c r="C460" i="42"/>
  <c r="B460" i="42"/>
  <c r="A460" i="42"/>
  <c r="C459" i="42"/>
  <c r="B459" i="42"/>
  <c r="A459" i="42"/>
  <c r="C458" i="42"/>
  <c r="B458" i="42"/>
  <c r="A458" i="42"/>
  <c r="C457" i="42"/>
  <c r="B457" i="42"/>
  <c r="A457" i="42"/>
  <c r="C456" i="42"/>
  <c r="B456" i="42"/>
  <c r="A456" i="42"/>
  <c r="C455" i="42"/>
  <c r="B455" i="42"/>
  <c r="A455" i="42"/>
  <c r="C454" i="42"/>
  <c r="B454" i="42"/>
  <c r="A454" i="42"/>
  <c r="C453" i="42"/>
  <c r="B453" i="42"/>
  <c r="A453" i="42"/>
  <c r="C452" i="42"/>
  <c r="B452" i="42"/>
  <c r="A452" i="42"/>
  <c r="C451" i="42"/>
  <c r="B451" i="42"/>
  <c r="A451" i="42"/>
  <c r="C450" i="42"/>
  <c r="B450" i="42"/>
  <c r="A450" i="42"/>
  <c r="C449" i="42"/>
  <c r="B449" i="42"/>
  <c r="A449" i="42"/>
  <c r="C448" i="42"/>
  <c r="B448" i="42"/>
  <c r="A448" i="42"/>
  <c r="C447" i="42"/>
  <c r="B447" i="42"/>
  <c r="A447" i="42"/>
  <c r="C446" i="42"/>
  <c r="B446" i="42"/>
  <c r="A446" i="42"/>
  <c r="C445" i="42"/>
  <c r="B445" i="42"/>
  <c r="A445" i="42"/>
  <c r="C444" i="42"/>
  <c r="B444" i="42"/>
  <c r="A444" i="42"/>
  <c r="C443" i="42"/>
  <c r="B443" i="42"/>
  <c r="A443" i="42"/>
  <c r="C442" i="42"/>
  <c r="B442" i="42"/>
  <c r="A442" i="42"/>
  <c r="C441" i="42"/>
  <c r="B441" i="42"/>
  <c r="A441" i="42"/>
  <c r="C440" i="42"/>
  <c r="B440" i="42"/>
  <c r="A440" i="42"/>
  <c r="C439" i="42"/>
  <c r="B439" i="42"/>
  <c r="A439" i="42"/>
  <c r="C438" i="42"/>
  <c r="B438" i="42"/>
  <c r="A438" i="42"/>
  <c r="C437" i="42"/>
  <c r="B437" i="42"/>
  <c r="A437" i="42"/>
  <c r="C436" i="42"/>
  <c r="B436" i="42"/>
  <c r="A436" i="42"/>
  <c r="C435" i="42"/>
  <c r="B435" i="42"/>
  <c r="A435" i="42"/>
  <c r="C434" i="42"/>
  <c r="B434" i="42"/>
  <c r="A434" i="42"/>
  <c r="C433" i="42"/>
  <c r="B433" i="42"/>
  <c r="A433" i="42"/>
  <c r="C432" i="42"/>
  <c r="B432" i="42"/>
  <c r="A432" i="42"/>
  <c r="C427" i="42"/>
  <c r="B427" i="42"/>
  <c r="A427" i="42"/>
  <c r="B426" i="42"/>
  <c r="A426" i="42"/>
  <c r="C425" i="42"/>
  <c r="B425" i="42"/>
  <c r="A425" i="42"/>
  <c r="C424" i="42"/>
  <c r="B424" i="42"/>
  <c r="A424" i="42"/>
  <c r="C423" i="42"/>
  <c r="B423" i="42"/>
  <c r="A423" i="42"/>
  <c r="C422" i="42"/>
  <c r="B422" i="42"/>
  <c r="A422" i="42"/>
  <c r="C421" i="42"/>
  <c r="B421" i="42"/>
  <c r="A421" i="42"/>
  <c r="C420" i="42"/>
  <c r="B420" i="42"/>
  <c r="A420" i="42"/>
  <c r="C419" i="42"/>
  <c r="B419" i="42"/>
  <c r="A419" i="42"/>
  <c r="C417" i="42"/>
  <c r="B417" i="42"/>
  <c r="A417" i="42"/>
  <c r="C416" i="42"/>
  <c r="B416" i="42"/>
  <c r="A416" i="42"/>
  <c r="C415" i="42"/>
  <c r="B415" i="42"/>
  <c r="A415" i="42"/>
  <c r="C414" i="42"/>
  <c r="B414" i="42"/>
  <c r="A414" i="42"/>
  <c r="C413" i="42"/>
  <c r="B413" i="42"/>
  <c r="A413" i="42"/>
  <c r="C412" i="42"/>
  <c r="B412" i="42"/>
  <c r="A412" i="42"/>
  <c r="C411" i="42"/>
  <c r="B411" i="42"/>
  <c r="A411" i="42"/>
  <c r="C410" i="42"/>
  <c r="B410" i="42"/>
  <c r="A410" i="42"/>
  <c r="C409" i="42"/>
  <c r="B409" i="42"/>
  <c r="A409" i="42"/>
  <c r="C408" i="42"/>
  <c r="B408" i="42"/>
  <c r="A408" i="42"/>
  <c r="C407" i="42"/>
  <c r="B407" i="42"/>
  <c r="A407" i="42"/>
  <c r="C406" i="42"/>
  <c r="B406" i="42"/>
  <c r="A406" i="42"/>
  <c r="C405" i="42"/>
  <c r="B405" i="42"/>
  <c r="A405" i="42"/>
  <c r="C403" i="42"/>
  <c r="B403" i="42"/>
  <c r="A403" i="42"/>
  <c r="C402" i="42"/>
  <c r="B402" i="42"/>
  <c r="A402" i="42"/>
  <c r="C401" i="42"/>
  <c r="B401" i="42"/>
  <c r="A401" i="42"/>
  <c r="C400" i="42"/>
  <c r="B400" i="42"/>
  <c r="A400" i="42"/>
  <c r="C399" i="42"/>
  <c r="B399" i="42"/>
  <c r="A399" i="42"/>
  <c r="C398" i="42"/>
  <c r="B398" i="42"/>
  <c r="A398" i="42"/>
  <c r="C397" i="42"/>
  <c r="B397" i="42"/>
  <c r="A397" i="42"/>
  <c r="C396" i="42"/>
  <c r="B396" i="42"/>
  <c r="A396" i="42"/>
  <c r="C395" i="42"/>
  <c r="B395" i="42"/>
  <c r="A395" i="42"/>
  <c r="C394" i="42"/>
  <c r="B394" i="42"/>
  <c r="A394" i="42"/>
  <c r="C393" i="42"/>
  <c r="B393" i="42"/>
  <c r="A393" i="42"/>
  <c r="C392" i="42"/>
  <c r="B392" i="42"/>
  <c r="A392" i="42"/>
  <c r="C391" i="42"/>
  <c r="B391" i="42"/>
  <c r="A391" i="42"/>
  <c r="C390" i="42"/>
  <c r="B390" i="42"/>
  <c r="A390" i="42"/>
  <c r="C389" i="42"/>
  <c r="B389" i="42"/>
  <c r="A389" i="42"/>
  <c r="C388" i="42"/>
  <c r="B388" i="42"/>
  <c r="A388" i="42"/>
  <c r="C387" i="42"/>
  <c r="B387" i="42"/>
  <c r="A387" i="42"/>
  <c r="C386" i="42"/>
  <c r="B386" i="42"/>
  <c r="A386" i="42"/>
  <c r="C385" i="42"/>
  <c r="B385" i="42"/>
  <c r="A385" i="42"/>
  <c r="C384" i="42"/>
  <c r="B384" i="42"/>
  <c r="A384" i="42"/>
  <c r="C383" i="42"/>
  <c r="B383" i="42"/>
  <c r="A383" i="42"/>
  <c r="C382" i="42"/>
  <c r="B382" i="42"/>
  <c r="A382" i="42"/>
  <c r="C381" i="42"/>
  <c r="B381" i="42"/>
  <c r="A381" i="42"/>
  <c r="C380" i="42"/>
  <c r="B380" i="42"/>
  <c r="A380" i="42"/>
  <c r="C379" i="42"/>
  <c r="B379" i="42"/>
  <c r="A379" i="42"/>
  <c r="C378" i="42"/>
  <c r="B378" i="42"/>
  <c r="A378" i="42"/>
  <c r="C377" i="42"/>
  <c r="B377" i="42"/>
  <c r="A377" i="42"/>
  <c r="C376" i="42"/>
  <c r="B376" i="42"/>
  <c r="A376" i="42"/>
  <c r="C375" i="42"/>
  <c r="B375" i="42"/>
  <c r="A375" i="42"/>
  <c r="C374" i="42"/>
  <c r="B374" i="42"/>
  <c r="A374" i="42"/>
  <c r="C373" i="42"/>
  <c r="B373" i="42"/>
  <c r="A373" i="42"/>
  <c r="C372" i="42"/>
  <c r="B372" i="42"/>
  <c r="A372" i="42"/>
  <c r="C371" i="42"/>
  <c r="B371" i="42"/>
  <c r="A371" i="42"/>
  <c r="C370" i="42"/>
  <c r="B370" i="42"/>
  <c r="A370" i="42"/>
  <c r="C369" i="42"/>
  <c r="B369" i="42"/>
  <c r="A369" i="42"/>
  <c r="C368" i="42"/>
  <c r="B368" i="42"/>
  <c r="A368" i="42"/>
  <c r="C367" i="42"/>
  <c r="B367" i="42"/>
  <c r="A367" i="42"/>
  <c r="C366" i="42"/>
  <c r="B366" i="42"/>
  <c r="A366" i="42"/>
  <c r="C365" i="42"/>
  <c r="B365" i="42"/>
  <c r="A365" i="42"/>
  <c r="C364" i="42"/>
  <c r="B364" i="42"/>
  <c r="A364" i="42"/>
  <c r="C363" i="42"/>
  <c r="B363" i="42"/>
  <c r="A363" i="42"/>
  <c r="C362" i="42"/>
  <c r="B362" i="42"/>
  <c r="A362" i="42"/>
  <c r="C361" i="42"/>
  <c r="B361" i="42"/>
  <c r="A361" i="42"/>
  <c r="C360" i="42"/>
  <c r="A360" i="42"/>
  <c r="C359" i="42"/>
  <c r="B359" i="42"/>
  <c r="A359" i="42"/>
  <c r="C358" i="42"/>
  <c r="A358" i="42"/>
  <c r="C357" i="42"/>
  <c r="B357" i="42"/>
  <c r="A357" i="42"/>
  <c r="C356" i="42"/>
  <c r="B356" i="42"/>
  <c r="A356" i="42"/>
  <c r="C355" i="42"/>
  <c r="B355" i="42"/>
  <c r="A355" i="42"/>
  <c r="C354" i="42"/>
  <c r="B354" i="42"/>
  <c r="A354" i="42"/>
  <c r="C353" i="42"/>
  <c r="B353" i="42"/>
  <c r="A353" i="42"/>
  <c r="C352" i="42"/>
  <c r="B352" i="42"/>
  <c r="A352" i="42"/>
  <c r="C351" i="42"/>
  <c r="B351" i="42"/>
  <c r="A351" i="42"/>
  <c r="C350" i="42"/>
  <c r="B350" i="42"/>
  <c r="A350" i="42"/>
  <c r="C349" i="42"/>
  <c r="B349" i="42"/>
  <c r="A349" i="42"/>
  <c r="C348" i="42"/>
  <c r="B348" i="42"/>
  <c r="A348" i="42"/>
  <c r="C347" i="42"/>
  <c r="B347" i="42"/>
  <c r="A347" i="42"/>
  <c r="C346" i="42"/>
  <c r="B346" i="42"/>
  <c r="A346" i="42"/>
  <c r="C345" i="42"/>
  <c r="B345" i="42"/>
  <c r="A345" i="42"/>
  <c r="C344" i="42"/>
  <c r="B344" i="42"/>
  <c r="A344" i="42"/>
  <c r="C343" i="42"/>
  <c r="B343" i="42"/>
  <c r="A343" i="42"/>
  <c r="C342" i="42"/>
  <c r="B342" i="42"/>
  <c r="A342" i="42"/>
  <c r="C341" i="42"/>
  <c r="B341" i="42"/>
  <c r="A341" i="42"/>
  <c r="C340" i="42"/>
  <c r="B340" i="42"/>
  <c r="A340" i="42"/>
  <c r="C339" i="42"/>
  <c r="B339" i="42"/>
  <c r="A339" i="42"/>
  <c r="C338" i="42"/>
  <c r="B338" i="42"/>
  <c r="A338" i="42"/>
  <c r="C337" i="42"/>
  <c r="B337" i="42"/>
  <c r="A337" i="42"/>
  <c r="C336" i="42"/>
  <c r="B336" i="42"/>
  <c r="A336" i="42"/>
  <c r="C335" i="42"/>
  <c r="B335" i="42"/>
  <c r="A335" i="42"/>
  <c r="C334" i="42"/>
  <c r="B334" i="42"/>
  <c r="A334" i="42"/>
  <c r="C333" i="42"/>
  <c r="B333" i="42"/>
  <c r="A333" i="42"/>
  <c r="C332" i="42"/>
  <c r="B332" i="42"/>
  <c r="A332" i="42"/>
  <c r="C331" i="42"/>
  <c r="B331" i="42"/>
  <c r="A331" i="42"/>
  <c r="C330" i="42"/>
  <c r="B330" i="42"/>
  <c r="A330" i="42"/>
  <c r="C329" i="42"/>
  <c r="B329" i="42"/>
  <c r="A329" i="42"/>
  <c r="C328" i="42"/>
  <c r="B328" i="42"/>
  <c r="A328" i="42"/>
  <c r="C327" i="42"/>
  <c r="B327" i="42"/>
  <c r="A327" i="42"/>
  <c r="C326" i="42"/>
  <c r="B326" i="42"/>
  <c r="A326" i="42"/>
  <c r="C325" i="42"/>
  <c r="B325" i="42"/>
  <c r="A325" i="42"/>
  <c r="C324" i="42"/>
  <c r="B324" i="42"/>
  <c r="A324" i="42"/>
  <c r="C323" i="42"/>
  <c r="B323" i="42"/>
  <c r="A323" i="42"/>
  <c r="C322" i="42"/>
  <c r="B322" i="42"/>
  <c r="A322" i="42"/>
  <c r="C321" i="42"/>
  <c r="B321" i="42"/>
  <c r="A321" i="42"/>
  <c r="C320" i="42"/>
  <c r="B320" i="42"/>
  <c r="A320" i="42"/>
  <c r="C319" i="42"/>
  <c r="B319" i="42"/>
  <c r="A319" i="42"/>
  <c r="C317" i="42"/>
  <c r="B317" i="42"/>
  <c r="A317" i="42"/>
  <c r="C316" i="42"/>
  <c r="B316" i="42"/>
  <c r="A316" i="42"/>
  <c r="C314" i="42"/>
  <c r="B314" i="42"/>
  <c r="A314" i="42"/>
  <c r="C310" i="42"/>
  <c r="B310" i="42"/>
  <c r="A310" i="42"/>
  <c r="C309" i="42"/>
  <c r="B309" i="42"/>
  <c r="A309" i="42"/>
  <c r="C308" i="42"/>
  <c r="B308" i="42"/>
  <c r="A308" i="42"/>
  <c r="C307" i="42"/>
  <c r="B307" i="42"/>
  <c r="A307" i="42"/>
  <c r="C306" i="42"/>
  <c r="B306" i="42"/>
  <c r="A306" i="42"/>
  <c r="C305" i="42"/>
  <c r="B305" i="42"/>
  <c r="A305" i="42"/>
  <c r="C304" i="42"/>
  <c r="B304" i="42"/>
  <c r="A304" i="42"/>
  <c r="C303" i="42"/>
  <c r="B303" i="42"/>
  <c r="A303" i="42"/>
  <c r="S292" i="42"/>
  <c r="C292" i="42"/>
  <c r="B292" i="42"/>
  <c r="A292" i="42"/>
  <c r="S291" i="42"/>
  <c r="C291" i="42"/>
  <c r="B291" i="42"/>
  <c r="A291" i="42"/>
  <c r="S290" i="42"/>
  <c r="C290" i="42"/>
  <c r="B290" i="42"/>
  <c r="A290" i="42"/>
  <c r="S289" i="42"/>
  <c r="C289" i="42"/>
  <c r="B289" i="42"/>
  <c r="A289" i="42"/>
  <c r="S288" i="42"/>
  <c r="C288" i="42"/>
  <c r="B288" i="42"/>
  <c r="A288" i="42"/>
  <c r="S287" i="42"/>
  <c r="C287" i="42"/>
  <c r="B287" i="42"/>
  <c r="A287" i="42"/>
  <c r="S286" i="42"/>
  <c r="C286" i="42"/>
  <c r="B286" i="42"/>
  <c r="A286" i="42"/>
  <c r="S285" i="42"/>
  <c r="C285" i="42"/>
  <c r="B285" i="42"/>
  <c r="A285" i="42"/>
  <c r="S284" i="42"/>
  <c r="C284" i="42"/>
  <c r="B284" i="42"/>
  <c r="A284" i="42"/>
  <c r="S283" i="42"/>
  <c r="C283" i="42"/>
  <c r="B283" i="42"/>
  <c r="A283" i="42"/>
  <c r="S282" i="42"/>
  <c r="C282" i="42"/>
  <c r="B282" i="42"/>
  <c r="A282" i="42"/>
  <c r="S281" i="42"/>
  <c r="C281" i="42"/>
  <c r="B281" i="42"/>
  <c r="A281" i="42"/>
  <c r="S280" i="42"/>
  <c r="C280" i="42"/>
  <c r="B280" i="42"/>
  <c r="A280" i="42"/>
  <c r="S279" i="42"/>
  <c r="C279" i="42"/>
  <c r="B279" i="42"/>
  <c r="A279" i="42"/>
  <c r="S278" i="42"/>
  <c r="C278" i="42"/>
  <c r="B278" i="42"/>
  <c r="A278" i="42"/>
  <c r="S277" i="42"/>
  <c r="C277" i="42"/>
  <c r="B277" i="42"/>
  <c r="A277" i="42"/>
  <c r="S276" i="42"/>
  <c r="C276" i="42"/>
  <c r="B276" i="42"/>
  <c r="A276" i="42"/>
  <c r="S275" i="42"/>
  <c r="C275" i="42"/>
  <c r="B275" i="42"/>
  <c r="A275" i="42"/>
  <c r="S274" i="42"/>
  <c r="C274" i="42"/>
  <c r="B274" i="42"/>
  <c r="A274" i="42"/>
  <c r="S273" i="42"/>
  <c r="C273" i="42"/>
  <c r="B273" i="42"/>
  <c r="A273" i="42"/>
  <c r="S272" i="42"/>
  <c r="C272" i="42"/>
  <c r="B272" i="42"/>
  <c r="A272" i="42"/>
  <c r="S271" i="42"/>
  <c r="C271" i="42"/>
  <c r="B271" i="42"/>
  <c r="A271" i="42"/>
  <c r="S270" i="42"/>
  <c r="C270" i="42"/>
  <c r="B270" i="42"/>
  <c r="A270" i="42"/>
  <c r="S269" i="42"/>
  <c r="C269" i="42"/>
  <c r="B269" i="42"/>
  <c r="A269" i="42"/>
  <c r="S268" i="42"/>
  <c r="C268" i="42"/>
  <c r="B268" i="42"/>
  <c r="A268" i="42"/>
  <c r="S267" i="42"/>
  <c r="C267" i="42"/>
  <c r="B267" i="42"/>
  <c r="A267" i="42"/>
  <c r="S266" i="42"/>
  <c r="C266" i="42"/>
  <c r="B266" i="42"/>
  <c r="A266" i="42"/>
  <c r="S265" i="42"/>
  <c r="C265" i="42"/>
  <c r="B265" i="42"/>
  <c r="A265" i="42"/>
  <c r="S264" i="42"/>
  <c r="C264" i="42"/>
  <c r="B264" i="42"/>
  <c r="A264" i="42"/>
  <c r="S263" i="42"/>
  <c r="C263" i="42"/>
  <c r="B263" i="42"/>
  <c r="A263" i="42"/>
  <c r="S262" i="42"/>
  <c r="C262" i="42"/>
  <c r="B262" i="42"/>
  <c r="A262" i="42"/>
  <c r="S261" i="42"/>
  <c r="C261" i="42"/>
  <c r="A261" i="42"/>
  <c r="S260" i="42"/>
  <c r="C260" i="42"/>
  <c r="B260" i="42"/>
  <c r="A260" i="42"/>
  <c r="S259" i="42"/>
  <c r="C259" i="42"/>
  <c r="B259" i="42"/>
  <c r="A259" i="42"/>
  <c r="S258" i="42"/>
  <c r="C258" i="42"/>
  <c r="A258" i="42"/>
  <c r="S257" i="42"/>
  <c r="C257" i="42"/>
  <c r="B257" i="42"/>
  <c r="A257" i="42"/>
  <c r="S256" i="42"/>
  <c r="C256" i="42"/>
  <c r="B256" i="42"/>
  <c r="A256" i="42"/>
  <c r="S255" i="42"/>
  <c r="C255" i="42"/>
  <c r="B255" i="42"/>
  <c r="A255" i="42"/>
  <c r="S254" i="42"/>
  <c r="C254" i="42"/>
  <c r="B254" i="42"/>
  <c r="A254" i="42"/>
  <c r="S253" i="42"/>
  <c r="C253" i="42"/>
  <c r="B253" i="42"/>
  <c r="A253" i="42"/>
  <c r="S252" i="42"/>
  <c r="C252" i="42"/>
  <c r="B252" i="42"/>
  <c r="A252" i="42"/>
  <c r="S251" i="42"/>
  <c r="C251" i="42"/>
  <c r="B251" i="42"/>
  <c r="A251" i="42"/>
  <c r="S250" i="42"/>
  <c r="C250" i="42"/>
  <c r="B250" i="42"/>
  <c r="A250" i="42"/>
  <c r="S249" i="42"/>
  <c r="C249" i="42"/>
  <c r="B249" i="42"/>
  <c r="A249" i="42"/>
  <c r="S248" i="42"/>
  <c r="C248" i="42"/>
  <c r="B248" i="42"/>
  <c r="A248" i="42"/>
  <c r="S247" i="42"/>
  <c r="C247" i="42"/>
  <c r="B247" i="42"/>
  <c r="A247" i="42"/>
  <c r="S246" i="42"/>
  <c r="C246" i="42"/>
  <c r="B246" i="42"/>
  <c r="A246" i="42"/>
  <c r="S245" i="42"/>
  <c r="C245" i="42"/>
  <c r="B245" i="42"/>
  <c r="A245" i="42"/>
  <c r="S244" i="42"/>
  <c r="C244" i="42"/>
  <c r="B244" i="42"/>
  <c r="A244" i="42"/>
  <c r="S243" i="42"/>
  <c r="C243" i="42"/>
  <c r="B243" i="42"/>
  <c r="A243" i="42"/>
  <c r="S237" i="42"/>
  <c r="C237" i="42"/>
  <c r="B237" i="42"/>
  <c r="A237" i="42"/>
  <c r="S232" i="42"/>
  <c r="C232" i="42"/>
  <c r="B232" i="42"/>
  <c r="A232" i="42"/>
  <c r="S231" i="42"/>
  <c r="B231" i="42"/>
  <c r="A231" i="42"/>
  <c r="S230" i="42"/>
  <c r="C230" i="42"/>
  <c r="B230" i="42"/>
  <c r="A230" i="42"/>
  <c r="S229" i="42"/>
  <c r="C229" i="42"/>
  <c r="B229" i="42"/>
  <c r="A229" i="42"/>
  <c r="S228" i="42"/>
  <c r="C228" i="42"/>
  <c r="B228" i="42"/>
  <c r="A228" i="42"/>
  <c r="S227" i="42"/>
  <c r="C227" i="42"/>
  <c r="B227" i="42"/>
  <c r="A227" i="42"/>
  <c r="S226" i="42"/>
  <c r="C226" i="42"/>
  <c r="B226" i="42"/>
  <c r="A226" i="42"/>
  <c r="S225" i="42"/>
  <c r="C225" i="42"/>
  <c r="B225" i="42"/>
  <c r="A225" i="42"/>
  <c r="S224" i="42"/>
  <c r="C224" i="42"/>
  <c r="B224" i="42"/>
  <c r="A224" i="42"/>
  <c r="S223" i="42"/>
  <c r="C223" i="42"/>
  <c r="B223" i="42"/>
  <c r="A223" i="42"/>
  <c r="S222" i="42"/>
  <c r="C222" i="42"/>
  <c r="B222" i="42"/>
  <c r="A222" i="42"/>
  <c r="S221" i="42"/>
  <c r="C221" i="42"/>
  <c r="B221" i="42"/>
  <c r="A221" i="42"/>
  <c r="S220" i="42"/>
  <c r="C220" i="42"/>
  <c r="B220" i="42"/>
  <c r="A220" i="42"/>
  <c r="S218" i="42"/>
  <c r="C218" i="42"/>
  <c r="B218" i="42"/>
  <c r="A218" i="42"/>
  <c r="S217" i="42"/>
  <c r="C217" i="42"/>
  <c r="B217" i="42"/>
  <c r="A217" i="42"/>
  <c r="S216" i="42"/>
  <c r="C216" i="42"/>
  <c r="B216" i="42"/>
  <c r="A216" i="42"/>
  <c r="S215" i="42"/>
  <c r="C215" i="42"/>
  <c r="B215" i="42"/>
  <c r="A215" i="42"/>
  <c r="S214" i="42"/>
  <c r="C214" i="42"/>
  <c r="B214" i="42"/>
  <c r="A214" i="42"/>
  <c r="S213" i="42"/>
  <c r="C213" i="42"/>
  <c r="B213" i="42"/>
  <c r="A213" i="42"/>
  <c r="S212" i="42"/>
  <c r="C212" i="42"/>
  <c r="B212" i="42"/>
  <c r="A212" i="42"/>
  <c r="S211" i="42"/>
  <c r="C211" i="42"/>
  <c r="B211" i="42"/>
  <c r="A211" i="42"/>
  <c r="S210" i="42"/>
  <c r="C210" i="42"/>
  <c r="B210" i="42"/>
  <c r="A210" i="42"/>
  <c r="S209" i="42"/>
  <c r="C209" i="42"/>
  <c r="B209" i="42"/>
  <c r="A209" i="42"/>
  <c r="S208" i="42"/>
  <c r="C208" i="42"/>
  <c r="B208" i="42"/>
  <c r="A208" i="42"/>
  <c r="S207" i="42"/>
  <c r="C207" i="42"/>
  <c r="B207" i="42"/>
  <c r="A207" i="42"/>
  <c r="S206" i="42"/>
  <c r="C206" i="42"/>
  <c r="B206" i="42"/>
  <c r="A206" i="42"/>
  <c r="S205" i="42"/>
  <c r="C205" i="42"/>
  <c r="B205" i="42"/>
  <c r="A205" i="42"/>
  <c r="S204" i="42"/>
  <c r="C204" i="42"/>
  <c r="B204" i="42"/>
  <c r="A204" i="42"/>
  <c r="S203" i="42"/>
  <c r="C203" i="42"/>
  <c r="B203" i="42"/>
  <c r="A203" i="42"/>
  <c r="S202" i="42"/>
  <c r="C202" i="42"/>
  <c r="B202" i="42"/>
  <c r="A202" i="42"/>
  <c r="S201" i="42"/>
  <c r="C201" i="42"/>
  <c r="B201" i="42"/>
  <c r="A201" i="42"/>
  <c r="S200" i="42"/>
  <c r="C200" i="42"/>
  <c r="B200" i="42"/>
  <c r="A200" i="42"/>
  <c r="S199" i="42"/>
  <c r="C199" i="42"/>
  <c r="B199" i="42"/>
  <c r="A199" i="42"/>
  <c r="S198" i="42"/>
  <c r="C198" i="42"/>
  <c r="B198" i="42"/>
  <c r="A198" i="42"/>
  <c r="S197" i="42"/>
  <c r="C197" i="42"/>
  <c r="B197" i="42"/>
  <c r="A197" i="42"/>
  <c r="S196" i="42"/>
  <c r="C196" i="42"/>
  <c r="B196" i="42"/>
  <c r="A196" i="42"/>
  <c r="S195" i="42"/>
  <c r="C195" i="42"/>
  <c r="B195" i="42"/>
  <c r="A195" i="42"/>
  <c r="S194" i="42"/>
  <c r="C194" i="42"/>
  <c r="B194" i="42"/>
  <c r="A194" i="42"/>
  <c r="S193" i="42"/>
  <c r="C193" i="42"/>
  <c r="B193" i="42"/>
  <c r="A193" i="42"/>
  <c r="S192" i="42"/>
  <c r="C192" i="42"/>
  <c r="B192" i="42"/>
  <c r="A192" i="42"/>
  <c r="S191" i="42"/>
  <c r="C191" i="42"/>
  <c r="B191" i="42"/>
  <c r="A191" i="42"/>
  <c r="S190" i="42"/>
  <c r="C190" i="42"/>
  <c r="B190" i="42"/>
  <c r="A190" i="42"/>
  <c r="S189" i="42"/>
  <c r="C189" i="42"/>
  <c r="A189" i="42"/>
  <c r="S188" i="42"/>
  <c r="C188" i="42"/>
  <c r="B188" i="42"/>
  <c r="A188" i="42"/>
  <c r="S187" i="42"/>
  <c r="C187" i="42"/>
  <c r="A187" i="42"/>
  <c r="S186" i="42"/>
  <c r="C186" i="42"/>
  <c r="B186" i="42"/>
  <c r="A186" i="42"/>
  <c r="S185" i="42"/>
  <c r="C185" i="42"/>
  <c r="B185" i="42"/>
  <c r="A185" i="42"/>
  <c r="S184" i="42"/>
  <c r="C184" i="42"/>
  <c r="B184" i="42"/>
  <c r="A184" i="42"/>
  <c r="S183" i="42"/>
  <c r="C183" i="42"/>
  <c r="B183" i="42"/>
  <c r="A183" i="42"/>
  <c r="S182" i="42"/>
  <c r="C182" i="42"/>
  <c r="B182" i="42"/>
  <c r="A182" i="42"/>
  <c r="S181" i="42"/>
  <c r="C181" i="42"/>
  <c r="B181" i="42"/>
  <c r="A181" i="42"/>
  <c r="S180" i="42"/>
  <c r="C180" i="42"/>
  <c r="B180" i="42"/>
  <c r="A180" i="42"/>
  <c r="S179" i="42"/>
  <c r="C179" i="42"/>
  <c r="B179" i="42"/>
  <c r="A179" i="42"/>
  <c r="S178" i="42"/>
  <c r="C178" i="42"/>
  <c r="B178" i="42"/>
  <c r="A178" i="42"/>
  <c r="S177" i="42"/>
  <c r="C177" i="42"/>
  <c r="B177" i="42"/>
  <c r="A177" i="42"/>
  <c r="S176" i="42"/>
  <c r="C176" i="42"/>
  <c r="B176" i="42"/>
  <c r="A176" i="42"/>
  <c r="S175" i="42"/>
  <c r="C175" i="42"/>
  <c r="B175" i="42"/>
  <c r="A175" i="42"/>
  <c r="S174" i="42"/>
  <c r="C174" i="42"/>
  <c r="B174" i="42"/>
  <c r="A174" i="42"/>
  <c r="S173" i="42"/>
  <c r="C173" i="42"/>
  <c r="B173" i="42"/>
  <c r="A173" i="42"/>
  <c r="S172" i="42"/>
  <c r="C172" i="42"/>
  <c r="B172" i="42"/>
  <c r="A172" i="42"/>
  <c r="S171" i="42"/>
  <c r="C171" i="42"/>
  <c r="B171" i="42"/>
  <c r="A171" i="42"/>
  <c r="S170" i="42"/>
  <c r="C170" i="42"/>
  <c r="B170" i="42"/>
  <c r="A170" i="42"/>
  <c r="S169" i="42"/>
  <c r="C169" i="42"/>
  <c r="B169" i="42"/>
  <c r="A169" i="42"/>
  <c r="S168" i="42"/>
  <c r="C168" i="42"/>
  <c r="B168" i="42"/>
  <c r="A168" i="42"/>
  <c r="S167" i="42"/>
  <c r="C167" i="42"/>
  <c r="B167" i="42"/>
  <c r="A167" i="42"/>
  <c r="S166" i="42"/>
  <c r="C166" i="42"/>
  <c r="B166" i="42"/>
  <c r="A166" i="42"/>
  <c r="S165" i="42"/>
  <c r="C165" i="42"/>
  <c r="B165" i="42"/>
  <c r="A165" i="42"/>
  <c r="S164" i="42"/>
  <c r="C164" i="42"/>
  <c r="B164" i="42"/>
  <c r="A164" i="42"/>
  <c r="S163" i="42"/>
  <c r="C163" i="42"/>
  <c r="B163" i="42"/>
  <c r="A163" i="42"/>
  <c r="S162" i="42"/>
  <c r="C162" i="42"/>
  <c r="B162" i="42"/>
  <c r="A162" i="42"/>
  <c r="S161" i="42"/>
  <c r="C161" i="42"/>
  <c r="B161" i="42"/>
  <c r="A161" i="42"/>
  <c r="S160" i="42"/>
  <c r="C160" i="42"/>
  <c r="B160" i="42"/>
  <c r="A160" i="42"/>
  <c r="S159" i="42"/>
  <c r="C159" i="42"/>
  <c r="B159" i="42"/>
  <c r="A159" i="42"/>
  <c r="S158" i="42"/>
  <c r="C158" i="42"/>
  <c r="B158" i="42"/>
  <c r="A158" i="42"/>
  <c r="S157" i="42"/>
  <c r="C157" i="42"/>
  <c r="B157" i="42"/>
  <c r="A157" i="42"/>
  <c r="S156" i="42"/>
  <c r="C156" i="42"/>
  <c r="B156" i="42"/>
  <c r="A156" i="42"/>
  <c r="S155" i="42"/>
  <c r="C155" i="42"/>
  <c r="B155" i="42"/>
  <c r="A155" i="42"/>
  <c r="S154" i="42"/>
  <c r="C154" i="42"/>
  <c r="B154" i="42"/>
  <c r="A154" i="42"/>
  <c r="S153" i="42"/>
  <c r="C153" i="42"/>
  <c r="B153" i="42"/>
  <c r="A153" i="42"/>
  <c r="S152" i="42"/>
  <c r="C152" i="42"/>
  <c r="B152" i="42"/>
  <c r="A152" i="42"/>
  <c r="S151" i="42"/>
  <c r="C151" i="42"/>
  <c r="B151" i="42"/>
  <c r="A151" i="42"/>
  <c r="S150" i="42"/>
  <c r="C150" i="42"/>
  <c r="B150" i="42"/>
  <c r="A150" i="42"/>
  <c r="S149" i="42"/>
  <c r="C149" i="42"/>
  <c r="B149" i="42"/>
  <c r="A149" i="42"/>
  <c r="S148" i="42"/>
  <c r="C148" i="42"/>
  <c r="B148" i="42"/>
  <c r="A148" i="42"/>
  <c r="C139" i="42"/>
  <c r="B139" i="42"/>
  <c r="A139" i="42"/>
  <c r="C135" i="42"/>
  <c r="B135" i="42"/>
  <c r="A135" i="42"/>
  <c r="C134" i="42"/>
  <c r="B134" i="42"/>
  <c r="A134" i="42"/>
  <c r="C133" i="42"/>
  <c r="B133" i="42"/>
  <c r="A133" i="42"/>
  <c r="B132" i="42"/>
  <c r="A132" i="42"/>
  <c r="C131" i="42"/>
  <c r="B131" i="42"/>
  <c r="A131" i="42"/>
  <c r="C130" i="42"/>
  <c r="B130" i="42"/>
  <c r="A130" i="42"/>
  <c r="C129" i="42"/>
  <c r="B129" i="42"/>
  <c r="A129" i="42"/>
  <c r="C128" i="42"/>
  <c r="B128" i="42"/>
  <c r="A128" i="42"/>
  <c r="C127" i="42"/>
  <c r="B127" i="42"/>
  <c r="A127" i="42"/>
  <c r="C126" i="42"/>
  <c r="B126" i="42"/>
  <c r="A126" i="42"/>
  <c r="C125" i="42"/>
  <c r="B125" i="42"/>
  <c r="A125" i="42"/>
  <c r="C124" i="42"/>
  <c r="B124" i="42"/>
  <c r="A124" i="42"/>
  <c r="C123" i="42"/>
  <c r="B123" i="42"/>
  <c r="A123" i="42"/>
  <c r="C122" i="42"/>
  <c r="B122" i="42"/>
  <c r="A122" i="42"/>
  <c r="C121" i="42"/>
  <c r="B121" i="42"/>
  <c r="A121" i="42"/>
  <c r="C120" i="42"/>
  <c r="B120" i="42"/>
  <c r="A120" i="42"/>
  <c r="C119" i="42"/>
  <c r="B119" i="42"/>
  <c r="A119" i="42"/>
  <c r="C118" i="42"/>
  <c r="B118" i="42"/>
  <c r="A118" i="42"/>
  <c r="C117" i="42"/>
  <c r="B117" i="42"/>
  <c r="A117" i="42"/>
  <c r="C116" i="42"/>
  <c r="B116" i="42"/>
  <c r="A116" i="42"/>
  <c r="C115" i="42"/>
  <c r="B115" i="42"/>
  <c r="A115" i="42"/>
  <c r="C112" i="42"/>
  <c r="B112" i="42"/>
  <c r="A112" i="42"/>
  <c r="C111" i="42"/>
  <c r="B111" i="42"/>
  <c r="A111" i="42"/>
  <c r="C110" i="42"/>
  <c r="B110" i="42"/>
  <c r="A110" i="42"/>
  <c r="C109" i="42"/>
  <c r="D25" i="11" s="1"/>
  <c r="F25" i="11" s="1"/>
  <c r="B109" i="42"/>
  <c r="A109" i="42"/>
  <c r="C108" i="42"/>
  <c r="B108" i="42"/>
  <c r="A108" i="42"/>
  <c r="C107" i="42"/>
  <c r="B107" i="42"/>
  <c r="A107" i="42"/>
  <c r="C106" i="42"/>
  <c r="B106" i="42"/>
  <c r="A106" i="42"/>
  <c r="C105" i="42"/>
  <c r="B105" i="42"/>
  <c r="A105" i="42"/>
  <c r="C104" i="42"/>
  <c r="B104" i="42"/>
  <c r="A104" i="42"/>
  <c r="C103" i="42"/>
  <c r="B103" i="42"/>
  <c r="A103" i="42"/>
  <c r="C102" i="42"/>
  <c r="B102" i="42"/>
  <c r="A102" i="42"/>
  <c r="C101" i="42"/>
  <c r="B101" i="42"/>
  <c r="A101" i="42"/>
  <c r="C100" i="42"/>
  <c r="B100" i="42"/>
  <c r="A100" i="42"/>
  <c r="C99" i="42"/>
  <c r="B99" i="42"/>
  <c r="A99" i="42"/>
  <c r="C98" i="42"/>
  <c r="B98" i="42"/>
  <c r="A98" i="42"/>
  <c r="C97" i="42"/>
  <c r="B97" i="42"/>
  <c r="A97" i="42"/>
  <c r="C96" i="42"/>
  <c r="B96" i="42"/>
  <c r="A96" i="42"/>
  <c r="C95" i="42"/>
  <c r="B95" i="42"/>
  <c r="A95" i="42"/>
  <c r="C94" i="42"/>
  <c r="B94" i="42"/>
  <c r="A94" i="42"/>
  <c r="C93" i="42"/>
  <c r="B93" i="42"/>
  <c r="A93" i="42"/>
  <c r="C92" i="42"/>
  <c r="B92" i="42"/>
  <c r="A92" i="42"/>
  <c r="C91" i="42"/>
  <c r="B91" i="42"/>
  <c r="A91" i="42"/>
  <c r="C90" i="42"/>
  <c r="B90" i="42"/>
  <c r="A90" i="42"/>
  <c r="C89" i="42"/>
  <c r="B89" i="42"/>
  <c r="A89" i="42"/>
  <c r="C88" i="42"/>
  <c r="B88" i="42"/>
  <c r="A88" i="42"/>
  <c r="C87" i="42"/>
  <c r="B87" i="42"/>
  <c r="A87" i="42"/>
  <c r="C86" i="42"/>
  <c r="B86" i="42"/>
  <c r="A86" i="42"/>
  <c r="C85" i="42"/>
  <c r="B85" i="42"/>
  <c r="A85" i="42"/>
  <c r="C84" i="42"/>
  <c r="B84" i="42"/>
  <c r="A84" i="42"/>
  <c r="C83" i="42"/>
  <c r="B83" i="42"/>
  <c r="A83" i="42"/>
  <c r="C82" i="42"/>
  <c r="B82" i="42"/>
  <c r="A82" i="42"/>
  <c r="C81" i="42"/>
  <c r="B81" i="42"/>
  <c r="A81" i="42"/>
  <c r="C80" i="42"/>
  <c r="B80" i="42"/>
  <c r="A80" i="42"/>
  <c r="C79" i="42"/>
  <c r="B79" i="42"/>
  <c r="A79" i="42"/>
  <c r="C78" i="42"/>
  <c r="A78" i="42"/>
  <c r="C77" i="42"/>
  <c r="B77" i="42"/>
  <c r="A77" i="42"/>
  <c r="C76" i="42"/>
  <c r="B76" i="42"/>
  <c r="A76" i="42"/>
  <c r="C75" i="42"/>
  <c r="B75" i="42"/>
  <c r="A75" i="42"/>
  <c r="C74" i="42"/>
  <c r="B74" i="42"/>
  <c r="A74" i="42"/>
  <c r="C73" i="42"/>
  <c r="B73" i="42"/>
  <c r="A73" i="42"/>
  <c r="C72" i="42"/>
  <c r="B72" i="42"/>
  <c r="A72" i="42"/>
  <c r="C71" i="42"/>
  <c r="B71" i="42"/>
  <c r="A71" i="42"/>
  <c r="C70" i="42"/>
  <c r="B70" i="42"/>
  <c r="A70" i="42"/>
  <c r="C69" i="42"/>
  <c r="B69" i="42"/>
  <c r="A69" i="42"/>
  <c r="C68" i="42"/>
  <c r="B68" i="42"/>
  <c r="A68" i="42"/>
  <c r="C67" i="42"/>
  <c r="B67" i="42"/>
  <c r="A67" i="42"/>
  <c r="C66" i="42"/>
  <c r="A66" i="42"/>
  <c r="C65" i="42"/>
  <c r="A65" i="42"/>
  <c r="C64" i="42"/>
  <c r="B64" i="42"/>
  <c r="A64" i="42"/>
  <c r="C63" i="42"/>
  <c r="B63" i="42"/>
  <c r="A63" i="42"/>
  <c r="C62" i="42"/>
  <c r="B62" i="42"/>
  <c r="A62" i="42"/>
  <c r="C61" i="42"/>
  <c r="B61" i="42"/>
  <c r="A61" i="42"/>
  <c r="C60" i="42"/>
  <c r="B60" i="42"/>
  <c r="A60" i="42"/>
  <c r="C59" i="42"/>
  <c r="B59" i="42"/>
  <c r="A59" i="42"/>
  <c r="C58" i="42"/>
  <c r="B58" i="42"/>
  <c r="A58" i="42"/>
  <c r="C57" i="42"/>
  <c r="B57" i="42"/>
  <c r="A57" i="42"/>
  <c r="C56" i="42"/>
  <c r="B56" i="42"/>
  <c r="A56" i="42"/>
  <c r="C55" i="42"/>
  <c r="B55" i="42"/>
  <c r="A55" i="42"/>
  <c r="C54" i="42"/>
  <c r="B54" i="42"/>
  <c r="A54" i="42"/>
  <c r="C53" i="42"/>
  <c r="B53" i="42"/>
  <c r="A53" i="42"/>
  <c r="C52" i="42"/>
  <c r="B52" i="42"/>
  <c r="A52" i="42"/>
  <c r="C51" i="42"/>
  <c r="B51" i="42"/>
  <c r="A51" i="42"/>
  <c r="C50" i="42"/>
  <c r="B50" i="42"/>
  <c r="A50" i="42"/>
  <c r="C49" i="42"/>
  <c r="B49" i="42"/>
  <c r="A49" i="42"/>
  <c r="C48" i="42"/>
  <c r="B48" i="42"/>
  <c r="A48" i="42"/>
  <c r="C47" i="42"/>
  <c r="B47" i="42"/>
  <c r="A47" i="42"/>
  <c r="C46" i="42"/>
  <c r="B46" i="42"/>
  <c r="A46" i="42"/>
  <c r="C45" i="42"/>
  <c r="B45" i="42"/>
  <c r="A45" i="42"/>
  <c r="C44" i="42"/>
  <c r="B44" i="42"/>
  <c r="A44" i="42"/>
  <c r="C43" i="42"/>
  <c r="B43" i="42"/>
  <c r="A43" i="42"/>
  <c r="C42" i="42"/>
  <c r="B42" i="42"/>
  <c r="A42" i="42"/>
  <c r="C41" i="42"/>
  <c r="B41" i="42"/>
  <c r="A41" i="42"/>
  <c r="C40" i="42"/>
  <c r="B40" i="42"/>
  <c r="A40" i="42"/>
  <c r="C39" i="42"/>
  <c r="B39" i="42"/>
  <c r="A39" i="42"/>
  <c r="C38" i="42"/>
  <c r="B38" i="42"/>
  <c r="A38" i="42"/>
  <c r="C37" i="42"/>
  <c r="B37" i="42"/>
  <c r="A37" i="42"/>
  <c r="C36" i="42"/>
  <c r="B36" i="42"/>
  <c r="A36" i="42"/>
  <c r="C35" i="42"/>
  <c r="B35" i="42"/>
  <c r="A35" i="42"/>
  <c r="C34" i="42"/>
  <c r="B34" i="42"/>
  <c r="A34" i="42"/>
  <c r="C33" i="42"/>
  <c r="B33" i="42"/>
  <c r="A33" i="42"/>
  <c r="C32" i="42"/>
  <c r="B32" i="42"/>
  <c r="A32" i="42"/>
  <c r="C31" i="42"/>
  <c r="B31" i="42"/>
  <c r="A31" i="42"/>
  <c r="C30" i="42"/>
  <c r="B30" i="42"/>
  <c r="A30" i="42"/>
  <c r="C29" i="42"/>
  <c r="B29" i="42"/>
  <c r="A29" i="42"/>
  <c r="C28" i="42"/>
  <c r="B28" i="42"/>
  <c r="A28" i="42"/>
  <c r="C27" i="42"/>
  <c r="B27" i="42"/>
  <c r="A27" i="42"/>
  <c r="C26" i="42"/>
  <c r="B26" i="42"/>
  <c r="A26" i="42"/>
  <c r="C25" i="42"/>
  <c r="B25" i="42"/>
  <c r="A25" i="42"/>
  <c r="C24" i="42"/>
  <c r="B24" i="42"/>
  <c r="A24" i="42"/>
  <c r="C23" i="42"/>
  <c r="B23" i="42"/>
  <c r="A23" i="42"/>
  <c r="C22" i="42"/>
  <c r="B22" i="42"/>
  <c r="A22" i="42"/>
  <c r="C21" i="42"/>
  <c r="B21" i="42"/>
  <c r="A21" i="42"/>
  <c r="C20" i="42"/>
  <c r="B20" i="42"/>
  <c r="A20" i="42"/>
  <c r="C19" i="42"/>
  <c r="B19" i="42"/>
  <c r="A19" i="42"/>
  <c r="C18" i="42"/>
  <c r="B18" i="42"/>
  <c r="A18" i="42"/>
  <c r="C17" i="42"/>
  <c r="B17" i="42"/>
  <c r="A17" i="42"/>
  <c r="C16" i="42"/>
  <c r="B16" i="42"/>
  <c r="A16" i="42"/>
  <c r="C15" i="42"/>
  <c r="B15" i="42"/>
  <c r="A15" i="42"/>
  <c r="C14" i="42"/>
  <c r="B14" i="42"/>
  <c r="A14" i="42"/>
  <c r="C13" i="42"/>
  <c r="B13" i="42"/>
  <c r="A13" i="42"/>
  <c r="C12" i="42"/>
  <c r="B12" i="42"/>
  <c r="A12" i="42"/>
  <c r="C11" i="42"/>
  <c r="B11" i="42"/>
  <c r="A11" i="42"/>
  <c r="C10" i="42"/>
  <c r="B10" i="42"/>
  <c r="A10" i="42"/>
  <c r="C9" i="42"/>
  <c r="B9" i="42"/>
  <c r="A9" i="42"/>
  <c r="C8" i="42"/>
  <c r="B8" i="42"/>
  <c r="A8" i="42"/>
  <c r="C7" i="42"/>
  <c r="B7" i="42"/>
  <c r="A7" i="42"/>
  <c r="C6" i="42"/>
  <c r="B6" i="42"/>
  <c r="A6" i="42"/>
  <c r="D24" i="18" l="1"/>
  <c r="F24" i="18" s="1"/>
  <c r="D13" i="18"/>
  <c r="D14" i="11"/>
  <c r="D20" i="18"/>
  <c r="D21" i="18"/>
  <c r="D22" i="18"/>
  <c r="D15" i="18"/>
  <c r="D23" i="18"/>
  <c r="D26" i="18"/>
  <c r="D14" i="18"/>
  <c r="D27" i="18"/>
  <c r="K26" i="18" s="1"/>
  <c r="K27" i="18" s="1"/>
  <c r="D12" i="18"/>
  <c r="D24" i="11"/>
  <c r="D16" i="11"/>
  <c r="D12" i="11"/>
  <c r="D23" i="11"/>
  <c r="D15" i="11"/>
  <c r="D13" i="11"/>
  <c r="D28" i="11"/>
  <c r="D22" i="11"/>
  <c r="D27" i="11"/>
  <c r="D21" i="11"/>
  <c r="K13" i="11" l="1"/>
  <c r="K14" i="18"/>
  <c r="K15" i="18" s="1"/>
  <c r="N14" i="18"/>
  <c r="K23" i="11"/>
  <c r="K24" i="11" s="1"/>
  <c r="I96" i="19"/>
  <c r="I51" i="19"/>
  <c r="I96" i="17"/>
  <c r="I51" i="17"/>
  <c r="I105" i="5"/>
  <c r="I56" i="5"/>
  <c r="H94" i="4"/>
  <c r="H50" i="4"/>
  <c r="A190" i="30" l="1"/>
  <c r="A188" i="30"/>
  <c r="A129" i="30"/>
  <c r="A127" i="30"/>
  <c r="A68" i="30"/>
  <c r="A66" i="30"/>
  <c r="A190" i="69"/>
  <c r="A188" i="69"/>
  <c r="A129" i="69"/>
  <c r="A127" i="69"/>
  <c r="A68" i="69"/>
  <c r="A66" i="69"/>
  <c r="D72" i="69"/>
  <c r="A13" i="69"/>
  <c r="A14" i="69" s="1"/>
  <c r="A15" i="69" s="1"/>
  <c r="A16" i="69" s="1"/>
  <c r="A18" i="69" s="1"/>
  <c r="A19" i="69" s="1"/>
  <c r="A20" i="69" s="1"/>
  <c r="A7" i="69"/>
  <c r="A128" i="69" s="1"/>
  <c r="A4" i="69"/>
  <c r="A125" i="69" s="1"/>
  <c r="A2" i="69"/>
  <c r="A62" i="69" s="1"/>
  <c r="A1" i="69"/>
  <c r="A61" i="69" s="1"/>
  <c r="A184" i="69" l="1"/>
  <c r="A183" i="69"/>
  <c r="A189" i="69"/>
  <c r="A64" i="69"/>
  <c r="A186" i="69"/>
  <c r="A122" i="69"/>
  <c r="A67" i="69"/>
  <c r="A123" i="69"/>
  <c r="A22" i="69"/>
  <c r="A21" i="69"/>
  <c r="A23" i="69" s="1"/>
  <c r="A24" i="69" s="1"/>
  <c r="A25" i="69" s="1"/>
  <c r="A26" i="69" s="1"/>
  <c r="A27" i="69" s="1"/>
  <c r="A29" i="69" s="1"/>
  <c r="A30" i="69" s="1"/>
  <c r="A31" i="69" s="1"/>
  <c r="A32" i="69" s="1"/>
  <c r="A33" i="69" s="1"/>
  <c r="A34" i="69" s="1"/>
  <c r="A35" i="69" s="1"/>
  <c r="A36" i="69" s="1"/>
  <c r="A37" i="69" s="1"/>
  <c r="A38" i="69" s="1"/>
  <c r="A40" i="69" s="1"/>
  <c r="A41" i="69" s="1"/>
  <c r="A42" i="69" s="1"/>
  <c r="A43" i="69" s="1"/>
  <c r="A44" i="69" s="1"/>
  <c r="A45" i="69" s="1"/>
  <c r="A46" i="69" s="1"/>
  <c r="A47" i="69" s="1"/>
  <c r="A48" i="69" s="1"/>
  <c r="A49" i="69" s="1"/>
  <c r="A51" i="69" s="1"/>
  <c r="A52" i="69" s="1"/>
  <c r="A53" i="69" s="1"/>
  <c r="A54" i="69" s="1"/>
  <c r="A55" i="69" s="1"/>
  <c r="A56" i="69" s="1"/>
  <c r="A57" i="69" s="1"/>
  <c r="A58" i="69" s="1"/>
  <c r="A59" i="69" s="1"/>
  <c r="A60" i="69" s="1"/>
  <c r="A72" i="69" s="1"/>
  <c r="A73" i="69" s="1"/>
  <c r="A84" i="69" l="1"/>
  <c r="A85" i="69" s="1"/>
  <c r="A86" i="69" s="1"/>
  <c r="A87" i="69" s="1"/>
  <c r="A88" i="69" s="1"/>
  <c r="A89" i="69" s="1"/>
  <c r="A90" i="69" s="1"/>
  <c r="A91" i="69" s="1"/>
  <c r="A92" i="69" s="1"/>
  <c r="A93" i="69" s="1"/>
  <c r="A94" i="69" s="1"/>
  <c r="A95" i="69" s="1"/>
  <c r="A96" i="69" s="1"/>
  <c r="A97" i="69" s="1"/>
  <c r="A98" i="69" s="1"/>
  <c r="A100" i="69" s="1"/>
  <c r="A101" i="69" s="1"/>
  <c r="A102" i="69" s="1"/>
  <c r="A103" i="69" s="1"/>
  <c r="A104" i="69" s="1"/>
  <c r="A105" i="69" s="1"/>
  <c r="A106" i="69" s="1"/>
  <c r="A107" i="69" s="1"/>
  <c r="A108" i="69" s="1"/>
  <c r="A109" i="69" s="1"/>
  <c r="A110" i="69" s="1"/>
  <c r="A111" i="69" s="1"/>
  <c r="A112" i="69" s="1"/>
  <c r="A114" i="69" s="1"/>
  <c r="A115" i="69" s="1"/>
  <c r="A116" i="69" s="1"/>
  <c r="A117" i="69" s="1"/>
  <c r="A118" i="69" s="1"/>
  <c r="A119" i="69" s="1"/>
  <c r="A120" i="69" s="1"/>
  <c r="A121" i="69" s="1"/>
  <c r="A133" i="69" s="1"/>
  <c r="A134" i="69" s="1"/>
  <c r="A135" i="69" s="1"/>
  <c r="A136" i="69" s="1"/>
  <c r="A138" i="69" s="1"/>
  <c r="A139" i="69" s="1"/>
  <c r="A140" i="69" s="1"/>
  <c r="A141" i="69" s="1"/>
  <c r="A142" i="69" s="1"/>
  <c r="A143" i="69" s="1"/>
  <c r="A144" i="69" s="1"/>
  <c r="A145" i="69" s="1"/>
  <c r="A146" i="69" s="1"/>
  <c r="A147" i="69" s="1"/>
  <c r="A148" i="69" s="1"/>
  <c r="A150" i="69" s="1"/>
  <c r="A151" i="69" s="1"/>
  <c r="A152" i="69" s="1"/>
  <c r="A153" i="69" s="1"/>
  <c r="A154" i="69" s="1"/>
  <c r="A155" i="69" s="1"/>
  <c r="A156" i="69" s="1"/>
  <c r="A157" i="69" s="1"/>
  <c r="A158" i="69" s="1"/>
  <c r="A159" i="69" s="1"/>
  <c r="A160" i="69" s="1"/>
  <c r="A161" i="69" s="1"/>
  <c r="A163" i="69" s="1"/>
  <c r="A164" i="69" s="1"/>
  <c r="A165" i="69" s="1"/>
  <c r="A166" i="69" s="1"/>
  <c r="A167" i="69" s="1"/>
  <c r="A168" i="69" s="1"/>
  <c r="A169" i="69" s="1"/>
  <c r="A170" i="69" s="1"/>
  <c r="A172" i="69" s="1"/>
  <c r="A173" i="69" s="1"/>
  <c r="A174" i="69" s="1"/>
  <c r="A175" i="69" s="1"/>
  <c r="A176" i="69" s="1"/>
  <c r="A177" i="69" s="1"/>
  <c r="A179" i="69" s="1"/>
  <c r="A180" i="69" s="1"/>
  <c r="A181" i="69" s="1"/>
  <c r="A182" i="69" s="1"/>
  <c r="A194" i="69" s="1"/>
  <c r="A195" i="69" s="1"/>
  <c r="A196" i="69" s="1"/>
  <c r="A197" i="69" s="1"/>
  <c r="A199" i="69" s="1"/>
  <c r="A201" i="69" s="1"/>
  <c r="A203" i="69" s="1"/>
  <c r="A75" i="69"/>
  <c r="A76" i="69" s="1"/>
  <c r="A77" i="69" s="1"/>
  <c r="A78" i="69" s="1"/>
  <c r="A79" i="69" s="1"/>
  <c r="A80" i="69" s="1"/>
  <c r="A81" i="69" s="1"/>
  <c r="A82" i="69" s="1"/>
  <c r="A13" i="30"/>
  <c r="A14" i="30" l="1"/>
  <c r="A15" i="30" s="1"/>
  <c r="A16" i="30" s="1"/>
  <c r="D21" i="68"/>
  <c r="A18" i="30" l="1"/>
  <c r="A19" i="30" s="1"/>
  <c r="A20" i="30" s="1"/>
  <c r="A4" i="68"/>
  <c r="F25" i="68"/>
  <c r="E25" i="68"/>
  <c r="E14" i="68"/>
  <c r="A7" i="68"/>
  <c r="A2" i="68"/>
  <c r="A1" i="68"/>
  <c r="F25" i="67"/>
  <c r="E25" i="67"/>
  <c r="E14" i="67"/>
  <c r="A7" i="67"/>
  <c r="A2" i="67"/>
  <c r="A1" i="67"/>
  <c r="A21" i="30" l="1"/>
  <c r="A23" i="30" s="1"/>
  <c r="A24" i="30" s="1"/>
  <c r="A22" i="30"/>
  <c r="G14" i="68"/>
  <c r="G14" i="67"/>
  <c r="B2" i="58"/>
  <c r="B2" i="59"/>
  <c r="A25" i="30" l="1"/>
  <c r="A26" i="30" s="1"/>
  <c r="A27" i="30" s="1"/>
  <c r="A29" i="30" s="1"/>
  <c r="P116" i="66"/>
  <c r="P115" i="66"/>
  <c r="P114" i="66"/>
  <c r="P113" i="66"/>
  <c r="P112" i="66"/>
  <c r="P111" i="66"/>
  <c r="P110" i="66"/>
  <c r="P106" i="66"/>
  <c r="P105" i="66"/>
  <c r="P104" i="66"/>
  <c r="P103" i="66"/>
  <c r="P102" i="66"/>
  <c r="P101" i="66"/>
  <c r="P100" i="66"/>
  <c r="P99" i="66"/>
  <c r="P98" i="66"/>
  <c r="P94" i="66"/>
  <c r="P93" i="66"/>
  <c r="P89" i="66"/>
  <c r="P88" i="66"/>
  <c r="P87" i="66"/>
  <c r="P83" i="66"/>
  <c r="P82" i="66"/>
  <c r="P81" i="66"/>
  <c r="P80" i="66"/>
  <c r="P79" i="66"/>
  <c r="P78" i="66"/>
  <c r="P56" i="66"/>
  <c r="P55" i="66"/>
  <c r="P54" i="66"/>
  <c r="P53" i="66"/>
  <c r="P52" i="66"/>
  <c r="P51" i="66"/>
  <c r="P50" i="66"/>
  <c r="P46" i="66"/>
  <c r="P45" i="66"/>
  <c r="P44" i="66"/>
  <c r="P43" i="66"/>
  <c r="P42" i="66"/>
  <c r="P41" i="66"/>
  <c r="P40" i="66"/>
  <c r="P39" i="66"/>
  <c r="P38" i="66"/>
  <c r="P37" i="66"/>
  <c r="P36" i="66"/>
  <c r="P35" i="66"/>
  <c r="P34" i="66"/>
  <c r="P33" i="66"/>
  <c r="P32" i="66"/>
  <c r="P31" i="66"/>
  <c r="P27" i="66"/>
  <c r="P26" i="66"/>
  <c r="P25" i="66"/>
  <c r="P24" i="66"/>
  <c r="P20" i="66"/>
  <c r="P18" i="66"/>
  <c r="P17" i="66"/>
  <c r="A30" i="30" l="1"/>
  <c r="A31" i="30" s="1"/>
  <c r="A32" i="30" s="1"/>
  <c r="A33" i="30" s="1"/>
  <c r="A34" i="30" s="1"/>
  <c r="A35" i="30" s="1"/>
  <c r="A36" i="30" s="1"/>
  <c r="A37" i="30" s="1"/>
  <c r="A38" i="30" s="1"/>
  <c r="N116" i="66"/>
  <c r="N115" i="66"/>
  <c r="N114" i="66"/>
  <c r="N113" i="66"/>
  <c r="N112" i="66"/>
  <c r="N111" i="66"/>
  <c r="N110" i="66"/>
  <c r="N106" i="66"/>
  <c r="N105" i="66"/>
  <c r="N104" i="66"/>
  <c r="N103" i="66"/>
  <c r="N102" i="66"/>
  <c r="N101" i="66"/>
  <c r="N100" i="66"/>
  <c r="N99" i="66"/>
  <c r="N98" i="66"/>
  <c r="N94" i="66"/>
  <c r="N93" i="66"/>
  <c r="N89" i="66"/>
  <c r="O89" i="66" s="1"/>
  <c r="N88" i="66"/>
  <c r="N87" i="66"/>
  <c r="N83" i="66"/>
  <c r="N82" i="66"/>
  <c r="N81" i="66"/>
  <c r="N80" i="66"/>
  <c r="N79" i="66"/>
  <c r="N78" i="66"/>
  <c r="N56" i="66"/>
  <c r="N55" i="66"/>
  <c r="N54" i="66"/>
  <c r="N53" i="66"/>
  <c r="N52" i="66"/>
  <c r="N51" i="66"/>
  <c r="N50" i="66"/>
  <c r="N46" i="66"/>
  <c r="N45" i="66"/>
  <c r="N44" i="66"/>
  <c r="N43" i="66"/>
  <c r="N42" i="66"/>
  <c r="N41" i="66"/>
  <c r="N40" i="66"/>
  <c r="N39" i="66"/>
  <c r="N38" i="66"/>
  <c r="N37" i="66"/>
  <c r="N36" i="66"/>
  <c r="N35" i="66"/>
  <c r="N34" i="66"/>
  <c r="N33" i="66"/>
  <c r="N32" i="66"/>
  <c r="N31" i="66"/>
  <c r="N27" i="66"/>
  <c r="N26" i="66"/>
  <c r="N25" i="66"/>
  <c r="N24" i="66"/>
  <c r="N20" i="66"/>
  <c r="N18" i="66"/>
  <c r="N17" i="66"/>
  <c r="A40" i="30" l="1"/>
  <c r="A41" i="30" s="1"/>
  <c r="A42" i="30" s="1"/>
  <c r="A43" i="30" s="1"/>
  <c r="A44" i="30" s="1"/>
  <c r="A45" i="30" s="1"/>
  <c r="A46" i="30" s="1"/>
  <c r="A47" i="30" s="1"/>
  <c r="A48" i="30" s="1"/>
  <c r="A49" i="30" s="1"/>
  <c r="A51" i="30" s="1"/>
  <c r="L116" i="66"/>
  <c r="L115" i="66"/>
  <c r="L114" i="66"/>
  <c r="L113" i="66"/>
  <c r="L112" i="66"/>
  <c r="L111" i="66"/>
  <c r="L110" i="66"/>
  <c r="L106" i="66"/>
  <c r="L105" i="66"/>
  <c r="L104" i="66"/>
  <c r="L103" i="66"/>
  <c r="L102" i="66"/>
  <c r="L101" i="66"/>
  <c r="L100" i="66"/>
  <c r="L99" i="66"/>
  <c r="L98" i="66"/>
  <c r="M98" i="66" s="1"/>
  <c r="L94" i="66"/>
  <c r="L93" i="66"/>
  <c r="L89" i="66"/>
  <c r="L88" i="66"/>
  <c r="L87" i="66"/>
  <c r="L83" i="66"/>
  <c r="L82" i="66"/>
  <c r="L80" i="66"/>
  <c r="L79" i="66"/>
  <c r="L78" i="66"/>
  <c r="L56" i="66"/>
  <c r="L55" i="66"/>
  <c r="L54" i="66"/>
  <c r="L53" i="66"/>
  <c r="L52" i="66"/>
  <c r="L51" i="66"/>
  <c r="L50" i="66"/>
  <c r="L46" i="66"/>
  <c r="L45" i="66"/>
  <c r="L44" i="66"/>
  <c r="L43" i="66"/>
  <c r="L42" i="66"/>
  <c r="L41" i="66"/>
  <c r="L40" i="66"/>
  <c r="L39" i="66"/>
  <c r="L38" i="66"/>
  <c r="L37" i="66"/>
  <c r="L36" i="66"/>
  <c r="L35" i="66"/>
  <c r="L34" i="66"/>
  <c r="L33" i="66"/>
  <c r="L32" i="66"/>
  <c r="L31" i="66"/>
  <c r="L27" i="66"/>
  <c r="L26" i="66"/>
  <c r="L25" i="66"/>
  <c r="L24" i="66"/>
  <c r="L20" i="66"/>
  <c r="L18" i="66"/>
  <c r="L17" i="66"/>
  <c r="A52" i="30" l="1"/>
  <c r="A53" i="30" s="1"/>
  <c r="A54" i="30" s="1"/>
  <c r="A55" i="30" s="1"/>
  <c r="A56" i="30" s="1"/>
  <c r="A57" i="30" s="1"/>
  <c r="A58" i="30" s="1"/>
  <c r="A59" i="30" s="1"/>
  <c r="A60" i="30" s="1"/>
  <c r="A72" i="30" s="1"/>
  <c r="A73" i="30" s="1"/>
  <c r="J116" i="66"/>
  <c r="J115" i="66"/>
  <c r="J114" i="66"/>
  <c r="J113" i="66"/>
  <c r="J112" i="66"/>
  <c r="J111" i="66"/>
  <c r="J110" i="66"/>
  <c r="J106" i="66"/>
  <c r="J105" i="66"/>
  <c r="J104" i="66"/>
  <c r="J103" i="66"/>
  <c r="J102" i="66"/>
  <c r="J101" i="66"/>
  <c r="J100" i="66"/>
  <c r="J99" i="66"/>
  <c r="J98" i="66"/>
  <c r="K98" i="66" s="1"/>
  <c r="J94" i="66"/>
  <c r="J93" i="66"/>
  <c r="J89" i="66"/>
  <c r="J88" i="66"/>
  <c r="J87" i="66"/>
  <c r="J83" i="66"/>
  <c r="J82" i="66"/>
  <c r="J80" i="66"/>
  <c r="J79" i="66"/>
  <c r="J78" i="66"/>
  <c r="J56" i="66"/>
  <c r="J55" i="66"/>
  <c r="J54" i="66"/>
  <c r="J53" i="66"/>
  <c r="J52" i="66"/>
  <c r="J51" i="66"/>
  <c r="J50" i="66"/>
  <c r="J46" i="66"/>
  <c r="J45" i="66"/>
  <c r="J44" i="66"/>
  <c r="J43" i="66"/>
  <c r="J42" i="66"/>
  <c r="J41" i="66"/>
  <c r="J40" i="66"/>
  <c r="J39" i="66"/>
  <c r="J38" i="66"/>
  <c r="J37" i="66"/>
  <c r="J36" i="66"/>
  <c r="J35" i="66"/>
  <c r="J34" i="66"/>
  <c r="J33" i="66"/>
  <c r="J32" i="66"/>
  <c r="J31" i="66"/>
  <c r="J27" i="66"/>
  <c r="J26" i="66"/>
  <c r="J25" i="66"/>
  <c r="J24" i="66"/>
  <c r="J20" i="66"/>
  <c r="J18" i="66"/>
  <c r="J17" i="66"/>
  <c r="A84" i="30" l="1"/>
  <c r="A75" i="30"/>
  <c r="A76" i="30" s="1"/>
  <c r="A77" i="30" s="1"/>
  <c r="A78" i="30" s="1"/>
  <c r="A79" i="30" s="1"/>
  <c r="A80" i="30" s="1"/>
  <c r="A81" i="30" s="1"/>
  <c r="A82" i="30" s="1"/>
  <c r="H116" i="66"/>
  <c r="H115" i="66"/>
  <c r="H114" i="66"/>
  <c r="H113" i="66"/>
  <c r="H112" i="66"/>
  <c r="H111" i="66"/>
  <c r="H110" i="66"/>
  <c r="H106" i="66"/>
  <c r="H105" i="66"/>
  <c r="H104" i="66"/>
  <c r="H103" i="66"/>
  <c r="H102" i="66"/>
  <c r="H101" i="66"/>
  <c r="H100" i="66"/>
  <c r="H99" i="66"/>
  <c r="H98" i="66"/>
  <c r="H94" i="66"/>
  <c r="H93" i="66"/>
  <c r="H89" i="66"/>
  <c r="H88" i="66"/>
  <c r="H87" i="66"/>
  <c r="H83" i="66"/>
  <c r="H82" i="66"/>
  <c r="H80" i="66"/>
  <c r="H79" i="66"/>
  <c r="H78" i="66"/>
  <c r="H56" i="66"/>
  <c r="H55" i="66"/>
  <c r="H54" i="66"/>
  <c r="H53" i="66"/>
  <c r="H52" i="66"/>
  <c r="H51" i="66"/>
  <c r="H50" i="66"/>
  <c r="H46" i="66"/>
  <c r="H45" i="66"/>
  <c r="H44" i="66"/>
  <c r="H43" i="66"/>
  <c r="H42" i="66"/>
  <c r="H41" i="66"/>
  <c r="H40" i="66"/>
  <c r="H39" i="66"/>
  <c r="H38" i="66"/>
  <c r="H37" i="66"/>
  <c r="H36" i="66"/>
  <c r="H35" i="66"/>
  <c r="H34" i="66"/>
  <c r="H33" i="66"/>
  <c r="H32" i="66"/>
  <c r="H31" i="66"/>
  <c r="H27" i="66"/>
  <c r="H26" i="66"/>
  <c r="H25" i="66"/>
  <c r="H24" i="66"/>
  <c r="H20" i="66"/>
  <c r="H18" i="66"/>
  <c r="H17" i="66"/>
  <c r="A85" i="30" l="1"/>
  <c r="A86" i="30" s="1"/>
  <c r="A87" i="30" s="1"/>
  <c r="A88" i="30" s="1"/>
  <c r="A89" i="30" s="1"/>
  <c r="A90" i="30" s="1"/>
  <c r="A91" i="30" s="1"/>
  <c r="A92" i="30" s="1"/>
  <c r="A93" i="30" s="1"/>
  <c r="A94" i="30" s="1"/>
  <c r="A95" i="30" s="1"/>
  <c r="A96" i="30" s="1"/>
  <c r="A97" i="30" s="1"/>
  <c r="A98" i="30" s="1"/>
  <c r="E113" i="66"/>
  <c r="E105" i="66"/>
  <c r="E99" i="66"/>
  <c r="E56" i="66"/>
  <c r="E54" i="66"/>
  <c r="E52" i="66"/>
  <c r="E51" i="66"/>
  <c r="E55" i="66"/>
  <c r="E50" i="66"/>
  <c r="E42" i="66"/>
  <c r="E33" i="66"/>
  <c r="E20" i="66"/>
  <c r="P117" i="66"/>
  <c r="N117" i="66"/>
  <c r="L117" i="66"/>
  <c r="J117" i="66"/>
  <c r="H117" i="66"/>
  <c r="O116" i="66"/>
  <c r="M116" i="66"/>
  <c r="K116" i="66"/>
  <c r="I116" i="66"/>
  <c r="G116" i="66"/>
  <c r="E116" i="66"/>
  <c r="O114" i="66"/>
  <c r="M114" i="66"/>
  <c r="K114" i="66"/>
  <c r="I114" i="66"/>
  <c r="G114" i="66"/>
  <c r="E114" i="66"/>
  <c r="O113" i="66"/>
  <c r="M113" i="66"/>
  <c r="K113" i="66"/>
  <c r="I113" i="66"/>
  <c r="G113" i="66"/>
  <c r="O112" i="66"/>
  <c r="M112" i="66"/>
  <c r="K112" i="66"/>
  <c r="I112" i="66"/>
  <c r="G112" i="66"/>
  <c r="E112" i="66"/>
  <c r="O111" i="66"/>
  <c r="M111" i="66"/>
  <c r="K111" i="66"/>
  <c r="I111" i="66"/>
  <c r="G111" i="66"/>
  <c r="E111" i="66"/>
  <c r="O110" i="66"/>
  <c r="M110" i="66"/>
  <c r="K110" i="66"/>
  <c r="I110" i="66"/>
  <c r="G110" i="66"/>
  <c r="E110" i="66"/>
  <c r="P107" i="66"/>
  <c r="N107" i="66"/>
  <c r="L107" i="66"/>
  <c r="J107" i="66"/>
  <c r="H107" i="66"/>
  <c r="G107" i="66" s="1"/>
  <c r="O106" i="66"/>
  <c r="M106" i="66"/>
  <c r="K106" i="66"/>
  <c r="I106" i="66"/>
  <c r="G106" i="66"/>
  <c r="E106" i="66"/>
  <c r="O105" i="66"/>
  <c r="M105" i="66"/>
  <c r="K105" i="66"/>
  <c r="I105" i="66"/>
  <c r="G105" i="66"/>
  <c r="O104" i="66"/>
  <c r="M104" i="66"/>
  <c r="K104" i="66"/>
  <c r="I104" i="66"/>
  <c r="G104" i="66"/>
  <c r="E104" i="66"/>
  <c r="O103" i="66"/>
  <c r="M103" i="66"/>
  <c r="K103" i="66"/>
  <c r="I103" i="66"/>
  <c r="G103" i="66"/>
  <c r="E103" i="66"/>
  <c r="O102" i="66"/>
  <c r="M102" i="66"/>
  <c r="K102" i="66"/>
  <c r="I102" i="66"/>
  <c r="G102" i="66"/>
  <c r="E102" i="66"/>
  <c r="O99" i="66"/>
  <c r="M99" i="66"/>
  <c r="K99" i="66"/>
  <c r="I99" i="66"/>
  <c r="G99" i="66"/>
  <c r="I98" i="66"/>
  <c r="G98" i="66"/>
  <c r="P95" i="66"/>
  <c r="N95" i="66"/>
  <c r="L95" i="66"/>
  <c r="J95" i="66"/>
  <c r="H95" i="66"/>
  <c r="G95" i="66" s="1"/>
  <c r="O94" i="66"/>
  <c r="M94" i="66"/>
  <c r="K94" i="66"/>
  <c r="I94" i="66"/>
  <c r="G94" i="66"/>
  <c r="E94" i="66"/>
  <c r="O93" i="66"/>
  <c r="M93" i="66"/>
  <c r="K93" i="66"/>
  <c r="I93" i="66"/>
  <c r="G93" i="66"/>
  <c r="E93" i="66"/>
  <c r="P90" i="66"/>
  <c r="N90" i="66"/>
  <c r="L90" i="66"/>
  <c r="J90" i="66"/>
  <c r="H90" i="66"/>
  <c r="M89" i="66"/>
  <c r="K89" i="66"/>
  <c r="I89" i="66"/>
  <c r="G89" i="66"/>
  <c r="E89" i="66"/>
  <c r="O87" i="66"/>
  <c r="M87" i="66"/>
  <c r="K87" i="66"/>
  <c r="I87" i="66"/>
  <c r="P84" i="66"/>
  <c r="N84" i="66"/>
  <c r="L84" i="66"/>
  <c r="J84" i="66"/>
  <c r="H84" i="66"/>
  <c r="O82" i="66"/>
  <c r="M82" i="66"/>
  <c r="K82" i="66"/>
  <c r="I82" i="66"/>
  <c r="G82" i="66"/>
  <c r="E82" i="66"/>
  <c r="O80" i="66"/>
  <c r="M80" i="66"/>
  <c r="K80" i="66"/>
  <c r="I80" i="66"/>
  <c r="O79" i="66"/>
  <c r="M79" i="66"/>
  <c r="K79" i="66"/>
  <c r="I79" i="66"/>
  <c r="G79" i="66"/>
  <c r="E79" i="66"/>
  <c r="O78" i="66"/>
  <c r="M78" i="66"/>
  <c r="K78" i="66"/>
  <c r="I78" i="66"/>
  <c r="G78" i="66"/>
  <c r="E78" i="66"/>
  <c r="A77" i="66"/>
  <c r="A78" i="66" s="1"/>
  <c r="A79" i="66" s="1"/>
  <c r="A80" i="66" s="1"/>
  <c r="A81" i="66" s="1"/>
  <c r="A82" i="66" s="1"/>
  <c r="A83" i="66" s="1"/>
  <c r="A84" i="66" s="1"/>
  <c r="A86" i="66" s="1"/>
  <c r="A87" i="66" s="1"/>
  <c r="A88" i="66" s="1"/>
  <c r="A89" i="66" s="1"/>
  <c r="A90" i="66" s="1"/>
  <c r="A92" i="66" s="1"/>
  <c r="A93" i="66" s="1"/>
  <c r="A94" i="66" s="1"/>
  <c r="A95" i="66" s="1"/>
  <c r="A97" i="66" s="1"/>
  <c r="A98" i="66" s="1"/>
  <c r="A99" i="66" s="1"/>
  <c r="A100" i="66" s="1"/>
  <c r="A101" i="66" s="1"/>
  <c r="A102" i="66" s="1"/>
  <c r="A103" i="66" s="1"/>
  <c r="A104" i="66" s="1"/>
  <c r="A105" i="66" s="1"/>
  <c r="A106" i="66" s="1"/>
  <c r="A107" i="66" s="1"/>
  <c r="A109" i="66" s="1"/>
  <c r="A110" i="66" s="1"/>
  <c r="A111" i="66" s="1"/>
  <c r="A112" i="66" s="1"/>
  <c r="A113" i="66" s="1"/>
  <c r="A114" i="66" s="1"/>
  <c r="A115" i="66" s="1"/>
  <c r="A116" i="66" s="1"/>
  <c r="A117" i="66" s="1"/>
  <c r="A119" i="66" s="1"/>
  <c r="A121" i="66" s="1"/>
  <c r="P73" i="66"/>
  <c r="N73" i="66"/>
  <c r="L73" i="66"/>
  <c r="J73" i="66"/>
  <c r="H73" i="66"/>
  <c r="A69" i="66"/>
  <c r="A67" i="66"/>
  <c r="A65" i="66"/>
  <c r="A64" i="66"/>
  <c r="P57" i="66"/>
  <c r="N57" i="66"/>
  <c r="L57" i="66"/>
  <c r="J57" i="66"/>
  <c r="H57" i="66"/>
  <c r="O56" i="66"/>
  <c r="M56" i="66"/>
  <c r="K56" i="66"/>
  <c r="I56" i="66"/>
  <c r="G56" i="66"/>
  <c r="O55" i="66"/>
  <c r="M55" i="66"/>
  <c r="K55" i="66"/>
  <c r="I55" i="66"/>
  <c r="G55" i="66"/>
  <c r="O54" i="66"/>
  <c r="M54" i="66"/>
  <c r="K54" i="66"/>
  <c r="I54" i="66"/>
  <c r="G54" i="66"/>
  <c r="O52" i="66"/>
  <c r="M52" i="66"/>
  <c r="K52" i="66"/>
  <c r="I52" i="66"/>
  <c r="G52" i="66"/>
  <c r="O51" i="66"/>
  <c r="M51" i="66"/>
  <c r="K51" i="66"/>
  <c r="I51" i="66"/>
  <c r="G51" i="66"/>
  <c r="O50" i="66"/>
  <c r="M50" i="66"/>
  <c r="K50" i="66"/>
  <c r="I50" i="66"/>
  <c r="G50" i="66"/>
  <c r="P47" i="66"/>
  <c r="N47" i="66"/>
  <c r="L47" i="66"/>
  <c r="J47" i="66"/>
  <c r="H47" i="66"/>
  <c r="O45" i="66"/>
  <c r="M45" i="66"/>
  <c r="K45" i="66"/>
  <c r="I45" i="66"/>
  <c r="G45" i="66"/>
  <c r="O44" i="66"/>
  <c r="M44" i="66"/>
  <c r="K44" i="66"/>
  <c r="I44" i="66"/>
  <c r="G44" i="66"/>
  <c r="E44" i="66"/>
  <c r="O43" i="66"/>
  <c r="M43" i="66"/>
  <c r="K43" i="66"/>
  <c r="I43" i="66"/>
  <c r="G43" i="66"/>
  <c r="E43" i="66"/>
  <c r="O42" i="66"/>
  <c r="M42" i="66"/>
  <c r="K42" i="66"/>
  <c r="I42" i="66"/>
  <c r="G42" i="66"/>
  <c r="O41" i="66"/>
  <c r="M41" i="66"/>
  <c r="K41" i="66"/>
  <c r="I41" i="66"/>
  <c r="G41" i="66"/>
  <c r="O40" i="66"/>
  <c r="M40" i="66"/>
  <c r="K40" i="66"/>
  <c r="I40" i="66"/>
  <c r="G40" i="66"/>
  <c r="E40" i="66"/>
  <c r="O39" i="66"/>
  <c r="M39" i="66"/>
  <c r="K39" i="66"/>
  <c r="I39" i="66"/>
  <c r="G39" i="66"/>
  <c r="E39" i="66"/>
  <c r="O38" i="66"/>
  <c r="M38" i="66"/>
  <c r="K38" i="66"/>
  <c r="I38" i="66"/>
  <c r="E38" i="66"/>
  <c r="O37" i="66"/>
  <c r="M37" i="66"/>
  <c r="K37" i="66"/>
  <c r="I37" i="66"/>
  <c r="G37" i="66"/>
  <c r="O36" i="66"/>
  <c r="M36" i="66"/>
  <c r="K36" i="66"/>
  <c r="I36" i="66"/>
  <c r="G36" i="66"/>
  <c r="E36" i="66"/>
  <c r="O35" i="66"/>
  <c r="M35" i="66"/>
  <c r="K35" i="66"/>
  <c r="I35" i="66"/>
  <c r="G35" i="66"/>
  <c r="E35" i="66"/>
  <c r="O34" i="66"/>
  <c r="M34" i="66"/>
  <c r="K34" i="66"/>
  <c r="I34" i="66"/>
  <c r="G34" i="66"/>
  <c r="O33" i="66"/>
  <c r="M33" i="66"/>
  <c r="K33" i="66"/>
  <c r="I33" i="66"/>
  <c r="G33" i="66"/>
  <c r="O31" i="66"/>
  <c r="M31" i="66"/>
  <c r="K31" i="66"/>
  <c r="I31" i="66"/>
  <c r="G31" i="66"/>
  <c r="E31" i="66"/>
  <c r="P28" i="66"/>
  <c r="N28" i="66"/>
  <c r="L28" i="66"/>
  <c r="J28" i="66"/>
  <c r="H28" i="66"/>
  <c r="O20" i="66"/>
  <c r="M20" i="66"/>
  <c r="K20" i="66"/>
  <c r="I20" i="66"/>
  <c r="G20" i="66"/>
  <c r="P19" i="66"/>
  <c r="P21" i="66" s="1"/>
  <c r="N19" i="66"/>
  <c r="N21" i="66" s="1"/>
  <c r="L19" i="66"/>
  <c r="L21" i="66" s="1"/>
  <c r="O18" i="66"/>
  <c r="M18" i="66"/>
  <c r="K18" i="66"/>
  <c r="I18" i="66"/>
  <c r="O17" i="66"/>
  <c r="M17" i="66"/>
  <c r="K17" i="66"/>
  <c r="J19" i="66"/>
  <c r="I17" i="66"/>
  <c r="H19" i="66"/>
  <c r="H21" i="66" s="1"/>
  <c r="A16" i="66"/>
  <c r="A17" i="66" s="1"/>
  <c r="A18" i="66" s="1"/>
  <c r="A19" i="66" s="1"/>
  <c r="A20" i="66" s="1"/>
  <c r="A21" i="66" s="1"/>
  <c r="A23" i="66" s="1"/>
  <c r="A24" i="66" s="1"/>
  <c r="A25" i="66" s="1"/>
  <c r="A26" i="66" s="1"/>
  <c r="A27" i="66" s="1"/>
  <c r="A28" i="66" s="1"/>
  <c r="A30" i="66" s="1"/>
  <c r="A31" i="66" s="1"/>
  <c r="A32" i="66" s="1"/>
  <c r="A33" i="66" s="1"/>
  <c r="A34" i="66" s="1"/>
  <c r="A35" i="66" s="1"/>
  <c r="A36" i="66" s="1"/>
  <c r="A37" i="66" s="1"/>
  <c r="A38" i="66" s="1"/>
  <c r="A39" i="66" s="1"/>
  <c r="A40" i="66" s="1"/>
  <c r="A41" i="66" s="1"/>
  <c r="A42" i="66" s="1"/>
  <c r="A43" i="66" s="1"/>
  <c r="A44" i="66" s="1"/>
  <c r="A45" i="66" s="1"/>
  <c r="A46" i="66" s="1"/>
  <c r="A47" i="66" s="1"/>
  <c r="A49" i="66" s="1"/>
  <c r="A50" i="66" s="1"/>
  <c r="A51" i="66" s="1"/>
  <c r="A52" i="66" s="1"/>
  <c r="A53" i="66" s="1"/>
  <c r="A54" i="66" s="1"/>
  <c r="A55" i="66" s="1"/>
  <c r="A56" i="66" s="1"/>
  <c r="A57" i="66" s="1"/>
  <c r="A59" i="66" s="1"/>
  <c r="A68" i="66"/>
  <c r="A2" i="66"/>
  <c r="A63" i="66" s="1"/>
  <c r="A1" i="66"/>
  <c r="A62" i="66" s="1"/>
  <c r="I117" i="66" l="1"/>
  <c r="I90" i="66"/>
  <c r="G57" i="66"/>
  <c r="O57" i="66"/>
  <c r="K84" i="66"/>
  <c r="I107" i="66"/>
  <c r="M84" i="66"/>
  <c r="O90" i="66"/>
  <c r="K107" i="66"/>
  <c r="P59" i="66"/>
  <c r="K57" i="66"/>
  <c r="M117" i="66"/>
  <c r="A100" i="30"/>
  <c r="A101" i="30" s="1"/>
  <c r="A102" i="30" s="1"/>
  <c r="A103" i="30" s="1"/>
  <c r="A104" i="30" s="1"/>
  <c r="A105" i="30" s="1"/>
  <c r="A106" i="30" s="1"/>
  <c r="A107" i="30" s="1"/>
  <c r="A108" i="30" s="1"/>
  <c r="A109" i="30" s="1"/>
  <c r="A110" i="30" s="1"/>
  <c r="A111" i="30" s="1"/>
  <c r="A112" i="30" s="1"/>
  <c r="A114" i="30" s="1"/>
  <c r="O107" i="66"/>
  <c r="M107" i="66"/>
  <c r="O117" i="66"/>
  <c r="P119" i="66"/>
  <c r="O84" i="66"/>
  <c r="M90" i="66"/>
  <c r="M47" i="66"/>
  <c r="N59" i="66"/>
  <c r="O19" i="66"/>
  <c r="M21" i="66"/>
  <c r="K117" i="66"/>
  <c r="K90" i="66"/>
  <c r="M19" i="66"/>
  <c r="K19" i="66"/>
  <c r="I84" i="66"/>
  <c r="I47" i="66"/>
  <c r="I19" i="66"/>
  <c r="L59" i="66"/>
  <c r="G80" i="66"/>
  <c r="G90" i="66"/>
  <c r="G87" i="66"/>
  <c r="N119" i="66"/>
  <c r="O95" i="66"/>
  <c r="E18" i="66"/>
  <c r="J21" i="66"/>
  <c r="I21" i="66" s="1"/>
  <c r="E37" i="66"/>
  <c r="E45" i="66"/>
  <c r="K47" i="66"/>
  <c r="E57" i="66"/>
  <c r="M57" i="66"/>
  <c r="I95" i="66"/>
  <c r="H119" i="66"/>
  <c r="G18" i="66"/>
  <c r="H59" i="66"/>
  <c r="J119" i="66"/>
  <c r="K95" i="66"/>
  <c r="O21" i="66"/>
  <c r="E41" i="66"/>
  <c r="G47" i="66"/>
  <c r="O47" i="66"/>
  <c r="I57" i="66"/>
  <c r="E80" i="66"/>
  <c r="E87" i="66"/>
  <c r="E90" i="66"/>
  <c r="E95" i="66"/>
  <c r="M95" i="66"/>
  <c r="L119" i="66"/>
  <c r="E107" i="66"/>
  <c r="G117" i="66"/>
  <c r="O59" i="66" l="1"/>
  <c r="P121" i="66"/>
  <c r="A115" i="30"/>
  <c r="A116" i="30" s="1"/>
  <c r="A117" i="30" s="1"/>
  <c r="A118" i="30" s="1"/>
  <c r="A119" i="30" s="1"/>
  <c r="A120" i="30" s="1"/>
  <c r="A121" i="30" s="1"/>
  <c r="A133" i="30" s="1"/>
  <c r="A134" i="30" s="1"/>
  <c r="A135" i="30" s="1"/>
  <c r="A136" i="30" s="1"/>
  <c r="A138" i="30" s="1"/>
  <c r="A139" i="30" s="1"/>
  <c r="A140" i="30" s="1"/>
  <c r="A141" i="30" s="1"/>
  <c r="A142" i="30" s="1"/>
  <c r="A143" i="30" s="1"/>
  <c r="A144" i="30" s="1"/>
  <c r="A145" i="30" s="1"/>
  <c r="A146" i="30" s="1"/>
  <c r="A147" i="30" s="1"/>
  <c r="A148" i="30" s="1"/>
  <c r="A150" i="30" s="1"/>
  <c r="A151" i="30" s="1"/>
  <c r="A152" i="30" s="1"/>
  <c r="A153" i="30" s="1"/>
  <c r="A154" i="30" s="1"/>
  <c r="A155" i="30" s="1"/>
  <c r="A156" i="30" s="1"/>
  <c r="A157" i="30" s="1"/>
  <c r="A158" i="30" s="1"/>
  <c r="A159" i="30" s="1"/>
  <c r="A160" i="30" s="1"/>
  <c r="A161" i="30" s="1"/>
  <c r="A163" i="30" s="1"/>
  <c r="A164" i="30" s="1"/>
  <c r="A165" i="30" s="1"/>
  <c r="A166" i="30" s="1"/>
  <c r="A167" i="30" s="1"/>
  <c r="A168" i="30" s="1"/>
  <c r="A169" i="30" s="1"/>
  <c r="A170" i="30" s="1"/>
  <c r="A172" i="30" s="1"/>
  <c r="A173" i="30" s="1"/>
  <c r="A174" i="30" s="1"/>
  <c r="A175" i="30" s="1"/>
  <c r="A176" i="30" s="1"/>
  <c r="A177" i="30" s="1"/>
  <c r="A179" i="30" s="1"/>
  <c r="A180" i="30" s="1"/>
  <c r="A181" i="30" s="1"/>
  <c r="A182" i="30" s="1"/>
  <c r="A194" i="30" s="1"/>
  <c r="A195" i="30" s="1"/>
  <c r="A196" i="30" s="1"/>
  <c r="A197" i="30" s="1"/>
  <c r="A199" i="30" s="1"/>
  <c r="A201" i="30" s="1"/>
  <c r="A203" i="30" s="1"/>
  <c r="O119" i="66"/>
  <c r="I119" i="66"/>
  <c r="E117" i="66"/>
  <c r="H121" i="66"/>
  <c r="M119" i="66"/>
  <c r="E47" i="66"/>
  <c r="F119" i="66"/>
  <c r="G119" i="66" s="1"/>
  <c r="G84" i="66"/>
  <c r="G17" i="66"/>
  <c r="K21" i="66"/>
  <c r="J59" i="66"/>
  <c r="I59" i="66" s="1"/>
  <c r="D119" i="66"/>
  <c r="E84" i="66"/>
  <c r="K119" i="66"/>
  <c r="E17" i="66"/>
  <c r="M59" i="66"/>
  <c r="L121" i="66"/>
  <c r="N121" i="66"/>
  <c r="E119" i="66" l="1"/>
  <c r="G19" i="66"/>
  <c r="E19" i="66"/>
  <c r="K59" i="66"/>
  <c r="J121" i="66"/>
  <c r="R37" i="58"/>
  <c r="R37" i="59"/>
  <c r="E21" i="66" l="1"/>
  <c r="D59" i="66"/>
  <c r="G21" i="66"/>
  <c r="F59" i="66"/>
  <c r="O5" i="65"/>
  <c r="AF5" i="65"/>
  <c r="D21" i="67" l="1"/>
  <c r="O7" i="65"/>
  <c r="E20" i="26" s="1"/>
  <c r="G19" i="25" s="1"/>
  <c r="AF7" i="65"/>
  <c r="E45" i="26" s="1"/>
  <c r="G45" i="25" s="1"/>
  <c r="F121" i="66"/>
  <c r="G59" i="66"/>
  <c r="E59" i="66"/>
  <c r="D121" i="66"/>
  <c r="A232" i="64"/>
  <c r="A230" i="64"/>
  <c r="A176" i="64"/>
  <c r="A174" i="64"/>
  <c r="A120" i="64"/>
  <c r="A118" i="64"/>
  <c r="A64" i="64"/>
  <c r="A62" i="64"/>
  <c r="A7" i="64"/>
  <c r="A343" i="64" s="1"/>
  <c r="A2" i="64"/>
  <c r="A338" i="64" s="1"/>
  <c r="A1" i="64"/>
  <c r="A337" i="64" s="1"/>
  <c r="A4" i="64"/>
  <c r="A340" i="64" s="1"/>
  <c r="O273" i="64"/>
  <c r="M273" i="64"/>
  <c r="J273" i="64"/>
  <c r="O272" i="64"/>
  <c r="M272" i="64"/>
  <c r="J272" i="64"/>
  <c r="O271" i="64"/>
  <c r="M271" i="64"/>
  <c r="J271" i="64"/>
  <c r="O270" i="64"/>
  <c r="M270" i="64"/>
  <c r="J270" i="64"/>
  <c r="O269" i="64"/>
  <c r="M269" i="64"/>
  <c r="J269" i="64"/>
  <c r="O268" i="64"/>
  <c r="M268" i="64"/>
  <c r="J268" i="64"/>
  <c r="O267" i="64"/>
  <c r="M267" i="64"/>
  <c r="J267" i="64"/>
  <c r="O266" i="64"/>
  <c r="M266" i="64"/>
  <c r="J266" i="64"/>
  <c r="O265" i="64"/>
  <c r="M265" i="64"/>
  <c r="J265" i="64"/>
  <c r="O264" i="64"/>
  <c r="M264" i="64"/>
  <c r="J264" i="64"/>
  <c r="O263" i="64"/>
  <c r="M263" i="64"/>
  <c r="J263" i="64"/>
  <c r="O262" i="64"/>
  <c r="M262" i="64"/>
  <c r="J262" i="64"/>
  <c r="O261" i="64"/>
  <c r="M261" i="64"/>
  <c r="J261" i="64"/>
  <c r="O260" i="64"/>
  <c r="M260" i="64"/>
  <c r="J260" i="64"/>
  <c r="O259" i="64"/>
  <c r="M259" i="64"/>
  <c r="J259" i="64"/>
  <c r="O258" i="64"/>
  <c r="M258" i="64"/>
  <c r="J258" i="64"/>
  <c r="O257" i="64"/>
  <c r="M257" i="64"/>
  <c r="J257" i="64"/>
  <c r="O256" i="64"/>
  <c r="M256" i="64"/>
  <c r="J256" i="64"/>
  <c r="O255" i="64"/>
  <c r="M255" i="64"/>
  <c r="J255" i="64"/>
  <c r="O254" i="64"/>
  <c r="M254" i="64"/>
  <c r="J254" i="64"/>
  <c r="O253" i="64"/>
  <c r="M253" i="64"/>
  <c r="J253" i="64"/>
  <c r="O252" i="64"/>
  <c r="M252" i="64"/>
  <c r="J252" i="64"/>
  <c r="O251" i="64"/>
  <c r="M251" i="64"/>
  <c r="J251" i="64"/>
  <c r="O250" i="64"/>
  <c r="M250" i="64"/>
  <c r="J250" i="64"/>
  <c r="O249" i="64"/>
  <c r="M249" i="64"/>
  <c r="J249" i="64"/>
  <c r="O248" i="64"/>
  <c r="M248" i="64"/>
  <c r="J248" i="64"/>
  <c r="O247" i="64"/>
  <c r="M247" i="64"/>
  <c r="J247" i="64"/>
  <c r="O246" i="64"/>
  <c r="M246" i="64"/>
  <c r="J246" i="64"/>
  <c r="O245" i="64"/>
  <c r="M245" i="64"/>
  <c r="J245" i="64"/>
  <c r="O244" i="64"/>
  <c r="M244" i="64"/>
  <c r="J244" i="64"/>
  <c r="O243" i="64"/>
  <c r="M243" i="64"/>
  <c r="J243" i="64"/>
  <c r="O242" i="64"/>
  <c r="M242" i="64"/>
  <c r="J242" i="64"/>
  <c r="O241" i="64"/>
  <c r="M241" i="64"/>
  <c r="J241" i="64"/>
  <c r="O240" i="64"/>
  <c r="M240" i="64"/>
  <c r="J240" i="64"/>
  <c r="O239" i="64"/>
  <c r="M239" i="64"/>
  <c r="J239" i="64"/>
  <c r="O238" i="64"/>
  <c r="M238" i="64"/>
  <c r="J238" i="64"/>
  <c r="O237" i="64"/>
  <c r="M237" i="64"/>
  <c r="J237" i="64"/>
  <c r="O224" i="64"/>
  <c r="M224" i="64"/>
  <c r="J224" i="64"/>
  <c r="O223" i="64"/>
  <c r="M223" i="64"/>
  <c r="J223" i="64"/>
  <c r="O222" i="64"/>
  <c r="M222" i="64"/>
  <c r="J222" i="64"/>
  <c r="O221" i="64"/>
  <c r="M221" i="64"/>
  <c r="J221" i="64"/>
  <c r="O220" i="64"/>
  <c r="M220" i="64"/>
  <c r="J220" i="64"/>
  <c r="O219" i="64"/>
  <c r="M219" i="64"/>
  <c r="J219" i="64"/>
  <c r="O218" i="64"/>
  <c r="M218" i="64"/>
  <c r="J218" i="64"/>
  <c r="O217" i="64"/>
  <c r="M217" i="64"/>
  <c r="J217" i="64"/>
  <c r="O216" i="64"/>
  <c r="M216" i="64"/>
  <c r="J216" i="64"/>
  <c r="O215" i="64"/>
  <c r="M215" i="64"/>
  <c r="J215" i="64"/>
  <c r="O214" i="64"/>
  <c r="M214" i="64"/>
  <c r="J214" i="64"/>
  <c r="O213" i="64"/>
  <c r="M213" i="64"/>
  <c r="J213" i="64"/>
  <c r="O212" i="64"/>
  <c r="M212" i="64"/>
  <c r="J212" i="64"/>
  <c r="O211" i="64"/>
  <c r="M211" i="64"/>
  <c r="J211" i="64"/>
  <c r="O210" i="64"/>
  <c r="M210" i="64"/>
  <c r="J210" i="64"/>
  <c r="O209" i="64"/>
  <c r="M209" i="64"/>
  <c r="J209" i="64"/>
  <c r="O208" i="64"/>
  <c r="M208" i="64"/>
  <c r="J208" i="64"/>
  <c r="O207" i="64"/>
  <c r="M207" i="64"/>
  <c r="J207" i="64"/>
  <c r="O206" i="64"/>
  <c r="M206" i="64"/>
  <c r="J206" i="64"/>
  <c r="O205" i="64"/>
  <c r="M205" i="64"/>
  <c r="J205" i="64"/>
  <c r="O204" i="64"/>
  <c r="M204" i="64"/>
  <c r="J204" i="64"/>
  <c r="O203" i="64"/>
  <c r="M203" i="64"/>
  <c r="J203" i="64"/>
  <c r="O202" i="64"/>
  <c r="M202" i="64"/>
  <c r="J202" i="64"/>
  <c r="O201" i="64"/>
  <c r="M201" i="64"/>
  <c r="J201" i="64"/>
  <c r="O200" i="64"/>
  <c r="M200" i="64"/>
  <c r="J200" i="64"/>
  <c r="O199" i="64"/>
  <c r="M199" i="64"/>
  <c r="J199" i="64"/>
  <c r="O198" i="64"/>
  <c r="M198" i="64"/>
  <c r="J198" i="64"/>
  <c r="O197" i="64"/>
  <c r="M197" i="64"/>
  <c r="J197" i="64"/>
  <c r="O196" i="64"/>
  <c r="M196" i="64"/>
  <c r="J196" i="64"/>
  <c r="O195" i="64"/>
  <c r="M195" i="64"/>
  <c r="J195" i="64"/>
  <c r="O194" i="64"/>
  <c r="M194" i="64"/>
  <c r="J194" i="64"/>
  <c r="O193" i="64"/>
  <c r="M193" i="64"/>
  <c r="J193" i="64"/>
  <c r="O192" i="64"/>
  <c r="M192" i="64"/>
  <c r="J192" i="64"/>
  <c r="O191" i="64"/>
  <c r="M191" i="64"/>
  <c r="J191" i="64"/>
  <c r="O190" i="64"/>
  <c r="M190" i="64"/>
  <c r="J190" i="64"/>
  <c r="O189" i="64"/>
  <c r="M189" i="64"/>
  <c r="J189" i="64"/>
  <c r="O188" i="64"/>
  <c r="M188" i="64"/>
  <c r="J188" i="64"/>
  <c r="O187" i="64"/>
  <c r="M187" i="64"/>
  <c r="J187" i="64"/>
  <c r="O186" i="64"/>
  <c r="M186" i="64"/>
  <c r="J186" i="64"/>
  <c r="O185" i="64"/>
  <c r="M185" i="64"/>
  <c r="J185" i="64"/>
  <c r="O184" i="64"/>
  <c r="M184" i="64"/>
  <c r="J184" i="64"/>
  <c r="O183" i="64"/>
  <c r="M183" i="64"/>
  <c r="J183" i="64"/>
  <c r="O182" i="64"/>
  <c r="M182" i="64"/>
  <c r="J182" i="64"/>
  <c r="O181" i="64"/>
  <c r="M181" i="64"/>
  <c r="J181" i="64"/>
  <c r="O168" i="64"/>
  <c r="M168" i="64"/>
  <c r="O167" i="64"/>
  <c r="M167" i="64"/>
  <c r="O166" i="64"/>
  <c r="M166" i="64"/>
  <c r="O165" i="64"/>
  <c r="M165" i="64"/>
  <c r="O164" i="64"/>
  <c r="M164" i="64"/>
  <c r="O163" i="64"/>
  <c r="M163" i="64"/>
  <c r="O162" i="64"/>
  <c r="M162" i="64"/>
  <c r="O161" i="64"/>
  <c r="M161" i="64"/>
  <c r="O160" i="64"/>
  <c r="M160" i="64"/>
  <c r="O159" i="64"/>
  <c r="M159" i="64"/>
  <c r="O158" i="64"/>
  <c r="M158" i="64"/>
  <c r="O157" i="64"/>
  <c r="M157" i="64"/>
  <c r="O156" i="64"/>
  <c r="M156" i="64"/>
  <c r="O155" i="64"/>
  <c r="M155" i="64"/>
  <c r="O154" i="64"/>
  <c r="M154" i="64"/>
  <c r="O153" i="64"/>
  <c r="M153" i="64"/>
  <c r="O152" i="64"/>
  <c r="M152" i="64"/>
  <c r="O151" i="64"/>
  <c r="M151" i="64"/>
  <c r="O150" i="64"/>
  <c r="M150" i="64"/>
  <c r="O149" i="64"/>
  <c r="M149" i="64"/>
  <c r="O148" i="64"/>
  <c r="M148" i="64"/>
  <c r="O147" i="64"/>
  <c r="M147" i="64"/>
  <c r="O146" i="64"/>
  <c r="M146" i="64"/>
  <c r="O145" i="64"/>
  <c r="M145" i="64"/>
  <c r="O144" i="64"/>
  <c r="M144" i="64"/>
  <c r="O143" i="64"/>
  <c r="M143" i="64"/>
  <c r="O142" i="64"/>
  <c r="M142" i="64"/>
  <c r="O141" i="64"/>
  <c r="M141" i="64"/>
  <c r="O140" i="64"/>
  <c r="M140" i="64"/>
  <c r="O139" i="64"/>
  <c r="M139" i="64"/>
  <c r="O138" i="64"/>
  <c r="M138" i="64"/>
  <c r="O137" i="64"/>
  <c r="M137" i="64"/>
  <c r="O136" i="64"/>
  <c r="M136" i="64"/>
  <c r="O135" i="64"/>
  <c r="M135" i="64"/>
  <c r="O134" i="64"/>
  <c r="M134" i="64"/>
  <c r="O133" i="64"/>
  <c r="M133" i="64"/>
  <c r="O132" i="64"/>
  <c r="M132" i="64"/>
  <c r="O131" i="64"/>
  <c r="M131" i="64"/>
  <c r="O130" i="64"/>
  <c r="M130" i="64"/>
  <c r="O129" i="64"/>
  <c r="M129" i="64"/>
  <c r="O128" i="64"/>
  <c r="M128" i="64"/>
  <c r="O127" i="64"/>
  <c r="M127" i="64"/>
  <c r="O126" i="64"/>
  <c r="M126" i="64"/>
  <c r="O125" i="64"/>
  <c r="M125" i="64"/>
  <c r="O112" i="64"/>
  <c r="M112" i="64"/>
  <c r="O111" i="64"/>
  <c r="M111" i="64"/>
  <c r="O110" i="64"/>
  <c r="M110" i="64"/>
  <c r="O109" i="64"/>
  <c r="M109" i="64"/>
  <c r="O108" i="64"/>
  <c r="M108" i="64"/>
  <c r="O107" i="64"/>
  <c r="M107" i="64"/>
  <c r="O106" i="64"/>
  <c r="M106" i="64"/>
  <c r="O105" i="64"/>
  <c r="M105" i="64"/>
  <c r="O104" i="64"/>
  <c r="M104" i="64"/>
  <c r="O103" i="64"/>
  <c r="M103" i="64"/>
  <c r="O102" i="64"/>
  <c r="M102" i="64"/>
  <c r="O101" i="64"/>
  <c r="M101" i="64"/>
  <c r="O100" i="64"/>
  <c r="M100" i="64"/>
  <c r="O99" i="64"/>
  <c r="M99" i="64"/>
  <c r="O98" i="64"/>
  <c r="M98" i="64"/>
  <c r="O97" i="64"/>
  <c r="M97" i="64"/>
  <c r="O96" i="64"/>
  <c r="M96" i="64"/>
  <c r="O95" i="64"/>
  <c r="M95" i="64"/>
  <c r="O94" i="64"/>
  <c r="M94" i="64"/>
  <c r="O93" i="64"/>
  <c r="M93" i="64"/>
  <c r="O92" i="64"/>
  <c r="M92" i="64"/>
  <c r="O91" i="64"/>
  <c r="M91" i="64"/>
  <c r="O90" i="64"/>
  <c r="M90" i="64"/>
  <c r="O89" i="64"/>
  <c r="M89" i="64"/>
  <c r="O88" i="64"/>
  <c r="M88" i="64"/>
  <c r="O87" i="64"/>
  <c r="M87" i="64"/>
  <c r="O86" i="64"/>
  <c r="M86" i="64"/>
  <c r="O85" i="64"/>
  <c r="M85" i="64"/>
  <c r="O84" i="64"/>
  <c r="M84" i="64"/>
  <c r="O83" i="64"/>
  <c r="M83" i="64"/>
  <c r="O82" i="64"/>
  <c r="M82" i="64"/>
  <c r="O81" i="64"/>
  <c r="M81" i="64"/>
  <c r="O80" i="64"/>
  <c r="M80" i="64"/>
  <c r="O79" i="64"/>
  <c r="M79" i="64"/>
  <c r="O78" i="64"/>
  <c r="M78" i="64"/>
  <c r="O77" i="64"/>
  <c r="M77" i="64"/>
  <c r="O76" i="64"/>
  <c r="M76" i="64"/>
  <c r="O75" i="64"/>
  <c r="M75" i="64"/>
  <c r="O74" i="64"/>
  <c r="M74" i="64"/>
  <c r="O73" i="64"/>
  <c r="M73" i="64"/>
  <c r="O72" i="64"/>
  <c r="M72" i="64"/>
  <c r="O71" i="64"/>
  <c r="M71" i="64"/>
  <c r="O70" i="64"/>
  <c r="M70" i="64"/>
  <c r="O69" i="64"/>
  <c r="M69" i="64"/>
  <c r="O56" i="64"/>
  <c r="M56" i="64"/>
  <c r="O55" i="64"/>
  <c r="M55" i="64"/>
  <c r="O54" i="64"/>
  <c r="M54" i="64"/>
  <c r="O53" i="64"/>
  <c r="M53" i="64"/>
  <c r="O52" i="64"/>
  <c r="M52" i="64"/>
  <c r="O51" i="64"/>
  <c r="M51" i="64"/>
  <c r="O50" i="64"/>
  <c r="M50" i="64"/>
  <c r="O49" i="64"/>
  <c r="M49" i="64"/>
  <c r="O48" i="64"/>
  <c r="M48" i="64"/>
  <c r="O47" i="64"/>
  <c r="M47" i="64"/>
  <c r="O46" i="64"/>
  <c r="M46" i="64"/>
  <c r="O45" i="64"/>
  <c r="M45" i="64"/>
  <c r="O44" i="64"/>
  <c r="M44" i="64"/>
  <c r="O43" i="64"/>
  <c r="M43" i="64"/>
  <c r="O42" i="64"/>
  <c r="M42" i="64"/>
  <c r="O41" i="64"/>
  <c r="M41" i="64"/>
  <c r="O40" i="64"/>
  <c r="M40" i="64"/>
  <c r="O39" i="64"/>
  <c r="M39" i="64"/>
  <c r="O38" i="64"/>
  <c r="M38" i="64"/>
  <c r="O37" i="64"/>
  <c r="M37" i="64"/>
  <c r="O36" i="64"/>
  <c r="M36" i="64"/>
  <c r="O35" i="64"/>
  <c r="M35" i="64"/>
  <c r="O34" i="64"/>
  <c r="M34" i="64"/>
  <c r="O33" i="64"/>
  <c r="M33" i="64"/>
  <c r="O32" i="64"/>
  <c r="M32" i="64"/>
  <c r="O31" i="64"/>
  <c r="M31" i="64"/>
  <c r="O30" i="64"/>
  <c r="M30" i="64"/>
  <c r="O29" i="64"/>
  <c r="M29" i="64"/>
  <c r="O28" i="64"/>
  <c r="M28" i="64"/>
  <c r="O27" i="64"/>
  <c r="M27" i="64"/>
  <c r="O26" i="64"/>
  <c r="M26" i="64"/>
  <c r="O25" i="64"/>
  <c r="M25" i="64"/>
  <c r="O24" i="64"/>
  <c r="M24" i="64"/>
  <c r="O23" i="64"/>
  <c r="M23" i="64"/>
  <c r="O22" i="64"/>
  <c r="M22" i="64"/>
  <c r="O21" i="64"/>
  <c r="M21" i="64"/>
  <c r="O20" i="64"/>
  <c r="M20" i="64"/>
  <c r="O19" i="64"/>
  <c r="M19" i="64"/>
  <c r="O18" i="64"/>
  <c r="M18" i="64"/>
  <c r="O17" i="64"/>
  <c r="M17" i="64"/>
  <c r="O16" i="64"/>
  <c r="M16" i="64"/>
  <c r="O15" i="64"/>
  <c r="M15" i="64"/>
  <c r="O14" i="64"/>
  <c r="M14" i="64"/>
  <c r="A14" i="64"/>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O13" i="64"/>
  <c r="M13" i="64"/>
  <c r="A176" i="63"/>
  <c r="A174" i="63"/>
  <c r="A120" i="63"/>
  <c r="A118" i="63"/>
  <c r="A64" i="63"/>
  <c r="A62" i="63"/>
  <c r="A7" i="63"/>
  <c r="A63" i="63" s="1"/>
  <c r="A4" i="63"/>
  <c r="A60" i="63" s="1"/>
  <c r="A2" i="63"/>
  <c r="A114" i="63" s="1"/>
  <c r="A1" i="63"/>
  <c r="A57" i="63" s="1"/>
  <c r="O182" i="63"/>
  <c r="M182" i="63"/>
  <c r="J182" i="63"/>
  <c r="O181" i="63"/>
  <c r="M181" i="63"/>
  <c r="J181" i="63"/>
  <c r="O168" i="63"/>
  <c r="M168" i="63"/>
  <c r="J168" i="63"/>
  <c r="O167" i="63"/>
  <c r="M167" i="63"/>
  <c r="J167" i="63"/>
  <c r="O166" i="63"/>
  <c r="M166" i="63"/>
  <c r="J166" i="63"/>
  <c r="O165" i="63"/>
  <c r="M165" i="63"/>
  <c r="J165" i="63"/>
  <c r="O164" i="63"/>
  <c r="M164" i="63"/>
  <c r="J164" i="63"/>
  <c r="O163" i="63"/>
  <c r="M163" i="63"/>
  <c r="J163" i="63"/>
  <c r="O162" i="63"/>
  <c r="M162" i="63"/>
  <c r="J162" i="63"/>
  <c r="O161" i="63"/>
  <c r="M161" i="63"/>
  <c r="J161" i="63"/>
  <c r="O160" i="63"/>
  <c r="M160" i="63"/>
  <c r="J160" i="63"/>
  <c r="O159" i="63"/>
  <c r="M159" i="63"/>
  <c r="J159" i="63"/>
  <c r="O158" i="63"/>
  <c r="M158" i="63"/>
  <c r="J158" i="63"/>
  <c r="O157" i="63"/>
  <c r="M157" i="63"/>
  <c r="J157" i="63"/>
  <c r="O156" i="63"/>
  <c r="M156" i="63"/>
  <c r="J156" i="63"/>
  <c r="O155" i="63"/>
  <c r="M155" i="63"/>
  <c r="J155" i="63"/>
  <c r="O154" i="63"/>
  <c r="M154" i="63"/>
  <c r="J154" i="63"/>
  <c r="O153" i="63"/>
  <c r="M153" i="63"/>
  <c r="J153" i="63"/>
  <c r="O152" i="63"/>
  <c r="M152" i="63"/>
  <c r="J152" i="63"/>
  <c r="O151" i="63"/>
  <c r="M151" i="63"/>
  <c r="J151" i="63"/>
  <c r="O150" i="63"/>
  <c r="M150" i="63"/>
  <c r="J150" i="63"/>
  <c r="O149" i="63"/>
  <c r="M149" i="63"/>
  <c r="J149" i="63"/>
  <c r="O148" i="63"/>
  <c r="M148" i="63"/>
  <c r="J148" i="63"/>
  <c r="O147" i="63"/>
  <c r="M147" i="63"/>
  <c r="J147" i="63"/>
  <c r="O146" i="63"/>
  <c r="M146" i="63"/>
  <c r="J146" i="63"/>
  <c r="O145" i="63"/>
  <c r="M145" i="63"/>
  <c r="J145" i="63"/>
  <c r="O144" i="63"/>
  <c r="M144" i="63"/>
  <c r="J144" i="63"/>
  <c r="O143" i="63"/>
  <c r="M143" i="63"/>
  <c r="J143" i="63"/>
  <c r="O142" i="63"/>
  <c r="M142" i="63"/>
  <c r="J142" i="63"/>
  <c r="O141" i="63"/>
  <c r="M141" i="63"/>
  <c r="J141" i="63"/>
  <c r="O140" i="63"/>
  <c r="M140" i="63"/>
  <c r="J140" i="63"/>
  <c r="O139" i="63"/>
  <c r="M139" i="63"/>
  <c r="J139" i="63"/>
  <c r="O138" i="63"/>
  <c r="M138" i="63"/>
  <c r="J138" i="63"/>
  <c r="O137" i="63"/>
  <c r="M137" i="63"/>
  <c r="J137" i="63"/>
  <c r="O136" i="63"/>
  <c r="M136" i="63"/>
  <c r="J136" i="63"/>
  <c r="O135" i="63"/>
  <c r="M135" i="63"/>
  <c r="J135" i="63"/>
  <c r="O134" i="63"/>
  <c r="M134" i="63"/>
  <c r="J134" i="63"/>
  <c r="O133" i="63"/>
  <c r="M133" i="63"/>
  <c r="J133" i="63"/>
  <c r="O132" i="63"/>
  <c r="M132" i="63"/>
  <c r="J132" i="63"/>
  <c r="O131" i="63"/>
  <c r="M131" i="63"/>
  <c r="J131" i="63"/>
  <c r="O130" i="63"/>
  <c r="M130" i="63"/>
  <c r="J130" i="63"/>
  <c r="O129" i="63"/>
  <c r="M129" i="63"/>
  <c r="J129" i="63"/>
  <c r="O128" i="63"/>
  <c r="M128" i="63"/>
  <c r="J128" i="63"/>
  <c r="O127" i="63"/>
  <c r="M127" i="63"/>
  <c r="J127" i="63"/>
  <c r="O126" i="63"/>
  <c r="M126" i="63"/>
  <c r="J126" i="63"/>
  <c r="O125" i="63"/>
  <c r="M125" i="63"/>
  <c r="J125" i="63"/>
  <c r="O112" i="63"/>
  <c r="M112" i="63"/>
  <c r="J112" i="63"/>
  <c r="O111" i="63"/>
  <c r="M111" i="63"/>
  <c r="J111" i="63"/>
  <c r="O110" i="63"/>
  <c r="M110" i="63"/>
  <c r="J110" i="63"/>
  <c r="O109" i="63"/>
  <c r="M109" i="63"/>
  <c r="J109" i="63"/>
  <c r="O108" i="63"/>
  <c r="M108" i="63"/>
  <c r="J108" i="63"/>
  <c r="O107" i="63"/>
  <c r="M107" i="63"/>
  <c r="J107" i="63"/>
  <c r="O106" i="63"/>
  <c r="M106" i="63"/>
  <c r="J106" i="63"/>
  <c r="O105" i="63"/>
  <c r="M105" i="63"/>
  <c r="J105" i="63"/>
  <c r="O104" i="63"/>
  <c r="M104" i="63"/>
  <c r="J104" i="63"/>
  <c r="O103" i="63"/>
  <c r="M103" i="63"/>
  <c r="J103" i="63"/>
  <c r="O102" i="63"/>
  <c r="M102" i="63"/>
  <c r="J102" i="63"/>
  <c r="O101" i="63"/>
  <c r="M101" i="63"/>
  <c r="J101" i="63"/>
  <c r="O100" i="63"/>
  <c r="M100" i="63"/>
  <c r="J100" i="63"/>
  <c r="O99" i="63"/>
  <c r="M99" i="63"/>
  <c r="J99" i="63"/>
  <c r="O98" i="63"/>
  <c r="M98" i="63"/>
  <c r="J98" i="63"/>
  <c r="O97" i="63"/>
  <c r="M97" i="63"/>
  <c r="J97" i="63"/>
  <c r="O96" i="63"/>
  <c r="M96" i="63"/>
  <c r="J96" i="63"/>
  <c r="O95" i="63"/>
  <c r="M95" i="63"/>
  <c r="J95" i="63"/>
  <c r="O94" i="63"/>
  <c r="M94" i="63"/>
  <c r="J94" i="63"/>
  <c r="O93" i="63"/>
  <c r="M93" i="63"/>
  <c r="J93" i="63"/>
  <c r="O92" i="63"/>
  <c r="M92" i="63"/>
  <c r="J92" i="63"/>
  <c r="O91" i="63"/>
  <c r="M91" i="63"/>
  <c r="J91" i="63"/>
  <c r="O90" i="63"/>
  <c r="M90" i="63"/>
  <c r="J90" i="63"/>
  <c r="O89" i="63"/>
  <c r="M89" i="63"/>
  <c r="J89" i="63"/>
  <c r="O88" i="63"/>
  <c r="M88" i="63"/>
  <c r="J88" i="63"/>
  <c r="O87" i="63"/>
  <c r="M87" i="63"/>
  <c r="J87" i="63"/>
  <c r="O86" i="63"/>
  <c r="M86" i="63"/>
  <c r="J86" i="63"/>
  <c r="O85" i="63"/>
  <c r="M85" i="63"/>
  <c r="J85" i="63"/>
  <c r="O84" i="63"/>
  <c r="M84" i="63"/>
  <c r="J84" i="63"/>
  <c r="O83" i="63"/>
  <c r="M83" i="63"/>
  <c r="J83" i="63"/>
  <c r="O82" i="63"/>
  <c r="M82" i="63"/>
  <c r="J82" i="63"/>
  <c r="O81" i="63"/>
  <c r="M81" i="63"/>
  <c r="J81" i="63"/>
  <c r="O80" i="63"/>
  <c r="M80" i="63"/>
  <c r="J80" i="63"/>
  <c r="O79" i="63"/>
  <c r="M79" i="63"/>
  <c r="J79" i="63"/>
  <c r="O78" i="63"/>
  <c r="M78" i="63"/>
  <c r="J78" i="63"/>
  <c r="O77" i="63"/>
  <c r="M77" i="63"/>
  <c r="J77" i="63"/>
  <c r="O76" i="63"/>
  <c r="M76" i="63"/>
  <c r="J76" i="63"/>
  <c r="O75" i="63"/>
  <c r="M75" i="63"/>
  <c r="J75" i="63"/>
  <c r="O74" i="63"/>
  <c r="M74" i="63"/>
  <c r="J74" i="63"/>
  <c r="O73" i="63"/>
  <c r="M73" i="63"/>
  <c r="J73" i="63"/>
  <c r="O72" i="63"/>
  <c r="M72" i="63"/>
  <c r="J72" i="63"/>
  <c r="O71" i="63"/>
  <c r="M71" i="63"/>
  <c r="J71" i="63"/>
  <c r="O70" i="63"/>
  <c r="M70" i="63"/>
  <c r="J70" i="63"/>
  <c r="O69" i="63"/>
  <c r="M69" i="63"/>
  <c r="J69" i="63"/>
  <c r="O56" i="63"/>
  <c r="M56" i="63"/>
  <c r="O55" i="63"/>
  <c r="M55" i="63"/>
  <c r="O54" i="63"/>
  <c r="M54" i="63"/>
  <c r="O53" i="63"/>
  <c r="M53" i="63"/>
  <c r="O52" i="63"/>
  <c r="M52" i="63"/>
  <c r="O51" i="63"/>
  <c r="M51" i="63"/>
  <c r="O50" i="63"/>
  <c r="M50" i="63"/>
  <c r="O49" i="63"/>
  <c r="M49" i="63"/>
  <c r="O48" i="63"/>
  <c r="M48" i="63"/>
  <c r="O47" i="63"/>
  <c r="M47" i="63"/>
  <c r="O46" i="63"/>
  <c r="M46" i="63"/>
  <c r="O45" i="63"/>
  <c r="M45" i="63"/>
  <c r="O44" i="63"/>
  <c r="M44" i="63"/>
  <c r="O43" i="63"/>
  <c r="M43" i="63"/>
  <c r="O42" i="63"/>
  <c r="M42" i="63"/>
  <c r="O41" i="63"/>
  <c r="M41" i="63"/>
  <c r="O40" i="63"/>
  <c r="M40" i="63"/>
  <c r="O39" i="63"/>
  <c r="M39" i="63"/>
  <c r="O38" i="63"/>
  <c r="M38" i="63"/>
  <c r="O37" i="63"/>
  <c r="M37" i="63"/>
  <c r="O36" i="63"/>
  <c r="M36" i="63"/>
  <c r="O35" i="63"/>
  <c r="M35" i="63"/>
  <c r="O34" i="63"/>
  <c r="M34" i="63"/>
  <c r="O33" i="63"/>
  <c r="M33" i="63"/>
  <c r="O32" i="63"/>
  <c r="M32" i="63"/>
  <c r="O31" i="63"/>
  <c r="M31" i="63"/>
  <c r="O30" i="63"/>
  <c r="M30" i="63"/>
  <c r="O29" i="63"/>
  <c r="M29" i="63"/>
  <c r="O28" i="63"/>
  <c r="M28" i="63"/>
  <c r="O27" i="63"/>
  <c r="M27" i="63"/>
  <c r="O26" i="63"/>
  <c r="M26" i="63"/>
  <c r="O25" i="63"/>
  <c r="M25" i="63"/>
  <c r="O24" i="63"/>
  <c r="M24" i="63"/>
  <c r="O23" i="63"/>
  <c r="M23" i="63"/>
  <c r="O22" i="63"/>
  <c r="M22" i="63"/>
  <c r="O21" i="63"/>
  <c r="M21" i="63"/>
  <c r="O20" i="63"/>
  <c r="M20" i="63"/>
  <c r="O19" i="63"/>
  <c r="M19" i="63"/>
  <c r="O18" i="63"/>
  <c r="M18" i="63"/>
  <c r="O17" i="63"/>
  <c r="M17" i="63"/>
  <c r="O16" i="63"/>
  <c r="M16" i="63"/>
  <c r="O15" i="63"/>
  <c r="M15" i="63"/>
  <c r="O14" i="63"/>
  <c r="M14" i="63"/>
  <c r="A14" i="63"/>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81" i="63" s="1"/>
  <c r="A182" i="63" s="1"/>
  <c r="O13" i="63"/>
  <c r="M13" i="63"/>
  <c r="A60" i="64" l="1"/>
  <c r="A284" i="64"/>
  <c r="A113" i="64"/>
  <c r="A281" i="64"/>
  <c r="A63" i="64"/>
  <c r="A287" i="64"/>
  <c r="A58" i="64"/>
  <c r="A282" i="64"/>
  <c r="F37" i="58"/>
  <c r="F37" i="59"/>
  <c r="P43" i="64"/>
  <c r="P47" i="64"/>
  <c r="P51" i="64"/>
  <c r="P71" i="64"/>
  <c r="P75" i="64"/>
  <c r="P79" i="64"/>
  <c r="P83" i="64"/>
  <c r="P87" i="64"/>
  <c r="P91" i="64"/>
  <c r="P103" i="64"/>
  <c r="P195" i="64"/>
  <c r="P203" i="64"/>
  <c r="P211" i="64"/>
  <c r="P107" i="64"/>
  <c r="P25" i="63"/>
  <c r="P33" i="63"/>
  <c r="P49" i="63"/>
  <c r="P81" i="63"/>
  <c r="P85" i="63"/>
  <c r="P89" i="63"/>
  <c r="P93" i="63"/>
  <c r="P97" i="63"/>
  <c r="P109" i="63"/>
  <c r="P125" i="63"/>
  <c r="P132" i="63"/>
  <c r="P135" i="63"/>
  <c r="P139" i="63"/>
  <c r="P143" i="63"/>
  <c r="P147" i="63"/>
  <c r="P167" i="63"/>
  <c r="P134" i="63"/>
  <c r="P138" i="63"/>
  <c r="P129" i="63"/>
  <c r="P13" i="64"/>
  <c r="P18" i="64"/>
  <c r="P22" i="64"/>
  <c r="P125" i="64"/>
  <c r="P152" i="64"/>
  <c r="P201" i="64"/>
  <c r="P209" i="64"/>
  <c r="P103" i="63"/>
  <c r="P112" i="63"/>
  <c r="P153" i="63"/>
  <c r="P157" i="63"/>
  <c r="P161" i="63"/>
  <c r="P41" i="64"/>
  <c r="P69" i="64"/>
  <c r="P77" i="64"/>
  <c r="P156" i="64"/>
  <c r="P168" i="64"/>
  <c r="P15" i="64"/>
  <c r="P111" i="64"/>
  <c r="P128" i="63"/>
  <c r="P164" i="63"/>
  <c r="P214" i="64"/>
  <c r="P222" i="64"/>
  <c r="P242" i="64"/>
  <c r="P250" i="64"/>
  <c r="A172" i="63"/>
  <c r="P148" i="63"/>
  <c r="P156" i="63"/>
  <c r="P160" i="63"/>
  <c r="P166" i="63"/>
  <c r="P182" i="63"/>
  <c r="P101" i="63"/>
  <c r="P255" i="64"/>
  <c r="P259" i="64"/>
  <c r="P263" i="64"/>
  <c r="P267" i="64"/>
  <c r="P271" i="64"/>
  <c r="P27" i="63"/>
  <c r="P35" i="63"/>
  <c r="P43" i="63"/>
  <c r="P51" i="63"/>
  <c r="P71" i="63"/>
  <c r="P75" i="63"/>
  <c r="P79" i="63"/>
  <c r="P92" i="63"/>
  <c r="P99" i="63"/>
  <c r="P104" i="63"/>
  <c r="P107" i="63"/>
  <c r="P111" i="63"/>
  <c r="P127" i="63"/>
  <c r="P131" i="63"/>
  <c r="P133" i="63"/>
  <c r="P137" i="63"/>
  <c r="P141" i="63"/>
  <c r="P145" i="63"/>
  <c r="P151" i="63"/>
  <c r="P155" i="63"/>
  <c r="P159" i="63"/>
  <c r="P163" i="63"/>
  <c r="P165" i="63"/>
  <c r="P181" i="63"/>
  <c r="P81" i="64"/>
  <c r="P85" i="64"/>
  <c r="P89" i="64"/>
  <c r="P99" i="64"/>
  <c r="P158" i="64"/>
  <c r="P162" i="64"/>
  <c r="P182" i="64"/>
  <c r="P183" i="64"/>
  <c r="P190" i="64"/>
  <c r="P198" i="64"/>
  <c r="P206" i="64"/>
  <c r="P245" i="64"/>
  <c r="P253" i="64"/>
  <c r="P18" i="63"/>
  <c r="P22" i="63"/>
  <c r="P30" i="63"/>
  <c r="P38" i="63"/>
  <c r="P42" i="63"/>
  <c r="P50" i="63"/>
  <c r="P86" i="63"/>
  <c r="P90" i="63"/>
  <c r="P94" i="63"/>
  <c r="P106" i="63"/>
  <c r="P110" i="63"/>
  <c r="P140" i="63"/>
  <c r="P144" i="63"/>
  <c r="P150" i="63"/>
  <c r="P154" i="63"/>
  <c r="P168" i="63"/>
  <c r="P93" i="64"/>
  <c r="P97" i="64"/>
  <c r="P101" i="64"/>
  <c r="P105" i="64"/>
  <c r="P165" i="64"/>
  <c r="P185" i="64"/>
  <c r="P239" i="64"/>
  <c r="P247" i="64"/>
  <c r="P272" i="64"/>
  <c r="P257" i="64"/>
  <c r="P261" i="64"/>
  <c r="P265" i="64"/>
  <c r="P269" i="64"/>
  <c r="P273" i="64"/>
  <c r="P23" i="64"/>
  <c r="P27" i="64"/>
  <c r="P127" i="64"/>
  <c r="P159" i="64"/>
  <c r="P163" i="64"/>
  <c r="P193" i="64"/>
  <c r="P217" i="64"/>
  <c r="P237" i="64"/>
  <c r="P254" i="64"/>
  <c r="P45" i="64"/>
  <c r="P73" i="64"/>
  <c r="P95" i="64"/>
  <c r="P109" i="64"/>
  <c r="P133" i="64"/>
  <c r="P141" i="64"/>
  <c r="P145" i="64"/>
  <c r="P149" i="64"/>
  <c r="P187" i="64"/>
  <c r="P219" i="64"/>
  <c r="P29" i="64"/>
  <c r="P33" i="64"/>
  <c r="P37" i="64"/>
  <c r="P55" i="64"/>
  <c r="P130" i="64"/>
  <c r="P136" i="64"/>
  <c r="P140" i="64"/>
  <c r="P157" i="64"/>
  <c r="P161" i="64"/>
  <c r="P191" i="64"/>
  <c r="P207" i="64"/>
  <c r="P223" i="64"/>
  <c r="P251" i="64"/>
  <c r="A169" i="64"/>
  <c r="A225" i="64"/>
  <c r="A231" i="64"/>
  <c r="A226" i="64"/>
  <c r="P39" i="64"/>
  <c r="P49" i="64"/>
  <c r="P53" i="64"/>
  <c r="P142" i="64"/>
  <c r="P143" i="64"/>
  <c r="P146" i="64"/>
  <c r="P147" i="64"/>
  <c r="P181" i="64"/>
  <c r="P199" i="64"/>
  <c r="P215" i="64"/>
  <c r="P243" i="64"/>
  <c r="A175" i="64"/>
  <c r="A228" i="64"/>
  <c r="P20" i="64"/>
  <c r="P25" i="64"/>
  <c r="P90" i="64"/>
  <c r="P92" i="64"/>
  <c r="P94" i="64"/>
  <c r="P96" i="64"/>
  <c r="P98" i="64"/>
  <c r="P100" i="64"/>
  <c r="P102" i="64"/>
  <c r="P104" i="64"/>
  <c r="P106" i="64"/>
  <c r="P108" i="64"/>
  <c r="P110" i="64"/>
  <c r="P112" i="64"/>
  <c r="P126" i="64"/>
  <c r="P128" i="64"/>
  <c r="P132" i="64"/>
  <c r="P134" i="64"/>
  <c r="P135" i="64"/>
  <c r="P138" i="64"/>
  <c r="P139" i="64"/>
  <c r="P144" i="64"/>
  <c r="P148" i="64"/>
  <c r="P150" i="64"/>
  <c r="P151" i="64"/>
  <c r="P154" i="64"/>
  <c r="P155" i="64"/>
  <c r="P160" i="64"/>
  <c r="P164" i="64"/>
  <c r="P166" i="64"/>
  <c r="P167" i="64"/>
  <c r="P184" i="64"/>
  <c r="P186" i="64"/>
  <c r="P189" i="64"/>
  <c r="P194" i="64"/>
  <c r="P197" i="64"/>
  <c r="P202" i="64"/>
  <c r="P205" i="64"/>
  <c r="P210" i="64"/>
  <c r="P213" i="64"/>
  <c r="P218" i="64"/>
  <c r="P221" i="64"/>
  <c r="P238" i="64"/>
  <c r="P241" i="64"/>
  <c r="P246" i="64"/>
  <c r="P249" i="64"/>
  <c r="A170" i="64"/>
  <c r="P31" i="64"/>
  <c r="P137" i="64"/>
  <c r="P153" i="64"/>
  <c r="A172" i="64"/>
  <c r="P17" i="64"/>
  <c r="P21" i="64"/>
  <c r="P30" i="64"/>
  <c r="P34" i="64"/>
  <c r="P35" i="64"/>
  <c r="A57" i="64"/>
  <c r="A119" i="64"/>
  <c r="A114" i="64"/>
  <c r="P19" i="64"/>
  <c r="P32" i="64"/>
  <c r="P129" i="64"/>
  <c r="P131" i="64"/>
  <c r="A116" i="64"/>
  <c r="P16" i="64"/>
  <c r="P28" i="64"/>
  <c r="P38" i="64"/>
  <c r="P40" i="64"/>
  <c r="P42" i="64"/>
  <c r="P44" i="64"/>
  <c r="P46" i="64"/>
  <c r="P48" i="64"/>
  <c r="P50" i="64"/>
  <c r="P52" i="64"/>
  <c r="P54" i="64"/>
  <c r="P56" i="64"/>
  <c r="P70" i="64"/>
  <c r="P72" i="64"/>
  <c r="P74" i="64"/>
  <c r="P76" i="64"/>
  <c r="P78" i="64"/>
  <c r="P80" i="64"/>
  <c r="P82" i="64"/>
  <c r="P84" i="64"/>
  <c r="P86" i="64"/>
  <c r="P88" i="64"/>
  <c r="P14" i="64"/>
  <c r="P24" i="64"/>
  <c r="P26" i="64"/>
  <c r="P36" i="64"/>
  <c r="P256" i="64"/>
  <c r="P258" i="64"/>
  <c r="P260" i="64"/>
  <c r="P262" i="64"/>
  <c r="P264" i="64"/>
  <c r="P266" i="64"/>
  <c r="P268" i="64"/>
  <c r="P270" i="64"/>
  <c r="P188" i="64"/>
  <c r="P192" i="64"/>
  <c r="P196" i="64"/>
  <c r="P200" i="64"/>
  <c r="P204" i="64"/>
  <c r="P208" i="64"/>
  <c r="P212" i="64"/>
  <c r="P216" i="64"/>
  <c r="P220" i="64"/>
  <c r="P224" i="64"/>
  <c r="P240" i="64"/>
  <c r="P244" i="64"/>
  <c r="P248" i="64"/>
  <c r="P252" i="64"/>
  <c r="P14" i="63"/>
  <c r="P19" i="63"/>
  <c r="P95" i="63"/>
  <c r="A169" i="63"/>
  <c r="A175" i="63"/>
  <c r="P36" i="63"/>
  <c r="P40" i="63"/>
  <c r="P48" i="63"/>
  <c r="P52" i="63"/>
  <c r="P56" i="63"/>
  <c r="P72" i="63"/>
  <c r="P76" i="63"/>
  <c r="P80" i="63"/>
  <c r="P84" i="63"/>
  <c r="P88" i="63"/>
  <c r="P96" i="63"/>
  <c r="P100" i="63"/>
  <c r="P102" i="63"/>
  <c r="P108" i="63"/>
  <c r="P126" i="63"/>
  <c r="P130" i="63"/>
  <c r="P136" i="63"/>
  <c r="P142" i="63"/>
  <c r="P146" i="63"/>
  <c r="P152" i="63"/>
  <c r="P158" i="63"/>
  <c r="P162" i="63"/>
  <c r="A170" i="63"/>
  <c r="P44" i="63"/>
  <c r="A119" i="63"/>
  <c r="P17" i="63"/>
  <c r="P46" i="63"/>
  <c r="P54" i="63"/>
  <c r="P70" i="63"/>
  <c r="P149" i="63"/>
  <c r="A58" i="63"/>
  <c r="A113" i="63"/>
  <c r="P15" i="63"/>
  <c r="P20" i="63"/>
  <c r="P24" i="63"/>
  <c r="P28" i="63"/>
  <c r="P32" i="63"/>
  <c r="P41" i="63"/>
  <c r="P69" i="63"/>
  <c r="P73" i="63"/>
  <c r="P77" i="63"/>
  <c r="P83" i="63"/>
  <c r="P87" i="63"/>
  <c r="P91" i="63"/>
  <c r="P98" i="63"/>
  <c r="P105" i="63"/>
  <c r="A116" i="63"/>
  <c r="P23" i="63"/>
  <c r="P26" i="63"/>
  <c r="P29" i="63"/>
  <c r="P39" i="63"/>
  <c r="P45" i="63"/>
  <c r="P55" i="63"/>
  <c r="P78" i="63"/>
  <c r="P82" i="63"/>
  <c r="P16" i="63"/>
  <c r="P21" i="63"/>
  <c r="P31" i="63"/>
  <c r="P34" i="63"/>
  <c r="P37" i="63"/>
  <c r="P47" i="63"/>
  <c r="P53" i="63"/>
  <c r="P74" i="63"/>
  <c r="P13" i="63"/>
  <c r="K14" i="11" l="1"/>
  <c r="N43" i="18" l="1"/>
  <c r="N44" i="18" l="1"/>
  <c r="R45" i="58" l="1"/>
  <c r="R45" i="59"/>
  <c r="R38" i="59" l="1"/>
  <c r="L30" i="59"/>
  <c r="J30" i="59"/>
  <c r="L23" i="59"/>
  <c r="A18" i="59"/>
  <c r="A20" i="59" s="1"/>
  <c r="A21" i="59" s="1"/>
  <c r="A23" i="59" s="1"/>
  <c r="A25" i="59" s="1"/>
  <c r="A26" i="59" s="1"/>
  <c r="A27" i="59" s="1"/>
  <c r="A28" i="59" s="1"/>
  <c r="A30" i="59" s="1"/>
  <c r="A32" i="59" s="1"/>
  <c r="A34" i="59" s="1"/>
  <c r="A35" i="59" s="1"/>
  <c r="A36" i="59" s="1"/>
  <c r="A37" i="59" s="1"/>
  <c r="A38" i="59" s="1"/>
  <c r="A5" i="59"/>
  <c r="A5" i="58"/>
  <c r="R38" i="58"/>
  <c r="C20" i="67" s="1"/>
  <c r="A39" i="59" l="1"/>
  <c r="A41" i="59" s="1"/>
  <c r="A43" i="59" s="1"/>
  <c r="A45" i="59" s="1"/>
  <c r="A47" i="59" s="1"/>
  <c r="A49" i="59" s="1"/>
  <c r="L32" i="59"/>
  <c r="L43" i="59" s="1"/>
  <c r="L47" i="59" s="1"/>
  <c r="C20" i="68"/>
  <c r="K90" i="19"/>
  <c r="K74" i="19"/>
  <c r="K62" i="19"/>
  <c r="L30" i="58"/>
  <c r="J30" i="58"/>
  <c r="A18" i="58"/>
  <c r="A20" i="58" s="1"/>
  <c r="A21" i="58" s="1"/>
  <c r="A23" i="58" s="1"/>
  <c r="A25" i="58" s="1"/>
  <c r="A26" i="58" s="1"/>
  <c r="A27" i="58" s="1"/>
  <c r="A28" i="58" s="1"/>
  <c r="A30" i="58" l="1"/>
  <c r="A32" i="58" s="1"/>
  <c r="A34" i="58" s="1"/>
  <c r="A35" i="58" s="1"/>
  <c r="A36" i="58" s="1"/>
  <c r="A37" i="58" s="1"/>
  <c r="A38" i="58" s="1"/>
  <c r="A39" i="58" l="1"/>
  <c r="A41" i="58" s="1"/>
  <c r="A43" i="58" s="1"/>
  <c r="A45" i="58" s="1"/>
  <c r="A47" i="58" s="1"/>
  <c r="A49" i="58" s="1"/>
  <c r="D27" i="58"/>
  <c r="R27" i="58"/>
  <c r="C23" i="67" s="1"/>
  <c r="D27" i="59"/>
  <c r="R27" i="59"/>
  <c r="C23" i="68" l="1"/>
  <c r="P27" i="59"/>
  <c r="P27" i="58"/>
  <c r="H27" i="59"/>
  <c r="H30" i="59" s="1"/>
  <c r="H27" i="58"/>
  <c r="H30" i="58" s="1"/>
  <c r="D23" i="67" l="1"/>
  <c r="E23" i="67" s="1"/>
  <c r="D23" i="68"/>
  <c r="E23" i="68" s="1"/>
  <c r="F27" i="59" l="1"/>
  <c r="F27" i="58"/>
  <c r="M16" i="51"/>
  <c r="L16" i="51"/>
  <c r="K16" i="51"/>
  <c r="J16" i="51"/>
  <c r="I16" i="51"/>
  <c r="H16" i="51"/>
  <c r="G16" i="51"/>
  <c r="F16" i="51"/>
  <c r="E16" i="51"/>
  <c r="D16" i="51"/>
  <c r="C16" i="51"/>
  <c r="B16" i="51"/>
  <c r="G38" i="28" l="1"/>
  <c r="G16" i="28"/>
  <c r="F30" i="59"/>
  <c r="N27" i="59"/>
  <c r="F30" i="58"/>
  <c r="N27" i="58"/>
  <c r="N17" i="50"/>
  <c r="M17" i="50"/>
  <c r="L17" i="50"/>
  <c r="K17" i="50"/>
  <c r="J17" i="50"/>
  <c r="I17" i="50"/>
  <c r="N25" i="51" l="1"/>
  <c r="D20" i="67" s="1"/>
  <c r="E20" i="67" l="1"/>
  <c r="O26" i="50"/>
  <c r="D20" i="68" s="1"/>
  <c r="A43" i="18"/>
  <c r="A44" i="18" s="1"/>
  <c r="F27" i="18"/>
  <c r="H21" i="59" s="1"/>
  <c r="A13" i="18"/>
  <c r="A14" i="18" s="1"/>
  <c r="B20" i="11"/>
  <c r="B51" i="11" s="1"/>
  <c r="A44" i="11"/>
  <c r="A45" i="11" s="1"/>
  <c r="A46" i="11" s="1"/>
  <c r="A47" i="11" s="1"/>
  <c r="A48" i="11" s="1"/>
  <c r="A49" i="11" s="1"/>
  <c r="A50" i="11" s="1"/>
  <c r="A51" i="11" s="1"/>
  <c r="A52" i="11" s="1"/>
  <c r="A53" i="11" s="1"/>
  <c r="F41" i="58" l="1"/>
  <c r="F41" i="59"/>
  <c r="A61" i="11"/>
  <c r="A45" i="18"/>
  <c r="A46" i="18" s="1"/>
  <c r="A47" i="18" s="1"/>
  <c r="A48" i="18" s="1"/>
  <c r="A49" i="18" s="1"/>
  <c r="A50" i="18" s="1"/>
  <c r="A51" i="18" s="1"/>
  <c r="A52" i="18" s="1"/>
  <c r="A15" i="18"/>
  <c r="A16" i="18" s="1"/>
  <c r="A17" i="18" s="1"/>
  <c r="A18" i="18" s="1"/>
  <c r="A19" i="18" s="1"/>
  <c r="A20" i="18" s="1"/>
  <c r="C35" i="40"/>
  <c r="D17" i="67" s="1"/>
  <c r="E20" i="68"/>
  <c r="A13" i="11"/>
  <c r="A14" i="11" s="1"/>
  <c r="A15" i="11" s="1"/>
  <c r="A16" i="11" s="1"/>
  <c r="A17" i="11" s="1"/>
  <c r="A18" i="11" s="1"/>
  <c r="A19" i="11" s="1"/>
  <c r="A20" i="11" s="1"/>
  <c r="A21" i="11" s="1"/>
  <c r="A22" i="11" s="1"/>
  <c r="A23" i="11" s="1"/>
  <c r="A24" i="11" s="1"/>
  <c r="A25" i="11" s="1"/>
  <c r="A26" i="11" s="1"/>
  <c r="A27" i="11" s="1"/>
  <c r="A28" i="11" s="1"/>
  <c r="A21" i="18" l="1"/>
  <c r="A22" i="18" s="1"/>
  <c r="A23" i="18" s="1"/>
  <c r="A24" i="18" s="1"/>
  <c r="A25" i="18" s="1"/>
  <c r="A26" i="18" s="1"/>
  <c r="A27" i="18" s="1"/>
  <c r="A30" i="11"/>
  <c r="C55" i="18"/>
  <c r="C49" i="18"/>
  <c r="C47" i="18"/>
  <c r="C46" i="18"/>
  <c r="C25" i="18"/>
  <c r="C19" i="18"/>
  <c r="C17" i="18"/>
  <c r="C16" i="18"/>
  <c r="B25" i="18"/>
  <c r="B19" i="18"/>
  <c r="B17" i="18"/>
  <c r="B16" i="18"/>
  <c r="C57" i="11"/>
  <c r="C51" i="11"/>
  <c r="C49" i="11"/>
  <c r="C48" i="11"/>
  <c r="C26" i="11"/>
  <c r="C20" i="11"/>
  <c r="C18" i="11"/>
  <c r="C17" i="11"/>
  <c r="B26" i="11"/>
  <c r="B57" i="11" s="1"/>
  <c r="B18" i="11"/>
  <c r="B49" i="11" s="1"/>
  <c r="B17" i="11"/>
  <c r="B48" i="11" s="1"/>
  <c r="H38" i="28"/>
  <c r="F24" i="16" s="1"/>
  <c r="F23" i="67" s="1"/>
  <c r="G23" i="67" s="1"/>
  <c r="E38" i="28"/>
  <c r="R28" i="58"/>
  <c r="C24" i="67" s="1"/>
  <c r="E24" i="67" s="1"/>
  <c r="D28" i="59"/>
  <c r="N28" i="59" s="1"/>
  <c r="R26" i="59"/>
  <c r="R28" i="59"/>
  <c r="D37" i="58"/>
  <c r="D43" i="26"/>
  <c r="E43" i="25"/>
  <c r="R36" i="58" s="1"/>
  <c r="E41" i="25"/>
  <c r="G39" i="25"/>
  <c r="E39" i="25"/>
  <c r="D37" i="59"/>
  <c r="G15" i="25"/>
  <c r="G13" i="25"/>
  <c r="E17" i="25"/>
  <c r="R36" i="59" s="1"/>
  <c r="E15" i="25"/>
  <c r="E13" i="25"/>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7" i="48"/>
  <c r="B416" i="48"/>
  <c r="B415" i="48"/>
  <c r="B414" i="48"/>
  <c r="B413" i="48"/>
  <c r="B412" i="48"/>
  <c r="B411" i="48"/>
  <c r="B410" i="48"/>
  <c r="B409" i="48"/>
  <c r="B408" i="48"/>
  <c r="B407" i="48"/>
  <c r="B406" i="48"/>
  <c r="B405" i="48"/>
  <c r="B404" i="48"/>
  <c r="B402" i="48"/>
  <c r="B400" i="48"/>
  <c r="B399" i="48"/>
  <c r="B398" i="48"/>
  <c r="B396" i="48"/>
  <c r="B395" i="48"/>
  <c r="B393" i="48"/>
  <c r="B392" i="48"/>
  <c r="B391" i="48"/>
  <c r="B390" i="48"/>
  <c r="B389" i="48"/>
  <c r="B388" i="48"/>
  <c r="B387" i="48"/>
  <c r="B385" i="48"/>
  <c r="B219" i="48"/>
  <c r="B218" i="48"/>
  <c r="B217" i="48"/>
  <c r="B216" i="48"/>
  <c r="B215" i="48"/>
  <c r="B214" i="48"/>
  <c r="B213" i="48"/>
  <c r="B212" i="48"/>
  <c r="B204" i="48"/>
  <c r="B203" i="48"/>
  <c r="B202" i="48"/>
  <c r="B201" i="48"/>
  <c r="B200" i="48"/>
  <c r="B199" i="48"/>
  <c r="B198" i="48"/>
  <c r="B197" i="48"/>
  <c r="B196" i="48"/>
  <c r="B192" i="48"/>
  <c r="B191" i="48"/>
  <c r="B190" i="48"/>
  <c r="B184" i="48"/>
  <c r="B183" i="48"/>
  <c r="B182" i="48"/>
  <c r="B181" i="48"/>
  <c r="B180" i="48"/>
  <c r="B179" i="48"/>
  <c r="B175" i="48"/>
  <c r="B174" i="48"/>
  <c r="B173" i="48"/>
  <c r="B172" i="48"/>
  <c r="B166" i="48"/>
  <c r="B165" i="48"/>
  <c r="B164" i="48"/>
  <c r="B163" i="48"/>
  <c r="B162" i="48"/>
  <c r="B161" i="48"/>
  <c r="B160" i="48"/>
  <c r="B149" i="48"/>
  <c r="B148" i="48"/>
  <c r="B147" i="48"/>
  <c r="B146" i="48"/>
  <c r="B140" i="48"/>
  <c r="B139" i="48"/>
  <c r="B138" i="48"/>
  <c r="B137" i="48"/>
  <c r="B136" i="48"/>
  <c r="B135" i="48"/>
  <c r="B129" i="48"/>
  <c r="B128" i="48"/>
  <c r="B127" i="48"/>
  <c r="B126" i="48"/>
  <c r="B125" i="48"/>
  <c r="B124" i="48"/>
  <c r="B123" i="48"/>
  <c r="B122" i="48"/>
  <c r="B121" i="48"/>
  <c r="B110" i="48"/>
  <c r="B109" i="48"/>
  <c r="B108" i="48"/>
  <c r="B107" i="48"/>
  <c r="B106" i="48"/>
  <c r="B105" i="48"/>
  <c r="B104" i="48"/>
  <c r="B103" i="48"/>
  <c r="B97" i="48"/>
  <c r="B96" i="48"/>
  <c r="B95" i="48"/>
  <c r="B94" i="48"/>
  <c r="B93" i="48"/>
  <c r="B92" i="48"/>
  <c r="B91" i="48"/>
  <c r="B84" i="48"/>
  <c r="B83" i="48"/>
  <c r="B82" i="48"/>
  <c r="B81" i="48"/>
  <c r="B80" i="48"/>
  <c r="B79" i="48"/>
  <c r="B73" i="48"/>
  <c r="B72" i="48"/>
  <c r="R1" i="48"/>
  <c r="S1" i="48" s="1"/>
  <c r="T1" i="48" s="1"/>
  <c r="F22" i="14" l="1"/>
  <c r="F67" i="14"/>
  <c r="F42" i="14"/>
  <c r="F64" i="14"/>
  <c r="F20" i="14"/>
  <c r="F24" i="14"/>
  <c r="F65" i="14"/>
  <c r="F21" i="14"/>
  <c r="F25" i="14"/>
  <c r="F43" i="14"/>
  <c r="F34" i="14"/>
  <c r="F56" i="14"/>
  <c r="F44" i="14"/>
  <c r="F32" i="14"/>
  <c r="F23" i="14"/>
  <c r="F63" i="14"/>
  <c r="F35" i="14"/>
  <c r="F70" i="14"/>
  <c r="F68" i="14"/>
  <c r="F33" i="14"/>
  <c r="F66" i="14"/>
  <c r="F57" i="14"/>
  <c r="F69" i="14"/>
  <c r="F58" i="14"/>
  <c r="A29" i="18"/>
  <c r="A59" i="18"/>
  <c r="G17" i="25"/>
  <c r="D36" i="59" s="1"/>
  <c r="N36" i="59" s="1"/>
  <c r="D18" i="26"/>
  <c r="B55" i="18"/>
  <c r="B46" i="18"/>
  <c r="B49" i="18"/>
  <c r="B47" i="18"/>
  <c r="F101" i="14"/>
  <c r="F105" i="14"/>
  <c r="F110" i="14"/>
  <c r="F108" i="14"/>
  <c r="D26" i="59"/>
  <c r="N26" i="59" s="1"/>
  <c r="N30" i="59" s="1"/>
  <c r="E12" i="28"/>
  <c r="C24" i="68"/>
  <c r="E24" i="68" s="1"/>
  <c r="P28" i="59"/>
  <c r="F36" i="14"/>
  <c r="F109" i="14"/>
  <c r="C22" i="68"/>
  <c r="E22" i="68" s="1"/>
  <c r="R30" i="59"/>
  <c r="F15" i="14"/>
  <c r="F59" i="14"/>
  <c r="F81" i="14"/>
  <c r="F102" i="14"/>
  <c r="F19" i="14"/>
  <c r="F30" i="14"/>
  <c r="F41" i="14"/>
  <c r="F71" i="14"/>
  <c r="F78" i="14"/>
  <c r="F82" i="14"/>
  <c r="F86" i="14"/>
  <c r="F103" i="14"/>
  <c r="F107" i="14"/>
  <c r="F14" i="14"/>
  <c r="F76" i="14"/>
  <c r="F80" i="14"/>
  <c r="F84" i="14"/>
  <c r="F26" i="14"/>
  <c r="F37" i="14"/>
  <c r="F77" i="14"/>
  <c r="F85" i="14"/>
  <c r="F106" i="14"/>
  <c r="R35" i="59"/>
  <c r="R41" i="59" s="1"/>
  <c r="D35" i="59"/>
  <c r="N35" i="59" s="1"/>
  <c r="F13" i="14"/>
  <c r="F31" i="14"/>
  <c r="F75" i="14"/>
  <c r="F79" i="14"/>
  <c r="F83" i="14"/>
  <c r="F87" i="14"/>
  <c r="F104" i="14"/>
  <c r="R35" i="58"/>
  <c r="C21" i="67" s="1"/>
  <c r="E21" i="67" s="1"/>
  <c r="H36" i="28"/>
  <c r="F25" i="16" s="1"/>
  <c r="F24" i="67" s="1"/>
  <c r="G24" i="67" s="1"/>
  <c r="D28" i="58"/>
  <c r="E34" i="28"/>
  <c r="R26" i="58"/>
  <c r="H34" i="28"/>
  <c r="F23" i="16" s="1"/>
  <c r="F22" i="67" s="1"/>
  <c r="D26" i="58"/>
  <c r="N37" i="58"/>
  <c r="N37" i="59"/>
  <c r="P37" i="59"/>
  <c r="G43" i="25"/>
  <c r="D36" i="58" s="1"/>
  <c r="N36" i="58" s="1"/>
  <c r="D39" i="26"/>
  <c r="D41" i="26"/>
  <c r="G41" i="25"/>
  <c r="F22" i="16" s="1"/>
  <c r="F21" i="67" s="1"/>
  <c r="E36" i="28"/>
  <c r="P26" i="59" l="1"/>
  <c r="P30" i="59" s="1"/>
  <c r="P36" i="59"/>
  <c r="D41" i="59"/>
  <c r="R41" i="58"/>
  <c r="D30" i="59"/>
  <c r="G21" i="67"/>
  <c r="R30" i="58"/>
  <c r="C22" i="67"/>
  <c r="E22" i="67" s="1"/>
  <c r="G22" i="67" s="1"/>
  <c r="C21" i="68"/>
  <c r="E21" i="68" s="1"/>
  <c r="P35" i="59"/>
  <c r="C17" i="40"/>
  <c r="D17" i="68"/>
  <c r="P38" i="59"/>
  <c r="N38" i="59"/>
  <c r="N41" i="59" s="1"/>
  <c r="P26" i="58"/>
  <c r="N26" i="58"/>
  <c r="D30" i="58"/>
  <c r="D35" i="58"/>
  <c r="P28" i="58"/>
  <c r="N28" i="58"/>
  <c r="P41" i="59" l="1"/>
  <c r="N35" i="58"/>
  <c r="N30" i="58"/>
  <c r="P30" i="58"/>
  <c r="A4" i="47"/>
  <c r="A67" i="47" s="1"/>
  <c r="A71" i="47"/>
  <c r="A69" i="47"/>
  <c r="A66" i="47"/>
  <c r="A15" i="47"/>
  <c r="A16" i="47" s="1"/>
  <c r="A17" i="47" s="1"/>
  <c r="A18" i="47" s="1"/>
  <c r="A20" i="47" s="1"/>
  <c r="A21" i="47" s="1"/>
  <c r="A22" i="47" s="1"/>
  <c r="A7" i="47"/>
  <c r="A70" i="47" s="1"/>
  <c r="A2" i="47"/>
  <c r="A65" i="47" s="1"/>
  <c r="A1" i="47"/>
  <c r="K53" i="11" l="1"/>
  <c r="F57" i="18"/>
  <c r="A24" i="47"/>
  <c r="A23" i="47"/>
  <c r="A25" i="47" s="1"/>
  <c r="A26" i="47" s="1"/>
  <c r="A27" i="47" s="1"/>
  <c r="A28" i="47" s="1"/>
  <c r="A29" i="47" s="1"/>
  <c r="A31" i="47" s="1"/>
  <c r="A32" i="47" s="1"/>
  <c r="A33" i="47" s="1"/>
  <c r="A34" i="47" s="1"/>
  <c r="A35" i="47" s="1"/>
  <c r="A36" i="47" s="1"/>
  <c r="A37" i="47" s="1"/>
  <c r="A38" i="47" s="1"/>
  <c r="A39" i="47" s="1"/>
  <c r="A40" i="47" s="1"/>
  <c r="A42" i="47" s="1"/>
  <c r="A43" i="47" s="1"/>
  <c r="A44" i="47" s="1"/>
  <c r="A45" i="47" s="1"/>
  <c r="A46" i="47" s="1"/>
  <c r="A47" i="47" s="1"/>
  <c r="A48" i="47" s="1"/>
  <c r="A49" i="47" s="1"/>
  <c r="A50" i="47" s="1"/>
  <c r="A51" i="47" s="1"/>
  <c r="A53" i="47" s="1"/>
  <c r="A54" i="47" s="1"/>
  <c r="A55" i="47" s="1"/>
  <c r="A56" i="47" s="1"/>
  <c r="A57" i="47" s="1"/>
  <c r="A58" i="47" s="1"/>
  <c r="A59" i="47" s="1"/>
  <c r="A60" i="47" s="1"/>
  <c r="A61" i="47" s="1"/>
  <c r="A62" i="47" s="1"/>
  <c r="A63" i="47" s="1"/>
  <c r="A77" i="47" s="1"/>
  <c r="A78" i="47" s="1"/>
  <c r="A79" i="47" s="1"/>
  <c r="A80" i="47" s="1"/>
  <c r="A81" i="47" s="1"/>
  <c r="A82" i="47" s="1"/>
  <c r="A83" i="47" s="1"/>
  <c r="A84" i="47" s="1"/>
  <c r="A85" i="47" s="1"/>
  <c r="A86" i="47" s="1"/>
  <c r="A87" i="47" s="1"/>
  <c r="A88" i="47" s="1"/>
  <c r="A89" i="47" s="1"/>
  <c r="A90" i="47" s="1"/>
  <c r="A91" i="47" s="1"/>
  <c r="A93" i="47" s="1"/>
  <c r="A94" i="47" s="1"/>
  <c r="A95" i="47" s="1"/>
  <c r="A96" i="47" s="1"/>
  <c r="A97" i="47" s="1"/>
  <c r="A98" i="47" s="1"/>
  <c r="A99" i="47" s="1"/>
  <c r="A100" i="47" s="1"/>
  <c r="A101" i="47" s="1"/>
  <c r="A102" i="47" s="1"/>
  <c r="A103" i="47" s="1"/>
  <c r="A104" i="47" s="1"/>
  <c r="A106" i="47" s="1"/>
  <c r="A64" i="47"/>
  <c r="S242" i="42"/>
  <c r="C146" i="42"/>
  <c r="B146" i="42"/>
  <c r="A146" i="42"/>
  <c r="E67" i="5"/>
  <c r="K57" i="18" l="1"/>
  <c r="F59" i="11"/>
  <c r="H23" i="58" s="1"/>
  <c r="H32" i="58" s="1"/>
  <c r="H43" i="58" s="1"/>
  <c r="H47" i="58" s="1"/>
  <c r="K45" i="11"/>
  <c r="K55" i="11"/>
  <c r="K45" i="18"/>
  <c r="E45" i="5"/>
  <c r="E23" i="5"/>
  <c r="E34" i="5"/>
  <c r="D19" i="5"/>
  <c r="E107" i="19"/>
  <c r="E59" i="19"/>
  <c r="E14" i="19"/>
  <c r="I95" i="5"/>
  <c r="I65" i="5"/>
  <c r="I43" i="5"/>
  <c r="I21" i="5"/>
  <c r="E97" i="5"/>
  <c r="E93" i="5"/>
  <c r="E86" i="5"/>
  <c r="E82" i="5"/>
  <c r="E78" i="5"/>
  <c r="E69" i="5"/>
  <c r="E58" i="19"/>
  <c r="E84" i="19"/>
  <c r="E26" i="19"/>
  <c r="I84" i="5"/>
  <c r="I76" i="5"/>
  <c r="I32" i="5"/>
  <c r="E99" i="5"/>
  <c r="E95" i="5"/>
  <c r="E91" i="5"/>
  <c r="E84" i="5"/>
  <c r="E80" i="5"/>
  <c r="E76" i="5"/>
  <c r="E71" i="5"/>
  <c r="D20" i="5"/>
  <c r="E47" i="5"/>
  <c r="D14" i="5"/>
  <c r="D21" i="5"/>
  <c r="E30" i="5"/>
  <c r="E41" i="5"/>
  <c r="E63" i="5"/>
  <c r="D13" i="5"/>
  <c r="E25" i="5"/>
  <c r="E36" i="5"/>
  <c r="E89" i="19"/>
  <c r="D55" i="18" s="1"/>
  <c r="D15" i="5"/>
  <c r="D22" i="5"/>
  <c r="E32" i="5"/>
  <c r="E43" i="5"/>
  <c r="E65" i="5"/>
  <c r="E14" i="5"/>
  <c r="E19" i="5"/>
  <c r="E21" i="5"/>
  <c r="F23" i="5"/>
  <c r="F30" i="5"/>
  <c r="F34" i="5"/>
  <c r="F41" i="5"/>
  <c r="F45" i="5"/>
  <c r="F63" i="5"/>
  <c r="F67" i="5"/>
  <c r="F71" i="5"/>
  <c r="F78" i="5"/>
  <c r="F84" i="5"/>
  <c r="F91" i="5"/>
  <c r="F95" i="5"/>
  <c r="F99" i="5"/>
  <c r="I24" i="5"/>
  <c r="I46" i="5"/>
  <c r="I79" i="5"/>
  <c r="I98" i="5"/>
  <c r="E15" i="19"/>
  <c r="E87" i="19"/>
  <c r="E32" i="19"/>
  <c r="F13" i="5"/>
  <c r="F14" i="5"/>
  <c r="F15" i="5"/>
  <c r="F19" i="5"/>
  <c r="F20" i="5"/>
  <c r="F21" i="5"/>
  <c r="F22" i="5"/>
  <c r="E24" i="5"/>
  <c r="E26" i="5"/>
  <c r="E31" i="5"/>
  <c r="E33" i="5"/>
  <c r="E35" i="5"/>
  <c r="E37" i="5"/>
  <c r="E42" i="5"/>
  <c r="E44" i="5"/>
  <c r="E46" i="5"/>
  <c r="E48" i="5"/>
  <c r="E64" i="5"/>
  <c r="E66" i="5"/>
  <c r="E68" i="5"/>
  <c r="E70" i="5"/>
  <c r="E75" i="5"/>
  <c r="E77" i="5"/>
  <c r="E79" i="5"/>
  <c r="E81" i="5"/>
  <c r="E83" i="5"/>
  <c r="E85" i="5"/>
  <c r="E87" i="5"/>
  <c r="E92" i="5"/>
  <c r="E94" i="5"/>
  <c r="E96" i="5"/>
  <c r="E98" i="5"/>
  <c r="E111" i="5"/>
  <c r="I14" i="5"/>
  <c r="I25" i="5"/>
  <c r="I36" i="5"/>
  <c r="I47" i="5"/>
  <c r="I69" i="5"/>
  <c r="I80" i="5"/>
  <c r="I91" i="5"/>
  <c r="I99" i="5"/>
  <c r="E22" i="19"/>
  <c r="E35" i="19"/>
  <c r="E79" i="19"/>
  <c r="E109" i="19"/>
  <c r="E37" i="19"/>
  <c r="E108" i="19"/>
  <c r="E88" i="19"/>
  <c r="E112" i="19"/>
  <c r="E106" i="19"/>
  <c r="E83" i="19"/>
  <c r="E78" i="19"/>
  <c r="E45" i="19"/>
  <c r="E34" i="19"/>
  <c r="E25" i="19"/>
  <c r="E20" i="19"/>
  <c r="I97" i="5"/>
  <c r="I93" i="5"/>
  <c r="I86" i="5"/>
  <c r="I82" i="5"/>
  <c r="I78" i="5"/>
  <c r="I71" i="5"/>
  <c r="I67" i="5"/>
  <c r="I63" i="5"/>
  <c r="I45" i="5"/>
  <c r="I41" i="5"/>
  <c r="I34" i="5"/>
  <c r="I30" i="5"/>
  <c r="I23" i="5"/>
  <c r="I19" i="5"/>
  <c r="D111" i="5"/>
  <c r="D99" i="5"/>
  <c r="D98" i="5"/>
  <c r="D97" i="5"/>
  <c r="D96" i="5"/>
  <c r="D95" i="5"/>
  <c r="D94" i="5"/>
  <c r="D93" i="5"/>
  <c r="D92" i="5"/>
  <c r="D91" i="5"/>
  <c r="D87" i="5"/>
  <c r="D86" i="5"/>
  <c r="D85" i="5"/>
  <c r="D84" i="5"/>
  <c r="D83" i="5"/>
  <c r="D82" i="5"/>
  <c r="D81" i="5"/>
  <c r="D80" i="5"/>
  <c r="D79" i="5"/>
  <c r="D78" i="5"/>
  <c r="D77" i="5"/>
  <c r="D76" i="5"/>
  <c r="D75" i="5"/>
  <c r="D71" i="5"/>
  <c r="D70" i="5"/>
  <c r="D69" i="5"/>
  <c r="D68" i="5"/>
  <c r="D67" i="5"/>
  <c r="D66" i="5"/>
  <c r="D65" i="5"/>
  <c r="D64" i="5"/>
  <c r="D63" i="5"/>
  <c r="D48" i="5"/>
  <c r="D47" i="5"/>
  <c r="D46" i="5"/>
  <c r="D45" i="5"/>
  <c r="D44" i="5"/>
  <c r="D43" i="5"/>
  <c r="D42" i="5"/>
  <c r="D41" i="5"/>
  <c r="D37" i="5"/>
  <c r="D36" i="5"/>
  <c r="D35" i="5"/>
  <c r="D34" i="5"/>
  <c r="D33" i="5"/>
  <c r="D32" i="5"/>
  <c r="D31" i="5"/>
  <c r="D30" i="5"/>
  <c r="D26" i="5"/>
  <c r="D25" i="5"/>
  <c r="D24" i="5"/>
  <c r="D23" i="5"/>
  <c r="E110" i="19"/>
  <c r="E85" i="19"/>
  <c r="E44" i="19"/>
  <c r="E36" i="19"/>
  <c r="E104" i="19"/>
  <c r="E81" i="19"/>
  <c r="E73" i="19"/>
  <c r="D49" i="18" s="1"/>
  <c r="E43" i="19"/>
  <c r="E33" i="19"/>
  <c r="E24" i="19"/>
  <c r="E16" i="19"/>
  <c r="I111" i="5"/>
  <c r="I96" i="5"/>
  <c r="I92" i="5"/>
  <c r="I85" i="5"/>
  <c r="I81" i="5"/>
  <c r="I77" i="5"/>
  <c r="I70" i="5"/>
  <c r="I66" i="5"/>
  <c r="I48" i="5"/>
  <c r="I44" i="5"/>
  <c r="I37" i="5"/>
  <c r="I33" i="5"/>
  <c r="I26" i="5"/>
  <c r="I22" i="5"/>
  <c r="I15" i="5"/>
  <c r="G111" i="5"/>
  <c r="G99" i="5"/>
  <c r="G98" i="5"/>
  <c r="G97" i="5"/>
  <c r="G96" i="5"/>
  <c r="G95" i="5"/>
  <c r="G94" i="5"/>
  <c r="G93" i="5"/>
  <c r="G92" i="5"/>
  <c r="G91" i="5"/>
  <c r="G87" i="5"/>
  <c r="G86" i="5"/>
  <c r="G85" i="5"/>
  <c r="G84" i="5"/>
  <c r="G83" i="5"/>
  <c r="G82" i="5"/>
  <c r="G81" i="5"/>
  <c r="G80" i="5"/>
  <c r="G79" i="5"/>
  <c r="G78" i="5"/>
  <c r="G77" i="5"/>
  <c r="G76" i="5"/>
  <c r="G75" i="5"/>
  <c r="G71" i="5"/>
  <c r="G70" i="5"/>
  <c r="G69" i="5"/>
  <c r="G68" i="5"/>
  <c r="G67" i="5"/>
  <c r="G66" i="5"/>
  <c r="G65" i="5"/>
  <c r="G64" i="5"/>
  <c r="G63" i="5"/>
  <c r="G48" i="5"/>
  <c r="G47" i="5"/>
  <c r="G46" i="5"/>
  <c r="G45" i="5"/>
  <c r="G44" i="5"/>
  <c r="G43" i="5"/>
  <c r="G42" i="5"/>
  <c r="G41" i="5"/>
  <c r="G37" i="5"/>
  <c r="G36" i="5"/>
  <c r="G35" i="5"/>
  <c r="G34" i="5"/>
  <c r="G33" i="5"/>
  <c r="G32" i="5"/>
  <c r="G31" i="5"/>
  <c r="G30" i="5"/>
  <c r="G26" i="5"/>
  <c r="G25" i="5"/>
  <c r="G24" i="5"/>
  <c r="G23" i="5"/>
  <c r="E13" i="5"/>
  <c r="E15" i="5"/>
  <c r="E20" i="5"/>
  <c r="E22" i="5"/>
  <c r="F25" i="5"/>
  <c r="F32" i="5"/>
  <c r="F36" i="5"/>
  <c r="F43" i="5"/>
  <c r="F47" i="5"/>
  <c r="F65" i="5"/>
  <c r="F69" i="5"/>
  <c r="F76" i="5"/>
  <c r="F80" i="5"/>
  <c r="F82" i="5"/>
  <c r="F86" i="5"/>
  <c r="F93" i="5"/>
  <c r="F97" i="5"/>
  <c r="I13" i="5"/>
  <c r="I35" i="5"/>
  <c r="I68" i="5"/>
  <c r="I87" i="5"/>
  <c r="E27" i="19"/>
  <c r="D46" i="18" s="1"/>
  <c r="E61" i="19"/>
  <c r="D48" i="18" s="1"/>
  <c r="E86" i="19"/>
  <c r="G13" i="5"/>
  <c r="G14" i="5"/>
  <c r="G15" i="5"/>
  <c r="G19" i="5"/>
  <c r="G20" i="5"/>
  <c r="G21" i="5"/>
  <c r="G22" i="5"/>
  <c r="F24" i="5"/>
  <c r="F26" i="5"/>
  <c r="F31" i="5"/>
  <c r="F33" i="5"/>
  <c r="F35" i="5"/>
  <c r="F37" i="5"/>
  <c r="F42" i="5"/>
  <c r="F44" i="5"/>
  <c r="F46" i="5"/>
  <c r="F48" i="5"/>
  <c r="F64" i="5"/>
  <c r="F66" i="5"/>
  <c r="F68" i="5"/>
  <c r="F70" i="5"/>
  <c r="F75" i="5"/>
  <c r="F77" i="5"/>
  <c r="F79" i="5"/>
  <c r="F81" i="5"/>
  <c r="F83" i="5"/>
  <c r="F85" i="5"/>
  <c r="F87" i="5"/>
  <c r="F92" i="5"/>
  <c r="F94" i="5"/>
  <c r="F96" i="5"/>
  <c r="F98" i="5"/>
  <c r="F111" i="5"/>
  <c r="I20" i="5"/>
  <c r="I31" i="5"/>
  <c r="I42" i="5"/>
  <c r="I64" i="5"/>
  <c r="I75" i="5"/>
  <c r="I83" i="5"/>
  <c r="I94" i="5"/>
  <c r="E23" i="19"/>
  <c r="E38" i="19"/>
  <c r="D47" i="18" s="1"/>
  <c r="E80" i="19"/>
  <c r="E113" i="19"/>
  <c r="E60" i="19"/>
  <c r="E111" i="19"/>
  <c r="H42" i="19"/>
  <c r="H37" i="19"/>
  <c r="H32" i="19"/>
  <c r="H69" i="19"/>
  <c r="H33" i="19"/>
  <c r="H23" i="19"/>
  <c r="H20" i="19"/>
  <c r="H71" i="19"/>
  <c r="H65" i="19"/>
  <c r="H59" i="19"/>
  <c r="H105" i="19"/>
  <c r="H34" i="19"/>
  <c r="H31" i="19"/>
  <c r="H86" i="19"/>
  <c r="H24" i="19"/>
  <c r="H58" i="19"/>
  <c r="H45" i="19"/>
  <c r="H36" i="19"/>
  <c r="H84" i="19"/>
  <c r="H109" i="19"/>
  <c r="H108" i="19"/>
  <c r="H87" i="19"/>
  <c r="H66" i="19"/>
  <c r="H43" i="19"/>
  <c r="H35" i="19"/>
  <c r="H44" i="19"/>
  <c r="H16" i="19"/>
  <c r="H15" i="19"/>
  <c r="H110" i="19"/>
  <c r="H111" i="19"/>
  <c r="H77" i="19"/>
  <c r="H104" i="19"/>
  <c r="H113" i="19"/>
  <c r="H14" i="19"/>
  <c r="H106" i="19"/>
  <c r="H85" i="19"/>
  <c r="H78" i="19"/>
  <c r="H72" i="19"/>
  <c r="H68" i="19"/>
  <c r="H112" i="19"/>
  <c r="H60" i="19"/>
  <c r="G34" i="14"/>
  <c r="G69" i="14"/>
  <c r="G13" i="14"/>
  <c r="G84" i="14"/>
  <c r="G14" i="14"/>
  <c r="G42" i="14"/>
  <c r="G77" i="14"/>
  <c r="G105" i="14"/>
  <c r="G57" i="14"/>
  <c r="G33" i="14"/>
  <c r="G41" i="14"/>
  <c r="G68" i="14"/>
  <c r="G103" i="14"/>
  <c r="G83" i="14"/>
  <c r="G65" i="14"/>
  <c r="G56" i="14"/>
  <c r="G76" i="14"/>
  <c r="G108" i="14"/>
  <c r="G22" i="14"/>
  <c r="G101" i="14"/>
  <c r="G75" i="14"/>
  <c r="G102" i="14"/>
  <c r="G32" i="14"/>
  <c r="G67" i="14"/>
  <c r="G23" i="14"/>
  <c r="G107" i="14"/>
  <c r="G36" i="14"/>
  <c r="G63" i="14"/>
  <c r="G64" i="14"/>
  <c r="G106" i="14"/>
  <c r="G66" i="14"/>
  <c r="G58" i="14"/>
  <c r="G30" i="14"/>
  <c r="G110" i="14"/>
  <c r="G43" i="14"/>
  <c r="G70" i="14"/>
  <c r="G15" i="14"/>
  <c r="G44" i="14"/>
  <c r="G35" i="14"/>
  <c r="G31" i="14"/>
  <c r="H87" i="17"/>
  <c r="H86" i="17"/>
  <c r="H68" i="17"/>
  <c r="H44" i="17"/>
  <c r="H109" i="17"/>
  <c r="H20" i="17"/>
  <c r="H43" i="17"/>
  <c r="H77" i="17"/>
  <c r="H110" i="17"/>
  <c r="H15" i="17"/>
  <c r="H31" i="17"/>
  <c r="H72" i="17"/>
  <c r="H70" i="17"/>
  <c r="H65" i="17"/>
  <c r="H69" i="17"/>
  <c r="H37" i="17"/>
  <c r="H59" i="17"/>
  <c r="H24" i="17"/>
  <c r="H35" i="17"/>
  <c r="H45" i="17"/>
  <c r="H67" i="17"/>
  <c r="H66" i="17"/>
  <c r="H111" i="17"/>
  <c r="H108" i="17"/>
  <c r="H34" i="17"/>
  <c r="H16" i="17"/>
  <c r="H42" i="17"/>
  <c r="H84" i="17"/>
  <c r="H106" i="17"/>
  <c r="H105" i="17"/>
  <c r="H88" i="17"/>
  <c r="H113" i="17"/>
  <c r="H14" i="17"/>
  <c r="H36" i="17"/>
  <c r="H33" i="17"/>
  <c r="H71" i="17"/>
  <c r="H32" i="17"/>
  <c r="H112" i="17"/>
  <c r="H58" i="17"/>
  <c r="H78" i="17"/>
  <c r="H60" i="17"/>
  <c r="H104" i="17"/>
  <c r="H23" i="17"/>
  <c r="H79" i="17"/>
  <c r="G64" i="12"/>
  <c r="G86" i="12"/>
  <c r="G70" i="12"/>
  <c r="G22" i="12"/>
  <c r="G44" i="12"/>
  <c r="G106" i="12"/>
  <c r="G35" i="12"/>
  <c r="G83" i="12"/>
  <c r="G105" i="12"/>
  <c r="G65" i="12"/>
  <c r="G110" i="12"/>
  <c r="G69" i="12"/>
  <c r="G101" i="12"/>
  <c r="G41" i="12"/>
  <c r="G66" i="12"/>
  <c r="G30" i="12"/>
  <c r="G56" i="12"/>
  <c r="G32" i="12"/>
  <c r="G108" i="12"/>
  <c r="G13" i="12"/>
  <c r="G102" i="12"/>
  <c r="G36" i="12"/>
  <c r="G107" i="12"/>
  <c r="G63" i="12"/>
  <c r="G33" i="12"/>
  <c r="G58" i="12"/>
  <c r="G34" i="12"/>
  <c r="G103" i="12"/>
  <c r="G57" i="12"/>
  <c r="G67" i="12"/>
  <c r="G14" i="12"/>
  <c r="G42" i="12"/>
  <c r="G15" i="12"/>
  <c r="G43" i="12"/>
  <c r="G68" i="12"/>
  <c r="G77" i="12"/>
  <c r="G23" i="12"/>
  <c r="G76" i="12"/>
  <c r="G84" i="12"/>
  <c r="G75" i="12"/>
  <c r="G31" i="12"/>
  <c r="E77" i="19"/>
  <c r="E82" i="19"/>
  <c r="K49" i="18" l="1"/>
  <c r="K50" i="18" s="1"/>
  <c r="G109" i="14"/>
  <c r="G85" i="14"/>
  <c r="I38" i="5"/>
  <c r="I16" i="5"/>
  <c r="I49" i="5"/>
  <c r="I27" i="5"/>
  <c r="D59" i="18"/>
  <c r="D15" i="67" s="1"/>
  <c r="E105" i="19"/>
  <c r="E31" i="19"/>
  <c r="E42" i="19"/>
  <c r="E21" i="19"/>
  <c r="E67" i="19" l="1"/>
  <c r="E69" i="19"/>
  <c r="E72" i="19"/>
  <c r="E70" i="19"/>
  <c r="E66" i="19"/>
  <c r="E71" i="19"/>
  <c r="E68" i="19"/>
  <c r="E65" i="19" l="1"/>
  <c r="A7" i="40" l="1"/>
  <c r="A25" i="40" s="1"/>
  <c r="A4" i="40"/>
  <c r="A2" i="40"/>
  <c r="A20" i="40" s="1"/>
  <c r="A1" i="40"/>
  <c r="A19" i="40" s="1"/>
  <c r="E33" i="40"/>
  <c r="E32" i="40"/>
  <c r="E31" i="40"/>
  <c r="A31" i="40"/>
  <c r="A32" i="40" s="1"/>
  <c r="A33" i="40" s="1"/>
  <c r="A26" i="40"/>
  <c r="A21" i="40"/>
  <c r="E15" i="40"/>
  <c r="E14" i="40"/>
  <c r="E13" i="40"/>
  <c r="A13" i="40"/>
  <c r="A14" i="40" s="1"/>
  <c r="A15" i="40" s="1"/>
  <c r="J20" i="20"/>
  <c r="J18" i="20"/>
  <c r="J16" i="20"/>
  <c r="H81" i="10" l="1"/>
  <c r="E81" i="10"/>
  <c r="G81" i="10" s="1"/>
  <c r="G80" i="10"/>
  <c r="G79" i="10"/>
  <c r="G78" i="10"/>
  <c r="G77" i="10"/>
  <c r="G76" i="10"/>
  <c r="G75" i="10"/>
  <c r="G74" i="10"/>
  <c r="G73" i="10"/>
  <c r="G72" i="10"/>
  <c r="G71" i="10"/>
  <c r="G70" i="10"/>
  <c r="G69" i="10"/>
  <c r="G68" i="10"/>
  <c r="G67" i="10"/>
  <c r="G66" i="10"/>
  <c r="G65" i="10"/>
  <c r="G64" i="10"/>
  <c r="G63" i="10"/>
  <c r="G62" i="10"/>
  <c r="G61" i="10"/>
  <c r="G60" i="10"/>
  <c r="G59" i="10"/>
  <c r="G58" i="10"/>
  <c r="G57" i="10"/>
  <c r="G56" i="10"/>
  <c r="A56" i="10"/>
  <c r="A57" i="10" s="1"/>
  <c r="A58" i="10" s="1"/>
  <c r="A59" i="10" s="1"/>
  <c r="A60" i="10" s="1"/>
  <c r="A61" i="10" s="1"/>
  <c r="A62" i="10" s="1"/>
  <c r="A63" i="10" s="1"/>
  <c r="A64" i="10" s="1"/>
  <c r="A65" i="10" s="1"/>
  <c r="H40" i="10"/>
  <c r="E40" i="10"/>
  <c r="G40" i="10" s="1"/>
  <c r="G39" i="10"/>
  <c r="G38" i="10"/>
  <c r="G37" i="10"/>
  <c r="G36" i="10"/>
  <c r="G35" i="10"/>
  <c r="G34" i="10"/>
  <c r="G33" i="10"/>
  <c r="G32" i="10"/>
  <c r="G31" i="10"/>
  <c r="G30" i="10"/>
  <c r="G29" i="10"/>
  <c r="G28" i="10"/>
  <c r="G27" i="10"/>
  <c r="G26" i="10"/>
  <c r="G25" i="10"/>
  <c r="G24" i="10"/>
  <c r="G23" i="10"/>
  <c r="G22" i="10"/>
  <c r="G21" i="10"/>
  <c r="G20" i="10"/>
  <c r="G19" i="10"/>
  <c r="G18" i="10"/>
  <c r="G17" i="10"/>
  <c r="G16" i="10"/>
  <c r="G15" i="10"/>
  <c r="A15" i="10"/>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72" i="10" l="1"/>
  <c r="A73" i="10" s="1"/>
  <c r="A74" i="10" s="1"/>
  <c r="A75" i="10" s="1"/>
  <c r="A76" i="10" s="1"/>
  <c r="A77" i="10" s="1"/>
  <c r="A78" i="10" s="1"/>
  <c r="A79" i="10" s="1"/>
  <c r="A80" i="10" s="1"/>
  <c r="A81" i="10" s="1"/>
  <c r="C13" i="37"/>
  <c r="C11" i="37"/>
  <c r="A9" i="37"/>
  <c r="A7" i="37"/>
  <c r="B579" i="13" l="1"/>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2" i="13"/>
  <c r="B480" i="13"/>
  <c r="B479" i="13"/>
  <c r="B478" i="13"/>
  <c r="B477"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4" i="13"/>
  <c r="B422" i="13"/>
  <c r="B421" i="13"/>
  <c r="B419" i="13"/>
  <c r="B417" i="13"/>
  <c r="B416" i="13"/>
  <c r="B415" i="13"/>
  <c r="B414" i="13"/>
  <c r="B413" i="13"/>
  <c r="B412" i="13"/>
  <c r="B411" i="13"/>
  <c r="B410" i="13"/>
  <c r="B409" i="13"/>
  <c r="B408" i="13"/>
  <c r="B407" i="13"/>
  <c r="B406" i="13"/>
  <c r="B405" i="13"/>
  <c r="B404" i="13"/>
  <c r="B402" i="13"/>
  <c r="B400" i="13"/>
  <c r="B399" i="13"/>
  <c r="B398" i="13"/>
  <c r="B396" i="13"/>
  <c r="B395" i="13"/>
  <c r="B393" i="13"/>
  <c r="B392" i="13"/>
  <c r="B391" i="13"/>
  <c r="B390" i="13"/>
  <c r="B389" i="13"/>
  <c r="B388" i="13"/>
  <c r="B387" i="13"/>
  <c r="B385" i="13"/>
  <c r="D117" i="31" l="1"/>
  <c r="F117" i="31"/>
  <c r="F107" i="31"/>
  <c r="F95" i="31"/>
  <c r="F90" i="31"/>
  <c r="F84" i="31"/>
  <c r="D57" i="31"/>
  <c r="F57" i="31"/>
  <c r="F47" i="31"/>
  <c r="F28" i="31"/>
  <c r="D119" i="31" l="1"/>
  <c r="F119" i="31"/>
  <c r="P121" i="31" l="1"/>
  <c r="O57" i="31" l="1"/>
  <c r="O47" i="31"/>
  <c r="O19" i="31"/>
  <c r="A77" i="31"/>
  <c r="A78" i="31" s="1"/>
  <c r="A79" i="31" s="1"/>
  <c r="A80" i="31" s="1"/>
  <c r="A81" i="31" s="1"/>
  <c r="A82" i="31" s="1"/>
  <c r="A83" i="31" s="1"/>
  <c r="A84" i="31" s="1"/>
  <c r="A86" i="31" s="1"/>
  <c r="E57" i="31"/>
  <c r="E56" i="31"/>
  <c r="E55" i="31"/>
  <c r="E54" i="31"/>
  <c r="E52" i="31"/>
  <c r="E51" i="31"/>
  <c r="E50" i="31"/>
  <c r="E47" i="31"/>
  <c r="E45" i="31"/>
  <c r="E44" i="31"/>
  <c r="E43" i="31"/>
  <c r="E42" i="31"/>
  <c r="E41" i="31"/>
  <c r="E40" i="31"/>
  <c r="E39" i="31"/>
  <c r="E38" i="31"/>
  <c r="E37" i="31"/>
  <c r="E36" i="31"/>
  <c r="E35" i="31"/>
  <c r="E33" i="31"/>
  <c r="E31" i="31"/>
  <c r="E28" i="31"/>
  <c r="E26" i="31"/>
  <c r="E24" i="31"/>
  <c r="E20" i="31"/>
  <c r="G56" i="31"/>
  <c r="G55" i="31"/>
  <c r="G54" i="31"/>
  <c r="G52" i="31"/>
  <c r="G51" i="31"/>
  <c r="G50" i="31"/>
  <c r="G45" i="31"/>
  <c r="G44" i="31"/>
  <c r="G43" i="31"/>
  <c r="G42" i="31"/>
  <c r="G41" i="31"/>
  <c r="G40" i="31"/>
  <c r="G39" i="31"/>
  <c r="G37" i="31"/>
  <c r="G36" i="31"/>
  <c r="G35" i="31"/>
  <c r="G34" i="31"/>
  <c r="G33" i="31"/>
  <c r="G31" i="31"/>
  <c r="G26" i="31"/>
  <c r="G24" i="31"/>
  <c r="G20" i="31"/>
  <c r="O56" i="31"/>
  <c r="O55" i="31"/>
  <c r="O54" i="31"/>
  <c r="O52" i="31"/>
  <c r="O51" i="31"/>
  <c r="O50" i="31"/>
  <c r="O45" i="31"/>
  <c r="O44" i="31"/>
  <c r="O43" i="31"/>
  <c r="O42" i="31"/>
  <c r="O41" i="31"/>
  <c r="O40" i="31"/>
  <c r="O39" i="31"/>
  <c r="O38" i="31"/>
  <c r="O37" i="31"/>
  <c r="O36" i="31"/>
  <c r="O35" i="31"/>
  <c r="O34" i="31"/>
  <c r="O33" i="31"/>
  <c r="O31" i="31"/>
  <c r="O26" i="31"/>
  <c r="O24" i="31"/>
  <c r="O20" i="31"/>
  <c r="O18" i="31"/>
  <c r="O17" i="31"/>
  <c r="M56" i="31"/>
  <c r="M55" i="31"/>
  <c r="M54" i="31"/>
  <c r="M52" i="31"/>
  <c r="M51" i="31"/>
  <c r="M50" i="31"/>
  <c r="M45" i="31"/>
  <c r="M44" i="31"/>
  <c r="M43" i="31"/>
  <c r="M42" i="31"/>
  <c r="M41" i="31"/>
  <c r="M40" i="31"/>
  <c r="M39" i="31"/>
  <c r="M38" i="31"/>
  <c r="M37" i="31"/>
  <c r="M36" i="31"/>
  <c r="M35" i="31"/>
  <c r="M34" i="31"/>
  <c r="M33" i="31"/>
  <c r="M31" i="31"/>
  <c r="M26" i="31"/>
  <c r="M24" i="31"/>
  <c r="M20" i="31"/>
  <c r="M18" i="31"/>
  <c r="M17" i="31"/>
  <c r="K56" i="31"/>
  <c r="K55" i="31"/>
  <c r="K54" i="31"/>
  <c r="K52" i="31"/>
  <c r="K51" i="31"/>
  <c r="K50" i="31"/>
  <c r="K45" i="31"/>
  <c r="K44" i="31"/>
  <c r="K43" i="31"/>
  <c r="K42" i="31"/>
  <c r="K41" i="31"/>
  <c r="K40" i="31"/>
  <c r="K39" i="31"/>
  <c r="K38" i="31"/>
  <c r="K37" i="31"/>
  <c r="K36" i="31"/>
  <c r="K35" i="31"/>
  <c r="K34" i="31"/>
  <c r="K33" i="31"/>
  <c r="K31" i="31"/>
  <c r="K26" i="31"/>
  <c r="K24" i="31"/>
  <c r="K20" i="31"/>
  <c r="K18" i="31"/>
  <c r="A87" i="31" l="1"/>
  <c r="A88" i="31" s="1"/>
  <c r="A89" i="31" s="1"/>
  <c r="A90" i="31" s="1"/>
  <c r="A92" i="31" s="1"/>
  <c r="A93" i="31" s="1"/>
  <c r="A94" i="31" s="1"/>
  <c r="A95" i="31" s="1"/>
  <c r="A97" i="31" s="1"/>
  <c r="A98" i="31" s="1"/>
  <c r="A99" i="31" s="1"/>
  <c r="A100" i="31" s="1"/>
  <c r="A101" i="31" s="1"/>
  <c r="A102" i="31" s="1"/>
  <c r="A103" i="31" s="1"/>
  <c r="A104" i="31" s="1"/>
  <c r="A105" i="31" s="1"/>
  <c r="A106" i="31" s="1"/>
  <c r="A107" i="31" s="1"/>
  <c r="A109" i="31" s="1"/>
  <c r="A110" i="31" s="1"/>
  <c r="A111" i="31" s="1"/>
  <c r="A112" i="31" s="1"/>
  <c r="A113" i="31" s="1"/>
  <c r="A114" i="31" s="1"/>
  <c r="A115" i="31" s="1"/>
  <c r="A116" i="31" s="1"/>
  <c r="A117" i="31" s="1"/>
  <c r="A119" i="31" s="1"/>
  <c r="M28" i="31"/>
  <c r="O28" i="31"/>
  <c r="M57" i="31"/>
  <c r="M19" i="31"/>
  <c r="M47" i="31"/>
  <c r="L121" i="31" l="1"/>
  <c r="M21" i="31"/>
  <c r="O21" i="31"/>
  <c r="O59" i="31" l="1"/>
  <c r="N121" i="31"/>
  <c r="M59" i="31"/>
  <c r="O119" i="31" l="1"/>
  <c r="O117" i="31"/>
  <c r="O116" i="31"/>
  <c r="O114" i="31"/>
  <c r="O113" i="31"/>
  <c r="O112" i="31"/>
  <c r="O111" i="31"/>
  <c r="O110" i="31"/>
  <c r="O107" i="31"/>
  <c r="O106" i="31"/>
  <c r="O105" i="31"/>
  <c r="O104" i="31"/>
  <c r="O103" i="31"/>
  <c r="O102" i="31"/>
  <c r="O101" i="31"/>
  <c r="O99" i="31"/>
  <c r="O95" i="31"/>
  <c r="O94" i="31"/>
  <c r="O93" i="31"/>
  <c r="O90" i="31"/>
  <c r="O87" i="31"/>
  <c r="O84" i="31"/>
  <c r="O82" i="31"/>
  <c r="O80" i="31"/>
  <c r="O79" i="31"/>
  <c r="O78" i="31"/>
  <c r="M119" i="31"/>
  <c r="M117" i="31"/>
  <c r="M116" i="31"/>
  <c r="M114" i="31"/>
  <c r="M113" i="31"/>
  <c r="M112" i="31"/>
  <c r="M111" i="31"/>
  <c r="M110" i="31"/>
  <c r="M107" i="31"/>
  <c r="M106" i="31"/>
  <c r="M105" i="31"/>
  <c r="M104" i="31"/>
  <c r="M103" i="31"/>
  <c r="M102" i="31"/>
  <c r="M101" i="31"/>
  <c r="M99" i="31"/>
  <c r="M95" i="31"/>
  <c r="M94" i="31"/>
  <c r="M93" i="31"/>
  <c r="M90" i="31"/>
  <c r="M89" i="31"/>
  <c r="M87" i="31"/>
  <c r="M84" i="31"/>
  <c r="M82" i="31"/>
  <c r="M81" i="31"/>
  <c r="M80" i="31"/>
  <c r="M79" i="31"/>
  <c r="M78" i="31"/>
  <c r="K116" i="31"/>
  <c r="K114" i="31"/>
  <c r="K113" i="31"/>
  <c r="K112" i="31"/>
  <c r="K111" i="31"/>
  <c r="K110" i="31"/>
  <c r="K106" i="31"/>
  <c r="K105" i="31"/>
  <c r="K104" i="31"/>
  <c r="K103" i="31"/>
  <c r="K102" i="31"/>
  <c r="K101" i="31"/>
  <c r="K99" i="31"/>
  <c r="K94" i="31"/>
  <c r="K93" i="31"/>
  <c r="K89" i="31"/>
  <c r="K87" i="31"/>
  <c r="K82" i="31"/>
  <c r="K81" i="31"/>
  <c r="K80" i="31"/>
  <c r="K79" i="31"/>
  <c r="K78" i="31"/>
  <c r="E119" i="31"/>
  <c r="E117" i="31"/>
  <c r="E116" i="31"/>
  <c r="E114" i="31"/>
  <c r="E113" i="31"/>
  <c r="E112" i="31"/>
  <c r="E111" i="31"/>
  <c r="E110" i="31"/>
  <c r="E107" i="31"/>
  <c r="E106" i="31"/>
  <c r="E105" i="31"/>
  <c r="E104" i="31"/>
  <c r="E103" i="31"/>
  <c r="E102" i="31"/>
  <c r="E101" i="31"/>
  <c r="E99" i="31"/>
  <c r="E95" i="31"/>
  <c r="E94" i="31"/>
  <c r="E93" i="31"/>
  <c r="E90" i="31"/>
  <c r="E89" i="31"/>
  <c r="E87" i="31"/>
  <c r="E84" i="31"/>
  <c r="E82" i="31"/>
  <c r="E81" i="31"/>
  <c r="E80" i="31"/>
  <c r="E79" i="31"/>
  <c r="E78" i="31"/>
  <c r="G116" i="31"/>
  <c r="G114" i="31"/>
  <c r="G113" i="31"/>
  <c r="G112" i="31"/>
  <c r="G111" i="31"/>
  <c r="G110" i="31"/>
  <c r="G106" i="31"/>
  <c r="G105" i="31"/>
  <c r="G104" i="31"/>
  <c r="G103" i="31"/>
  <c r="G102" i="31"/>
  <c r="G101" i="31"/>
  <c r="G99" i="31"/>
  <c r="G98" i="31"/>
  <c r="G94" i="31"/>
  <c r="G93" i="31"/>
  <c r="G89" i="31"/>
  <c r="G87" i="31"/>
  <c r="G82" i="31"/>
  <c r="G80" i="31"/>
  <c r="G79" i="31"/>
  <c r="G78" i="31"/>
  <c r="J117" i="31" l="1"/>
  <c r="J107" i="31"/>
  <c r="J95" i="31"/>
  <c r="J90" i="31"/>
  <c r="J84" i="31"/>
  <c r="K84" i="31" s="1"/>
  <c r="I116" i="31"/>
  <c r="I114" i="31"/>
  <c r="I113" i="31"/>
  <c r="I112" i="31"/>
  <c r="I111" i="31"/>
  <c r="I110" i="31"/>
  <c r="I106" i="31"/>
  <c r="I105" i="31"/>
  <c r="I104" i="31"/>
  <c r="I103" i="31"/>
  <c r="I102" i="31"/>
  <c r="I101" i="31"/>
  <c r="I99" i="31"/>
  <c r="I98" i="31"/>
  <c r="I94" i="31"/>
  <c r="I93" i="31"/>
  <c r="I89" i="31"/>
  <c r="I87" i="31"/>
  <c r="I82" i="31"/>
  <c r="I81" i="31"/>
  <c r="I80" i="31"/>
  <c r="I79" i="31"/>
  <c r="I78" i="31"/>
  <c r="H84" i="31"/>
  <c r="G84" i="31" s="1"/>
  <c r="H117" i="31"/>
  <c r="G117" i="31" s="1"/>
  <c r="H107" i="31"/>
  <c r="G107" i="31" s="1"/>
  <c r="H95" i="31"/>
  <c r="G95" i="31" s="1"/>
  <c r="H90" i="31"/>
  <c r="G90" i="31" s="1"/>
  <c r="I95" i="31" l="1"/>
  <c r="K95" i="31"/>
  <c r="I117" i="31"/>
  <c r="K117" i="31"/>
  <c r="I90" i="31"/>
  <c r="K90" i="31"/>
  <c r="H119" i="31"/>
  <c r="G119" i="31" s="1"/>
  <c r="I107" i="31"/>
  <c r="K107" i="31"/>
  <c r="J119" i="31"/>
  <c r="I84" i="31"/>
  <c r="I119" i="31" l="1"/>
  <c r="K119" i="31"/>
  <c r="I56" i="31"/>
  <c r="I55" i="31"/>
  <c r="I54" i="31"/>
  <c r="I52" i="31"/>
  <c r="I51" i="31"/>
  <c r="I50" i="31"/>
  <c r="I45" i="31"/>
  <c r="I44" i="31"/>
  <c r="I43" i="31"/>
  <c r="I42" i="31"/>
  <c r="I41" i="31"/>
  <c r="I40" i="31"/>
  <c r="I39" i="31"/>
  <c r="I38" i="31"/>
  <c r="I37" i="31"/>
  <c r="I36" i="31"/>
  <c r="I35" i="31"/>
  <c r="I34" i="31"/>
  <c r="I33" i="31"/>
  <c r="I31" i="31"/>
  <c r="J57" i="31"/>
  <c r="K47" i="31"/>
  <c r="I26" i="31"/>
  <c r="I24" i="31"/>
  <c r="J28" i="31"/>
  <c r="K28" i="31" s="1"/>
  <c r="I20" i="31"/>
  <c r="I18" i="31"/>
  <c r="K17" i="31"/>
  <c r="K57" i="31" l="1"/>
  <c r="G57" i="31" l="1"/>
  <c r="I57" i="31"/>
  <c r="K19" i="31"/>
  <c r="G28" i="31"/>
  <c r="I28" i="31"/>
  <c r="I17" i="31"/>
  <c r="G47" i="31"/>
  <c r="I47" i="31"/>
  <c r="I19" i="31" l="1"/>
  <c r="K21" i="31"/>
  <c r="J59" i="31"/>
  <c r="A16" i="31"/>
  <c r="A17" i="31" s="1"/>
  <c r="A18" i="31" s="1"/>
  <c r="A19" i="31" s="1"/>
  <c r="A20" i="31" s="1"/>
  <c r="A21" i="31" s="1"/>
  <c r="A23" i="31" s="1"/>
  <c r="A24" i="31" s="1"/>
  <c r="A25" i="31" s="1"/>
  <c r="A26" i="31" s="1"/>
  <c r="A27" i="31" s="1"/>
  <c r="A28" i="31" s="1"/>
  <c r="A30" i="31" s="1"/>
  <c r="A31" i="31" s="1"/>
  <c r="A32" i="31" s="1"/>
  <c r="A33" i="31" s="1"/>
  <c r="A34" i="31" s="1"/>
  <c r="A35" i="31" s="1"/>
  <c r="A36" i="31" s="1"/>
  <c r="A37" i="31" s="1"/>
  <c r="A38" i="31" s="1"/>
  <c r="A39" i="31" s="1"/>
  <c r="A40" i="31" s="1"/>
  <c r="A41" i="31" s="1"/>
  <c r="A42" i="31" s="1"/>
  <c r="A43" i="31" s="1"/>
  <c r="A44" i="31" s="1"/>
  <c r="A45" i="31" s="1"/>
  <c r="A46" i="31" s="1"/>
  <c r="A47" i="31" s="1"/>
  <c r="A49" i="31" s="1"/>
  <c r="A50" i="31" s="1"/>
  <c r="A51" i="31" s="1"/>
  <c r="A52" i="31" s="1"/>
  <c r="A53" i="31" s="1"/>
  <c r="A54" i="31" s="1"/>
  <c r="A55" i="31" s="1"/>
  <c r="A56" i="31" s="1"/>
  <c r="A57" i="31" s="1"/>
  <c r="A59" i="31" s="1"/>
  <c r="K59" i="31" l="1"/>
  <c r="J121" i="31"/>
  <c r="I21" i="31"/>
  <c r="H121" i="31"/>
  <c r="D22" i="16"/>
  <c r="F21" i="68" s="1"/>
  <c r="G21" i="68" s="1"/>
  <c r="I59" i="31" l="1"/>
  <c r="A8" i="33"/>
  <c r="A4" i="33"/>
  <c r="A2" i="33"/>
  <c r="A1" i="33"/>
  <c r="A69" i="31"/>
  <c r="A67" i="31"/>
  <c r="A64" i="31"/>
  <c r="A65" i="31"/>
  <c r="A7" i="31"/>
  <c r="A68" i="31" s="1"/>
  <c r="A2" i="31"/>
  <c r="A63" i="31" s="1"/>
  <c r="A1" i="31"/>
  <c r="A62" i="31" s="1"/>
  <c r="P73" i="31"/>
  <c r="N73" i="31"/>
  <c r="L73" i="31"/>
  <c r="J73" i="31"/>
  <c r="H73" i="31"/>
  <c r="A4" i="30" l="1"/>
  <c r="A186" i="30" s="1"/>
  <c r="A7" i="30"/>
  <c r="A189" i="30" s="1"/>
  <c r="A2" i="30"/>
  <c r="A184" i="30" s="1"/>
  <c r="A1" i="30"/>
  <c r="A183" i="30" s="1"/>
  <c r="A24" i="28"/>
  <c r="H16" i="28"/>
  <c r="D24" i="16" s="1"/>
  <c r="F23" i="68" s="1"/>
  <c r="G23" i="68" s="1"/>
  <c r="E16" i="28"/>
  <c r="E14" i="28"/>
  <c r="A62" i="30" l="1"/>
  <c r="A123" i="30"/>
  <c r="A67" i="30"/>
  <c r="A128" i="30"/>
  <c r="A61" i="30"/>
  <c r="A122" i="30"/>
  <c r="A64" i="30"/>
  <c r="A125" i="30"/>
  <c r="H14" i="28"/>
  <c r="D25" i="16" s="1"/>
  <c r="F24" i="68" s="1"/>
  <c r="G24" i="68" s="1"/>
  <c r="H12" i="28"/>
  <c r="D23" i="16" s="1"/>
  <c r="F22" i="68" s="1"/>
  <c r="G22" i="68" s="1"/>
  <c r="A7" i="28"/>
  <c r="A28" i="28" s="1"/>
  <c r="A4" i="28"/>
  <c r="A2" i="28"/>
  <c r="A23" i="28" s="1"/>
  <c r="A1" i="28"/>
  <c r="A22" i="28" s="1"/>
  <c r="E49" i="25"/>
  <c r="E47" i="26"/>
  <c r="C47" i="26"/>
  <c r="E22" i="26"/>
  <c r="C22" i="26"/>
  <c r="A33" i="26"/>
  <c r="A28" i="26"/>
  <c r="D16" i="26"/>
  <c r="D14" i="26"/>
  <c r="A7" i="26"/>
  <c r="A32" i="26" s="1"/>
  <c r="A2" i="26"/>
  <c r="A27" i="26" s="1"/>
  <c r="A1" i="26"/>
  <c r="A26" i="26" s="1"/>
  <c r="F43" i="25"/>
  <c r="F41" i="25"/>
  <c r="F39" i="25"/>
  <c r="A34" i="25"/>
  <c r="A29" i="25"/>
  <c r="F17" i="25"/>
  <c r="F15" i="25"/>
  <c r="A7" i="25"/>
  <c r="A33" i="25" s="1"/>
  <c r="A2" i="25"/>
  <c r="A28" i="25" s="1"/>
  <c r="A1" i="25"/>
  <c r="A27" i="25" s="1"/>
  <c r="G23" i="25" l="1"/>
  <c r="E23" i="25"/>
  <c r="F13" i="25"/>
  <c r="F21" i="25" l="1"/>
  <c r="D21" i="16"/>
  <c r="F20" i="68" s="1"/>
  <c r="G20" i="68" s="1"/>
  <c r="A71" i="23"/>
  <c r="A69" i="23"/>
  <c r="A66" i="23"/>
  <c r="A15" i="23"/>
  <c r="A16" i="23" s="1"/>
  <c r="A17" i="23" s="1"/>
  <c r="A18" i="23" s="1"/>
  <c r="A20" i="23" s="1"/>
  <c r="A21" i="23" s="1"/>
  <c r="A22" i="23" s="1"/>
  <c r="A7" i="23"/>
  <c r="A4" i="23"/>
  <c r="A67" i="23" s="1"/>
  <c r="A2" i="23"/>
  <c r="A1" i="23"/>
  <c r="A65" i="23" l="1"/>
  <c r="A23" i="23"/>
  <c r="A25" i="23" s="1"/>
  <c r="A26" i="23" s="1"/>
  <c r="A27" i="23" s="1"/>
  <c r="A28" i="23" s="1"/>
  <c r="A29" i="23" s="1"/>
  <c r="A31" i="23" s="1"/>
  <c r="A32" i="23" s="1"/>
  <c r="A33" i="23" s="1"/>
  <c r="A34" i="23" s="1"/>
  <c r="A35" i="23" s="1"/>
  <c r="A36" i="23" s="1"/>
  <c r="A37" i="23" s="1"/>
  <c r="A38" i="23" s="1"/>
  <c r="A39" i="23" s="1"/>
  <c r="A40" i="23" s="1"/>
  <c r="A42" i="23" s="1"/>
  <c r="A43" i="23" s="1"/>
  <c r="A44" i="23" s="1"/>
  <c r="A45" i="23" s="1"/>
  <c r="A46" i="23" s="1"/>
  <c r="A47" i="23" s="1"/>
  <c r="A48" i="23" s="1"/>
  <c r="A49" i="23" s="1"/>
  <c r="A50" i="23" s="1"/>
  <c r="A51" i="23" s="1"/>
  <c r="A53" i="23" s="1"/>
  <c r="A54" i="23" s="1"/>
  <c r="A55" i="23" s="1"/>
  <c r="A56" i="23" s="1"/>
  <c r="A57" i="23" s="1"/>
  <c r="A58" i="23" s="1"/>
  <c r="A59" i="23" s="1"/>
  <c r="A60" i="23" s="1"/>
  <c r="A61" i="23" s="1"/>
  <c r="A62" i="23" s="1"/>
  <c r="A63" i="23" s="1"/>
  <c r="A77" i="23" s="1"/>
  <c r="A78" i="23" s="1"/>
  <c r="A79" i="23" s="1"/>
  <c r="A80" i="23" s="1"/>
  <c r="A81" i="23" s="1"/>
  <c r="A82" i="23" s="1"/>
  <c r="A83" i="23" s="1"/>
  <c r="A84" i="23" s="1"/>
  <c r="A85" i="23" s="1"/>
  <c r="A86" i="23" s="1"/>
  <c r="A87" i="23" s="1"/>
  <c r="A88" i="23" s="1"/>
  <c r="A89" i="23" s="1"/>
  <c r="A90" i="23" s="1"/>
  <c r="A91" i="23" s="1"/>
  <c r="A93" i="23" s="1"/>
  <c r="A94" i="23" s="1"/>
  <c r="A95" i="23" s="1"/>
  <c r="A96" i="23" s="1"/>
  <c r="A97" i="23" s="1"/>
  <c r="A98" i="23" s="1"/>
  <c r="A99" i="23" s="1"/>
  <c r="A100" i="23" s="1"/>
  <c r="A101" i="23" s="1"/>
  <c r="A102" i="23" s="1"/>
  <c r="A103" i="23" s="1"/>
  <c r="A104" i="23" s="1"/>
  <c r="A106" i="23" s="1"/>
  <c r="A24" i="23"/>
  <c r="A64" i="23"/>
  <c r="A70" i="23"/>
  <c r="E47" i="20" l="1"/>
  <c r="D47" i="20"/>
  <c r="C47" i="20"/>
  <c r="F45" i="20"/>
  <c r="F43" i="20"/>
  <c r="F41" i="20"/>
  <c r="F39" i="20"/>
  <c r="E22" i="20"/>
  <c r="D22" i="20"/>
  <c r="A33" i="20"/>
  <c r="A28" i="20"/>
  <c r="F20" i="20"/>
  <c r="G20" i="20" s="1"/>
  <c r="F18" i="20"/>
  <c r="G18" i="20" s="1"/>
  <c r="F16" i="20"/>
  <c r="G16" i="20" s="1"/>
  <c r="F14" i="20"/>
  <c r="G14" i="20" s="1"/>
  <c r="D12" i="40" s="1"/>
  <c r="A7" i="20"/>
  <c r="A32" i="20" s="1"/>
  <c r="A4" i="20"/>
  <c r="A2" i="20"/>
  <c r="A27" i="20" s="1"/>
  <c r="A1" i="20"/>
  <c r="A26" i="20" s="1"/>
  <c r="N114" i="19"/>
  <c r="N74" i="19"/>
  <c r="N62" i="19"/>
  <c r="N39" i="19"/>
  <c r="N28" i="19"/>
  <c r="A98" i="19"/>
  <c r="A96" i="19"/>
  <c r="A93" i="19"/>
  <c r="A53" i="19"/>
  <c r="A51" i="19"/>
  <c r="A48" i="19"/>
  <c r="H17" i="19"/>
  <c r="A14" i="19"/>
  <c r="A15" i="19" s="1"/>
  <c r="A16" i="19" s="1"/>
  <c r="A17" i="19" s="1"/>
  <c r="A19" i="19" s="1"/>
  <c r="A20" i="19" s="1"/>
  <c r="A21" i="19" s="1"/>
  <c r="A7" i="19"/>
  <c r="A52" i="19" s="1"/>
  <c r="A4" i="19"/>
  <c r="A94" i="19" s="1"/>
  <c r="A2" i="19"/>
  <c r="A92" i="19" s="1"/>
  <c r="A1" i="19"/>
  <c r="J41" i="20" l="1"/>
  <c r="G41" i="20"/>
  <c r="J43" i="20"/>
  <c r="G43" i="20"/>
  <c r="J45" i="20"/>
  <c r="G45" i="20"/>
  <c r="E114" i="19"/>
  <c r="O114" i="19" s="1"/>
  <c r="P114" i="19" s="1"/>
  <c r="E74" i="19"/>
  <c r="O74" i="19" s="1"/>
  <c r="P74" i="19" s="1"/>
  <c r="E90" i="19"/>
  <c r="E28" i="19"/>
  <c r="O28" i="19" s="1"/>
  <c r="P28" i="19" s="1"/>
  <c r="E62" i="19"/>
  <c r="O62" i="19" s="1"/>
  <c r="P62" i="19" s="1"/>
  <c r="F61" i="19" s="1"/>
  <c r="E39" i="19"/>
  <c r="O39" i="19" s="1"/>
  <c r="P39" i="19" s="1"/>
  <c r="F47" i="20"/>
  <c r="F22" i="20"/>
  <c r="C22" i="20"/>
  <c r="E17" i="19"/>
  <c r="A47" i="19"/>
  <c r="A23" i="19"/>
  <c r="A22" i="19"/>
  <c r="A24" i="19" s="1"/>
  <c r="A25" i="19" s="1"/>
  <c r="A26" i="19" s="1"/>
  <c r="A27" i="19" s="1"/>
  <c r="A28" i="19" s="1"/>
  <c r="A30" i="19" s="1"/>
  <c r="A31" i="19" s="1"/>
  <c r="A32" i="19" s="1"/>
  <c r="A33" i="19" s="1"/>
  <c r="A34" i="19" s="1"/>
  <c r="A35" i="19" s="1"/>
  <c r="A36" i="19" s="1"/>
  <c r="A37" i="19" s="1"/>
  <c r="A38" i="19" s="1"/>
  <c r="A39" i="19" s="1"/>
  <c r="A41" i="19" s="1"/>
  <c r="A42" i="19" s="1"/>
  <c r="A43" i="19" s="1"/>
  <c r="A44" i="19" s="1"/>
  <c r="A45" i="19" s="1"/>
  <c r="A58" i="19" s="1"/>
  <c r="A59" i="19" s="1"/>
  <c r="A60" i="19" s="1"/>
  <c r="A61" i="19" s="1"/>
  <c r="A62" i="19" s="1"/>
  <c r="A64" i="19" s="1"/>
  <c r="A65" i="19" s="1"/>
  <c r="A66" i="19" s="1"/>
  <c r="A67" i="19" s="1"/>
  <c r="A68" i="19" s="1"/>
  <c r="A69" i="19" s="1"/>
  <c r="A70" i="19" s="1"/>
  <c r="A71" i="19" s="1"/>
  <c r="A72" i="19" s="1"/>
  <c r="A73" i="19" s="1"/>
  <c r="A74" i="19" s="1"/>
  <c r="A76" i="19" s="1"/>
  <c r="A77" i="19" s="1"/>
  <c r="A78" i="19" s="1"/>
  <c r="A79" i="19" s="1"/>
  <c r="A80" i="19" s="1"/>
  <c r="A81" i="19" s="1"/>
  <c r="A82" i="19" s="1"/>
  <c r="A83" i="19" s="1"/>
  <c r="A84" i="19" s="1"/>
  <c r="A85" i="19" s="1"/>
  <c r="A86" i="19" s="1"/>
  <c r="A87" i="19" s="1"/>
  <c r="A88" i="19" s="1"/>
  <c r="A89" i="19" s="1"/>
  <c r="A90" i="19" s="1"/>
  <c r="A103" i="19" s="1"/>
  <c r="A104" i="19" s="1"/>
  <c r="A105" i="19" s="1"/>
  <c r="A106" i="19" s="1"/>
  <c r="A107" i="19" s="1"/>
  <c r="A108" i="19" s="1"/>
  <c r="A109" i="19" s="1"/>
  <c r="A110" i="19" s="1"/>
  <c r="A111" i="19" s="1"/>
  <c r="A112" i="19" s="1"/>
  <c r="A113" i="19" s="1"/>
  <c r="A114" i="19" s="1"/>
  <c r="A116" i="19" s="1"/>
  <c r="A91" i="19"/>
  <c r="A46" i="19"/>
  <c r="A49" i="19"/>
  <c r="A97" i="19"/>
  <c r="A38" i="18"/>
  <c r="A34" i="18"/>
  <c r="A33" i="18"/>
  <c r="A7" i="18"/>
  <c r="A37" i="18" s="1"/>
  <c r="A4" i="18"/>
  <c r="A2" i="18"/>
  <c r="A32" i="18" s="1"/>
  <c r="A1" i="18"/>
  <c r="A31" i="18" s="1"/>
  <c r="N114" i="17"/>
  <c r="N28" i="17"/>
  <c r="N39" i="17"/>
  <c r="N62" i="17"/>
  <c r="N74" i="17"/>
  <c r="C17" i="67" l="1"/>
  <c r="E17" i="67" s="1"/>
  <c r="E48" i="18"/>
  <c r="F48" i="18" s="1"/>
  <c r="H61" i="19" s="1"/>
  <c r="H62" i="19" s="1"/>
  <c r="G61" i="19"/>
  <c r="C17" i="68"/>
  <c r="E17" i="68" s="1"/>
  <c r="F18" i="31"/>
  <c r="F17" i="31" s="1"/>
  <c r="D18" i="31"/>
  <c r="D17" i="31" s="1"/>
  <c r="F113" i="19"/>
  <c r="F109" i="19"/>
  <c r="F105" i="19"/>
  <c r="F111" i="19"/>
  <c r="F110" i="19"/>
  <c r="G110" i="19" s="1"/>
  <c r="I110" i="19" s="1"/>
  <c r="E100" i="47" s="1"/>
  <c r="F106" i="19"/>
  <c r="F112" i="19"/>
  <c r="F108" i="19"/>
  <c r="F104" i="19"/>
  <c r="F107" i="19"/>
  <c r="E56" i="18" s="1"/>
  <c r="F56" i="18" s="1"/>
  <c r="E116" i="19"/>
  <c r="F71" i="19"/>
  <c r="F67" i="19"/>
  <c r="F70" i="19"/>
  <c r="F66" i="19"/>
  <c r="F73" i="19"/>
  <c r="E49" i="18" s="1"/>
  <c r="F49" i="18" s="1"/>
  <c r="H73" i="19" s="1"/>
  <c r="F69" i="19"/>
  <c r="F65" i="19"/>
  <c r="F72" i="19"/>
  <c r="F68" i="19"/>
  <c r="F45" i="19"/>
  <c r="G45" i="19" s="1"/>
  <c r="I45" i="19" s="1"/>
  <c r="E46" i="47" s="1"/>
  <c r="F59" i="19"/>
  <c r="F60" i="19"/>
  <c r="F44" i="19"/>
  <c r="G44" i="19" s="1"/>
  <c r="I44" i="19" s="1"/>
  <c r="E45" i="47" s="1"/>
  <c r="F43" i="19"/>
  <c r="G43" i="19" s="1"/>
  <c r="I43" i="19" s="1"/>
  <c r="E44" i="47" s="1"/>
  <c r="F58" i="19"/>
  <c r="F42" i="19"/>
  <c r="G42" i="19" s="1"/>
  <c r="I42" i="19" s="1"/>
  <c r="E43" i="47" s="1"/>
  <c r="F24" i="19"/>
  <c r="G24" i="19" s="1"/>
  <c r="I24" i="19" s="1"/>
  <c r="E25" i="47" s="1"/>
  <c r="F20" i="19"/>
  <c r="G20" i="19" s="1"/>
  <c r="F27" i="19"/>
  <c r="F23" i="19"/>
  <c r="G23" i="19" s="1"/>
  <c r="I23" i="19" s="1"/>
  <c r="E24" i="47" s="1"/>
  <c r="F26" i="19"/>
  <c r="F22" i="19"/>
  <c r="F25" i="19"/>
  <c r="F21" i="19"/>
  <c r="F36" i="19"/>
  <c r="F32" i="19"/>
  <c r="F38" i="19"/>
  <c r="E47" i="18" s="1"/>
  <c r="F47" i="18" s="1"/>
  <c r="H38" i="19" s="1"/>
  <c r="H39" i="19" s="1"/>
  <c r="F35" i="19"/>
  <c r="F31" i="19"/>
  <c r="F34" i="19"/>
  <c r="F37" i="19"/>
  <c r="F33" i="19"/>
  <c r="I61" i="19" l="1"/>
  <c r="E50" i="47" s="1"/>
  <c r="G26" i="19"/>
  <c r="E45" i="18"/>
  <c r="F45" i="18" s="1"/>
  <c r="H26" i="19" s="1"/>
  <c r="H107" i="19"/>
  <c r="H114" i="19" s="1"/>
  <c r="H67" i="19"/>
  <c r="G18" i="31"/>
  <c r="R21" i="58"/>
  <c r="C15" i="67"/>
  <c r="E15" i="67" s="1"/>
  <c r="E18" i="31"/>
  <c r="G21" i="19"/>
  <c r="E42" i="18"/>
  <c r="F42" i="18" s="1"/>
  <c r="H70" i="19" s="1"/>
  <c r="G25" i="19"/>
  <c r="E44" i="18"/>
  <c r="F44" i="18" s="1"/>
  <c r="G27" i="19"/>
  <c r="E46" i="18"/>
  <c r="F46" i="18" s="1"/>
  <c r="G22" i="19"/>
  <c r="E43" i="18"/>
  <c r="F43" i="18" s="1"/>
  <c r="I20" i="19"/>
  <c r="E21" i="47" s="1"/>
  <c r="A4" i="17"/>
  <c r="A94" i="17" s="1"/>
  <c r="A98" i="17"/>
  <c r="A96" i="17"/>
  <c r="A93" i="17"/>
  <c r="A53" i="17"/>
  <c r="A51" i="17"/>
  <c r="A48" i="17"/>
  <c r="A14" i="17"/>
  <c r="A15" i="17" s="1"/>
  <c r="A16" i="17" s="1"/>
  <c r="A17" i="17" s="1"/>
  <c r="A19" i="17" s="1"/>
  <c r="A20" i="17" s="1"/>
  <c r="A21" i="17" s="1"/>
  <c r="A7" i="17"/>
  <c r="A52" i="17" s="1"/>
  <c r="A2" i="17"/>
  <c r="A47" i="17" s="1"/>
  <c r="A1" i="17"/>
  <c r="A91" i="17" s="1"/>
  <c r="I26" i="19" l="1"/>
  <c r="E27" i="47" s="1"/>
  <c r="H74" i="19"/>
  <c r="H22" i="19"/>
  <c r="I22" i="19" s="1"/>
  <c r="E23" i="47" s="1"/>
  <c r="H79" i="19"/>
  <c r="H25" i="19"/>
  <c r="I25" i="19" s="1"/>
  <c r="E26" i="47" s="1"/>
  <c r="F19" i="31"/>
  <c r="G17" i="31"/>
  <c r="D19" i="31"/>
  <c r="E17" i="31"/>
  <c r="G28" i="19"/>
  <c r="H27" i="19"/>
  <c r="I27" i="19" s="1"/>
  <c r="E28" i="47" s="1"/>
  <c r="H21" i="19"/>
  <c r="I21" i="19" s="1"/>
  <c r="E22" i="47" s="1"/>
  <c r="A92" i="17"/>
  <c r="A97" i="17"/>
  <c r="A23" i="17"/>
  <c r="A22" i="17"/>
  <c r="A24" i="17" s="1"/>
  <c r="A25" i="17" s="1"/>
  <c r="A26" i="17" s="1"/>
  <c r="A27" i="17" s="1"/>
  <c r="A28" i="17" s="1"/>
  <c r="A30" i="17" s="1"/>
  <c r="A31" i="17" s="1"/>
  <c r="A32" i="17" s="1"/>
  <c r="A33" i="17" s="1"/>
  <c r="A34" i="17" s="1"/>
  <c r="A35" i="17" s="1"/>
  <c r="A36" i="17" s="1"/>
  <c r="A37" i="17" s="1"/>
  <c r="A38" i="17" s="1"/>
  <c r="A39" i="17" s="1"/>
  <c r="A41" i="17" s="1"/>
  <c r="A42" i="17" s="1"/>
  <c r="A43" i="17" s="1"/>
  <c r="A44" i="17" s="1"/>
  <c r="A45" i="17" s="1"/>
  <c r="A58" i="17" s="1"/>
  <c r="A59" i="17" s="1"/>
  <c r="A60" i="17" s="1"/>
  <c r="A61" i="17" s="1"/>
  <c r="A62" i="17" s="1"/>
  <c r="A64" i="17" s="1"/>
  <c r="A65" i="17" s="1"/>
  <c r="A66" i="17" s="1"/>
  <c r="A67" i="17" s="1"/>
  <c r="A68" i="17" s="1"/>
  <c r="A69" i="17" s="1"/>
  <c r="A70" i="17" s="1"/>
  <c r="A71" i="17" s="1"/>
  <c r="A72" i="17" s="1"/>
  <c r="A73" i="17" s="1"/>
  <c r="A74" i="17" s="1"/>
  <c r="A76" i="17" s="1"/>
  <c r="A77" i="17" s="1"/>
  <c r="A78" i="17" s="1"/>
  <c r="A79" i="17" s="1"/>
  <c r="A80" i="17" s="1"/>
  <c r="A81" i="17" s="1"/>
  <c r="A82" i="17" s="1"/>
  <c r="A83" i="17" s="1"/>
  <c r="A84" i="17" s="1"/>
  <c r="A85" i="17" s="1"/>
  <c r="A86" i="17" s="1"/>
  <c r="A87" i="17" s="1"/>
  <c r="A88" i="17" s="1"/>
  <c r="A89" i="17" s="1"/>
  <c r="A90" i="17" s="1"/>
  <c r="A103" i="17" s="1"/>
  <c r="A104" i="17" s="1"/>
  <c r="A105" i="17" s="1"/>
  <c r="A106" i="17" s="1"/>
  <c r="A107" i="17" s="1"/>
  <c r="A108" i="17" s="1"/>
  <c r="A109" i="17" s="1"/>
  <c r="A110" i="17" s="1"/>
  <c r="A111" i="17" s="1"/>
  <c r="A112" i="17" s="1"/>
  <c r="A113" i="17" s="1"/>
  <c r="A114" i="17" s="1"/>
  <c r="A116" i="17" s="1"/>
  <c r="A46" i="17"/>
  <c r="A49" i="17"/>
  <c r="F21" i="31" l="1"/>
  <c r="G19" i="31"/>
  <c r="D21" i="31"/>
  <c r="E19" i="31"/>
  <c r="H28" i="19"/>
  <c r="E29" i="47"/>
  <c r="I28" i="19"/>
  <c r="H17" i="17"/>
  <c r="F59" i="31" l="1"/>
  <c r="G21" i="31"/>
  <c r="D59" i="31"/>
  <c r="E21" i="31"/>
  <c r="F121" i="31" l="1"/>
  <c r="G59" i="31"/>
  <c r="D121" i="31"/>
  <c r="E59" i="31"/>
  <c r="A5" i="16" l="1"/>
  <c r="A8" i="16"/>
  <c r="A4" i="16"/>
  <c r="A2" i="16"/>
  <c r="A1" i="16"/>
  <c r="G16" i="14"/>
  <c r="A32" i="15"/>
  <c r="A36" i="15"/>
  <c r="A31" i="15"/>
  <c r="A7" i="15"/>
  <c r="A35" i="15" s="1"/>
  <c r="A4" i="15"/>
  <c r="A2" i="15"/>
  <c r="A30" i="15" s="1"/>
  <c r="A1" i="15"/>
  <c r="D110" i="14"/>
  <c r="D113" i="19" s="1"/>
  <c r="D109" i="14"/>
  <c r="D112" i="19" s="1"/>
  <c r="D108" i="14"/>
  <c r="D111" i="19" s="1"/>
  <c r="D107" i="14"/>
  <c r="D110" i="19" s="1"/>
  <c r="D106" i="14"/>
  <c r="D109" i="19" s="1"/>
  <c r="D105" i="14"/>
  <c r="D108" i="19" s="1"/>
  <c r="D104" i="14"/>
  <c r="D107" i="19" s="1"/>
  <c r="D103" i="14"/>
  <c r="D106" i="19" s="1"/>
  <c r="D102" i="14"/>
  <c r="D105" i="19" s="1"/>
  <c r="D101" i="14"/>
  <c r="D104" i="19" s="1"/>
  <c r="D87" i="14"/>
  <c r="D86" i="14"/>
  <c r="D88" i="19" s="1"/>
  <c r="D85" i="14"/>
  <c r="D87" i="19" s="1"/>
  <c r="D84" i="14"/>
  <c r="D86" i="19" s="1"/>
  <c r="D83" i="14"/>
  <c r="D85" i="19" s="1"/>
  <c r="D82" i="14"/>
  <c r="D84" i="19" s="1"/>
  <c r="D81" i="14"/>
  <c r="D83" i="19" s="1"/>
  <c r="D80" i="14"/>
  <c r="D82" i="19" s="1"/>
  <c r="D79" i="14"/>
  <c r="D81" i="19" s="1"/>
  <c r="D78" i="14"/>
  <c r="D80" i="19" s="1"/>
  <c r="D77" i="14"/>
  <c r="D79" i="19" s="1"/>
  <c r="D76" i="14"/>
  <c r="D78" i="19" s="1"/>
  <c r="D75" i="14"/>
  <c r="D77" i="19" s="1"/>
  <c r="D71" i="14"/>
  <c r="D70" i="14"/>
  <c r="D72" i="19" s="1"/>
  <c r="D69" i="14"/>
  <c r="D71" i="19" s="1"/>
  <c r="D68" i="14"/>
  <c r="D70" i="19" s="1"/>
  <c r="D67" i="14"/>
  <c r="D69" i="19" s="1"/>
  <c r="D66" i="14"/>
  <c r="D68" i="19" s="1"/>
  <c r="D65" i="14"/>
  <c r="D67" i="19" s="1"/>
  <c r="D64" i="14"/>
  <c r="D66" i="19" s="1"/>
  <c r="D63" i="14"/>
  <c r="D65" i="19" s="1"/>
  <c r="D59" i="14"/>
  <c r="D58" i="14"/>
  <c r="D60" i="19" s="1"/>
  <c r="D57" i="14"/>
  <c r="D59" i="19" s="1"/>
  <c r="D56" i="14"/>
  <c r="D58" i="19" s="1"/>
  <c r="D44" i="14"/>
  <c r="D45" i="19" s="1"/>
  <c r="D43" i="14"/>
  <c r="D44" i="19" s="1"/>
  <c r="D42" i="14"/>
  <c r="D43" i="19" s="1"/>
  <c r="D41" i="14"/>
  <c r="D37" i="14"/>
  <c r="D36" i="14"/>
  <c r="D37" i="19" s="1"/>
  <c r="D35" i="14"/>
  <c r="D36" i="19" s="1"/>
  <c r="D34" i="14"/>
  <c r="D35" i="19" s="1"/>
  <c r="D33" i="14"/>
  <c r="D34" i="19" s="1"/>
  <c r="D32" i="14"/>
  <c r="D33" i="19" s="1"/>
  <c r="D31" i="14"/>
  <c r="D32" i="19" s="1"/>
  <c r="D30" i="14"/>
  <c r="D26" i="14"/>
  <c r="D25" i="14"/>
  <c r="D26" i="19" s="1"/>
  <c r="D24" i="14"/>
  <c r="D25" i="19" s="1"/>
  <c r="D23" i="14"/>
  <c r="D24" i="19" s="1"/>
  <c r="D22" i="14"/>
  <c r="D23" i="19" s="1"/>
  <c r="D21" i="14"/>
  <c r="D22" i="19" s="1"/>
  <c r="D20" i="14"/>
  <c r="D19" i="14"/>
  <c r="D20" i="19" s="1"/>
  <c r="D15" i="14"/>
  <c r="D16" i="19" s="1"/>
  <c r="D14" i="14"/>
  <c r="D15" i="19" s="1"/>
  <c r="D13" i="14"/>
  <c r="D14" i="19" s="1"/>
  <c r="A4" i="14"/>
  <c r="A92" i="14" s="1"/>
  <c r="H108" i="14"/>
  <c r="D101" i="47" s="1"/>
  <c r="G101" i="47" s="1"/>
  <c r="H102" i="14"/>
  <c r="D95" i="47" s="1"/>
  <c r="G95" i="47" s="1"/>
  <c r="A96" i="14"/>
  <c r="A94" i="14"/>
  <c r="A91" i="14"/>
  <c r="H70" i="14"/>
  <c r="D61" i="47" s="1"/>
  <c r="G61" i="47" s="1"/>
  <c r="H69" i="14"/>
  <c r="D60" i="47" s="1"/>
  <c r="G60" i="47" s="1"/>
  <c r="H68" i="14"/>
  <c r="D59" i="47" s="1"/>
  <c r="G59" i="47" s="1"/>
  <c r="H67" i="14"/>
  <c r="D58" i="47" s="1"/>
  <c r="G58" i="47" s="1"/>
  <c r="H66" i="14"/>
  <c r="D57" i="47" s="1"/>
  <c r="G57" i="47" s="1"/>
  <c r="H58" i="14"/>
  <c r="D49" i="47" s="1"/>
  <c r="G49" i="47" s="1"/>
  <c r="H57" i="14"/>
  <c r="D48" i="47" s="1"/>
  <c r="G48" i="47" s="1"/>
  <c r="H56" i="14"/>
  <c r="D47" i="47" s="1"/>
  <c r="G47" i="47" s="1"/>
  <c r="A52" i="14"/>
  <c r="A50" i="14"/>
  <c r="A47" i="14"/>
  <c r="H44" i="14"/>
  <c r="D46" i="47" s="1"/>
  <c r="G46" i="47" s="1"/>
  <c r="H43" i="14"/>
  <c r="D45" i="47" s="1"/>
  <c r="G45" i="47" s="1"/>
  <c r="H42" i="14"/>
  <c r="D44" i="47" s="1"/>
  <c r="G44" i="47" s="1"/>
  <c r="H36" i="14"/>
  <c r="D38" i="47" s="1"/>
  <c r="G38" i="47" s="1"/>
  <c r="H34" i="14"/>
  <c r="D36" i="47" s="1"/>
  <c r="G36" i="47" s="1"/>
  <c r="H32" i="14"/>
  <c r="D34" i="47" s="1"/>
  <c r="G34" i="47" s="1"/>
  <c r="H22" i="14"/>
  <c r="D24" i="47" s="1"/>
  <c r="A13" i="14"/>
  <c r="A14" i="14" s="1"/>
  <c r="A15" i="14" s="1"/>
  <c r="A16" i="14" s="1"/>
  <c r="A18" i="14" s="1"/>
  <c r="A19" i="14" s="1"/>
  <c r="A20" i="14" s="1"/>
  <c r="A7" i="14"/>
  <c r="A51" i="14" s="1"/>
  <c r="A2" i="14"/>
  <c r="A46" i="14" s="1"/>
  <c r="A1" i="14"/>
  <c r="A89" i="14" s="1"/>
  <c r="B219" i="13"/>
  <c r="B218" i="13"/>
  <c r="B217" i="13"/>
  <c r="B216" i="13"/>
  <c r="B215" i="13"/>
  <c r="B214" i="13"/>
  <c r="B213" i="13"/>
  <c r="B204" i="13"/>
  <c r="B203" i="13"/>
  <c r="B202" i="13"/>
  <c r="B201" i="13"/>
  <c r="B200" i="13"/>
  <c r="B199" i="13"/>
  <c r="B198" i="13"/>
  <c r="B197" i="13"/>
  <c r="B192" i="13"/>
  <c r="B191" i="13"/>
  <c r="B190" i="13"/>
  <c r="B184" i="13"/>
  <c r="B183" i="13"/>
  <c r="B182" i="13"/>
  <c r="B181" i="13"/>
  <c r="B180" i="13"/>
  <c r="B175" i="13"/>
  <c r="B174" i="13"/>
  <c r="B173" i="13"/>
  <c r="B172" i="13"/>
  <c r="B166" i="13"/>
  <c r="B165" i="13"/>
  <c r="B164" i="13"/>
  <c r="B163" i="13"/>
  <c r="B162" i="13"/>
  <c r="B161" i="13"/>
  <c r="B149" i="13"/>
  <c r="B148" i="13"/>
  <c r="B147" i="13"/>
  <c r="B140" i="13"/>
  <c r="B139" i="13"/>
  <c r="B138" i="13"/>
  <c r="B137" i="13"/>
  <c r="B136" i="13"/>
  <c r="B129" i="13"/>
  <c r="B128" i="13"/>
  <c r="B127" i="13"/>
  <c r="B126" i="13"/>
  <c r="B125" i="13"/>
  <c r="B124" i="13"/>
  <c r="B123" i="13"/>
  <c r="B122" i="13"/>
  <c r="B72" i="13"/>
  <c r="R1" i="13"/>
  <c r="S1" i="13" s="1"/>
  <c r="T1" i="13" s="1"/>
  <c r="D61" i="19" l="1"/>
  <c r="D50" i="11"/>
  <c r="E59" i="14"/>
  <c r="E50" i="11" s="1"/>
  <c r="F110" i="12"/>
  <c r="A95" i="14"/>
  <c r="F19" i="12"/>
  <c r="F34" i="12"/>
  <c r="F63" i="12"/>
  <c r="F78" i="12"/>
  <c r="F107" i="12"/>
  <c r="D27" i="19"/>
  <c r="D48" i="11"/>
  <c r="D38" i="19"/>
  <c r="D49" i="11"/>
  <c r="F23" i="12"/>
  <c r="F41" i="12"/>
  <c r="F67" i="12"/>
  <c r="F82" i="12"/>
  <c r="F103" i="12"/>
  <c r="F13" i="12"/>
  <c r="F24" i="12"/>
  <c r="F35" i="12"/>
  <c r="F57" i="12"/>
  <c r="F68" i="12"/>
  <c r="F79" i="12"/>
  <c r="F87" i="12"/>
  <c r="F108" i="12"/>
  <c r="F14" i="12"/>
  <c r="F21" i="12"/>
  <c r="F25" i="12"/>
  <c r="F32" i="12"/>
  <c r="F36" i="12"/>
  <c r="F43" i="12"/>
  <c r="F58" i="12"/>
  <c r="F65" i="12"/>
  <c r="F69" i="12"/>
  <c r="F76" i="12"/>
  <c r="F80" i="12"/>
  <c r="F84" i="12"/>
  <c r="F101" i="12"/>
  <c r="F105" i="12"/>
  <c r="F109" i="12"/>
  <c r="A45" i="14"/>
  <c r="E63" i="14"/>
  <c r="D89" i="19"/>
  <c r="D90" i="19" s="1"/>
  <c r="D57" i="11"/>
  <c r="F30" i="12"/>
  <c r="F56" i="12"/>
  <c r="F71" i="12"/>
  <c r="F86" i="12"/>
  <c r="F20" i="12"/>
  <c r="F31" i="12"/>
  <c r="F42" i="12"/>
  <c r="F64" i="12"/>
  <c r="F75" i="12"/>
  <c r="F83" i="12"/>
  <c r="F104" i="12"/>
  <c r="D73" i="19"/>
  <c r="D74" i="19" s="1"/>
  <c r="D51" i="11"/>
  <c r="F15" i="12"/>
  <c r="F22" i="12"/>
  <c r="F26" i="12"/>
  <c r="F33" i="12"/>
  <c r="F37" i="12"/>
  <c r="F44" i="12"/>
  <c r="F59" i="12"/>
  <c r="F66" i="12"/>
  <c r="F70" i="12"/>
  <c r="F77" i="12"/>
  <c r="F81" i="12"/>
  <c r="F85" i="12"/>
  <c r="F102" i="12"/>
  <c r="F106" i="12"/>
  <c r="E26" i="14"/>
  <c r="E48" i="11" s="1"/>
  <c r="E70" i="14"/>
  <c r="E109" i="14"/>
  <c r="E43" i="14"/>
  <c r="D17" i="19"/>
  <c r="E87" i="14"/>
  <c r="D60" i="14"/>
  <c r="C47" i="15" s="1"/>
  <c r="D114" i="19"/>
  <c r="E103" i="14"/>
  <c r="E85" i="14"/>
  <c r="E41" i="14"/>
  <c r="D42" i="19"/>
  <c r="D62" i="19" s="1"/>
  <c r="D27" i="14"/>
  <c r="C43" i="15" s="1"/>
  <c r="D21" i="19"/>
  <c r="D28" i="19" s="1"/>
  <c r="D38" i="14"/>
  <c r="C45" i="15" s="1"/>
  <c r="D31" i="19"/>
  <c r="E19" i="14"/>
  <c r="E43" i="11" s="1"/>
  <c r="H109" i="14"/>
  <c r="D102" i="47" s="1"/>
  <c r="G102" i="47" s="1"/>
  <c r="E58" i="14"/>
  <c r="E68" i="14"/>
  <c r="E66" i="14"/>
  <c r="E56" i="14"/>
  <c r="E69" i="14"/>
  <c r="E34" i="14"/>
  <c r="E36" i="14"/>
  <c r="F41" i="15"/>
  <c r="A29" i="15"/>
  <c r="E81" i="14"/>
  <c r="E55" i="11" s="1"/>
  <c r="D72" i="14"/>
  <c r="C49" i="15" s="1"/>
  <c r="E30" i="14"/>
  <c r="D16" i="14"/>
  <c r="C41" i="15" s="1"/>
  <c r="E106" i="14"/>
  <c r="E77" i="14"/>
  <c r="E65" i="14"/>
  <c r="E32" i="14"/>
  <c r="E21" i="14"/>
  <c r="E45" i="11" s="1"/>
  <c r="A48" i="14"/>
  <c r="H31" i="14"/>
  <c r="D33" i="47" s="1"/>
  <c r="G33" i="47" s="1"/>
  <c r="E31" i="14"/>
  <c r="E24" i="14"/>
  <c r="E46" i="11" s="1"/>
  <c r="H35" i="14"/>
  <c r="D37" i="47" s="1"/>
  <c r="G37" i="47" s="1"/>
  <c r="E35" i="14"/>
  <c r="A22" i="14"/>
  <c r="A21" i="14"/>
  <c r="A23" i="14" s="1"/>
  <c r="A24" i="14" s="1"/>
  <c r="A25" i="14" s="1"/>
  <c r="A26" i="14" s="1"/>
  <c r="A27" i="14" s="1"/>
  <c r="A29" i="14" s="1"/>
  <c r="A30" i="14" s="1"/>
  <c r="A31" i="14" s="1"/>
  <c r="A32" i="14" s="1"/>
  <c r="A33" i="14" s="1"/>
  <c r="A34" i="14" s="1"/>
  <c r="A35" i="14" s="1"/>
  <c r="A36" i="14" s="1"/>
  <c r="A37" i="14" s="1"/>
  <c r="A38" i="14" s="1"/>
  <c r="A40" i="14" s="1"/>
  <c r="A41" i="14" s="1"/>
  <c r="A42" i="14" s="1"/>
  <c r="A43" i="14" s="1"/>
  <c r="A44" i="14" s="1"/>
  <c r="A56" i="14" s="1"/>
  <c r="A57" i="14" s="1"/>
  <c r="A58" i="14" s="1"/>
  <c r="A59" i="14" s="1"/>
  <c r="A60" i="14" s="1"/>
  <c r="A62" i="14" s="1"/>
  <c r="A63" i="14" s="1"/>
  <c r="A64" i="14" s="1"/>
  <c r="A65" i="14" s="1"/>
  <c r="A66" i="14" s="1"/>
  <c r="A67" i="14" s="1"/>
  <c r="A68" i="14" s="1"/>
  <c r="A69" i="14" s="1"/>
  <c r="A70" i="14" s="1"/>
  <c r="A71" i="14" s="1"/>
  <c r="A72" i="14" s="1"/>
  <c r="A74" i="14" s="1"/>
  <c r="A75" i="14" s="1"/>
  <c r="A76" i="14" s="1"/>
  <c r="A77" i="14" s="1"/>
  <c r="A78" i="14" s="1"/>
  <c r="A79" i="14" s="1"/>
  <c r="A80" i="14" s="1"/>
  <c r="A81" i="14" s="1"/>
  <c r="A82" i="14" s="1"/>
  <c r="A83" i="14" s="1"/>
  <c r="A84" i="14" s="1"/>
  <c r="A85" i="14" s="1"/>
  <c r="A86" i="14" s="1"/>
  <c r="A87" i="14" s="1"/>
  <c r="A88" i="14" s="1"/>
  <c r="A100" i="14" s="1"/>
  <c r="A101" i="14" s="1"/>
  <c r="A102" i="14" s="1"/>
  <c r="A103" i="14" s="1"/>
  <c r="A104" i="14" s="1"/>
  <c r="A105" i="14" s="1"/>
  <c r="A106" i="14" s="1"/>
  <c r="A107" i="14" s="1"/>
  <c r="A108" i="14" s="1"/>
  <c r="A109" i="14" s="1"/>
  <c r="A110" i="14" s="1"/>
  <c r="A111" i="14" s="1"/>
  <c r="A113" i="14" s="1"/>
  <c r="H33" i="14"/>
  <c r="D35" i="47" s="1"/>
  <c r="G35" i="47" s="1"/>
  <c r="E33" i="14"/>
  <c r="E20" i="14"/>
  <c r="E44" i="11" s="1"/>
  <c r="F27" i="14"/>
  <c r="E43" i="15" s="1"/>
  <c r="E37" i="14"/>
  <c r="E49" i="11" s="1"/>
  <c r="F49" i="11" s="1"/>
  <c r="G37" i="14" s="1"/>
  <c r="G38" i="14" s="1"/>
  <c r="F45" i="15" s="1"/>
  <c r="F60" i="14"/>
  <c r="E47" i="15" s="1"/>
  <c r="H41" i="14"/>
  <c r="D43" i="47" s="1"/>
  <c r="G43" i="47" s="1"/>
  <c r="E42" i="14"/>
  <c r="E44" i="14"/>
  <c r="E57" i="14"/>
  <c r="E64" i="14"/>
  <c r="E67" i="14"/>
  <c r="E75" i="14"/>
  <c r="E79" i="14"/>
  <c r="E53" i="11" s="1"/>
  <c r="E83" i="14"/>
  <c r="A90" i="14"/>
  <c r="E104" i="14"/>
  <c r="E58" i="11" s="1"/>
  <c r="F58" i="11" s="1"/>
  <c r="H107" i="14"/>
  <c r="D100" i="47" s="1"/>
  <c r="E108" i="14"/>
  <c r="E110" i="14" s="1"/>
  <c r="E101" i="14"/>
  <c r="E25" i="14"/>
  <c r="E47" i="11" s="1"/>
  <c r="E71" i="14"/>
  <c r="E51" i="11" s="1"/>
  <c r="F51" i="11" s="1"/>
  <c r="G71" i="14" s="1"/>
  <c r="D88" i="14"/>
  <c r="C51" i="15" s="1"/>
  <c r="H77" i="14"/>
  <c r="D80" i="47" s="1"/>
  <c r="G80" i="47" s="1"/>
  <c r="E78" i="14"/>
  <c r="E52" i="11" s="1"/>
  <c r="E82" i="14"/>
  <c r="H85" i="14"/>
  <c r="D88" i="47" s="1"/>
  <c r="G88" i="47" s="1"/>
  <c r="E86" i="14"/>
  <c r="H101" i="14"/>
  <c r="D94" i="47" s="1"/>
  <c r="E102" i="14"/>
  <c r="H106" i="14"/>
  <c r="D99" i="47" s="1"/>
  <c r="G99" i="47" s="1"/>
  <c r="F38" i="14"/>
  <c r="E45" i="15" s="1"/>
  <c r="H30" i="14"/>
  <c r="D32" i="47" s="1"/>
  <c r="G32" i="47" s="1"/>
  <c r="F72" i="14"/>
  <c r="E49" i="15" s="1"/>
  <c r="H63" i="14"/>
  <c r="D54" i="47" s="1"/>
  <c r="G54" i="47" s="1"/>
  <c r="H64" i="14"/>
  <c r="D55" i="47" s="1"/>
  <c r="G55" i="47" s="1"/>
  <c r="H65" i="14"/>
  <c r="D56" i="47" s="1"/>
  <c r="G56" i="47" s="1"/>
  <c r="H75" i="14"/>
  <c r="D78" i="47" s="1"/>
  <c r="G78" i="47" s="1"/>
  <c r="H83" i="14"/>
  <c r="D86" i="47" s="1"/>
  <c r="G86" i="47" s="1"/>
  <c r="D111" i="14"/>
  <c r="C53" i="15" s="1"/>
  <c r="H103" i="14"/>
  <c r="D96" i="47" s="1"/>
  <c r="G96" i="47" s="1"/>
  <c r="F50" i="11" l="1"/>
  <c r="G59" i="14" s="1"/>
  <c r="H59" i="14" s="1"/>
  <c r="K49" i="11"/>
  <c r="K50" i="11" s="1"/>
  <c r="F47" i="11"/>
  <c r="G25" i="14" s="1"/>
  <c r="H25" i="14" s="1"/>
  <c r="D27" i="47" s="1"/>
  <c r="G27" i="47" s="1"/>
  <c r="F52" i="11"/>
  <c r="G78" i="14" s="1"/>
  <c r="H78" i="14" s="1"/>
  <c r="D81" i="47" s="1"/>
  <c r="G81" i="47" s="1"/>
  <c r="F55" i="11"/>
  <c r="G81" i="14" s="1"/>
  <c r="H81" i="14" s="1"/>
  <c r="D84" i="47" s="1"/>
  <c r="G84" i="47" s="1"/>
  <c r="F53" i="11"/>
  <c r="G79" i="14" s="1"/>
  <c r="H79" i="14" s="1"/>
  <c r="D82" i="47" s="1"/>
  <c r="G82" i="47" s="1"/>
  <c r="G104" i="14"/>
  <c r="G111" i="14" s="1"/>
  <c r="F53" i="15" s="1"/>
  <c r="G82" i="14"/>
  <c r="H82" i="14" s="1"/>
  <c r="D85" i="47" s="1"/>
  <c r="G85" i="47" s="1"/>
  <c r="D39" i="19"/>
  <c r="D116" i="19" s="1"/>
  <c r="F48" i="11"/>
  <c r="D61" i="11"/>
  <c r="D13" i="67" s="1"/>
  <c r="D16" i="67" s="1"/>
  <c r="D18" i="67" s="1"/>
  <c r="D27" i="67" s="1"/>
  <c r="G86" i="14"/>
  <c r="H86" i="14" s="1"/>
  <c r="D89" i="47" s="1"/>
  <c r="G89" i="47" s="1"/>
  <c r="F43" i="11"/>
  <c r="F45" i="11"/>
  <c r="G21" i="14" s="1"/>
  <c r="H21" i="14" s="1"/>
  <c r="D23" i="47" s="1"/>
  <c r="G23" i="47" s="1"/>
  <c r="F44" i="11"/>
  <c r="F46" i="11"/>
  <c r="G45" i="15"/>
  <c r="H37" i="14"/>
  <c r="D39" i="47" s="1"/>
  <c r="D40" i="47" s="1"/>
  <c r="F89" i="19"/>
  <c r="E55" i="18" s="1"/>
  <c r="F55" i="18" s="1"/>
  <c r="E57" i="11"/>
  <c r="F57" i="11" s="1"/>
  <c r="G87" i="14" s="1"/>
  <c r="H71" i="14"/>
  <c r="D62" i="47" s="1"/>
  <c r="G62" i="47" s="1"/>
  <c r="G72" i="14"/>
  <c r="F49" i="15" s="1"/>
  <c r="G49" i="15" s="1"/>
  <c r="G40" i="47"/>
  <c r="G94" i="47"/>
  <c r="G51" i="47"/>
  <c r="C55" i="15"/>
  <c r="D49" i="15"/>
  <c r="D43" i="15"/>
  <c r="D45" i="15"/>
  <c r="D47" i="15"/>
  <c r="D113" i="14"/>
  <c r="R18" i="58" s="1"/>
  <c r="E84" i="14"/>
  <c r="H84" i="14"/>
  <c r="D87" i="47" s="1"/>
  <c r="G87" i="47" s="1"/>
  <c r="E80" i="14"/>
  <c r="H15" i="14"/>
  <c r="D17" i="47" s="1"/>
  <c r="G17" i="47" s="1"/>
  <c r="E15" i="14"/>
  <c r="H110" i="14"/>
  <c r="D103" i="47" s="1"/>
  <c r="G103" i="47" s="1"/>
  <c r="F16" i="14"/>
  <c r="E13" i="14"/>
  <c r="H13" i="14"/>
  <c r="D15" i="47" s="1"/>
  <c r="E105" i="14"/>
  <c r="H105" i="14"/>
  <c r="D98" i="47" s="1"/>
  <c r="G98" i="47" s="1"/>
  <c r="E76" i="14"/>
  <c r="H76" i="14"/>
  <c r="D79" i="47" s="1"/>
  <c r="G79" i="47" s="1"/>
  <c r="F88" i="14"/>
  <c r="E51" i="15" s="1"/>
  <c r="F111" i="14"/>
  <c r="E53" i="15" s="1"/>
  <c r="E23" i="14"/>
  <c r="H23" i="14"/>
  <c r="D25" i="47" s="1"/>
  <c r="G25" i="47" s="1"/>
  <c r="H14" i="14"/>
  <c r="D16" i="47" s="1"/>
  <c r="G16" i="47" s="1"/>
  <c r="E14" i="14"/>
  <c r="F15" i="19" s="1"/>
  <c r="G15" i="19" s="1"/>
  <c r="G26" i="14" l="1"/>
  <c r="H26" i="14" s="1"/>
  <c r="D28" i="47" s="1"/>
  <c r="G19" i="14"/>
  <c r="H19" i="14" s="1"/>
  <c r="D21" i="47" s="1"/>
  <c r="G21" i="47" s="1"/>
  <c r="G60" i="14"/>
  <c r="F47" i="15" s="1"/>
  <c r="G47" i="15" s="1"/>
  <c r="D50" i="47"/>
  <c r="D51" i="47" s="1"/>
  <c r="H60" i="14"/>
  <c r="F82" i="19"/>
  <c r="E52" i="18" s="1"/>
  <c r="F52" i="18" s="1"/>
  <c r="H82" i="19" s="1"/>
  <c r="E54" i="11"/>
  <c r="F54" i="11" s="1"/>
  <c r="G80" i="14" s="1"/>
  <c r="H80" i="14" s="1"/>
  <c r="D83" i="47" s="1"/>
  <c r="G83" i="47" s="1"/>
  <c r="G24" i="14"/>
  <c r="H24" i="14" s="1"/>
  <c r="D26" i="47" s="1"/>
  <c r="G26" i="47" s="1"/>
  <c r="H104" i="14"/>
  <c r="D97" i="47" s="1"/>
  <c r="C13" i="67"/>
  <c r="R23" i="58"/>
  <c r="R32" i="58" s="1"/>
  <c r="G20" i="14"/>
  <c r="H20" i="14" s="1"/>
  <c r="D22" i="47" s="1"/>
  <c r="G22" i="47" s="1"/>
  <c r="J18" i="58"/>
  <c r="D63" i="47"/>
  <c r="J21" i="58"/>
  <c r="G63" i="47"/>
  <c r="H72" i="14"/>
  <c r="H38" i="14"/>
  <c r="H89" i="19"/>
  <c r="H87" i="14"/>
  <c r="D90" i="47" s="1"/>
  <c r="G90" i="47" s="1"/>
  <c r="M17" i="19"/>
  <c r="I15" i="19"/>
  <c r="E16" i="47" s="1"/>
  <c r="G15" i="47"/>
  <c r="G18" i="47" s="1"/>
  <c r="D18" i="47"/>
  <c r="D53" i="15"/>
  <c r="G53" i="15"/>
  <c r="D51" i="15"/>
  <c r="F113" i="14"/>
  <c r="E41" i="15"/>
  <c r="H16" i="14"/>
  <c r="G97" i="47" l="1"/>
  <c r="G104" i="47" s="1"/>
  <c r="G29" i="47"/>
  <c r="G88" i="14"/>
  <c r="F51" i="15" s="1"/>
  <c r="G51" i="15" s="1"/>
  <c r="F61" i="11"/>
  <c r="G91" i="47"/>
  <c r="H111" i="14"/>
  <c r="D104" i="47"/>
  <c r="C16" i="67"/>
  <c r="C18" i="67" s="1"/>
  <c r="C27" i="67" s="1"/>
  <c r="E13" i="67"/>
  <c r="E16" i="67" s="1"/>
  <c r="E18" i="67" s="1"/>
  <c r="E27" i="67" s="1"/>
  <c r="G27" i="14"/>
  <c r="F43" i="15" s="1"/>
  <c r="G43" i="15" s="1"/>
  <c r="D29" i="47"/>
  <c r="H27" i="14"/>
  <c r="J23" i="58"/>
  <c r="J32" i="58" s="1"/>
  <c r="J43" i="58" s="1"/>
  <c r="J45" i="58" s="1"/>
  <c r="D91" i="47"/>
  <c r="H88" i="14"/>
  <c r="N17" i="19"/>
  <c r="O17" i="19"/>
  <c r="E55" i="15"/>
  <c r="D41" i="15"/>
  <c r="G41" i="15"/>
  <c r="H110" i="12"/>
  <c r="D103" i="23" s="1"/>
  <c r="G103" i="23" s="1"/>
  <c r="H108" i="12"/>
  <c r="D101" i="23" s="1"/>
  <c r="G101" i="23" s="1"/>
  <c r="H107" i="12"/>
  <c r="D100" i="23" s="1"/>
  <c r="H106" i="12"/>
  <c r="D99" i="23" s="1"/>
  <c r="G99" i="23" s="1"/>
  <c r="H105" i="12"/>
  <c r="D98" i="23" s="1"/>
  <c r="G98" i="23" s="1"/>
  <c r="H103" i="12"/>
  <c r="D96" i="23" s="1"/>
  <c r="G96" i="23" s="1"/>
  <c r="H102" i="12"/>
  <c r="D95" i="23" s="1"/>
  <c r="H101" i="12"/>
  <c r="D94" i="23" s="1"/>
  <c r="G94" i="23" s="1"/>
  <c r="H86" i="12"/>
  <c r="D89" i="23" s="1"/>
  <c r="G89" i="23" s="1"/>
  <c r="H84" i="12"/>
  <c r="D87" i="23" s="1"/>
  <c r="G87" i="23" s="1"/>
  <c r="H83" i="12"/>
  <c r="D86" i="23" s="1"/>
  <c r="G86" i="23" s="1"/>
  <c r="H77" i="12"/>
  <c r="D80" i="23" s="1"/>
  <c r="G80" i="23" s="1"/>
  <c r="H76" i="12"/>
  <c r="D79" i="23" s="1"/>
  <c r="G79" i="23" s="1"/>
  <c r="H75" i="12"/>
  <c r="D78" i="23" s="1"/>
  <c r="G78" i="23" s="1"/>
  <c r="H70" i="12"/>
  <c r="D61" i="23" s="1"/>
  <c r="G61" i="23" s="1"/>
  <c r="H69" i="12"/>
  <c r="D60" i="23" s="1"/>
  <c r="G60" i="23" s="1"/>
  <c r="H68" i="12"/>
  <c r="D59" i="23" s="1"/>
  <c r="G59" i="23" s="1"/>
  <c r="H67" i="12"/>
  <c r="D58" i="23" s="1"/>
  <c r="G58" i="23" s="1"/>
  <c r="H66" i="12"/>
  <c r="D57" i="23" s="1"/>
  <c r="G57" i="23" s="1"/>
  <c r="H65" i="12"/>
  <c r="D56" i="23" s="1"/>
  <c r="G56" i="23" s="1"/>
  <c r="H64" i="12"/>
  <c r="D55" i="23" s="1"/>
  <c r="G55" i="23" s="1"/>
  <c r="H63" i="12"/>
  <c r="D54" i="23" s="1"/>
  <c r="G54" i="23" s="1"/>
  <c r="H58" i="12"/>
  <c r="D49" i="23" s="1"/>
  <c r="G49" i="23" s="1"/>
  <c r="H57" i="12"/>
  <c r="D48" i="23" s="1"/>
  <c r="G48" i="23" s="1"/>
  <c r="H56" i="12"/>
  <c r="D47" i="23" s="1"/>
  <c r="G47" i="23" s="1"/>
  <c r="H44" i="12"/>
  <c r="D46" i="23" s="1"/>
  <c r="G46" i="23" s="1"/>
  <c r="H43" i="12"/>
  <c r="D45" i="23" s="1"/>
  <c r="G45" i="23" s="1"/>
  <c r="H42" i="12"/>
  <c r="D44" i="23" s="1"/>
  <c r="G44" i="23" s="1"/>
  <c r="H41" i="12"/>
  <c r="D43" i="23" s="1"/>
  <c r="G43" i="23" s="1"/>
  <c r="H36" i="12"/>
  <c r="D38" i="23" s="1"/>
  <c r="G38" i="23" s="1"/>
  <c r="H35" i="12"/>
  <c r="D37" i="23" s="1"/>
  <c r="G37" i="23" s="1"/>
  <c r="H34" i="12"/>
  <c r="D36" i="23" s="1"/>
  <c r="G36" i="23" s="1"/>
  <c r="H33" i="12"/>
  <c r="D35" i="23" s="1"/>
  <c r="G35" i="23" s="1"/>
  <c r="H32" i="12"/>
  <c r="D34" i="23" s="1"/>
  <c r="G34" i="23" s="1"/>
  <c r="H31" i="12"/>
  <c r="D33" i="23" s="1"/>
  <c r="G33" i="23" s="1"/>
  <c r="H30" i="12"/>
  <c r="D32" i="23" s="1"/>
  <c r="G32" i="23" s="1"/>
  <c r="H23" i="12"/>
  <c r="D25" i="23" s="1"/>
  <c r="G25" i="23" s="1"/>
  <c r="H22" i="12"/>
  <c r="D24" i="23" s="1"/>
  <c r="H15" i="12"/>
  <c r="D17" i="23" s="1"/>
  <c r="G17" i="23" s="1"/>
  <c r="H14" i="12"/>
  <c r="D16" i="23" s="1"/>
  <c r="G16" i="23" s="1"/>
  <c r="H13" i="12"/>
  <c r="D15" i="23" s="1"/>
  <c r="A4" i="12"/>
  <c r="A92" i="12" s="1"/>
  <c r="A96" i="12"/>
  <c r="A94" i="12"/>
  <c r="A91" i="12"/>
  <c r="A52" i="12"/>
  <c r="A50" i="12"/>
  <c r="A47" i="12"/>
  <c r="A13" i="12"/>
  <c r="A14" i="12" s="1"/>
  <c r="A15" i="12" s="1"/>
  <c r="A16" i="12" s="1"/>
  <c r="A18" i="12" s="1"/>
  <c r="A19" i="12" s="1"/>
  <c r="A20" i="12" s="1"/>
  <c r="A7" i="12"/>
  <c r="A51" i="12" s="1"/>
  <c r="A2" i="12"/>
  <c r="A46" i="12" s="1"/>
  <c r="A1" i="12"/>
  <c r="A89" i="12" s="1"/>
  <c r="A39" i="11"/>
  <c r="A35" i="11"/>
  <c r="A34" i="11"/>
  <c r="A7" i="11"/>
  <c r="A38" i="11" s="1"/>
  <c r="A4" i="11"/>
  <c r="A2" i="11"/>
  <c r="A33" i="11" s="1"/>
  <c r="A1" i="11"/>
  <c r="A32" i="11" s="1"/>
  <c r="A45" i="10"/>
  <c r="A50" i="10"/>
  <c r="A46" i="10"/>
  <c r="A44" i="10"/>
  <c r="A8" i="10"/>
  <c r="A49" i="10" s="1"/>
  <c r="A5" i="10"/>
  <c r="A2" i="10"/>
  <c r="A43" i="10" s="1"/>
  <c r="A1" i="10"/>
  <c r="A42" i="10" s="1"/>
  <c r="A29" i="9"/>
  <c r="A25" i="9"/>
  <c r="A24" i="9"/>
  <c r="A7" i="9"/>
  <c r="A28" i="9" s="1"/>
  <c r="A4" i="9"/>
  <c r="A2" i="9"/>
  <c r="A23" i="9" s="1"/>
  <c r="A1" i="9"/>
  <c r="A22" i="9" s="1"/>
  <c r="A21" i="8"/>
  <c r="A17" i="8"/>
  <c r="A16" i="8"/>
  <c r="A7" i="8"/>
  <c r="A20" i="8" s="1"/>
  <c r="A4" i="8"/>
  <c r="A2" i="8"/>
  <c r="A15" i="8" s="1"/>
  <c r="A1" i="8"/>
  <c r="A14" i="8" s="1"/>
  <c r="A17" i="7"/>
  <c r="A21" i="7"/>
  <c r="A16" i="7"/>
  <c r="A4" i="7"/>
  <c r="A7" i="7"/>
  <c r="A20" i="7" s="1"/>
  <c r="A2" i="7"/>
  <c r="A15" i="7" s="1"/>
  <c r="A1" i="7"/>
  <c r="A14" i="7" s="1"/>
  <c r="I112" i="5"/>
  <c r="A102" i="5"/>
  <c r="A105" i="5"/>
  <c r="A107" i="5"/>
  <c r="A4" i="4"/>
  <c r="A4" i="5"/>
  <c r="A103" i="5" s="1"/>
  <c r="A58" i="5"/>
  <c r="A56" i="5"/>
  <c r="A53" i="5"/>
  <c r="A13" i="5"/>
  <c r="A14" i="5" s="1"/>
  <c r="A15" i="5" s="1"/>
  <c r="A16" i="5" s="1"/>
  <c r="A18" i="5" s="1"/>
  <c r="A19" i="5" s="1"/>
  <c r="A20" i="5" s="1"/>
  <c r="A7" i="5"/>
  <c r="A57" i="5" s="1"/>
  <c r="A2" i="5"/>
  <c r="A52" i="5" s="1"/>
  <c r="A1" i="5"/>
  <c r="A51" i="5" s="1"/>
  <c r="A96" i="4"/>
  <c r="A94" i="4"/>
  <c r="A91" i="4"/>
  <c r="A52" i="4"/>
  <c r="A50" i="4"/>
  <c r="A47" i="4"/>
  <c r="G106" i="47" l="1"/>
  <c r="G113" i="14"/>
  <c r="A95" i="12"/>
  <c r="F55" i="15"/>
  <c r="H113" i="14"/>
  <c r="D106" i="47"/>
  <c r="A90" i="12"/>
  <c r="J47" i="58"/>
  <c r="G55" i="15"/>
  <c r="F14" i="16" s="1"/>
  <c r="P17" i="19"/>
  <c r="F14" i="19" s="1"/>
  <c r="G14" i="19" s="1"/>
  <c r="G95" i="23"/>
  <c r="G40" i="23"/>
  <c r="G51" i="23"/>
  <c r="D18" i="23"/>
  <c r="G15" i="23"/>
  <c r="G18" i="23" s="1"/>
  <c r="A22" i="12"/>
  <c r="A21" i="12"/>
  <c r="A23" i="12" s="1"/>
  <c r="A24" i="12" s="1"/>
  <c r="A25" i="12" s="1"/>
  <c r="A26" i="12" s="1"/>
  <c r="A27" i="12" s="1"/>
  <c r="A29" i="12" s="1"/>
  <c r="A30" i="12" s="1"/>
  <c r="A31" i="12" s="1"/>
  <c r="A32" i="12" s="1"/>
  <c r="A33" i="12" s="1"/>
  <c r="A34" i="12" s="1"/>
  <c r="A35" i="12" s="1"/>
  <c r="A36" i="12" s="1"/>
  <c r="A37" i="12" s="1"/>
  <c r="A38" i="12" s="1"/>
  <c r="A40" i="12" s="1"/>
  <c r="A41" i="12" s="1"/>
  <c r="A42" i="12" s="1"/>
  <c r="A43" i="12" s="1"/>
  <c r="A44" i="12" s="1"/>
  <c r="A56" i="12" s="1"/>
  <c r="A57" i="12" s="1"/>
  <c r="A58" i="12" s="1"/>
  <c r="A59" i="12" s="1"/>
  <c r="A60" i="12" s="1"/>
  <c r="A62" i="12" s="1"/>
  <c r="A63" i="12" s="1"/>
  <c r="A64" i="12" s="1"/>
  <c r="A65" i="12" s="1"/>
  <c r="A66" i="12" s="1"/>
  <c r="A67" i="12" s="1"/>
  <c r="A68" i="12" s="1"/>
  <c r="A69" i="12" s="1"/>
  <c r="A70" i="12" s="1"/>
  <c r="A71" i="12" s="1"/>
  <c r="A72" i="12" s="1"/>
  <c r="A74" i="12" s="1"/>
  <c r="A75" i="12" s="1"/>
  <c r="A76" i="12" s="1"/>
  <c r="A77" i="12" s="1"/>
  <c r="A78" i="12" s="1"/>
  <c r="A79" i="12" s="1"/>
  <c r="A80" i="12" s="1"/>
  <c r="A81" i="12" s="1"/>
  <c r="A82" i="12" s="1"/>
  <c r="A83" i="12" s="1"/>
  <c r="A84" i="12" s="1"/>
  <c r="A85" i="12" s="1"/>
  <c r="A86" i="12" s="1"/>
  <c r="A87" i="12" s="1"/>
  <c r="A88" i="12" s="1"/>
  <c r="A100" i="12" s="1"/>
  <c r="A101" i="12" s="1"/>
  <c r="A102" i="12" s="1"/>
  <c r="A103" i="12" s="1"/>
  <c r="A104" i="12" s="1"/>
  <c r="A105" i="12" s="1"/>
  <c r="A106" i="12" s="1"/>
  <c r="A107" i="12" s="1"/>
  <c r="A108" i="12" s="1"/>
  <c r="A109" i="12" s="1"/>
  <c r="A110" i="12" s="1"/>
  <c r="A111" i="12" s="1"/>
  <c r="A113" i="12" s="1"/>
  <c r="F16" i="12"/>
  <c r="E13" i="15" s="1"/>
  <c r="F60" i="12"/>
  <c r="E19" i="15" s="1"/>
  <c r="A45" i="12"/>
  <c r="F38" i="12"/>
  <c r="E17" i="15" s="1"/>
  <c r="G16" i="12"/>
  <c r="F13" i="15" s="1"/>
  <c r="F27" i="12"/>
  <c r="E15" i="15" s="1"/>
  <c r="A48" i="12"/>
  <c r="F111" i="12"/>
  <c r="E25" i="15" s="1"/>
  <c r="A106" i="5"/>
  <c r="A101" i="5"/>
  <c r="A100" i="5"/>
  <c r="F38" i="5"/>
  <c r="A22" i="5"/>
  <c r="A21" i="5"/>
  <c r="A23" i="5" s="1"/>
  <c r="A24" i="5" s="1"/>
  <c r="A25" i="5" s="1"/>
  <c r="A26" i="5" s="1"/>
  <c r="A27" i="5" s="1"/>
  <c r="A29" i="5" s="1"/>
  <c r="A30" i="5" s="1"/>
  <c r="A31" i="5" s="1"/>
  <c r="A32" i="5" s="1"/>
  <c r="A33" i="5" s="1"/>
  <c r="A34" i="5" s="1"/>
  <c r="A35" i="5" s="1"/>
  <c r="A36" i="5" s="1"/>
  <c r="A37" i="5" s="1"/>
  <c r="A38" i="5" s="1"/>
  <c r="A40" i="5" s="1"/>
  <c r="A41" i="5" s="1"/>
  <c r="A42" i="5" s="1"/>
  <c r="A43" i="5" s="1"/>
  <c r="A44" i="5" s="1"/>
  <c r="A45" i="5" s="1"/>
  <c r="A46" i="5" s="1"/>
  <c r="A47" i="5" s="1"/>
  <c r="A48" i="5" s="1"/>
  <c r="A49" i="5" s="1"/>
  <c r="A62" i="5" s="1"/>
  <c r="A63" i="5" s="1"/>
  <c r="A64" i="5" s="1"/>
  <c r="A65" i="5" s="1"/>
  <c r="A66" i="5" s="1"/>
  <c r="A67" i="5" s="1"/>
  <c r="A68" i="5" s="1"/>
  <c r="A69" i="5" s="1"/>
  <c r="A70" i="5" s="1"/>
  <c r="A71" i="5" s="1"/>
  <c r="A72" i="5" s="1"/>
  <c r="A74" i="5" s="1"/>
  <c r="A75" i="5" s="1"/>
  <c r="A76" i="5" s="1"/>
  <c r="A77" i="5" s="1"/>
  <c r="A78" i="5" s="1"/>
  <c r="A79" i="5" s="1"/>
  <c r="A80" i="5" s="1"/>
  <c r="A81" i="5" s="1"/>
  <c r="A82" i="5" s="1"/>
  <c r="A83" i="5" s="1"/>
  <c r="A84" i="5" s="1"/>
  <c r="A85" i="5" s="1"/>
  <c r="A86" i="5" s="1"/>
  <c r="A87" i="5" s="1"/>
  <c r="A88" i="5" s="1"/>
  <c r="A90" i="5" s="1"/>
  <c r="A91" i="5" s="1"/>
  <c r="A92" i="5" s="1"/>
  <c r="A93" i="5" s="1"/>
  <c r="A94" i="5" s="1"/>
  <c r="A95" i="5" s="1"/>
  <c r="A96" i="5" s="1"/>
  <c r="A97" i="5" s="1"/>
  <c r="A98" i="5" s="1"/>
  <c r="A99" i="5" s="1"/>
  <c r="A111" i="5" s="1"/>
  <c r="A112" i="5" s="1"/>
  <c r="A114" i="5" s="1"/>
  <c r="H22" i="5"/>
  <c r="G16" i="5"/>
  <c r="A54" i="5"/>
  <c r="F13" i="67" l="1"/>
  <c r="G13" i="67" s="1"/>
  <c r="F16" i="19"/>
  <c r="G16" i="19" s="1"/>
  <c r="I16" i="19" s="1"/>
  <c r="E17" i="47" s="1"/>
  <c r="I14" i="19"/>
  <c r="H87" i="5"/>
  <c r="H32" i="5"/>
  <c r="F112" i="5"/>
  <c r="G112" i="5"/>
  <c r="E112" i="5"/>
  <c r="D112" i="5"/>
  <c r="H93" i="5"/>
  <c r="G13" i="15"/>
  <c r="F88" i="12"/>
  <c r="E23" i="15" s="1"/>
  <c r="F72" i="12"/>
  <c r="E21" i="15" s="1"/>
  <c r="H16" i="12"/>
  <c r="D27" i="5"/>
  <c r="H19" i="5"/>
  <c r="H21" i="5"/>
  <c r="H97" i="5"/>
  <c r="H41" i="5"/>
  <c r="H65" i="5"/>
  <c r="H95" i="5"/>
  <c r="H45" i="5"/>
  <c r="H69" i="5"/>
  <c r="H34" i="5"/>
  <c r="H82" i="5"/>
  <c r="H66" i="5"/>
  <c r="H80" i="5"/>
  <c r="H36" i="5"/>
  <c r="E49" i="5"/>
  <c r="F16" i="5"/>
  <c r="H26" i="5"/>
  <c r="H35" i="5"/>
  <c r="H79" i="5"/>
  <c r="H46" i="5"/>
  <c r="D49" i="5"/>
  <c r="H78" i="5"/>
  <c r="H68" i="5"/>
  <c r="G27" i="5"/>
  <c r="H63" i="5"/>
  <c r="H47" i="5"/>
  <c r="H37" i="5"/>
  <c r="H31" i="5"/>
  <c r="H98" i="5"/>
  <c r="H64" i="5"/>
  <c r="H42" i="5"/>
  <c r="H94" i="5"/>
  <c r="H81" i="5"/>
  <c r="H24" i="5"/>
  <c r="H99" i="5"/>
  <c r="G38" i="5"/>
  <c r="H111" i="5"/>
  <c r="H15" i="5"/>
  <c r="H48" i="5"/>
  <c r="G49" i="5"/>
  <c r="E27" i="5"/>
  <c r="H96" i="5"/>
  <c r="H33" i="5"/>
  <c r="H85" i="5"/>
  <c r="H77" i="5"/>
  <c r="F27" i="5"/>
  <c r="E38" i="5"/>
  <c r="H83" i="5"/>
  <c r="F72" i="5"/>
  <c r="E88" i="5"/>
  <c r="H67" i="5"/>
  <c r="H14" i="5"/>
  <c r="H92" i="5"/>
  <c r="G72" i="5"/>
  <c r="H71" i="5"/>
  <c r="H43" i="5"/>
  <c r="H25" i="5"/>
  <c r="H91" i="5"/>
  <c r="H23" i="5"/>
  <c r="H84" i="5"/>
  <c r="H20" i="5"/>
  <c r="D38" i="5"/>
  <c r="H30" i="5"/>
  <c r="D16" i="5"/>
  <c r="H13" i="5"/>
  <c r="G88" i="5"/>
  <c r="F49" i="5"/>
  <c r="E16" i="5"/>
  <c r="H76" i="5"/>
  <c r="E72" i="5"/>
  <c r="D88" i="5"/>
  <c r="H75" i="5"/>
  <c r="H70" i="5"/>
  <c r="H44" i="5"/>
  <c r="H86" i="5"/>
  <c r="F88" i="5"/>
  <c r="D72" i="5"/>
  <c r="G17" i="19" l="1"/>
  <c r="E15" i="47"/>
  <c r="E18" i="47" s="1"/>
  <c r="I17" i="19"/>
  <c r="H112" i="5"/>
  <c r="E27" i="15"/>
  <c r="F113" i="12"/>
  <c r="F114" i="5"/>
  <c r="H38" i="5"/>
  <c r="H72" i="5"/>
  <c r="I88" i="5"/>
  <c r="H27" i="5"/>
  <c r="G114" i="5"/>
  <c r="I72" i="5"/>
  <c r="H16" i="5"/>
  <c r="H49" i="5"/>
  <c r="H88" i="5"/>
  <c r="E114" i="5"/>
  <c r="D114" i="5"/>
  <c r="D117" i="5" s="1"/>
  <c r="H114" i="5" l="1"/>
  <c r="H117" i="5" s="1"/>
  <c r="I114" i="5"/>
  <c r="I117" i="5" s="1"/>
  <c r="E63" i="4" l="1"/>
  <c r="D23" i="4"/>
  <c r="A13" i="4"/>
  <c r="A14" i="4" s="1"/>
  <c r="A15" i="4" s="1"/>
  <c r="A16" i="4" s="1"/>
  <c r="A7" i="4"/>
  <c r="A2" i="4"/>
  <c r="A1" i="4"/>
  <c r="F56" i="4" l="1"/>
  <c r="F31" i="4"/>
  <c r="F101" i="4"/>
  <c r="G69" i="4"/>
  <c r="D85" i="4"/>
  <c r="F66" i="4"/>
  <c r="D35" i="4"/>
  <c r="F32" i="4"/>
  <c r="G83" i="4"/>
  <c r="E68" i="4"/>
  <c r="E66" i="4"/>
  <c r="E86" i="4"/>
  <c r="F82" i="4"/>
  <c r="E23" i="17"/>
  <c r="E112" i="17"/>
  <c r="E108" i="17"/>
  <c r="E104" i="17"/>
  <c r="E89" i="17"/>
  <c r="D25" i="18" s="1"/>
  <c r="E85" i="17"/>
  <c r="E81" i="17"/>
  <c r="E77" i="17"/>
  <c r="E70" i="17"/>
  <c r="E66" i="17"/>
  <c r="E59" i="17"/>
  <c r="E42" i="17"/>
  <c r="E35" i="17"/>
  <c r="E31" i="17"/>
  <c r="E24" i="17"/>
  <c r="E16" i="17"/>
  <c r="E78" i="17"/>
  <c r="E60" i="17"/>
  <c r="E36" i="17"/>
  <c r="E20" i="17"/>
  <c r="E111" i="17"/>
  <c r="E107" i="17"/>
  <c r="E88" i="17"/>
  <c r="E84" i="17"/>
  <c r="E80" i="17"/>
  <c r="E73" i="17"/>
  <c r="D19" i="18" s="1"/>
  <c r="E69" i="17"/>
  <c r="E65" i="17"/>
  <c r="E58" i="17"/>
  <c r="E45" i="17"/>
  <c r="E38" i="17"/>
  <c r="D17" i="18" s="1"/>
  <c r="E34" i="17"/>
  <c r="E27" i="17"/>
  <c r="D16" i="18" s="1"/>
  <c r="E22" i="17"/>
  <c r="E15" i="17"/>
  <c r="E109" i="17"/>
  <c r="E86" i="17"/>
  <c r="E71" i="17"/>
  <c r="E43" i="17"/>
  <c r="E25" i="17"/>
  <c r="E110" i="17"/>
  <c r="E106" i="17"/>
  <c r="E87" i="17"/>
  <c r="E83" i="17"/>
  <c r="E79" i="17"/>
  <c r="E72" i="17"/>
  <c r="E68" i="17"/>
  <c r="E61" i="17"/>
  <c r="D18" i="18" s="1"/>
  <c r="E44" i="17"/>
  <c r="E37" i="17"/>
  <c r="E33" i="17"/>
  <c r="E26" i="17"/>
  <c r="E21" i="17"/>
  <c r="E14" i="17"/>
  <c r="E113" i="17"/>
  <c r="E105" i="17"/>
  <c r="E82" i="17"/>
  <c r="E67" i="17"/>
  <c r="E32" i="17"/>
  <c r="G110" i="4"/>
  <c r="G109" i="4"/>
  <c r="G108" i="4"/>
  <c r="G107" i="4"/>
  <c r="G106" i="4"/>
  <c r="G105" i="4"/>
  <c r="G104" i="4"/>
  <c r="G103" i="4"/>
  <c r="G102" i="4"/>
  <c r="F85" i="4"/>
  <c r="F81" i="4"/>
  <c r="F77" i="4"/>
  <c r="D71" i="4"/>
  <c r="D67" i="4"/>
  <c r="D63" i="4"/>
  <c r="D34" i="4"/>
  <c r="D30" i="4"/>
  <c r="F110" i="4"/>
  <c r="F109" i="4"/>
  <c r="F108" i="4"/>
  <c r="F107" i="4"/>
  <c r="F106" i="4"/>
  <c r="F105" i="4"/>
  <c r="F104" i="4"/>
  <c r="F103" i="4"/>
  <c r="G101" i="4"/>
  <c r="F84" i="4"/>
  <c r="F80" i="4"/>
  <c r="F76" i="4"/>
  <c r="D70" i="4"/>
  <c r="D66" i="4"/>
  <c r="D37" i="4"/>
  <c r="D33" i="4"/>
  <c r="E110" i="4"/>
  <c r="E109" i="4"/>
  <c r="E108" i="4"/>
  <c r="E107" i="4"/>
  <c r="E106" i="4"/>
  <c r="E105" i="4"/>
  <c r="E104" i="4"/>
  <c r="E103" i="4"/>
  <c r="F87" i="4"/>
  <c r="F83" i="4"/>
  <c r="F79" i="4"/>
  <c r="D75" i="4"/>
  <c r="D69" i="4"/>
  <c r="D65" i="4"/>
  <c r="G36" i="4"/>
  <c r="G32" i="4"/>
  <c r="D110" i="4"/>
  <c r="D109" i="4"/>
  <c r="D108" i="4"/>
  <c r="D107" i="4"/>
  <c r="D106" i="4"/>
  <c r="D105" i="4"/>
  <c r="D104" i="4"/>
  <c r="D103" i="4"/>
  <c r="D86" i="4"/>
  <c r="D82" i="4"/>
  <c r="D78" i="4"/>
  <c r="E64" i="4"/>
  <c r="F68" i="4"/>
  <c r="F64" i="4"/>
  <c r="G35" i="4"/>
  <c r="G31" i="4"/>
  <c r="F42" i="4"/>
  <c r="G57" i="4"/>
  <c r="G34" i="4"/>
  <c r="F35" i="4"/>
  <c r="F30" i="4"/>
  <c r="E30" i="4"/>
  <c r="D102" i="4"/>
  <c r="E87" i="4"/>
  <c r="E81" i="4"/>
  <c r="E76" i="4"/>
  <c r="G67" i="4"/>
  <c r="E35" i="4"/>
  <c r="E102" i="4"/>
  <c r="D84" i="4"/>
  <c r="D79" i="4"/>
  <c r="F70" i="4"/>
  <c r="F65" i="4"/>
  <c r="E31" i="4"/>
  <c r="G87" i="4"/>
  <c r="F75" i="4"/>
  <c r="D101" i="4"/>
  <c r="G80" i="4"/>
  <c r="G64" i="4"/>
  <c r="F86" i="4"/>
  <c r="G78" i="4"/>
  <c r="E69" i="4"/>
  <c r="F41" i="4"/>
  <c r="F37" i="4"/>
  <c r="E32" i="4"/>
  <c r="E77" i="4"/>
  <c r="G81" i="4"/>
  <c r="F71" i="4"/>
  <c r="F78" i="4"/>
  <c r="G43" i="4"/>
  <c r="F58" i="4"/>
  <c r="G33" i="4"/>
  <c r="F34" i="4"/>
  <c r="E37" i="4"/>
  <c r="G77" i="4"/>
  <c r="E85" i="4"/>
  <c r="E80" i="4"/>
  <c r="G71" i="4"/>
  <c r="G66" i="4"/>
  <c r="D32" i="4"/>
  <c r="E101" i="4"/>
  <c r="D83" i="4"/>
  <c r="D77" i="4"/>
  <c r="F69" i="4"/>
  <c r="F63" i="4"/>
  <c r="E71" i="4"/>
  <c r="G84" i="4"/>
  <c r="G68" i="4"/>
  <c r="G76" i="4"/>
  <c r="E78" i="4"/>
  <c r="D31" i="4"/>
  <c r="G79" i="4"/>
  <c r="G82" i="4"/>
  <c r="D64" i="4"/>
  <c r="G37" i="4"/>
  <c r="E33" i="4"/>
  <c r="E83" i="4"/>
  <c r="G63" i="4"/>
  <c r="D80" i="4"/>
  <c r="P8" i="66"/>
  <c r="P69" i="66" s="1"/>
  <c r="J8" i="63"/>
  <c r="J8" i="64"/>
  <c r="J8" i="47"/>
  <c r="G8" i="40"/>
  <c r="G26" i="40" s="1"/>
  <c r="P8" i="31"/>
  <c r="P69" i="31" s="1"/>
  <c r="G8" i="25"/>
  <c r="G34" i="25" s="1"/>
  <c r="H8" i="28"/>
  <c r="H29" i="28" s="1"/>
  <c r="E8" i="26"/>
  <c r="E33" i="26" s="1"/>
  <c r="J8" i="23"/>
  <c r="J8" i="20"/>
  <c r="J33" i="20" s="1"/>
  <c r="I8" i="19"/>
  <c r="H8" i="18"/>
  <c r="H38" i="18" s="1"/>
  <c r="I8" i="17"/>
  <c r="F9" i="16"/>
  <c r="F8" i="69"/>
  <c r="G8" i="68"/>
  <c r="G8" i="67"/>
  <c r="F8" i="30"/>
  <c r="E9" i="33"/>
  <c r="F44" i="4"/>
  <c r="F59" i="4"/>
  <c r="G30" i="4"/>
  <c r="F33" i="4"/>
  <c r="E34" i="4"/>
  <c r="D36" i="4"/>
  <c r="F102" i="4"/>
  <c r="E84" i="4"/>
  <c r="E79" i="4"/>
  <c r="G70" i="4"/>
  <c r="G65" i="4"/>
  <c r="G85" i="4"/>
  <c r="D87" i="4"/>
  <c r="D81" i="4"/>
  <c r="D76" i="4"/>
  <c r="F67" i="4"/>
  <c r="F36" i="4"/>
  <c r="E67" i="4"/>
  <c r="E82" i="4"/>
  <c r="E65" i="4"/>
  <c r="G86" i="4"/>
  <c r="E75" i="4"/>
  <c r="E70" i="4"/>
  <c r="D68" i="4"/>
  <c r="G75" i="4"/>
  <c r="E36" i="4"/>
  <c r="G8" i="15"/>
  <c r="G36" i="15" s="1"/>
  <c r="H8" i="14"/>
  <c r="I8" i="7"/>
  <c r="I21" i="7" s="1"/>
  <c r="I8" i="5"/>
  <c r="H8" i="12"/>
  <c r="H8" i="11"/>
  <c r="H39" i="11" s="1"/>
  <c r="K9" i="10"/>
  <c r="K50" i="10" s="1"/>
  <c r="N8" i="9"/>
  <c r="N29" i="9" s="1"/>
  <c r="H8" i="8"/>
  <c r="H21" i="8" s="1"/>
  <c r="H8" i="4"/>
  <c r="H96" i="4" s="1"/>
  <c r="A89" i="4"/>
  <c r="A45" i="4"/>
  <c r="A95" i="4"/>
  <c r="A51" i="4"/>
  <c r="A90" i="4"/>
  <c r="A46" i="4"/>
  <c r="A92" i="4"/>
  <c r="A48" i="4"/>
  <c r="A18" i="4"/>
  <c r="A19" i="4" s="1"/>
  <c r="A20" i="4" s="1"/>
  <c r="D58" i="4"/>
  <c r="G58" i="4"/>
  <c r="G42" i="4"/>
  <c r="G59" i="4"/>
  <c r="D44" i="4"/>
  <c r="D41" i="4"/>
  <c r="E44" i="4"/>
  <c r="D59" i="4"/>
  <c r="G41" i="4"/>
  <c r="G44" i="4"/>
  <c r="E59" i="4"/>
  <c r="G56" i="4"/>
  <c r="D56" i="4"/>
  <c r="E41" i="4"/>
  <c r="E42" i="4"/>
  <c r="D42" i="4"/>
  <c r="E56" i="4"/>
  <c r="E58" i="4"/>
  <c r="D43" i="4"/>
  <c r="E43" i="4"/>
  <c r="F43" i="4"/>
  <c r="E57" i="4"/>
  <c r="F57" i="4"/>
  <c r="D57" i="4"/>
  <c r="D22" i="4"/>
  <c r="D20" i="4"/>
  <c r="E22" i="4"/>
  <c r="F14" i="4"/>
  <c r="D19" i="4"/>
  <c r="F22" i="4"/>
  <c r="G22" i="4"/>
  <c r="D26" i="4"/>
  <c r="G15" i="4"/>
  <c r="D21" i="4"/>
  <c r="D24" i="4"/>
  <c r="F13" i="4"/>
  <c r="E25" i="4"/>
  <c r="G14" i="4"/>
  <c r="E19" i="4"/>
  <c r="E26" i="4"/>
  <c r="D25" i="4"/>
  <c r="G26" i="4"/>
  <c r="D14" i="4"/>
  <c r="E20" i="4"/>
  <c r="E21" i="4"/>
  <c r="E23" i="4"/>
  <c r="E24" i="4"/>
  <c r="E13" i="4"/>
  <c r="D13" i="4"/>
  <c r="D15" i="4"/>
  <c r="G13" i="4"/>
  <c r="E15" i="4"/>
  <c r="F19" i="4"/>
  <c r="F20" i="4"/>
  <c r="F21" i="4"/>
  <c r="F23" i="4"/>
  <c r="F24" i="4"/>
  <c r="F25" i="4"/>
  <c r="F26" i="4"/>
  <c r="E14" i="4"/>
  <c r="F15" i="4"/>
  <c r="G19" i="4"/>
  <c r="G20" i="4"/>
  <c r="G21" i="4"/>
  <c r="G23" i="4"/>
  <c r="G24" i="4"/>
  <c r="G25" i="4"/>
  <c r="J288" i="64" l="1"/>
  <c r="J344" i="64"/>
  <c r="K19" i="18"/>
  <c r="K20" i="18" s="1"/>
  <c r="H86" i="4"/>
  <c r="D86" i="12" s="1"/>
  <c r="E86" i="12" s="1"/>
  <c r="H87" i="4"/>
  <c r="D87" i="12" s="1"/>
  <c r="D26" i="11" s="1"/>
  <c r="H106" i="4"/>
  <c r="D106" i="12" s="1"/>
  <c r="H110" i="4"/>
  <c r="D110" i="12" s="1"/>
  <c r="D113" i="17" s="1"/>
  <c r="H32" i="4"/>
  <c r="D32" i="12" s="1"/>
  <c r="D33" i="17" s="1"/>
  <c r="H68" i="4"/>
  <c r="D68" i="12" s="1"/>
  <c r="D70" i="17" s="1"/>
  <c r="H65" i="4"/>
  <c r="D65" i="12" s="1"/>
  <c r="D67" i="17" s="1"/>
  <c r="H105" i="4"/>
  <c r="D105" i="12" s="1"/>
  <c r="E105" i="12" s="1"/>
  <c r="F28" i="11" s="1"/>
  <c r="H109" i="4"/>
  <c r="D109" i="12" s="1"/>
  <c r="D112" i="17" s="1"/>
  <c r="G38" i="4"/>
  <c r="F72" i="4"/>
  <c r="H85" i="4"/>
  <c r="D85" i="12" s="1"/>
  <c r="E85" i="12" s="1"/>
  <c r="H33" i="4"/>
  <c r="D33" i="12" s="1"/>
  <c r="D34" i="17" s="1"/>
  <c r="H71" i="4"/>
  <c r="D71" i="12" s="1"/>
  <c r="D20" i="11" s="1"/>
  <c r="H30" i="4"/>
  <c r="D30" i="12" s="1"/>
  <c r="D31" i="17" s="1"/>
  <c r="H70" i="4"/>
  <c r="D70" i="12" s="1"/>
  <c r="D72" i="17" s="1"/>
  <c r="H101" i="4"/>
  <c r="D101" i="12" s="1"/>
  <c r="D104" i="17" s="1"/>
  <c r="H76" i="4"/>
  <c r="D76" i="12" s="1"/>
  <c r="E76" i="12" s="1"/>
  <c r="G72" i="4"/>
  <c r="H83" i="4"/>
  <c r="D83" i="12" s="1"/>
  <c r="D85" i="17" s="1"/>
  <c r="H69" i="4"/>
  <c r="D69" i="12" s="1"/>
  <c r="D71" i="17" s="1"/>
  <c r="H82" i="4"/>
  <c r="D82" i="12" s="1"/>
  <c r="D84" i="17" s="1"/>
  <c r="H63" i="4"/>
  <c r="D63" i="12" s="1"/>
  <c r="E63" i="12" s="1"/>
  <c r="E111" i="4"/>
  <c r="G88" i="4"/>
  <c r="F38" i="4"/>
  <c r="E88" i="4"/>
  <c r="H80" i="4"/>
  <c r="D80" i="12" s="1"/>
  <c r="E80" i="12" s="1"/>
  <c r="E23" i="11" s="1"/>
  <c r="F23" i="11" s="1"/>
  <c r="G80" i="12" s="1"/>
  <c r="H80" i="12" s="1"/>
  <c r="D83" i="23" s="1"/>
  <c r="G83" i="23" s="1"/>
  <c r="H31" i="4"/>
  <c r="D31" i="12" s="1"/>
  <c r="D32" i="17" s="1"/>
  <c r="H84" i="4"/>
  <c r="D84" i="12" s="1"/>
  <c r="E84" i="12" s="1"/>
  <c r="D88" i="4"/>
  <c r="H66" i="4"/>
  <c r="D66" i="12" s="1"/>
  <c r="E66" i="12" s="1"/>
  <c r="H81" i="4"/>
  <c r="D81" i="12" s="1"/>
  <c r="D83" i="17" s="1"/>
  <c r="H64" i="4"/>
  <c r="D64" i="12" s="1"/>
  <c r="D66" i="17" s="1"/>
  <c r="D111" i="4"/>
  <c r="H78" i="4"/>
  <c r="D78" i="12" s="1"/>
  <c r="E78" i="12" s="1"/>
  <c r="E21" i="11" s="1"/>
  <c r="F21" i="11" s="1"/>
  <c r="G78" i="12" s="1"/>
  <c r="H78" i="12" s="1"/>
  <c r="D81" i="23" s="1"/>
  <c r="G81" i="23" s="1"/>
  <c r="H104" i="4"/>
  <c r="D104" i="12" s="1"/>
  <c r="D107" i="17" s="1"/>
  <c r="H108" i="4"/>
  <c r="D108" i="12" s="1"/>
  <c r="H37" i="4"/>
  <c r="D37" i="12" s="1"/>
  <c r="D18" i="11" s="1"/>
  <c r="F111" i="4"/>
  <c r="H34" i="4"/>
  <c r="D34" i="12" s="1"/>
  <c r="D35" i="17" s="1"/>
  <c r="D72" i="4"/>
  <c r="H79" i="4"/>
  <c r="D79" i="12" s="1"/>
  <c r="E79" i="12" s="1"/>
  <c r="E22" i="11" s="1"/>
  <c r="F22" i="11" s="1"/>
  <c r="G79" i="12" s="1"/>
  <c r="H79" i="12" s="1"/>
  <c r="D82" i="23" s="1"/>
  <c r="G82" i="23" s="1"/>
  <c r="E72" i="4"/>
  <c r="E109" i="12"/>
  <c r="H77" i="4"/>
  <c r="D77" i="12" s="1"/>
  <c r="E77" i="12" s="1"/>
  <c r="H36" i="4"/>
  <c r="D36" i="12" s="1"/>
  <c r="E36" i="12" s="1"/>
  <c r="H75" i="4"/>
  <c r="D75" i="12" s="1"/>
  <c r="H67" i="4"/>
  <c r="D67" i="12" s="1"/>
  <c r="D69" i="17" s="1"/>
  <c r="E38" i="4"/>
  <c r="F88" i="4"/>
  <c r="H35" i="4"/>
  <c r="D35" i="12" s="1"/>
  <c r="D36" i="17" s="1"/>
  <c r="D38" i="4"/>
  <c r="H102" i="4"/>
  <c r="D102" i="12" s="1"/>
  <c r="D105" i="17" s="1"/>
  <c r="F129" i="69"/>
  <c r="F68" i="69"/>
  <c r="F190" i="69"/>
  <c r="I98" i="19"/>
  <c r="I53" i="19"/>
  <c r="E17" i="17"/>
  <c r="E39" i="17"/>
  <c r="O39" i="17" s="1"/>
  <c r="P39" i="17" s="1"/>
  <c r="J64" i="63"/>
  <c r="J176" i="63"/>
  <c r="J120" i="63"/>
  <c r="F190" i="30"/>
  <c r="F68" i="30"/>
  <c r="F129" i="30"/>
  <c r="J71" i="47"/>
  <c r="G111" i="4"/>
  <c r="I98" i="17"/>
  <c r="I53" i="17"/>
  <c r="J71" i="23"/>
  <c r="J64" i="64"/>
  <c r="J120" i="64"/>
  <c r="J232" i="64"/>
  <c r="J176" i="64"/>
  <c r="H103" i="4"/>
  <c r="D103" i="12" s="1"/>
  <c r="H107" i="4"/>
  <c r="D107" i="12" s="1"/>
  <c r="D110" i="17" s="1"/>
  <c r="E74" i="17"/>
  <c r="O74" i="17" s="1"/>
  <c r="P74" i="17" s="1"/>
  <c r="E28" i="17"/>
  <c r="O28" i="17" s="1"/>
  <c r="P28" i="17" s="1"/>
  <c r="E62" i="17"/>
  <c r="O62" i="17" s="1"/>
  <c r="P62" i="17" s="1"/>
  <c r="E90" i="17"/>
  <c r="E114" i="17"/>
  <c r="O114" i="17" s="1"/>
  <c r="P114" i="17" s="1"/>
  <c r="F60" i="4"/>
  <c r="D60" i="4"/>
  <c r="E60" i="4"/>
  <c r="G60" i="4"/>
  <c r="H52" i="14"/>
  <c r="H96" i="14"/>
  <c r="H52" i="4"/>
  <c r="I107" i="5"/>
  <c r="I58" i="5"/>
  <c r="H52" i="12"/>
  <c r="H96" i="12"/>
  <c r="A21" i="4"/>
  <c r="A23" i="4" s="1"/>
  <c r="A24" i="4" s="1"/>
  <c r="A25" i="4" s="1"/>
  <c r="A26" i="4" s="1"/>
  <c r="A27" i="4" s="1"/>
  <c r="A22" i="4"/>
  <c r="H41" i="4"/>
  <c r="H44" i="4"/>
  <c r="D44" i="12" s="1"/>
  <c r="H58" i="4"/>
  <c r="D58" i="12" s="1"/>
  <c r="H59" i="4"/>
  <c r="D59" i="12" s="1"/>
  <c r="H42" i="4"/>
  <c r="D42" i="12" s="1"/>
  <c r="H56" i="4"/>
  <c r="D56" i="12" s="1"/>
  <c r="H43" i="4"/>
  <c r="D43" i="12" s="1"/>
  <c r="H57" i="4"/>
  <c r="D57" i="12" s="1"/>
  <c r="H22" i="4"/>
  <c r="D22" i="12" s="1"/>
  <c r="D23" i="17" s="1"/>
  <c r="D27" i="4"/>
  <c r="H14" i="4"/>
  <c r="D14" i="12" s="1"/>
  <c r="H20" i="4"/>
  <c r="D20" i="12" s="1"/>
  <c r="H26" i="4"/>
  <c r="D26" i="12" s="1"/>
  <c r="D17" i="11" s="1"/>
  <c r="H25" i="4"/>
  <c r="D25" i="12" s="1"/>
  <c r="H24" i="4"/>
  <c r="D24" i="12" s="1"/>
  <c r="H21" i="4"/>
  <c r="D21" i="12" s="1"/>
  <c r="E27" i="4"/>
  <c r="F16" i="4"/>
  <c r="E16" i="4"/>
  <c r="D16" i="4"/>
  <c r="H13" i="4"/>
  <c r="D13" i="12" s="1"/>
  <c r="G16" i="4"/>
  <c r="H19" i="4"/>
  <c r="D19" i="12" s="1"/>
  <c r="H23" i="4"/>
  <c r="D23" i="12" s="1"/>
  <c r="H15" i="4"/>
  <c r="D15" i="12" s="1"/>
  <c r="G27" i="4"/>
  <c r="F27" i="4"/>
  <c r="G85" i="12" l="1"/>
  <c r="H85" i="12" s="1"/>
  <c r="D88" i="23" s="1"/>
  <c r="G88" i="23" s="1"/>
  <c r="H18" i="59"/>
  <c r="D88" i="17"/>
  <c r="E32" i="12"/>
  <c r="E104" i="12"/>
  <c r="E27" i="11" s="1"/>
  <c r="F27" i="11" s="1"/>
  <c r="G109" i="12"/>
  <c r="H109" i="12" s="1"/>
  <c r="D102" i="23" s="1"/>
  <c r="G102" i="23" s="1"/>
  <c r="D61" i="17"/>
  <c r="D19" i="11"/>
  <c r="D30" i="11" s="1"/>
  <c r="D13" i="68" s="1"/>
  <c r="E59" i="12"/>
  <c r="E19" i="11" s="1"/>
  <c r="H23" i="59"/>
  <c r="H32" i="59" s="1"/>
  <c r="H43" i="59" s="1"/>
  <c r="H47" i="59" s="1"/>
  <c r="E87" i="12"/>
  <c r="E26" i="11" s="1"/>
  <c r="F26" i="11" s="1"/>
  <c r="G87" i="12" s="1"/>
  <c r="E65" i="12"/>
  <c r="G104" i="12"/>
  <c r="H104" i="12" s="1"/>
  <c r="G82" i="12"/>
  <c r="H82" i="12" s="1"/>
  <c r="D85" i="23" s="1"/>
  <c r="G85" i="23" s="1"/>
  <c r="E71" i="12"/>
  <c r="E20" i="11" s="1"/>
  <c r="F20" i="11" s="1"/>
  <c r="G71" i="12" s="1"/>
  <c r="E68" i="12"/>
  <c r="D86" i="17"/>
  <c r="D89" i="17"/>
  <c r="D78" i="17"/>
  <c r="D73" i="17"/>
  <c r="D65" i="17"/>
  <c r="D79" i="17"/>
  <c r="E30" i="12"/>
  <c r="D109" i="17"/>
  <c r="E106" i="12"/>
  <c r="D87" i="17"/>
  <c r="E70" i="12"/>
  <c r="D38" i="17"/>
  <c r="D68" i="17"/>
  <c r="D82" i="17"/>
  <c r="D80" i="17"/>
  <c r="E83" i="12"/>
  <c r="E35" i="12"/>
  <c r="D108" i="17"/>
  <c r="E33" i="12"/>
  <c r="E69" i="12"/>
  <c r="E101" i="12"/>
  <c r="E31" i="12"/>
  <c r="E34" i="12"/>
  <c r="E81" i="12"/>
  <c r="E24" i="11" s="1"/>
  <c r="F24" i="11" s="1"/>
  <c r="G81" i="12" s="1"/>
  <c r="H81" i="12" s="1"/>
  <c r="D84" i="23" s="1"/>
  <c r="G84" i="23" s="1"/>
  <c r="E67" i="12"/>
  <c r="D72" i="12"/>
  <c r="C21" i="15" s="1"/>
  <c r="D21" i="15" s="1"/>
  <c r="H88" i="4"/>
  <c r="E64" i="12"/>
  <c r="E82" i="12"/>
  <c r="H72" i="4"/>
  <c r="D38" i="12"/>
  <c r="C17" i="15" s="1"/>
  <c r="D17" i="15" s="1"/>
  <c r="D37" i="17"/>
  <c r="D39" i="17" s="1"/>
  <c r="E37" i="12"/>
  <c r="E18" i="11" s="1"/>
  <c r="F18" i="11" s="1"/>
  <c r="G37" i="12" s="1"/>
  <c r="D81" i="17"/>
  <c r="E108" i="12"/>
  <c r="E110" i="12" s="1"/>
  <c r="D111" i="17"/>
  <c r="H38" i="4"/>
  <c r="F110" i="17"/>
  <c r="G110" i="17" s="1"/>
  <c r="I110" i="17" s="1"/>
  <c r="E100" i="23" s="1"/>
  <c r="F104" i="17"/>
  <c r="G104" i="17" s="1"/>
  <c r="F109" i="17"/>
  <c r="G109" i="17" s="1"/>
  <c r="I109" i="17" s="1"/>
  <c r="E99" i="23" s="1"/>
  <c r="F113" i="17"/>
  <c r="G113" i="17" s="1"/>
  <c r="I113" i="17" s="1"/>
  <c r="E103" i="23" s="1"/>
  <c r="F106" i="17"/>
  <c r="G106" i="17" s="1"/>
  <c r="I106" i="17" s="1"/>
  <c r="E96" i="23" s="1"/>
  <c r="F111" i="17"/>
  <c r="G111" i="17" s="1"/>
  <c r="I111" i="17" s="1"/>
  <c r="E101" i="23" s="1"/>
  <c r="F105" i="17"/>
  <c r="G105" i="17" s="1"/>
  <c r="I105" i="17" s="1"/>
  <c r="E95" i="23" s="1"/>
  <c r="F112" i="17"/>
  <c r="G112" i="17" s="1"/>
  <c r="I112" i="17" s="1"/>
  <c r="E102" i="23" s="1"/>
  <c r="F107" i="17"/>
  <c r="F108" i="17"/>
  <c r="G108" i="17" s="1"/>
  <c r="I108" i="17" s="1"/>
  <c r="E98" i="23" s="1"/>
  <c r="F37" i="17"/>
  <c r="G37" i="17" s="1"/>
  <c r="I37" i="17" s="1"/>
  <c r="E38" i="23" s="1"/>
  <c r="F38" i="17"/>
  <c r="F32" i="17"/>
  <c r="G32" i="17" s="1"/>
  <c r="I32" i="17" s="1"/>
  <c r="E33" i="23" s="1"/>
  <c r="F33" i="17"/>
  <c r="G33" i="17" s="1"/>
  <c r="I33" i="17" s="1"/>
  <c r="E34" i="23" s="1"/>
  <c r="F34" i="17"/>
  <c r="G34" i="17" s="1"/>
  <c r="I34" i="17" s="1"/>
  <c r="E35" i="23" s="1"/>
  <c r="F35" i="17"/>
  <c r="G35" i="17" s="1"/>
  <c r="I35" i="17" s="1"/>
  <c r="E36" i="23" s="1"/>
  <c r="F36" i="17"/>
  <c r="G36" i="17" s="1"/>
  <c r="I36" i="17" s="1"/>
  <c r="E37" i="23" s="1"/>
  <c r="F31" i="17"/>
  <c r="G31" i="17" s="1"/>
  <c r="I31" i="17" s="1"/>
  <c r="E102" i="12"/>
  <c r="F60" i="17"/>
  <c r="G60" i="17" s="1"/>
  <c r="I60" i="17" s="1"/>
  <c r="E49" i="23" s="1"/>
  <c r="F42" i="17"/>
  <c r="G42" i="17" s="1"/>
  <c r="F45" i="17"/>
  <c r="G45" i="17" s="1"/>
  <c r="I45" i="17" s="1"/>
  <c r="E46" i="23" s="1"/>
  <c r="F61" i="17"/>
  <c r="F44" i="17"/>
  <c r="G44" i="17" s="1"/>
  <c r="I44" i="17" s="1"/>
  <c r="E45" i="23" s="1"/>
  <c r="F43" i="17"/>
  <c r="G43" i="17" s="1"/>
  <c r="I43" i="17" s="1"/>
  <c r="E44" i="23" s="1"/>
  <c r="F59" i="17"/>
  <c r="G59" i="17" s="1"/>
  <c r="I59" i="17" s="1"/>
  <c r="E48" i="23" s="1"/>
  <c r="F58" i="17"/>
  <c r="G58" i="17" s="1"/>
  <c r="I58" i="17" s="1"/>
  <c r="E47" i="23" s="1"/>
  <c r="D29" i="18"/>
  <c r="D15" i="68" s="1"/>
  <c r="E116" i="17"/>
  <c r="F72" i="17"/>
  <c r="G72" i="17" s="1"/>
  <c r="I72" i="17" s="1"/>
  <c r="E61" i="23" s="1"/>
  <c r="F73" i="17"/>
  <c r="F68" i="17"/>
  <c r="G68" i="17" s="1"/>
  <c r="I68" i="17" s="1"/>
  <c r="E57" i="23" s="1"/>
  <c r="F69" i="17"/>
  <c r="G69" i="17" s="1"/>
  <c r="I69" i="17" s="1"/>
  <c r="E58" i="23" s="1"/>
  <c r="F70" i="17"/>
  <c r="G70" i="17" s="1"/>
  <c r="I70" i="17" s="1"/>
  <c r="E59" i="23" s="1"/>
  <c r="F71" i="17"/>
  <c r="G71" i="17" s="1"/>
  <c r="I71" i="17" s="1"/>
  <c r="E60" i="23" s="1"/>
  <c r="F65" i="17"/>
  <c r="G65" i="17" s="1"/>
  <c r="I65" i="17" s="1"/>
  <c r="F66" i="17"/>
  <c r="G66" i="17" s="1"/>
  <c r="I66" i="17" s="1"/>
  <c r="E55" i="23" s="1"/>
  <c r="F67" i="17"/>
  <c r="G67" i="17" s="1"/>
  <c r="I67" i="17" s="1"/>
  <c r="E56" i="23" s="1"/>
  <c r="H111" i="4"/>
  <c r="D111" i="12"/>
  <c r="C25" i="15" s="1"/>
  <c r="D25" i="15" s="1"/>
  <c r="F25" i="17"/>
  <c r="F26" i="17"/>
  <c r="F23" i="17"/>
  <c r="G23" i="17" s="1"/>
  <c r="I23" i="17" s="1"/>
  <c r="E24" i="23" s="1"/>
  <c r="F20" i="17"/>
  <c r="G20" i="17" s="1"/>
  <c r="F21" i="17"/>
  <c r="F22" i="17"/>
  <c r="F27" i="17"/>
  <c r="F24" i="17"/>
  <c r="G24" i="17" s="1"/>
  <c r="I24" i="17" s="1"/>
  <c r="E25" i="23" s="1"/>
  <c r="E103" i="12"/>
  <c r="D106" i="17"/>
  <c r="D77" i="17"/>
  <c r="E75" i="12"/>
  <c r="D88" i="12"/>
  <c r="C23" i="15" s="1"/>
  <c r="D23" i="15" s="1"/>
  <c r="D59" i="17"/>
  <c r="E57" i="12"/>
  <c r="D58" i="17"/>
  <c r="E56" i="12"/>
  <c r="D60" i="17"/>
  <c r="E58" i="12"/>
  <c r="F82" i="17"/>
  <c r="D16" i="17"/>
  <c r="E15" i="12"/>
  <c r="D14" i="17"/>
  <c r="E13" i="12"/>
  <c r="D16" i="12"/>
  <c r="D27" i="17"/>
  <c r="E26" i="12"/>
  <c r="E17" i="11" s="1"/>
  <c r="D45" i="17"/>
  <c r="E44" i="12"/>
  <c r="D24" i="17"/>
  <c r="E23" i="12"/>
  <c r="D22" i="17"/>
  <c r="E21" i="12"/>
  <c r="E14" i="11" s="1"/>
  <c r="D21" i="17"/>
  <c r="E20" i="12"/>
  <c r="E13" i="11" s="1"/>
  <c r="D43" i="17"/>
  <c r="E42" i="12"/>
  <c r="H60" i="4"/>
  <c r="D41" i="12"/>
  <c r="D20" i="17"/>
  <c r="E19" i="12"/>
  <c r="D27" i="12"/>
  <c r="C15" i="15" s="1"/>
  <c r="D15" i="15" s="1"/>
  <c r="E12" i="40" s="1"/>
  <c r="D25" i="17"/>
  <c r="E24" i="12"/>
  <c r="E15" i="11" s="1"/>
  <c r="D15" i="17"/>
  <c r="E14" i="12"/>
  <c r="F15" i="17" s="1"/>
  <c r="G15" i="17" s="1"/>
  <c r="D44" i="17"/>
  <c r="E43" i="12"/>
  <c r="D26" i="17"/>
  <c r="E25" i="12"/>
  <c r="E16" i="11" s="1"/>
  <c r="A29" i="4"/>
  <c r="A30" i="4" s="1"/>
  <c r="A31" i="4" s="1"/>
  <c r="A32" i="4" s="1"/>
  <c r="A33" i="4" s="1"/>
  <c r="A34" i="4" s="1"/>
  <c r="A35" i="4" s="1"/>
  <c r="A36" i="4" s="1"/>
  <c r="A37" i="4" s="1"/>
  <c r="A38" i="4" s="1"/>
  <c r="D113" i="4"/>
  <c r="D117" i="4" s="1"/>
  <c r="E113" i="4"/>
  <c r="G113" i="4"/>
  <c r="F113" i="4"/>
  <c r="H16" i="4"/>
  <c r="H27" i="4"/>
  <c r="K18" i="11" l="1"/>
  <c r="K19" i="11" s="1"/>
  <c r="F89" i="17"/>
  <c r="E25" i="18" s="1"/>
  <c r="F25" i="18" s="1"/>
  <c r="H111" i="12"/>
  <c r="F19" i="11"/>
  <c r="G59" i="12" s="1"/>
  <c r="H59" i="12" s="1"/>
  <c r="G61" i="17"/>
  <c r="G62" i="17" s="1"/>
  <c r="E18" i="18"/>
  <c r="F18" i="18" s="1"/>
  <c r="H61" i="17" s="1"/>
  <c r="H62" i="17" s="1"/>
  <c r="G82" i="17"/>
  <c r="E22" i="18"/>
  <c r="F22" i="18" s="1"/>
  <c r="H82" i="17" s="1"/>
  <c r="G26" i="17"/>
  <c r="E15" i="18"/>
  <c r="F15" i="18" s="1"/>
  <c r="H26" i="17" s="1"/>
  <c r="F16" i="11"/>
  <c r="G25" i="12" s="1"/>
  <c r="H25" i="12" s="1"/>
  <c r="D27" i="23" s="1"/>
  <c r="G27" i="23" s="1"/>
  <c r="E12" i="11"/>
  <c r="F12" i="11" s="1"/>
  <c r="G111" i="12"/>
  <c r="F25" i="15" s="1"/>
  <c r="G25" i="15" s="1"/>
  <c r="D97" i="23"/>
  <c r="G97" i="23" s="1"/>
  <c r="G104" i="23" s="1"/>
  <c r="D74" i="17"/>
  <c r="D114" i="17"/>
  <c r="D90" i="17"/>
  <c r="D16" i="68"/>
  <c r="D18" i="68" s="1"/>
  <c r="D27" i="68" s="1"/>
  <c r="E12" i="18"/>
  <c r="F12" i="18" s="1"/>
  <c r="G21" i="17"/>
  <c r="E14" i="18"/>
  <c r="F14" i="18" s="1"/>
  <c r="H25" i="17" s="1"/>
  <c r="G25" i="17"/>
  <c r="E17" i="18"/>
  <c r="F17" i="18" s="1"/>
  <c r="H38" i="17" s="1"/>
  <c r="H39" i="17" s="1"/>
  <c r="G38" i="17"/>
  <c r="I20" i="17"/>
  <c r="C15" i="68"/>
  <c r="E15" i="68" s="1"/>
  <c r="R21" i="59"/>
  <c r="F14" i="11"/>
  <c r="G21" i="12" s="1"/>
  <c r="H21" i="12" s="1"/>
  <c r="D23" i="23" s="1"/>
  <c r="G23" i="23" s="1"/>
  <c r="F13" i="11"/>
  <c r="E16" i="18"/>
  <c r="F16" i="18" s="1"/>
  <c r="H27" i="17" s="1"/>
  <c r="G27" i="17"/>
  <c r="E54" i="23"/>
  <c r="I42" i="17"/>
  <c r="E32" i="23"/>
  <c r="I104" i="17"/>
  <c r="F15" i="11"/>
  <c r="G24" i="12" s="1"/>
  <c r="H24" i="12" s="1"/>
  <c r="D26" i="23" s="1"/>
  <c r="G26" i="23" s="1"/>
  <c r="E13" i="18"/>
  <c r="F13" i="18" s="1"/>
  <c r="H22" i="17" s="1"/>
  <c r="G22" i="17"/>
  <c r="E19" i="18"/>
  <c r="F19" i="18" s="1"/>
  <c r="H73" i="17" s="1"/>
  <c r="H74" i="17" s="1"/>
  <c r="G73" i="17"/>
  <c r="E26" i="18"/>
  <c r="F26" i="18" s="1"/>
  <c r="G107" i="17"/>
  <c r="G114" i="17" s="1"/>
  <c r="I14" i="20"/>
  <c r="J14" i="20" s="1"/>
  <c r="E17" i="40"/>
  <c r="G72" i="12"/>
  <c r="F21" i="15" s="1"/>
  <c r="G21" i="15" s="1"/>
  <c r="H71" i="12"/>
  <c r="H72" i="12" s="1"/>
  <c r="F17" i="11"/>
  <c r="D28" i="17"/>
  <c r="H87" i="12"/>
  <c r="G88" i="12"/>
  <c r="F23" i="15" s="1"/>
  <c r="G23" i="15" s="1"/>
  <c r="C13" i="15"/>
  <c r="D42" i="17"/>
  <c r="D62" i="17" s="1"/>
  <c r="E41" i="12"/>
  <c r="D60" i="12"/>
  <c r="C19" i="15" s="1"/>
  <c r="D19" i="15" s="1"/>
  <c r="M17" i="17"/>
  <c r="I15" i="17"/>
  <c r="E16" i="23" s="1"/>
  <c r="D17" i="17"/>
  <c r="H37" i="12"/>
  <c r="G38" i="12"/>
  <c r="F17" i="15" s="1"/>
  <c r="G17" i="15" s="1"/>
  <c r="A40" i="4"/>
  <c r="A41" i="4" s="1"/>
  <c r="A42" i="4" s="1"/>
  <c r="A43" i="4" s="1"/>
  <c r="A44" i="4" s="1"/>
  <c r="A56" i="4" s="1"/>
  <c r="A57" i="4" s="1"/>
  <c r="A58" i="4" s="1"/>
  <c r="A59" i="4" s="1"/>
  <c r="A60" i="4" s="1"/>
  <c r="H113" i="4"/>
  <c r="H117" i="4" s="1"/>
  <c r="J18" i="59" l="1"/>
  <c r="J21" i="59"/>
  <c r="F18" i="59"/>
  <c r="G89" i="17"/>
  <c r="M90" i="17" s="1"/>
  <c r="I82" i="17"/>
  <c r="E83" i="23" s="1"/>
  <c r="G60" i="12"/>
  <c r="F19" i="15" s="1"/>
  <c r="G19" i="15" s="1"/>
  <c r="D50" i="23"/>
  <c r="D51" i="23" s="1"/>
  <c r="H60" i="12"/>
  <c r="I26" i="17"/>
  <c r="E27" i="23" s="1"/>
  <c r="I61" i="17"/>
  <c r="E50" i="23" s="1"/>
  <c r="D104" i="23"/>
  <c r="H107" i="17"/>
  <c r="H114" i="17" s="1"/>
  <c r="H85" i="17"/>
  <c r="I27" i="17"/>
  <c r="E28" i="23" s="1"/>
  <c r="I22" i="20"/>
  <c r="I22" i="17"/>
  <c r="E23" i="23" s="1"/>
  <c r="G28" i="17"/>
  <c r="G20" i="12"/>
  <c r="H20" i="12" s="1"/>
  <c r="D22" i="23" s="1"/>
  <c r="G22" i="23" s="1"/>
  <c r="F30" i="11"/>
  <c r="E21" i="23"/>
  <c r="G19" i="12"/>
  <c r="H19" i="12" s="1"/>
  <c r="D21" i="23" s="1"/>
  <c r="G21" i="23" s="1"/>
  <c r="G74" i="17"/>
  <c r="I73" i="17"/>
  <c r="G39" i="17"/>
  <c r="I38" i="17"/>
  <c r="H21" i="17"/>
  <c r="E94" i="23"/>
  <c r="E43" i="23"/>
  <c r="I25" i="17"/>
  <c r="E26" i="23" s="1"/>
  <c r="D62" i="23"/>
  <c r="G62" i="23" s="1"/>
  <c r="G63" i="23" s="1"/>
  <c r="H89" i="17"/>
  <c r="G26" i="12"/>
  <c r="H26" i="12" s="1"/>
  <c r="D90" i="23"/>
  <c r="H88" i="12"/>
  <c r="C27" i="15"/>
  <c r="R18" i="59" s="1"/>
  <c r="D13" i="15"/>
  <c r="O17" i="17"/>
  <c r="N17" i="17"/>
  <c r="D39" i="23"/>
  <c r="D40" i="23" s="1"/>
  <c r="H38" i="12"/>
  <c r="D116" i="17"/>
  <c r="D113" i="12"/>
  <c r="C13" i="68" s="1"/>
  <c r="A62" i="4"/>
  <c r="A63" i="4" s="1"/>
  <c r="A64" i="4" s="1"/>
  <c r="A65" i="4" s="1"/>
  <c r="A66" i="4" s="1"/>
  <c r="A67" i="4" s="1"/>
  <c r="A68" i="4" s="1"/>
  <c r="A69" i="4" s="1"/>
  <c r="A70" i="4" s="1"/>
  <c r="A71" i="4" s="1"/>
  <c r="A72" i="4" s="1"/>
  <c r="I62" i="17" l="1"/>
  <c r="R23" i="59"/>
  <c r="R32" i="59" s="1"/>
  <c r="R43" i="59" s="1"/>
  <c r="R47" i="59" s="1"/>
  <c r="E51" i="23"/>
  <c r="I107" i="17"/>
  <c r="E97" i="23" s="1"/>
  <c r="E104" i="23" s="1"/>
  <c r="G29" i="23"/>
  <c r="C16" i="68"/>
  <c r="C18" i="68" s="1"/>
  <c r="C27" i="68" s="1"/>
  <c r="E13" i="68"/>
  <c r="E16" i="68" s="1"/>
  <c r="E18" i="68" s="1"/>
  <c r="E27" i="68" s="1"/>
  <c r="E62" i="23"/>
  <c r="E63" i="23" s="1"/>
  <c r="I74" i="17"/>
  <c r="E39" i="23"/>
  <c r="E40" i="23" s="1"/>
  <c r="I39" i="17"/>
  <c r="I21" i="17"/>
  <c r="H28" i="17"/>
  <c r="D63" i="23"/>
  <c r="H27" i="12"/>
  <c r="H113" i="12" s="1"/>
  <c r="D28" i="23"/>
  <c r="D29" i="23" s="1"/>
  <c r="G27" i="12"/>
  <c r="I89" i="17"/>
  <c r="E90" i="23" s="1"/>
  <c r="P17" i="17"/>
  <c r="F14" i="17" s="1"/>
  <c r="G14" i="17" s="1"/>
  <c r="D91" i="23"/>
  <c r="G90" i="23"/>
  <c r="G91" i="23" s="1"/>
  <c r="N90" i="17"/>
  <c r="O90" i="17"/>
  <c r="A74" i="4"/>
  <c r="A75" i="4" s="1"/>
  <c r="A76" i="4" s="1"/>
  <c r="A77" i="4" s="1"/>
  <c r="A78" i="4" s="1"/>
  <c r="A79" i="4" s="1"/>
  <c r="A80" i="4" s="1"/>
  <c r="A81" i="4" s="1"/>
  <c r="A82" i="4" s="1"/>
  <c r="A83" i="4" s="1"/>
  <c r="A84" i="4" s="1"/>
  <c r="A85" i="4" s="1"/>
  <c r="A86" i="4" s="1"/>
  <c r="A87" i="4" s="1"/>
  <c r="A88" i="4" s="1"/>
  <c r="H49" i="59" l="1"/>
  <c r="R49" i="59"/>
  <c r="L49" i="59"/>
  <c r="I114" i="17"/>
  <c r="G106" i="23"/>
  <c r="F16" i="17"/>
  <c r="G16" i="17" s="1"/>
  <c r="I16" i="17" s="1"/>
  <c r="E17" i="23" s="1"/>
  <c r="E22" i="23"/>
  <c r="E29" i="23" s="1"/>
  <c r="I28" i="17"/>
  <c r="D106" i="23"/>
  <c r="F15" i="15"/>
  <c r="G113" i="12"/>
  <c r="P90" i="17"/>
  <c r="F86" i="17" s="1"/>
  <c r="G86" i="17" s="1"/>
  <c r="I86" i="17" s="1"/>
  <c r="E87" i="23" s="1"/>
  <c r="I14" i="17"/>
  <c r="A100" i="4"/>
  <c r="A101" i="4" s="1"/>
  <c r="A102" i="4" s="1"/>
  <c r="A103" i="4" s="1"/>
  <c r="A104" i="4" s="1"/>
  <c r="A105" i="4" s="1"/>
  <c r="A106" i="4" s="1"/>
  <c r="A107" i="4" s="1"/>
  <c r="A108" i="4" s="1"/>
  <c r="A109" i="4" s="1"/>
  <c r="A110" i="4" s="1"/>
  <c r="A111" i="4" s="1"/>
  <c r="A113" i="4" s="1"/>
  <c r="G38" i="19"/>
  <c r="I38" i="19" s="1"/>
  <c r="E39" i="47" s="1"/>
  <c r="G34" i="19"/>
  <c r="I34" i="19" s="1"/>
  <c r="E35" i="47" s="1"/>
  <c r="G35" i="19"/>
  <c r="I35" i="19" s="1"/>
  <c r="E36" i="47" s="1"/>
  <c r="G36" i="19"/>
  <c r="I36" i="19" s="1"/>
  <c r="E37" i="47" s="1"/>
  <c r="G32" i="19"/>
  <c r="G31" i="19"/>
  <c r="I31" i="19" s="1"/>
  <c r="E32" i="47" s="1"/>
  <c r="G37" i="19"/>
  <c r="I37" i="19" s="1"/>
  <c r="E38" i="47" s="1"/>
  <c r="G33" i="19"/>
  <c r="I33" i="19" s="1"/>
  <c r="E34" i="47" s="1"/>
  <c r="G17" i="17" l="1"/>
  <c r="G15" i="15"/>
  <c r="G27" i="15" s="1"/>
  <c r="D14" i="16" s="1"/>
  <c r="F13" i="68" s="1"/>
  <c r="G13" i="68" s="1"/>
  <c r="F27" i="15"/>
  <c r="F87" i="17"/>
  <c r="G87" i="17" s="1"/>
  <c r="I87" i="17" s="1"/>
  <c r="E88" i="23" s="1"/>
  <c r="F78" i="17"/>
  <c r="G78" i="17" s="1"/>
  <c r="I78" i="17" s="1"/>
  <c r="E79" i="23" s="1"/>
  <c r="F88" i="17"/>
  <c r="G88" i="17" s="1"/>
  <c r="I88" i="17" s="1"/>
  <c r="E89" i="23" s="1"/>
  <c r="F80" i="17"/>
  <c r="F81" i="17"/>
  <c r="F83" i="17"/>
  <c r="F79" i="17"/>
  <c r="G79" i="17" s="1"/>
  <c r="I79" i="17" s="1"/>
  <c r="E80" i="23" s="1"/>
  <c r="F77" i="17"/>
  <c r="G77" i="17" s="1"/>
  <c r="I77" i="17" s="1"/>
  <c r="F84" i="17"/>
  <c r="G84" i="17" s="1"/>
  <c r="I84" i="17" s="1"/>
  <c r="E85" i="23" s="1"/>
  <c r="F85" i="17"/>
  <c r="G85" i="17" s="1"/>
  <c r="I85" i="17" s="1"/>
  <c r="E86" i="23" s="1"/>
  <c r="G39" i="19"/>
  <c r="I17" i="17"/>
  <c r="E15" i="23"/>
  <c r="E18" i="23" s="1"/>
  <c r="I32" i="19"/>
  <c r="E33" i="47" s="1"/>
  <c r="E40" i="47" s="1"/>
  <c r="G89" i="19"/>
  <c r="I89" i="19" s="1"/>
  <c r="E90" i="47" s="1"/>
  <c r="G82" i="19"/>
  <c r="G80" i="17" l="1"/>
  <c r="E20" i="18"/>
  <c r="F20" i="18" s="1"/>
  <c r="G81" i="17"/>
  <c r="E21" i="18"/>
  <c r="F21" i="18" s="1"/>
  <c r="H81" i="17" s="1"/>
  <c r="G83" i="17"/>
  <c r="E23" i="18"/>
  <c r="F23" i="18" s="1"/>
  <c r="H83" i="17" s="1"/>
  <c r="I39" i="19"/>
  <c r="E78" i="23"/>
  <c r="I82" i="19"/>
  <c r="E83" i="47" s="1"/>
  <c r="M90" i="19"/>
  <c r="G66" i="19"/>
  <c r="I66" i="19" s="1"/>
  <c r="E55" i="47" s="1"/>
  <c r="G69" i="19"/>
  <c r="I69" i="19" s="1"/>
  <c r="E58" i="47" s="1"/>
  <c r="G72" i="19"/>
  <c r="I72" i="19" s="1"/>
  <c r="E61" i="47" s="1"/>
  <c r="G68" i="19"/>
  <c r="I68" i="19" s="1"/>
  <c r="E57" i="47" s="1"/>
  <c r="G71" i="19"/>
  <c r="I71" i="19" s="1"/>
  <c r="E60" i="47" s="1"/>
  <c r="G73" i="19"/>
  <c r="I73" i="19" s="1"/>
  <c r="E62" i="47" s="1"/>
  <c r="G70" i="19"/>
  <c r="I70" i="19" s="1"/>
  <c r="E59" i="47" s="1"/>
  <c r="G65" i="19"/>
  <c r="I65" i="19" s="1"/>
  <c r="E54" i="47" s="1"/>
  <c r="G67" i="19"/>
  <c r="I67" i="19" s="1"/>
  <c r="E56" i="47" s="1"/>
  <c r="F21" i="59" l="1"/>
  <c r="F23" i="59" s="1"/>
  <c r="F32" i="59" s="1"/>
  <c r="F43" i="59" s="1"/>
  <c r="F47" i="59" s="1"/>
  <c r="F49" i="59" s="1"/>
  <c r="G90" i="17"/>
  <c r="G116" i="17" s="1"/>
  <c r="H80" i="17"/>
  <c r="H90" i="17" s="1"/>
  <c r="H116" i="17" s="1"/>
  <c r="F29" i="18"/>
  <c r="J23" i="59"/>
  <c r="J32" i="59" s="1"/>
  <c r="J43" i="59" s="1"/>
  <c r="I81" i="17"/>
  <c r="E82" i="23" s="1"/>
  <c r="I83" i="17"/>
  <c r="E84" i="23" s="1"/>
  <c r="E63" i="47"/>
  <c r="O90" i="19"/>
  <c r="N90" i="19"/>
  <c r="G74" i="19"/>
  <c r="I74" i="19"/>
  <c r="G60" i="19"/>
  <c r="I60" i="19" s="1"/>
  <c r="E49" i="47" s="1"/>
  <c r="G59" i="19"/>
  <c r="I59" i="19" s="1"/>
  <c r="E48" i="47" s="1"/>
  <c r="G58" i="19"/>
  <c r="I58" i="19" s="1"/>
  <c r="E47" i="47" s="1"/>
  <c r="D21" i="59" l="1"/>
  <c r="P21" i="59" s="1"/>
  <c r="N21" i="59"/>
  <c r="I80" i="17"/>
  <c r="J45" i="59"/>
  <c r="N45" i="59" s="1"/>
  <c r="E51" i="47"/>
  <c r="P90" i="19"/>
  <c r="I62" i="19"/>
  <c r="G62" i="19"/>
  <c r="J47" i="59" l="1"/>
  <c r="J49" i="59" s="1"/>
  <c r="E81" i="23"/>
  <c r="E91" i="23" s="1"/>
  <c r="E106" i="23" s="1"/>
  <c r="I90" i="17"/>
  <c r="I116" i="17" s="1"/>
  <c r="D16" i="16" s="1"/>
  <c r="F85" i="19"/>
  <c r="G85" i="19" s="1"/>
  <c r="I85" i="19" s="1"/>
  <c r="E86" i="47" s="1"/>
  <c r="F81" i="19"/>
  <c r="F77" i="19"/>
  <c r="G77" i="19" s="1"/>
  <c r="F87" i="19"/>
  <c r="G87" i="19" s="1"/>
  <c r="I87" i="19" s="1"/>
  <c r="E88" i="47" s="1"/>
  <c r="F79" i="19"/>
  <c r="G79" i="19" s="1"/>
  <c r="I79" i="19" s="1"/>
  <c r="E80" i="47" s="1"/>
  <c r="F86" i="19"/>
  <c r="G86" i="19" s="1"/>
  <c r="I86" i="19" s="1"/>
  <c r="E87" i="47" s="1"/>
  <c r="F78" i="19"/>
  <c r="G78" i="19" s="1"/>
  <c r="I78" i="19" s="1"/>
  <c r="E79" i="47" s="1"/>
  <c r="F88" i="19"/>
  <c r="F84" i="19"/>
  <c r="G84" i="19" s="1"/>
  <c r="I84" i="19" s="1"/>
  <c r="E85" i="47" s="1"/>
  <c r="F80" i="19"/>
  <c r="F83" i="19"/>
  <c r="F15" i="68" l="1"/>
  <c r="D17" i="16"/>
  <c r="G81" i="19"/>
  <c r="E51" i="18"/>
  <c r="F51" i="18" s="1"/>
  <c r="H81" i="19" s="1"/>
  <c r="G80" i="19"/>
  <c r="E50" i="18"/>
  <c r="F50" i="18" s="1"/>
  <c r="G83" i="19"/>
  <c r="E53" i="18"/>
  <c r="F53" i="18" s="1"/>
  <c r="H83" i="19" s="1"/>
  <c r="G88" i="19"/>
  <c r="I77" i="19"/>
  <c r="E78" i="47" s="1"/>
  <c r="G112" i="19"/>
  <c r="I112" i="19" s="1"/>
  <c r="E102" i="47" s="1"/>
  <c r="G105" i="19"/>
  <c r="I105" i="19" s="1"/>
  <c r="E95" i="47" s="1"/>
  <c r="G108" i="19"/>
  <c r="I108" i="19" s="1"/>
  <c r="E98" i="47" s="1"/>
  <c r="G107" i="19"/>
  <c r="I107" i="19" s="1"/>
  <c r="E97" i="47" s="1"/>
  <c r="G106" i="19"/>
  <c r="I106" i="19" s="1"/>
  <c r="E96" i="47" s="1"/>
  <c r="G109" i="19"/>
  <c r="I109" i="19" s="1"/>
  <c r="E99" i="47" s="1"/>
  <c r="G113" i="19"/>
  <c r="I113" i="19" s="1"/>
  <c r="E103" i="47" s="1"/>
  <c r="G111" i="19"/>
  <c r="I111" i="19" s="1"/>
  <c r="E101" i="47" s="1"/>
  <c r="G104" i="19"/>
  <c r="I104" i="19" s="1"/>
  <c r="E94" i="47" s="1"/>
  <c r="H80" i="19" l="1"/>
  <c r="I80" i="19" s="1"/>
  <c r="E81" i="47" s="1"/>
  <c r="F21" i="58"/>
  <c r="G90" i="19"/>
  <c r="G15" i="68"/>
  <c r="F16" i="68"/>
  <c r="G16" i="68" s="1"/>
  <c r="I83" i="19"/>
  <c r="E84" i="47" s="1"/>
  <c r="I81" i="19"/>
  <c r="E82" i="47" s="1"/>
  <c r="L23" i="58"/>
  <c r="L32" i="58" s="1"/>
  <c r="L43" i="58" s="1"/>
  <c r="H88" i="19"/>
  <c r="F59" i="18"/>
  <c r="E104" i="47"/>
  <c r="I114" i="19"/>
  <c r="G114" i="19"/>
  <c r="J22" i="20"/>
  <c r="D18" i="16" s="1"/>
  <c r="H22" i="20"/>
  <c r="D18" i="59" s="1"/>
  <c r="H90" i="19" l="1"/>
  <c r="H116" i="19" s="1"/>
  <c r="G116" i="19"/>
  <c r="D19" i="16"/>
  <c r="D28" i="16" s="1"/>
  <c r="F17" i="68"/>
  <c r="L47" i="58"/>
  <c r="N45" i="58"/>
  <c r="D23" i="59"/>
  <c r="D32" i="59" s="1"/>
  <c r="D43" i="59" s="1"/>
  <c r="D47" i="59" s="1"/>
  <c r="D49" i="59" s="1"/>
  <c r="P18" i="59"/>
  <c r="P23" i="59" s="1"/>
  <c r="P32" i="59" s="1"/>
  <c r="P43" i="59" s="1"/>
  <c r="P47" i="59" s="1"/>
  <c r="P49" i="59" s="1"/>
  <c r="N18" i="59"/>
  <c r="N23" i="59" s="1"/>
  <c r="N32" i="59" s="1"/>
  <c r="N43" i="59" s="1"/>
  <c r="I88" i="19"/>
  <c r="D21" i="58" l="1"/>
  <c r="P21" i="58" s="1"/>
  <c r="N47" i="59"/>
  <c r="N49" i="59" s="1"/>
  <c r="F29" i="68"/>
  <c r="N21" i="58"/>
  <c r="G17" i="68"/>
  <c r="F18" i="68"/>
  <c r="E89" i="47"/>
  <c r="E91" i="47" s="1"/>
  <c r="E106" i="47" s="1"/>
  <c r="I90" i="19"/>
  <c r="I116" i="19" s="1"/>
  <c r="F16" i="16" s="1"/>
  <c r="H47" i="20"/>
  <c r="D18" i="58" s="1"/>
  <c r="G39" i="20"/>
  <c r="D30" i="40" s="1"/>
  <c r="E30" i="40" s="1"/>
  <c r="F18" i="58" s="1"/>
  <c r="G18" i="68" l="1"/>
  <c r="F27" i="68"/>
  <c r="G27" i="68" s="1"/>
  <c r="F17" i="16"/>
  <c r="F15" i="67"/>
  <c r="P18" i="58"/>
  <c r="P23" i="58" s="1"/>
  <c r="P32" i="58" s="1"/>
  <c r="D23" i="58"/>
  <c r="D32" i="58" s="1"/>
  <c r="N18" i="58"/>
  <c r="N23" i="58" s="1"/>
  <c r="N32" i="58" s="1"/>
  <c r="F23" i="58"/>
  <c r="F32" i="58" s="1"/>
  <c r="F43" i="58" s="1"/>
  <c r="F47" i="58" s="1"/>
  <c r="I39" i="20"/>
  <c r="I47" i="20" s="1"/>
  <c r="E35" i="40"/>
  <c r="G15" i="67" l="1"/>
  <c r="F16" i="67"/>
  <c r="J39" i="20"/>
  <c r="J47" i="20" s="1"/>
  <c r="F18" i="16" s="1"/>
  <c r="F19" i="16" l="1"/>
  <c r="F17" i="67"/>
  <c r="G17" i="67" s="1"/>
  <c r="G16" i="67"/>
  <c r="P35" i="58"/>
  <c r="P36" i="58"/>
  <c r="P37" i="58"/>
  <c r="R43" i="58"/>
  <c r="F18" i="67" l="1"/>
  <c r="G18" i="67" s="1"/>
  <c r="R47" i="58"/>
  <c r="R49" i="58" l="1"/>
  <c r="H49" i="58"/>
  <c r="J49" i="58"/>
  <c r="L49" i="58"/>
  <c r="F49" i="58"/>
  <c r="Q17" i="79" l="1"/>
  <c r="Q16" i="79" l="1"/>
  <c r="Q54" i="79" l="1"/>
  <c r="Q24" i="79"/>
  <c r="Q27" i="79" s="1"/>
  <c r="Q45" i="79" l="1"/>
  <c r="Q43" i="79"/>
  <c r="Q44" i="79" l="1"/>
  <c r="Q46" i="79" s="1"/>
  <c r="Q37" i="79" l="1"/>
  <c r="Q38" i="79"/>
  <c r="Q39" i="79"/>
  <c r="Q60" i="79"/>
  <c r="Q62" i="79"/>
  <c r="Q64" i="79"/>
  <c r="Q40" i="79" l="1"/>
  <c r="Q66" i="79" s="1"/>
  <c r="Q74" i="79" s="1"/>
  <c r="Q78" i="79" s="1"/>
  <c r="Q82" i="79" l="1"/>
  <c r="G47" i="25" s="1"/>
  <c r="D38" i="58"/>
  <c r="N38" i="58" l="1"/>
  <c r="N41" i="58" s="1"/>
  <c r="N43" i="58" s="1"/>
  <c r="D41" i="58"/>
  <c r="D43" i="58" s="1"/>
  <c r="D47" i="58" s="1"/>
  <c r="D49" i="58" s="1"/>
  <c r="P38" i="58"/>
  <c r="P41" i="58" s="1"/>
  <c r="P43" i="58" s="1"/>
  <c r="P47" i="58" s="1"/>
  <c r="P49" i="58" s="1"/>
  <c r="F21" i="16"/>
  <c r="F47" i="25"/>
  <c r="G49" i="25"/>
  <c r="F20" i="67" l="1"/>
  <c r="F28" i="16"/>
  <c r="N47" i="58"/>
  <c r="N49" i="58" s="1"/>
  <c r="F29" i="67"/>
  <c r="G20" i="67" l="1"/>
  <c r="F27" i="67"/>
  <c r="G27" i="67" s="1"/>
</calcChain>
</file>

<file path=xl/sharedStrings.xml><?xml version="1.0" encoding="utf-8"?>
<sst xmlns="http://schemas.openxmlformats.org/spreadsheetml/2006/main" count="35061" uniqueCount="3422">
  <si>
    <t>KENTUCKY UTILITIES COMPANY</t>
  </si>
  <si>
    <t>KENTUCKY - TOTAL PLANT IN SERVICE - ELECTRIC - NBV - REGULATORY ACCOUNTING</t>
  </si>
  <si>
    <t>Beginning</t>
  </si>
  <si>
    <t>Transfers/</t>
  </si>
  <si>
    <t>Ending</t>
  </si>
  <si>
    <t>Total Plant in Service</t>
  </si>
  <si>
    <t>Balance</t>
  </si>
  <si>
    <t>Additions</t>
  </si>
  <si>
    <t>Retirements</t>
  </si>
  <si>
    <t>Adjustments</t>
  </si>
  <si>
    <t>Net Additions</t>
  </si>
  <si>
    <t>Reserve</t>
  </si>
  <si>
    <t>Net Book Value</t>
  </si>
  <si>
    <t>Difference</t>
  </si>
  <si>
    <t>TOTAL 101 &amp; 106</t>
  </si>
  <si>
    <t>Plant in Service</t>
  </si>
  <si>
    <t>Electric Distribution</t>
  </si>
  <si>
    <t>KY</t>
  </si>
  <si>
    <t>E360.20-Land</t>
  </si>
  <si>
    <t>E361.00-Structures and Improvements</t>
  </si>
  <si>
    <t>E362.00-Station Equipment</t>
  </si>
  <si>
    <t>E364.00-Poles, Towers, and Fixtures</t>
  </si>
  <si>
    <t>E365.00-OH Conductors and Devices</t>
  </si>
  <si>
    <t>E366.00-Underground Conduit</t>
  </si>
  <si>
    <t>E367.00-UG Conductors and Devices</t>
  </si>
  <si>
    <t>E368.00-Line Transformers</t>
  </si>
  <si>
    <t>E369.00-Services</t>
  </si>
  <si>
    <t>E370.00-Meters</t>
  </si>
  <si>
    <t>E371.00-Install on Customer Premise</t>
  </si>
  <si>
    <t>E373.00-Street Lighting / Signal Sy</t>
  </si>
  <si>
    <t>E374.05-ARO Cost Elec Dist (L/B)</t>
  </si>
  <si>
    <t>E374.07-ARO Cost Elec Dist (Eqp)</t>
  </si>
  <si>
    <t>Electric General Plant</t>
  </si>
  <si>
    <t>E389.20-Land</t>
  </si>
  <si>
    <t>E390.10-Structures and Improvements</t>
  </si>
  <si>
    <t>E390.20-Improvements to Leased Property</t>
  </si>
  <si>
    <t>E391.10-Office Equipment</t>
  </si>
  <si>
    <t>E391.20-Non PC Computer Equipment</t>
  </si>
  <si>
    <t>E391.30-Cash Processing Equipment</t>
  </si>
  <si>
    <t>E391.31-Personal Computers</t>
  </si>
  <si>
    <t>E392.00-Cars and Light Trucks</t>
  </si>
  <si>
    <t>E392.10-Heavy Trucks and Other</t>
  </si>
  <si>
    <t>E393.00-Stores Equipment</t>
  </si>
  <si>
    <t>E394.00-Tools, Shop, and Garage Equ</t>
  </si>
  <si>
    <t>E395.00-Laboratory Equipment</t>
  </si>
  <si>
    <t>E397.20-DSM Communication Equipment</t>
  </si>
  <si>
    <t>E398.00-Miscellaneous Equipment</t>
  </si>
  <si>
    <t>Electric Hydro Production</t>
  </si>
  <si>
    <t>E330.10-Land Rights</t>
  </si>
  <si>
    <t>E331.00-Structures and Improvements</t>
  </si>
  <si>
    <t>E332.00-Reservoirs, Dams, and Water</t>
  </si>
  <si>
    <t>E333.00-Water Wheels, Turbines, Gen</t>
  </si>
  <si>
    <t>E334.00-Accessory Electric Equipmen</t>
  </si>
  <si>
    <t>E335.00-Misc Power Plant Equipment</t>
  </si>
  <si>
    <t>E336.00-Roads, Railroads, and Bridg</t>
  </si>
  <si>
    <t>E337.07-ARO Cost Hydro Prod (Eqp)</t>
  </si>
  <si>
    <t>Electric Intangible Plant</t>
  </si>
  <si>
    <t>E301.00-Organization</t>
  </si>
  <si>
    <t>E302.00-Franchises and Consents</t>
  </si>
  <si>
    <t>E303.00-Misc Intangible Plant</t>
  </si>
  <si>
    <t>E303.10-CCS Software</t>
  </si>
  <si>
    <t>Electric Other Production</t>
  </si>
  <si>
    <t>E340.20-Land</t>
  </si>
  <si>
    <t>E341.00-Structures and Improvements</t>
  </si>
  <si>
    <t>E342.00-Fuel Holders, Producers, Ac</t>
  </si>
  <si>
    <t>E342.01-AROP Fuel Holders, Prod, Ac</t>
  </si>
  <si>
    <t>E343.00-Prime Movers</t>
  </si>
  <si>
    <t>E344.00-Generators</t>
  </si>
  <si>
    <t>E345.00-Accessory Electric Equipmen</t>
  </si>
  <si>
    <t>E345.01-AROP Accessory Electric Equipmen</t>
  </si>
  <si>
    <t>E346.00-Misc Power Plant Equipment</t>
  </si>
  <si>
    <t>E347.07-ARO Cost Other Prod (Eqp)</t>
  </si>
  <si>
    <t>Electric Steam Production</t>
  </si>
  <si>
    <t>E310.20-Land</t>
  </si>
  <si>
    <t>E311.00-Structures and Improvements</t>
  </si>
  <si>
    <t xml:space="preserve">E311.01-AROP Structures and Improv </t>
  </si>
  <si>
    <t>E312.00-Boiler Plant Equipment</t>
  </si>
  <si>
    <t>E312.01-AROP Boiler Plant Equipment</t>
  </si>
  <si>
    <t>E314.00-Turbogenerator Units</t>
  </si>
  <si>
    <t>E314.01-AROP Turbogenerator Units</t>
  </si>
  <si>
    <t>E315.00-Accessory Electric Equipmen</t>
  </si>
  <si>
    <t>E315.01-AROP Accessory Electric Equipmen</t>
  </si>
  <si>
    <t>E316.00-Misc Power Plant Equip</t>
  </si>
  <si>
    <t>E317.07-ARO Cost Steam (Eqp)</t>
  </si>
  <si>
    <t>Electric Transmission</t>
  </si>
  <si>
    <t>E350.10-Land Rights</t>
  </si>
  <si>
    <t>E350.20-Land</t>
  </si>
  <si>
    <t>E352.10-Struct &amp; Imp-Non Sys Contro</t>
  </si>
  <si>
    <t>E352.20-Struct &amp; Imp-Sys Control/Co</t>
  </si>
  <si>
    <t>E353.10-Station Equipment - Non Sys</t>
  </si>
  <si>
    <t>E353.11-AROP Station Equip Non Sys</t>
  </si>
  <si>
    <t>E353.20-Station Equip-Sys Control</t>
  </si>
  <si>
    <t>E354.00-Towers and Fixtures</t>
  </si>
  <si>
    <t>E355.00-Poles and Fixtures</t>
  </si>
  <si>
    <t>E356.00-OH Conductors and Devices</t>
  </si>
  <si>
    <t>E357.00-Underground Conduit</t>
  </si>
  <si>
    <t>E358.00-UG Conductors and Devices</t>
  </si>
  <si>
    <t>E359.15-ARO Cost Transm (L/B)</t>
  </si>
  <si>
    <t>E359.17-ARO Cost Transm (Eqp)</t>
  </si>
  <si>
    <t>Total Plant in Service - KY</t>
  </si>
  <si>
    <t>VIRGINIA - TOTAL PLANT IN SERVICE - ELECTRIC - NBV - REGULATORY ACCOUNTING</t>
  </si>
  <si>
    <t>VA</t>
  </si>
  <si>
    <t>E360.10-Land Rights</t>
  </si>
  <si>
    <t>E390.20-Structures and Improvements</t>
  </si>
  <si>
    <t>E391.20-Non PC Computer Equipmen</t>
  </si>
  <si>
    <t>E358.00-Underground Conductors a</t>
  </si>
  <si>
    <t>Total Plant in Service - Electric - VA</t>
  </si>
  <si>
    <t>TENNESSEE - TOTAL PLANT IN SERVICE - ELECTRIC - NBV - REGULATORY ACCOUNTING</t>
  </si>
  <si>
    <t>TN</t>
  </si>
  <si>
    <t>E367.00-Underground Conductors a</t>
  </si>
  <si>
    <t>Total Plant in Service - Electric - TN</t>
  </si>
  <si>
    <t>PLANT HELD FOR FUTURE USE - REGULATORY ACCOUNTING</t>
  </si>
  <si>
    <t>105 Plant Held for Future Use</t>
  </si>
  <si>
    <t>Steam Production</t>
  </si>
  <si>
    <t>E315.00-Accessory Electric Equip</t>
  </si>
  <si>
    <t xml:space="preserve">Total Plant Held for Future Use </t>
  </si>
  <si>
    <t>ELECTRIC PLANT - PURCHASED OR SOLD - REGULATORY ACCOUNTING</t>
  </si>
  <si>
    <t>102 Electric Plant - Purchased or Sold</t>
  </si>
  <si>
    <t>E310.20-Structures and Improvements</t>
  </si>
  <si>
    <t>Total Electric Plant - Purchased or Sold</t>
  </si>
  <si>
    <t>Rate Case Constants</t>
  </si>
  <si>
    <t>Rate Case Constants:</t>
  </si>
  <si>
    <t>Company:</t>
  </si>
  <si>
    <t>PSC Case Number:</t>
  </si>
  <si>
    <t>Base Year:</t>
  </si>
  <si>
    <t>Forecasted Test Year:</t>
  </si>
  <si>
    <t>Types of Filing:</t>
  </si>
  <si>
    <t>Original:</t>
  </si>
  <si>
    <t>Updated:</t>
  </si>
  <si>
    <t>Revised:</t>
  </si>
  <si>
    <t>WITNESS:</t>
  </si>
  <si>
    <t>LINE NO.</t>
  </si>
  <si>
    <t>GROSS ADDITIONS, RETIREMENTS, AND TRANSFERS</t>
  </si>
  <si>
    <t>DATA:__X__BASE  PERIOD____FORECASTED  PERIOD</t>
  </si>
  <si>
    <t>ACCT. NO.</t>
  </si>
  <si>
    <t>ACCOUNT TITLE</t>
  </si>
  <si>
    <t>BASE PERIOD BEGINNING BALANCE</t>
  </si>
  <si>
    <t>ADDITIONS</t>
  </si>
  <si>
    <t>RETIREMENTS</t>
  </si>
  <si>
    <t>SCHEDULE B-2.3</t>
  </si>
  <si>
    <t>TRANSFERS</t>
  </si>
  <si>
    <t>BASE PERIOD ENDING BALANCE</t>
  </si>
  <si>
    <t>$</t>
  </si>
  <si>
    <t>Total Intangible Plant</t>
  </si>
  <si>
    <t>Engines and engine-driven generators</t>
  </si>
  <si>
    <t>Total Electric Other Production</t>
  </si>
  <si>
    <t>Total Electric Steam Production</t>
  </si>
  <si>
    <t>Total Electric Hydro Production</t>
  </si>
  <si>
    <t>Structures and Improvements</t>
  </si>
  <si>
    <t xml:space="preserve">Station Equipment </t>
  </si>
  <si>
    <t>Total Electric Transmission</t>
  </si>
  <si>
    <t>ARO Cost Elec Distribution</t>
  </si>
  <si>
    <t>ARO Cost Elec Transmission</t>
  </si>
  <si>
    <t>Total Electric Distribution</t>
  </si>
  <si>
    <t>Land and Land Rights</t>
  </si>
  <si>
    <t>Transportation Equipment</t>
  </si>
  <si>
    <t>Office Furniture and Equipment</t>
  </si>
  <si>
    <t>Communication Equipment</t>
  </si>
  <si>
    <t>Total Electric General Plant</t>
  </si>
  <si>
    <t>TOTAL ELECTRIC PLANT IN SERVICE</t>
  </si>
  <si>
    <t xml:space="preserve"> </t>
  </si>
  <si>
    <t>DATA:____BASE  PERIOD__X__FORECASTED  PERIOD</t>
  </si>
  <si>
    <t>FORECAST PERIOD BEGINNING BALANCE</t>
  </si>
  <si>
    <t>FORECAST PERIOD     ENDING BALANCE</t>
  </si>
  <si>
    <t>FORECAST PERIOD            13 MONTH AVERAGE</t>
  </si>
  <si>
    <r>
      <t>TYPE OF FILING: __</t>
    </r>
    <r>
      <rPr>
        <u/>
        <sz val="10"/>
        <rFont val="Arial"/>
        <family val="2"/>
      </rPr>
      <t>X__</t>
    </r>
    <r>
      <rPr>
        <sz val="10"/>
        <rFont val="Arial"/>
        <family val="2"/>
      </rPr>
      <t xml:space="preserve"> ORIGINAL  _____ UPDATED  _____ REVISED</t>
    </r>
  </si>
  <si>
    <r>
      <t>TYPE OF FILING: ___</t>
    </r>
    <r>
      <rPr>
        <u/>
        <sz val="10"/>
        <rFont val="Arial"/>
        <family val="2"/>
      </rPr>
      <t>__</t>
    </r>
    <r>
      <rPr>
        <sz val="10"/>
        <rFont val="Arial"/>
        <family val="2"/>
      </rPr>
      <t xml:space="preserve"> ORIGINAL  __X__ UPDATED  _____ REVISED</t>
    </r>
  </si>
  <si>
    <r>
      <t>TYPE OF FILING: ___</t>
    </r>
    <r>
      <rPr>
        <u/>
        <sz val="10"/>
        <rFont val="Arial"/>
        <family val="2"/>
      </rPr>
      <t>__</t>
    </r>
    <r>
      <rPr>
        <sz val="10"/>
        <rFont val="Arial"/>
        <family val="2"/>
      </rPr>
      <t xml:space="preserve"> ORIGINAL  _____ UPDATED  __X__ REVISED</t>
    </r>
  </si>
  <si>
    <t>PAGE 4 OF 6</t>
  </si>
  <si>
    <t>PAGE 5 OF 6</t>
  </si>
  <si>
    <t>PAGE 6 OF 6</t>
  </si>
  <si>
    <t>PAGE 3 OF 6</t>
  </si>
  <si>
    <t>PAGE 2 OF 6</t>
  </si>
  <si>
    <t>PAGE 1 OF 6</t>
  </si>
  <si>
    <t>DATA:__X__BASE  PERIOD__X__FORECASTED  PERIOD</t>
  </si>
  <si>
    <t>SCHEDULE B-2.4</t>
  </si>
  <si>
    <t>PAGE 1 OF 1</t>
  </si>
  <si>
    <t>PAGE 1 OF 2</t>
  </si>
  <si>
    <t>DESCRIPTION OF PROPERTY</t>
  </si>
  <si>
    <t>PROPERTY MERGED OR ACQUIRED</t>
  </si>
  <si>
    <t>COST BASIS</t>
  </si>
  <si>
    <t>ACQUISITION ADJUSTMENT</t>
  </si>
  <si>
    <t>COMMISSION APPROVAL DATE (DOCKET NO.)</t>
  </si>
  <si>
    <t>DATE OF ACQUISITION</t>
  </si>
  <si>
    <t>EXPLANATION OF TREATMENT</t>
  </si>
  <si>
    <t>PAGE 2 OF 2</t>
  </si>
  <si>
    <t>LEASED PROPERTY</t>
  </si>
  <si>
    <t>SCHEDULE B-2.5</t>
  </si>
  <si>
    <t>IDENTIFICATION OR REFERENCE NUMBER</t>
  </si>
  <si>
    <t>DESCRIPTION OF TYPE AND USE OF PROPERTY</t>
  </si>
  <si>
    <t>NAME OF LESSEE</t>
  </si>
  <si>
    <t>FREQUENCY OF PAYMENT</t>
  </si>
  <si>
    <t>AMOUNT OF LEASE PAYMENT</t>
  </si>
  <si>
    <t>DOLLAR VALUE OF PROPERTY INVOLVED</t>
  </si>
  <si>
    <t>EXPLANATION METHOD OF CAPITALIZATION</t>
  </si>
  <si>
    <t>PROPERTY HELD FOR FUTURE USE INCLUDED IN RATE BASE</t>
  </si>
  <si>
    <t>SCHEDULE B-2.6</t>
  </si>
  <si>
    <t>DESCRIPTION AND LOCATION OF PROPERTY</t>
  </si>
  <si>
    <t>ACQUISTION DATE</t>
  </si>
  <si>
    <t>ORIGINAL COST</t>
  </si>
  <si>
    <t>ACCUMULATED DEPRECIATION</t>
  </si>
  <si>
    <t>NET ORIGINAL COST</t>
  </si>
  <si>
    <t>AMOUNT</t>
  </si>
  <si>
    <t>ACCT NO.</t>
  </si>
  <si>
    <t>REVENUE REALIZED</t>
  </si>
  <si>
    <t>DESCRIPTION</t>
  </si>
  <si>
    <t>EXPENSES INCURRED</t>
  </si>
  <si>
    <t>SCHEDULE B-2.7</t>
  </si>
  <si>
    <t>PROPERTY EXCLUDED FROM RATE BASE</t>
  </si>
  <si>
    <t>(FOR REASONS OTHER THAN JURISDICTIONAL ALLOCATION)</t>
  </si>
  <si>
    <t>IN-SERVICE DATE</t>
  </si>
  <si>
    <t>PERIOD REVENUE AND EXPENSE</t>
  </si>
  <si>
    <t>REASONS FOR EXCLUSION</t>
  </si>
  <si>
    <t>ACCOUNT TITLE OR DESCRIPTION OF EXCLUDED PROPERTY</t>
  </si>
  <si>
    <t>SCHEDULE B-2.2</t>
  </si>
  <si>
    <t>PROPOSED ADJUSTMENTS TO PLANT IN SERVICE</t>
  </si>
  <si>
    <t>TOTAL COMPANY ADJUSTMENT</t>
  </si>
  <si>
    <t>JURISDICTIONAL PERCENT</t>
  </si>
  <si>
    <t>JURISDICTIONAL ADJUSTMENTS</t>
  </si>
  <si>
    <t>WORKPAPER REFERENCE NO.</t>
  </si>
  <si>
    <t>DESCRIPTION AND PURPOSE OF ADJUSTMENT</t>
  </si>
  <si>
    <t>PLANT IN SERVICE BY ACCOUNTS AND SUBACCOUNTS</t>
  </si>
  <si>
    <t>ACCOUNT / SUBACCOUNT TITLES</t>
  </si>
  <si>
    <t>BASE PERIOD TOTAL COMPANY</t>
  </si>
  <si>
    <t>JURIS. PERCENT</t>
  </si>
  <si>
    <t>JURISDICTIONAL TOTAL</t>
  </si>
  <si>
    <t>ADJUSTMENTS</t>
  </si>
  <si>
    <t>ADJUSTED JURISDICTION</t>
  </si>
  <si>
    <t>SCHEDULE B-2.1</t>
  </si>
  <si>
    <t xml:space="preserve">         KENTUCKY UTILITIES COMPANY</t>
  </si>
  <si>
    <t xml:space="preserve">     ELECTRIC COST OF SERVICE STUDY</t>
  </si>
  <si>
    <t xml:space="preserve">          JURISDICTIONAL SEPARATION</t>
  </si>
  <si>
    <t>RATE BASE: END OF YEAR</t>
  </si>
  <si>
    <t>ALLOCATION METHOD: AVG 12 CP (COMBINED CO SYS)</t>
  </si>
  <si>
    <t>TOTAL</t>
  </si>
  <si>
    <t>KENTUCKY</t>
  </si>
  <si>
    <t>VIRGINIA</t>
  </si>
  <si>
    <t>FERC &amp;</t>
  </si>
  <si>
    <t>TENNESSEE</t>
  </si>
  <si>
    <t>STATE</t>
  </si>
  <si>
    <t>FERC</t>
  </si>
  <si>
    <t>ALLOC</t>
  </si>
  <si>
    <t>UTILITIES</t>
  </si>
  <si>
    <t>JURISDICTION</t>
  </si>
  <si>
    <t>PRIMARY</t>
  </si>
  <si>
    <t>TRANSMISSION</t>
  </si>
  <si>
    <t>(1)</t>
  </si>
  <si>
    <t>(2)</t>
  </si>
  <si>
    <t>(6)</t>
  </si>
  <si>
    <t>(7)</t>
  </si>
  <si>
    <t>(8)</t>
  </si>
  <si>
    <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</si>
  <si>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</si>
  <si>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</si>
  <si>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</si>
  <si>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</si>
  <si>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</si>
  <si>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</si>
  <si>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</si>
  <si>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</si>
  <si>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MATERIALS &amp; SUPPLIES</t>
  </si>
  <si>
    <t xml:space="preserve">    FUEL INVENTORY</t>
  </si>
  <si>
    <t xml:space="preserve">    PREPAYMENTS</t>
  </si>
  <si>
    <t xml:space="preserve">    WORKING CASH</t>
  </si>
  <si>
    <t xml:space="preserve">    EMISSION ALLOWANCES</t>
  </si>
  <si>
    <t xml:space="preserve">     TOTAL ADDITIONS</t>
  </si>
  <si>
    <t>DEDUCT:</t>
  </si>
  <si>
    <t xml:space="preserve">    RESERVE FOR DEF TAXES</t>
  </si>
  <si>
    <t xml:space="preserve">    RESERVE FOR ITC</t>
  </si>
  <si>
    <t xml:space="preserve">    CUSTOMER ADVANCES</t>
  </si>
  <si>
    <t xml:space="preserve">    CUSTOMER DEPOSITS-VIRGINIA</t>
  </si>
  <si>
    <t xml:space="preserve">    DEFERRED FUEL-VIRGINIA</t>
  </si>
  <si>
    <t xml:space="preserve">    OPEB UNFUNDED-VIRGINIA</t>
  </si>
  <si>
    <t xml:space="preserve">    WORKMANS COMPENSATION-FERC</t>
  </si>
  <si>
    <t xml:space="preserve">    VESTED VACATION-FERC</t>
  </si>
  <si>
    <t xml:space="preserve">    MEDICAL AND DENTAL RESERVE-FERC</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</si>
  <si>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</si>
  <si>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</si>
  <si>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</si>
  <si>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</si>
  <si>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</si>
  <si>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</si>
  <si>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</si>
  <si>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</si>
  <si>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</si>
  <si>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(GAIN) / LOSS DISPOSITION ALLOWANCES</t>
  </si>
  <si>
    <t xml:space="preserve">    (GAIN) / LOSS DISPOSITION PROPERTY-VA</t>
  </si>
  <si>
    <t xml:space="preserve">    CHARITABLE CONTRIBUTIONS-VA</t>
  </si>
  <si>
    <t xml:space="preserve">    INTEREST ON CUSTOMER DEPOSITS-VA</t>
  </si>
  <si>
    <t xml:space="preserve">    ACCRETION EXPENSE</t>
  </si>
  <si>
    <t xml:space="preserve">     TOTAL OPERATING EXPENSES</t>
  </si>
  <si>
    <t>RETURN</t>
  </si>
  <si>
    <t>RATE OF RETURN</t>
  </si>
  <si>
    <t>ELECTRIC PLANT IN SERVICE</t>
  </si>
  <si>
    <t>INTANGIBLE PLANT</t>
  </si>
  <si>
    <t xml:space="preserve"> 301-ORGANIZATION</t>
  </si>
  <si>
    <t>PTDGPLT</t>
  </si>
  <si>
    <t xml:space="preserve"> 302-FRANCHISE</t>
  </si>
  <si>
    <t>KURETPLT</t>
  </si>
  <si>
    <t xml:space="preserve"> 303-SOFTWARE</t>
  </si>
  <si>
    <t>TOTAL INTANGIBLE PLANT</t>
  </si>
  <si>
    <t>PRODUCTION PLANT</t>
  </si>
  <si>
    <t>STEAM PRODUCTION PLANT</t>
  </si>
  <si>
    <t xml:space="preserve"> 310-LAND</t>
  </si>
  <si>
    <t>DEMPROD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</si>
  <si>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</si>
  <si>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</si>
  <si>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</si>
  <si>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</si>
  <si>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</si>
  <si>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</si>
  <si>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</si>
  <si>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DEMFERC</t>
  </si>
  <si>
    <t xml:space="preserve"> FERC-AFUDC POST</t>
  </si>
  <si>
    <t>DEMFERCP</t>
  </si>
  <si>
    <t>TOTAL STEAM PROD PLANT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</si>
  <si>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</si>
  <si>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</si>
  <si>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</si>
  <si>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</si>
  <si>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</si>
  <si>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</si>
  <si>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</si>
  <si>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</si>
  <si>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</si>
  <si>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 xml:space="preserve"> TOTAL HYDRAULIC PROD PLANT</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</si>
  <si>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</si>
  <si>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</si>
  <si>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</si>
  <si>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</si>
  <si>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</si>
  <si>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</si>
  <si>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</si>
  <si>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</si>
  <si>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</si>
  <si>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 xml:space="preserve"> TOTAL OTHER PROD PLANT</t>
  </si>
  <si>
    <t>TOTAL PRODUCTION PLANT</t>
  </si>
  <si>
    <t>ELECTRIC PLANT IN SERVICE CON'T</t>
  </si>
  <si>
    <t>TRANSMISSION PLANT</t>
  </si>
  <si>
    <t>KENTUCKY SYSTEM PROPERTY</t>
  </si>
  <si>
    <t xml:space="preserve"> 350-LAND &amp; LAND RIGHTS</t>
  </si>
  <si>
    <t>DEMTRANNF</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</si>
  <si>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</si>
  <si>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</si>
  <si>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</si>
  <si>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</si>
  <si>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</si>
  <si>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</si>
  <si>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</si>
  <si>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</si>
  <si>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</si>
  <si>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</si>
  <si>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DEMVA</t>
  </si>
  <si>
    <t>TOTAL VIRGINIA PROPERTY</t>
  </si>
  <si>
    <t>VIRGINIA PROPERTY-500 KV LINE</t>
  </si>
  <si>
    <t>DEMTRANNVF</t>
  </si>
  <si>
    <t>TOTAL VIRGINIA PROPERTY-500 KV LINE</t>
  </si>
  <si>
    <t>TOTAL TRANSMISSION PLANT</t>
  </si>
  <si>
    <t>DISTRIBUTION PLANT</t>
  </si>
  <si>
    <t xml:space="preserve"> KENTUCKY DISTRIBUTION PLANT</t>
  </si>
  <si>
    <t xml:space="preserve"> 360-LAND &amp; LAND RIGHTS</t>
  </si>
  <si>
    <t>DEM360K</t>
  </si>
  <si>
    <t xml:space="preserve"> 361-STRUCTURES AND IMPROVEMENTS</t>
  </si>
  <si>
    <t>DEM361K</t>
  </si>
  <si>
    <t xml:space="preserve"> 362-STATION EQUIPMENT</t>
  </si>
  <si>
    <t>DEM362K</t>
  </si>
  <si>
    <t xml:space="preserve"> 364-POLES, TOWERS, AND FIXTURES</t>
  </si>
  <si>
    <t>DEM364K</t>
  </si>
  <si>
    <t xml:space="preserve"> 365-OH CONDUCTORS AND DEVICES</t>
  </si>
  <si>
    <t>DEM365K</t>
  </si>
  <si>
    <t xml:space="preserve"> 366-UNDERGROUND CONDUIT</t>
  </si>
  <si>
    <t>DEM366K</t>
  </si>
  <si>
    <t xml:space="preserve"> 367-UG CONDUCTORS AND DEVICES</t>
  </si>
  <si>
    <t>DEM367K</t>
  </si>
  <si>
    <t xml:space="preserve"> 368-LINE TRANSFORMERS</t>
  </si>
  <si>
    <t xml:space="preserve">    POWER POOL</t>
  </si>
  <si>
    <t>DPRODKY</t>
  </si>
  <si>
    <t xml:space="preserve">    ALL OTHER</t>
  </si>
  <si>
    <t>DEM368K</t>
  </si>
  <si>
    <t xml:space="preserve"> TOTAL 368-LINE TRANSFORMERS</t>
  </si>
  <si>
    <t xml:space="preserve"> 369-SERVICES</t>
  </si>
  <si>
    <t>CUST369K</t>
  </si>
  <si>
    <t xml:space="preserve"> 370-METERS</t>
  </si>
  <si>
    <t>CUST370K</t>
  </si>
  <si>
    <t xml:space="preserve"> 371-INSTALL ON CUSTOMER PREMISES</t>
  </si>
  <si>
    <t>CUST371K</t>
  </si>
  <si>
    <t xml:space="preserve"> 373-STREET LIGHTING</t>
  </si>
  <si>
    <t>CUST373K</t>
  </si>
  <si>
    <t xml:space="preserve"> 374-ARO COST KY ELEC DISTRIB</t>
  </si>
  <si>
    <t>DEM374K</t>
  </si>
  <si>
    <t xml:space="preserve"> TOTAL KENTUCKY DISTRIB PLANT</t>
  </si>
  <si>
    <t xml:space="preserve"> VIRGINIA DISTRIBUTION PLANT</t>
  </si>
  <si>
    <t>DEM360V</t>
  </si>
  <si>
    <t>DEM361V</t>
  </si>
  <si>
    <t>DEM362V</t>
  </si>
  <si>
    <t>DEM364V</t>
  </si>
  <si>
    <t>DEM365V</t>
  </si>
  <si>
    <t>DEM367V</t>
  </si>
  <si>
    <t>DPRODVA</t>
  </si>
  <si>
    <t>DEM368V</t>
  </si>
  <si>
    <t>CUST369V</t>
  </si>
  <si>
    <t>CUST370V</t>
  </si>
  <si>
    <t>CUST371V</t>
  </si>
  <si>
    <t>CUST373V</t>
  </si>
  <si>
    <t xml:space="preserve"> TOTAL VIRGINIA DISTRIB PLANT</t>
  </si>
  <si>
    <t xml:space="preserve"> TENNESSEE DISTRIBUTION PLANT</t>
  </si>
  <si>
    <t>DEM360T</t>
  </si>
  <si>
    <t>DEM361T</t>
  </si>
  <si>
    <t>DEM362T</t>
  </si>
  <si>
    <t>DEM364T</t>
  </si>
  <si>
    <t>DEM365T</t>
  </si>
  <si>
    <t>DEM368T</t>
  </si>
  <si>
    <t>CUST369T</t>
  </si>
  <si>
    <t>CUST370T</t>
  </si>
  <si>
    <t>CUST371T</t>
  </si>
  <si>
    <t xml:space="preserve"> TOTAL TENNESSEE DISTRIB PLANT</t>
  </si>
  <si>
    <t>TOTAL DISTRIBUTION PLANT</t>
  </si>
  <si>
    <t xml:space="preserve"> GENERAL PLANT</t>
  </si>
  <si>
    <t xml:space="preserve"> 389-LAND &amp; LAND RIGHTS</t>
  </si>
  <si>
    <t>LABOR</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</si>
  <si>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</si>
  <si>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</si>
  <si>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</si>
  <si>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</si>
  <si>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</si>
  <si>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</si>
  <si>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</si>
  <si>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</si>
  <si>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DEMAND SIDE MANAGEMENT</t>
  </si>
  <si>
    <t>LABPTDKY</t>
  </si>
  <si>
    <t xml:space="preserve"> TOTAL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</si>
  <si>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</si>
  <si>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</si>
  <si>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</si>
  <si>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</si>
  <si>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</si>
  <si>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</si>
  <si>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GENERAL</t>
  </si>
  <si>
    <t xml:space="preserve"> TOTAL PLANT HELD FOR FUTURE USE</t>
  </si>
  <si>
    <t>TOTAL ELECTRIC PLANT</t>
  </si>
  <si>
    <t>ACCUMULATED PROVISION FOR DEP</t>
  </si>
  <si>
    <t xml:space="preserve"> PRODUCTION PLANT</t>
  </si>
  <si>
    <t xml:space="preserve">  STEAM PRODUCTION PLANT</t>
  </si>
  <si>
    <t xml:space="preserve">    SYSTEM</t>
  </si>
  <si>
    <t>STMSYS</t>
  </si>
  <si>
    <t xml:space="preserve">    FERC-AFUDC PRE</t>
  </si>
  <si>
    <t xml:space="preserve">    FERC-AFUDC POST</t>
  </si>
  <si>
    <t xml:space="preserve">     TOTAL STEAM PROD PLT</t>
  </si>
  <si>
    <t xml:space="preserve">  HYDRAULIC PRODUCTION PLANT</t>
  </si>
  <si>
    <t>HYDSYS</t>
  </si>
  <si>
    <t xml:space="preserve">     TOTAL HYDRO PROD PLT</t>
  </si>
  <si>
    <t xml:space="preserve">  OTHER PRODUCTION PLANT</t>
  </si>
  <si>
    <t>OTHSYS</t>
  </si>
  <si>
    <t xml:space="preserve">     TOTAL OTHER PROD PLT</t>
  </si>
  <si>
    <t xml:space="preserve"> TOTAL PRODUCTION PLANT</t>
  </si>
  <si>
    <t xml:space="preserve"> TRANSMISSION PLANT</t>
  </si>
  <si>
    <t xml:space="preserve">  KENTUCKY SYSTEM PROPERTY</t>
  </si>
  <si>
    <t>KYTRPLTXF</t>
  </si>
  <si>
    <t xml:space="preserve">  VIRGINIA PROPERTY</t>
  </si>
  <si>
    <t>TRPLTVA</t>
  </si>
  <si>
    <t xml:space="preserve">  FERC-AFUDC PRE</t>
  </si>
  <si>
    <t xml:space="preserve">  FERC-AFUDC POST</t>
  </si>
  <si>
    <t xml:space="preserve"> TOTAL TRANSMISSION PLANT</t>
  </si>
  <si>
    <t xml:space="preserve"> DISTRIBUTION PLANT-VA &amp; TN </t>
  </si>
  <si>
    <t>DIRACDEP</t>
  </si>
  <si>
    <t xml:space="preserve"> DISTRIBUTION PLANT-KY &amp; FERC</t>
  </si>
  <si>
    <t>DISTPLTKF</t>
  </si>
  <si>
    <t xml:space="preserve"> TOTAL DISTRIBUTION PLANT</t>
  </si>
  <si>
    <t>GENPLT</t>
  </si>
  <si>
    <t xml:space="preserve"> INTANGIBLE PLANT-FRANCHISES</t>
  </si>
  <si>
    <t>PLT302TOT</t>
  </si>
  <si>
    <t xml:space="preserve"> INTANGIBLE PLANT-SOFTWARE</t>
  </si>
  <si>
    <t>PLT303TOT</t>
  </si>
  <si>
    <t>TOTAL DEPRECIATION RESERVE</t>
  </si>
  <si>
    <t>NET ELECTRIC PLANT IN SERVICE</t>
  </si>
  <si>
    <t>ADDITIONS TO NET PLANT</t>
  </si>
  <si>
    <t>CONSTRUCTION WORK IN PROGRESS</t>
  </si>
  <si>
    <t xml:space="preserve">   SYSTEM</t>
  </si>
  <si>
    <t>PRODSYS</t>
  </si>
  <si>
    <t xml:space="preserve">   FERC-AFUDC PRE</t>
  </si>
  <si>
    <t xml:space="preserve">   FERC-AFUDC POST</t>
  </si>
  <si>
    <t xml:space="preserve">    TOTAL PRODUCTION PLANT</t>
  </si>
  <si>
    <t xml:space="preserve">   TRANS VIRGINIA-KY SYSTEM</t>
  </si>
  <si>
    <t xml:space="preserve">   TRANS VIRGINIA</t>
  </si>
  <si>
    <t>VATRPLT</t>
  </si>
  <si>
    <t xml:space="preserve">    TOTAL TRANSMISSION PLT</t>
  </si>
  <si>
    <t xml:space="preserve"> DISTRIBUTION - VA &amp; TN </t>
  </si>
  <si>
    <t>DIRCWIP</t>
  </si>
  <si>
    <t xml:space="preserve"> DISTRIBUTION - KY &amp; FERC</t>
  </si>
  <si>
    <t>PLANTKY</t>
  </si>
  <si>
    <t xml:space="preserve">    TOTAL DISTRIBUTION PLT</t>
  </si>
  <si>
    <t>TOTAL CWIP</t>
  </si>
  <si>
    <t>WORKING CAPITAL</t>
  </si>
  <si>
    <t xml:space="preserve"> MATERIALS &amp; SUPPLIES</t>
  </si>
  <si>
    <t xml:space="preserve">  FUEL STOCK</t>
  </si>
  <si>
    <t>ENERGY</t>
  </si>
  <si>
    <t xml:space="preserve">  PLANT MATERIAL &amp; SUPPLIES</t>
  </si>
  <si>
    <t xml:space="preserve">    PRODUCTION</t>
  </si>
  <si>
    <t>PRODPLT</t>
  </si>
  <si>
    <t xml:space="preserve">    TRANSMISSION</t>
  </si>
  <si>
    <t>TRANPLTXF</t>
  </si>
  <si>
    <t xml:space="preserve">    DISTRIBUTION</t>
  </si>
  <si>
    <t>DISTPLT</t>
  </si>
  <si>
    <t xml:space="preserve">    GENERAL</t>
  </si>
  <si>
    <t xml:space="preserve">    STORES UNDISTRIBUTED</t>
  </si>
  <si>
    <t>M_S</t>
  </si>
  <si>
    <t xml:space="preserve">  TOTAL PLT MAT &amp; SUPPLIES</t>
  </si>
  <si>
    <t xml:space="preserve"> TOTAL MATERIALS &amp; SUPPLIES</t>
  </si>
  <si>
    <t xml:space="preserve"> PREPAYMENTS</t>
  </si>
  <si>
    <t xml:space="preserve">  PREPAYMENTS OTHER THAN TAXES</t>
  </si>
  <si>
    <t>EXP9245TOT</t>
  </si>
  <si>
    <t xml:space="preserve">  PUBLIC SERVICE COMM TAX</t>
  </si>
  <si>
    <t>REVKY</t>
  </si>
  <si>
    <t xml:space="preserve"> TOTAL PREPAYMENTS</t>
  </si>
  <si>
    <t xml:space="preserve"> WORKING CASH - CALC BY JURIS</t>
  </si>
  <si>
    <t>TOTAL WORKING CAPITAL</t>
  </si>
  <si>
    <t>EMISSION ALLOWANCES</t>
  </si>
  <si>
    <t>TOTAL ADDITIONS TO NET PLANT</t>
  </si>
  <si>
    <t>DEDUCTIONS FROM NET PLANT</t>
  </si>
  <si>
    <t>ACCUMULATED DEFERRED INC TAX</t>
  </si>
  <si>
    <t xml:space="preserve">  VIRGINIA PROPERTY-500 KV LINE</t>
  </si>
  <si>
    <t xml:space="preserve">  VIRGINIA PROPERTY-OTHER</t>
  </si>
  <si>
    <t xml:space="preserve"> DISTRIBUTION - VA</t>
  </si>
  <si>
    <t>DIRACDFTX</t>
  </si>
  <si>
    <t xml:space="preserve"> DISTRIBUTION PLT KY,FERC &amp; TN</t>
  </si>
  <si>
    <t>DPLTXVA</t>
  </si>
  <si>
    <t>TOTAL DEFERRED INCOME TAX</t>
  </si>
  <si>
    <t>ACCUM DEFER INVEST TAX CREDITS</t>
  </si>
  <si>
    <t xml:space="preserve">  PRODUCTION</t>
  </si>
  <si>
    <t xml:space="preserve">  TRANSMISSION</t>
  </si>
  <si>
    <t xml:space="preserve">  TRANSMISSION - VA</t>
  </si>
  <si>
    <t xml:space="preserve">  DISTRIBUTION - VA</t>
  </si>
  <si>
    <t>DIRACITC</t>
  </si>
  <si>
    <t xml:space="preserve">  DISTRIBUTION PLT KY,FERC &amp; TN</t>
  </si>
  <si>
    <t xml:space="preserve">  GENERAL</t>
  </si>
  <si>
    <t>TOTAL DEFERRED INVEST CREDIT</t>
  </si>
  <si>
    <t>CUSTOMER ADVANCES</t>
  </si>
  <si>
    <t>CUSTADV</t>
  </si>
  <si>
    <t>CUSTOMER DEPOSITS-VIRGINIA</t>
  </si>
  <si>
    <t>CUSTDEP</t>
  </si>
  <si>
    <t>DEFERRED FUEL-VIRGINIA</t>
  </si>
  <si>
    <t>DFUELVA</t>
  </si>
  <si>
    <t>OPEB UNFUNDED-VIRGINIA</t>
  </si>
  <si>
    <t>WORKMANS COMPENSATION-FERC</t>
  </si>
  <si>
    <t>VESTED VACATION-FERC</t>
  </si>
  <si>
    <t>MEDICAL AND DENTAL RESERVE-FERC</t>
  </si>
  <si>
    <t>TOTAL DEDUCTIONS FROM NET PLT</t>
  </si>
  <si>
    <t>RATE BASE</t>
  </si>
  <si>
    <t>SALES OF ELECTRICITY</t>
  </si>
  <si>
    <t xml:space="preserve">  440-RESIDENTIAL</t>
  </si>
  <si>
    <t xml:space="preserve">  442-COMMERCIAL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</si>
  <si>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</si>
  <si>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</si>
  <si>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</si>
  <si>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</si>
  <si>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</si>
  <si>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</si>
  <si>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</si>
  <si>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</si>
  <si>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</si>
  <si>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</si>
  <si>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OTHER OPERATING REVENUES</t>
  </si>
  <si>
    <t xml:space="preserve">  450-LATE PAYMENT CHARGES</t>
  </si>
  <si>
    <t>DIR450REV</t>
  </si>
  <si>
    <t xml:space="preserve">  451-RECONNECT CHARGES</t>
  </si>
  <si>
    <t>DIR451REC</t>
  </si>
  <si>
    <t xml:space="preserve">  451-OTHER SERVICE CHARGES</t>
  </si>
  <si>
    <t>DIR451OTH</t>
  </si>
  <si>
    <t xml:space="preserve">  454-RENT FROM ELEC PROPERTY</t>
  </si>
  <si>
    <t>DIR454REV</t>
  </si>
  <si>
    <t xml:space="preserve">  456-TRANSMISSION SERVICE</t>
  </si>
  <si>
    <t xml:space="preserve">  456-ANCILLARY SERVICES</t>
  </si>
  <si>
    <t>DEMTRAN</t>
  </si>
  <si>
    <t xml:space="preserve">  456-TAX REMITTANCE COMPENSATION</t>
  </si>
  <si>
    <t xml:space="preserve">  456-RETURN CHECK CHARGES</t>
  </si>
  <si>
    <t>DIR456CHK</t>
  </si>
  <si>
    <t xml:space="preserve">  456-OTHER MISC REVENUES</t>
  </si>
  <si>
    <t>DIR456OTH</t>
  </si>
  <si>
    <t xml:space="preserve">  456-EXCESS FACILITIES CHARGES</t>
  </si>
  <si>
    <t>DIR456FAC</t>
  </si>
  <si>
    <t>TOTAL OTHER REVENUES</t>
  </si>
  <si>
    <t>TOTAL OPERATING REVENUES</t>
  </si>
  <si>
    <t>OPERATION &amp; MAINTENANCE EXP</t>
  </si>
  <si>
    <t>PRODUCTION EXPENSE-STEAM</t>
  </si>
  <si>
    <t xml:space="preserve">  500-SUPERV &amp; ENGINEERING</t>
  </si>
  <si>
    <t>STMPLT</t>
  </si>
  <si>
    <t xml:space="preserve">  501-FUEL</t>
  </si>
  <si>
    <t>REVFERC</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</si>
  <si>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</si>
  <si>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</si>
  <si>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</si>
  <si>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</si>
  <si>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</si>
  <si>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</si>
  <si>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</si>
  <si>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</si>
  <si>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</si>
  <si>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</si>
  <si>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</si>
  <si>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</si>
  <si>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HYDPLT</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</si>
  <si>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</si>
  <si>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</si>
  <si>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</si>
  <si>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</si>
  <si>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</si>
  <si>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</si>
  <si>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 xml:space="preserve">  542-STRUCTURES</t>
  </si>
  <si>
    <t xml:space="preserve">  543-RESERV, DAMS &amp; WATERWAY</t>
  </si>
  <si>
    <t xml:space="preserve">  544-ELECTRIC PLANT</t>
  </si>
  <si>
    <t xml:space="preserve">  545-MISC HYDRAULIC PLANT</t>
  </si>
  <si>
    <t xml:space="preserve">    TOTAL HYDRO MAINTENANCE</t>
  </si>
  <si>
    <t>TOTAL HYDRO GENERATION</t>
  </si>
  <si>
    <t>PRODUCTION EXPENSE-OTHER</t>
  </si>
  <si>
    <t xml:space="preserve">  546-SUPERV &amp; ENGINEERING</t>
  </si>
  <si>
    <t>OTHPLT</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</si>
  <si>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</si>
  <si>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</si>
  <si>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</si>
  <si>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</si>
  <si>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</si>
  <si>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</si>
  <si>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</si>
  <si>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</si>
  <si>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</si>
  <si>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</si>
  <si>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</si>
  <si>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</si>
  <si>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</si>
  <si>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</si>
  <si>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</si>
  <si>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</si>
  <si>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</si>
  <si>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</si>
  <si>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</si>
  <si>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LABTROP</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</si>
  <si>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</si>
  <si>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</si>
  <si>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</si>
  <si>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</si>
  <si>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</si>
  <si>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</si>
  <si>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</si>
  <si>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575-MISO DAY 1 &amp;2 EXP</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</si>
  <si>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</si>
  <si>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</si>
  <si>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</si>
  <si>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</si>
  <si>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</si>
  <si>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</si>
  <si>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</si>
  <si>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</si>
  <si>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</si>
  <si>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DISTRIBUTION EXPENSES</t>
  </si>
  <si>
    <t xml:space="preserve">  580-SUPERV &amp; ENGINEERING</t>
  </si>
  <si>
    <t xml:space="preserve">  581-DIST SYSTEM CONTROL</t>
  </si>
  <si>
    <t>PLT3602TOT</t>
  </si>
  <si>
    <t xml:space="preserve">  582-STATION EXPENSES</t>
  </si>
  <si>
    <t xml:space="preserve">  583-OVERHEAD LINES</t>
  </si>
  <si>
    <t>PLT3645TOT</t>
  </si>
  <si>
    <t xml:space="preserve">  584-UNDERGROUND LINES</t>
  </si>
  <si>
    <t>PLT3667TOT</t>
  </si>
  <si>
    <t xml:space="preserve">  585-STREET LIGHTING</t>
  </si>
  <si>
    <t>PLT373TOT</t>
  </si>
  <si>
    <t xml:space="preserve">  586-METERS</t>
  </si>
  <si>
    <t>PLT370TOT</t>
  </si>
  <si>
    <t xml:space="preserve">  587-CUSTOMER INSTALLATIONS</t>
  </si>
  <si>
    <t>PLT371TOT</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</si>
  <si>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</si>
  <si>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</si>
  <si>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</si>
  <si>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</si>
  <si>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</si>
  <si>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</si>
  <si>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</si>
  <si>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</si>
  <si>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</si>
  <si>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PLT368TOT</t>
  </si>
  <si>
    <t xml:space="preserve">  596-MAINT OF ST LIGHTING</t>
  </si>
  <si>
    <t xml:space="preserve">  597-MAINT OF METERS</t>
  </si>
  <si>
    <t xml:space="preserve">  598-MISCELLANEOUS</t>
  </si>
  <si>
    <t xml:space="preserve">    TOTAL DISTR MAINTENANCE</t>
  </si>
  <si>
    <t>TOTAL DISTRIBUTION EXPENSES</t>
  </si>
  <si>
    <t>CUSTOMER ACCOUNTING EXPENSES</t>
  </si>
  <si>
    <t xml:space="preserve">  901-SUPERVISION</t>
  </si>
  <si>
    <t>LABCA</t>
  </si>
  <si>
    <t xml:space="preserve">  902-METER READING</t>
  </si>
  <si>
    <t>CUST902</t>
  </si>
  <si>
    <t xml:space="preserve">  903-CUSTOMER RECORDS</t>
  </si>
  <si>
    <t>CUST903</t>
  </si>
  <si>
    <t xml:space="preserve">  904-UNCOLLECTIBLE ACCOUNTS</t>
  </si>
  <si>
    <t>CUST904</t>
  </si>
  <si>
    <t xml:space="preserve">  905-MISCELLANEOUS</t>
  </si>
  <si>
    <t>EXP9024CA</t>
  </si>
  <si>
    <t>TOTAL CUSTOMER ACCOUNTS</t>
  </si>
  <si>
    <t>CUSTOMER SERVICES</t>
  </si>
  <si>
    <t xml:space="preserve">  907-SUPERVISION</t>
  </si>
  <si>
    <t>LABSA</t>
  </si>
  <si>
    <t xml:space="preserve">  908-CUSTOMER ASSISTANCE</t>
  </si>
  <si>
    <t>CUST908</t>
  </si>
  <si>
    <t xml:space="preserve">  909-INFORMATION &amp; INSTRUCT</t>
  </si>
  <si>
    <t>CUST909</t>
  </si>
  <si>
    <t xml:space="preserve">  910-MISCELLANEOUS</t>
  </si>
  <si>
    <t>EXP9089CS</t>
  </si>
  <si>
    <t>TOTAL CUSTOMER SERVICE</t>
  </si>
  <si>
    <t>SALES EXPENSE</t>
  </si>
  <si>
    <t xml:space="preserve">  911-SUPERVISION</t>
  </si>
  <si>
    <t xml:space="preserve">  912-DEMONSTRATING &amp; SELLING</t>
  </si>
  <si>
    <t>CUST912</t>
  </si>
  <si>
    <t xml:space="preserve">  913-ADVERTISING</t>
  </si>
  <si>
    <t>CUST913</t>
  </si>
  <si>
    <t xml:space="preserve">  916-MISCELLANEOUS</t>
  </si>
  <si>
    <t>EXP9123SA</t>
  </si>
  <si>
    <t>TOTAL SALES EXPENSE</t>
  </si>
  <si>
    <t>ADMINISTRATIVE &amp; GENERAL</t>
  </si>
  <si>
    <t xml:space="preserve"> PLANT COMPONENT</t>
  </si>
  <si>
    <t xml:space="preserve">  924-PROPERTY INSURANCE</t>
  </si>
  <si>
    <t>PLANT</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</si>
  <si>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</si>
  <si>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</si>
  <si>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</si>
  <si>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</si>
  <si>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</si>
  <si>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</si>
  <si>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</si>
  <si>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</si>
  <si>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</si>
  <si>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REVNJVA</t>
  </si>
  <si>
    <t>LABORXF</t>
  </si>
  <si>
    <t xml:space="preserve">  931-RENTS</t>
  </si>
  <si>
    <t xml:space="preserve">  935-MAINTENANCE</t>
  </si>
  <si>
    <t xml:space="preserve">     TOTAL LABOR COMPONENT</t>
  </si>
  <si>
    <t xml:space="preserve">  928-REGULATORY COMMISSION</t>
  </si>
  <si>
    <t>DIRECT</t>
  </si>
  <si>
    <t xml:space="preserve">    FEDERAL JURISDICTION</t>
  </si>
  <si>
    <t xml:space="preserve">    VIRGINIA JURISDICTION</t>
  </si>
  <si>
    <t>REVVA</t>
  </si>
  <si>
    <t xml:space="preserve">    928 ALLOCATED</t>
  </si>
  <si>
    <t xml:space="preserve">      TOTAL ACCOUNT 928</t>
  </si>
  <si>
    <t xml:space="preserve">  927-FRANCHISE NJ VA</t>
  </si>
  <si>
    <t>ENERGY1</t>
  </si>
  <si>
    <t>TOTAL ADMINISTRATIVE &amp; GEN</t>
  </si>
  <si>
    <t>TOTAL OPERATION &amp; MAINTENANCE</t>
  </si>
  <si>
    <t>DEPRECIATION &amp; AMORT EXPENSE</t>
  </si>
  <si>
    <t>DEPRECIATION EXPENSE</t>
  </si>
  <si>
    <t xml:space="preserve"> DISTRIBUTION PLANT</t>
  </si>
  <si>
    <t xml:space="preserve">   DISTRIBUTION-KENTUCKY</t>
  </si>
  <si>
    <t>KYDIST</t>
  </si>
  <si>
    <t xml:space="preserve">   DISTRIBUTION-VIRGINIA</t>
  </si>
  <si>
    <t>VADIST</t>
  </si>
  <si>
    <t xml:space="preserve">   DISTRIBUTION-TENNESSEE</t>
  </si>
  <si>
    <t>TNDIST</t>
  </si>
  <si>
    <t>TOTAL DEPREC &amp; AMORT EXP</t>
  </si>
  <si>
    <t xml:space="preserve">  KENTUCKY DISTRIBUTION PROPERTY</t>
  </si>
  <si>
    <t xml:space="preserve">  VIRGINIA DISTRIBUTION PROPERTY</t>
  </si>
  <si>
    <t>ACCRETION</t>
  </si>
  <si>
    <t>TOTAL ACCRETION EXPENSE</t>
  </si>
  <si>
    <t>OTHER TAXES &amp; OTHER EXPENSES</t>
  </si>
  <si>
    <t>TAXES OTHER THAN INCOME TAX</t>
  </si>
  <si>
    <t xml:space="preserve">  PROPERTY TAXES</t>
  </si>
  <si>
    <t>NETPLANT</t>
  </si>
  <si>
    <t xml:space="preserve">  PSC ASSESSMENT-KY REVENUE</t>
  </si>
  <si>
    <t xml:space="preserve">  VA GROSS RECEIPTS TAX</t>
  </si>
  <si>
    <t xml:space="preserve">  MISCELLANEOUS</t>
  </si>
  <si>
    <t>TOTAL OTHER TAXES</t>
  </si>
  <si>
    <t>GAIN DISPOSITION OF ALLOWANCES</t>
  </si>
  <si>
    <t>GAIN/LOSS PROP DISPOSITION (NET)</t>
  </si>
  <si>
    <t>CHARITABLE CONTRIBUTIONS-VA ONLY</t>
  </si>
  <si>
    <t>INVESTMENT TAX CREDIT ADJ</t>
  </si>
  <si>
    <t xml:space="preserve">  TRANSMISSION VA</t>
  </si>
  <si>
    <t xml:space="preserve">  DISTRIBUTION - DIRECT</t>
  </si>
  <si>
    <t>DIRITCADJ</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</si>
  <si>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</si>
  <si>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</si>
  <si>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</si>
  <si>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</si>
  <si>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</si>
  <si>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</si>
  <si>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</si>
  <si>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</si>
  <si>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</si>
  <si>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</si>
  <si>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RATEBASE</t>
  </si>
  <si>
    <t xml:space="preserve">    INT ON CUSTOMER DEPOSITS</t>
  </si>
  <si>
    <t>CUSTDEPI</t>
  </si>
  <si>
    <t xml:space="preserve">    AFUDC-INTEREST POST FERC</t>
  </si>
  <si>
    <t>AFUDC</t>
  </si>
  <si>
    <t xml:space="preserve"> TOTAL DEDUCTIONS</t>
  </si>
  <si>
    <t xml:space="preserve"> PLUS: ABOVE THE LINE DIFF:</t>
  </si>
  <si>
    <t xml:space="preserve">  SEC. 199 DEDUCTION-STATE</t>
  </si>
  <si>
    <t xml:space="preserve">  DEPREC-EQUITY AFUDC PRE</t>
  </si>
  <si>
    <t xml:space="preserve">  DEPREC-EQUITY AFUDC POST</t>
  </si>
  <si>
    <t xml:space="preserve">  OTHER</t>
  </si>
  <si>
    <t>STATE TAXABLE INCOME</t>
  </si>
  <si>
    <t>STATE TAX</t>
  </si>
  <si>
    <t>STATE TAX ADJUSTMENTS</t>
  </si>
  <si>
    <t>KENTUCKY TAX CREDITS</t>
  </si>
  <si>
    <t>203(E) EXCESS</t>
  </si>
  <si>
    <t>PLANTKF</t>
  </si>
  <si>
    <t>STATE TAX TOTAL</t>
  </si>
  <si>
    <t>SEC. 199 DEDUCTION-FEDERAL INCREMENT</t>
  </si>
  <si>
    <t>STATE TAX ADJUSTS FOR FEDERAL</t>
  </si>
  <si>
    <t>EXCESS DEFERRED TAXES</t>
  </si>
  <si>
    <t>FEDERAL TAX ADJUSTMENTS</t>
  </si>
  <si>
    <t xml:space="preserve"> FEDERAL TAX TOTAL</t>
  </si>
  <si>
    <t>STATE TAX RATE</t>
  </si>
  <si>
    <t>FEDERAL TAX RATE - CURRENT</t>
  </si>
  <si>
    <t>1 - EFFECTIVE TAX RATE</t>
  </si>
  <si>
    <t>EFFECTIVE TAX RATE</t>
  </si>
  <si>
    <t>FACTOR FOR TAXABLE BASIS</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</si>
  <si>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</si>
  <si>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</si>
  <si>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</si>
  <si>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</si>
  <si>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</si>
  <si>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</si>
  <si>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</si>
  <si>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</si>
  <si>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</si>
  <si>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</si>
  <si>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</si>
  <si>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</si>
  <si>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</si>
  <si>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</si>
  <si>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</si>
  <si>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</si>
  <si>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</si>
  <si>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</si>
  <si>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</si>
  <si>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</si>
  <si>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</si>
  <si>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</si>
  <si>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</si>
  <si>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</si>
  <si>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</si>
  <si>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</si>
  <si>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</si>
  <si>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</si>
  <si>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</si>
  <si>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</si>
  <si>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</si>
  <si>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</si>
  <si>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</si>
  <si>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</si>
  <si>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</si>
  <si>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</si>
  <si>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</si>
  <si>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</si>
  <si>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</si>
  <si>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</si>
  <si>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</si>
  <si>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</si>
  <si>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</si>
  <si>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</si>
  <si>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</si>
  <si>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</si>
  <si>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</si>
  <si>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</si>
  <si>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</si>
  <si>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</si>
  <si>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</si>
  <si>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</si>
  <si>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DISTRIBUTION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</si>
  <si>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</si>
  <si>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</si>
  <si>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</si>
  <si>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</si>
  <si>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</si>
  <si>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</si>
  <si>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</si>
  <si>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</si>
  <si>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</si>
  <si>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</si>
  <si>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</si>
  <si>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</si>
  <si>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</si>
  <si>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</si>
  <si>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</si>
  <si>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</si>
  <si>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</si>
  <si>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 xml:space="preserve">      FERC 598</t>
  </si>
  <si>
    <t xml:space="preserve"> TOTAL DISTRIBUTION LABOR</t>
  </si>
  <si>
    <t xml:space="preserve"> TOT PROD, TRNS &amp; DISTR LABOR</t>
  </si>
  <si>
    <t xml:space="preserve"> CUSTOMER ACCOUNTING</t>
  </si>
  <si>
    <t xml:space="preserve">      FERC 901</t>
  </si>
  <si>
    <t>EXP9025CA</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</si>
  <si>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</si>
  <si>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</si>
  <si>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</si>
  <si>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</si>
  <si>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</si>
  <si>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</si>
  <si>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</si>
  <si>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EXP9080CS</t>
  </si>
  <si>
    <t xml:space="preserve">      FERC 908</t>
  </si>
  <si>
    <t xml:space="preserve">      FERC 909</t>
  </si>
  <si>
    <t xml:space="preserve">      FERC 910</t>
  </si>
  <si>
    <t xml:space="preserve">      FERC 912</t>
  </si>
  <si>
    <t xml:space="preserve">      FERC 913</t>
  </si>
  <si>
    <t xml:space="preserve">      FERC 916</t>
  </si>
  <si>
    <t xml:space="preserve"> TOTAL CUSTOMER SERVICE AND SALES LABOR</t>
  </si>
  <si>
    <t>TOTAL PROD, TRAN, DIST, CUSTOMER LABOR</t>
  </si>
  <si>
    <t>ADMIN &amp; GENERAL LABOR</t>
  </si>
  <si>
    <t xml:space="preserve">      FERC 920</t>
  </si>
  <si>
    <t>PTDCUSTLABOR</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</si>
  <si>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</si>
  <si>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</si>
  <si>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</si>
  <si>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</si>
  <si>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</si>
  <si>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</si>
  <si>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</si>
  <si>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</si>
  <si>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</si>
  <si>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</si>
  <si>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</si>
  <si>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</si>
  <si>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</si>
  <si>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ALLOCATION FACTOR TABLE</t>
  </si>
  <si>
    <t>DEMAND RELATED</t>
  </si>
  <si>
    <t>-</t>
  </si>
  <si>
    <t>PRODUCTION ALLOCATORS</t>
  </si>
  <si>
    <t>DEMAND (12 CP GEN LEV)-PROD</t>
  </si>
  <si>
    <t>DEMAND (12 CP GEN LEV)-FERC</t>
  </si>
  <si>
    <t>DEMAND (12 CP GEN)-PROD VA</t>
  </si>
  <si>
    <t>DEMAND (12 CP GEN)-PROD KY</t>
  </si>
  <si>
    <t>DEM (12 CP GEN LV)-FERC POST</t>
  </si>
  <si>
    <t>DEM (12 CP GEN LV)-NON VA</t>
  </si>
  <si>
    <t>DEMPRODNV</t>
  </si>
  <si>
    <t>TRANSMISSION ALLOCATORS</t>
  </si>
  <si>
    <t>DEMAND (12 CP GEN LEV)-TRAN</t>
  </si>
  <si>
    <t>DEMAND (12 CP GEN LEV)-VA</t>
  </si>
  <si>
    <t>DEM (12 CP GEN LEV)-NON FERC</t>
  </si>
  <si>
    <t>DEM (12 CP GN LEV)-TRAN FERC</t>
  </si>
  <si>
    <t>DEMFERCT</t>
  </si>
  <si>
    <t>DEM (12 CP GEN LEV)-NON VA&amp;FERC</t>
  </si>
  <si>
    <t>DISTRIBUTION ALLOCATORS</t>
  </si>
  <si>
    <t>DIRECT ASSIGN 360 KY</t>
  </si>
  <si>
    <t>DIRECT ASSIGN 361 KY</t>
  </si>
  <si>
    <t>DIRECT ASSIGN 362 KY</t>
  </si>
  <si>
    <t>DIRECT ASSIGN 364 KY</t>
  </si>
  <si>
    <t>DIRECT ASSIGN 365 KY</t>
  </si>
  <si>
    <t>DIRECT ASSIGN 366 KY</t>
  </si>
  <si>
    <t>DIRECT ASSIGN 367 KY</t>
  </si>
  <si>
    <t>DIRECT ASSIGN 368 KY</t>
  </si>
  <si>
    <t>DIRECT ASSIGN 374 KY</t>
  </si>
  <si>
    <t>DIRECT ASSIGN 360-VA</t>
  </si>
  <si>
    <t>DIRECT ASSIGN 361-VA</t>
  </si>
  <si>
    <t>DIRECT ASSIGN 362-VA</t>
  </si>
  <si>
    <t>DIRECT ASSIGN 364-VA</t>
  </si>
  <si>
    <t>DIRECT ASSIGN 365-VA</t>
  </si>
  <si>
    <t>DIRECT ASSIGN 367-VA</t>
  </si>
  <si>
    <t>DIRECT ASSIGN 368-VA</t>
  </si>
  <si>
    <t>DIRECT ASSIGN 360-TN</t>
  </si>
  <si>
    <t>DIRECT ASSIGN 361-TN</t>
  </si>
  <si>
    <t>DIRECT ASSIGN 362-TN</t>
  </si>
  <si>
    <t>DIRECT ASSIGN 364-TN</t>
  </si>
  <si>
    <t>DIRECT ASSIGN 365-TN</t>
  </si>
  <si>
    <t>DIRECT ASSIGN 368-TN</t>
  </si>
  <si>
    <t>DIRECT ASSIGN 369-TN</t>
  </si>
  <si>
    <t>DIRECT ASSIGN 370-TN</t>
  </si>
  <si>
    <t>DIRECT ASSIGN 371-TN</t>
  </si>
  <si>
    <t xml:space="preserve">DIR ASSIGN ACC.DEPRC.DIST.VA&amp;TN </t>
  </si>
  <si>
    <t>DIR ASSIGN CWIP DIST VA &amp; TN</t>
  </si>
  <si>
    <t>DIR ASSIGN RENT REVENUE</t>
  </si>
  <si>
    <t>DIR ASSIGN EXCESS FACILITIES REV.</t>
  </si>
  <si>
    <t>DIR ASSIGN OTHER MISC REV.</t>
  </si>
  <si>
    <t>DIR ASSIGN RECONNECT REV</t>
  </si>
  <si>
    <t>DIR ASSIGN OTHER SERVICE REV</t>
  </si>
  <si>
    <t>DIR ASSIGN RETURN CHECK REV</t>
  </si>
  <si>
    <t>DIR ASSIGN 203(E) EXCESS</t>
  </si>
  <si>
    <t>DIR203E</t>
  </si>
  <si>
    <t>DIR ASSIGN ITC ADJ</t>
  </si>
  <si>
    <t>DIR ASSIGN DEFERRED FUEL-VIRGINIA</t>
  </si>
  <si>
    <t>ENERGY (MWH AT GEN LEVEL)</t>
  </si>
  <si>
    <t>ENERGY (MWH RETAIL @ GEN LEVEL)</t>
  </si>
  <si>
    <t>CUSTOMER</t>
  </si>
  <si>
    <t>DIRECT ASSIGN 369-SERV KY</t>
  </si>
  <si>
    <t>DIRECT ASSIGN 370 METERS KY</t>
  </si>
  <si>
    <t>DIRECT ASSIGN 371 CUST INST KY</t>
  </si>
  <si>
    <t>DIRECT ASSIGN 373 ST LIGHT KY</t>
  </si>
  <si>
    <t>CUSTOMER DEPOSITS</t>
  </si>
  <si>
    <t>DIR ASSIGN 902-METER READING</t>
  </si>
  <si>
    <t>DIR ASSIGN 903-CUSTOMER REC</t>
  </si>
  <si>
    <t>DIR ASSIGN 904-UNCOLL ACCTS</t>
  </si>
  <si>
    <t>DIR ASSIGN ACCT 369-SERV VA</t>
  </si>
  <si>
    <t>DIR ASSIGN ACCT 370 METERS VA</t>
  </si>
  <si>
    <t>DIR ASSIGN ACCT 371 CUST INST VA</t>
  </si>
  <si>
    <t>DIR ASGN ACCT 373 ST LIGHT VA</t>
  </si>
  <si>
    <t>DIR ASSIGN 908-CUST ASSIST</t>
  </si>
  <si>
    <t>DIR ASSIGN 909-INFO &amp; INSTRCT</t>
  </si>
  <si>
    <t>DIR ASSIGN 912-DEM &amp; SELLING</t>
  </si>
  <si>
    <t>DIR ASSIGN 913-ADVERTISING</t>
  </si>
  <si>
    <t>CUSTOMER ANNUALIZATION</t>
  </si>
  <si>
    <t>CUSTANN</t>
  </si>
  <si>
    <t>CUSTOMER DEPOSITS INTEREST</t>
  </si>
  <si>
    <t>DIR ASSIGN LATE PAYMENT REVENUE</t>
  </si>
  <si>
    <t>INTERNALLY DEVELOPED</t>
  </si>
  <si>
    <t>PROD-TRANSM-DISTR-GENL PLT</t>
  </si>
  <si>
    <t>PROD-TRANSM-DISTR-GENL PLT KY</t>
  </si>
  <si>
    <t>ALLOCATED O&amp;M LABOR EXPENSE</t>
  </si>
  <si>
    <t>TOTAL STEAM PROD PLANT-SYSTEM</t>
  </si>
  <si>
    <t>ALLOCATED NON A&amp;G LABOR EXPENSE</t>
  </si>
  <si>
    <t>TOT HYDRAULIC PROD PLANT-SYS</t>
  </si>
  <si>
    <t>TOTAL OTHER PROD PLANT-SYS</t>
  </si>
  <si>
    <t>TRANSM KENTUCKY SYSTEM PROP</t>
  </si>
  <si>
    <t>KYTRPLT</t>
  </si>
  <si>
    <t>TRANSM VIRGINIA PROPERTY</t>
  </si>
  <si>
    <t>TRANSM VIRGINIA PROP TOTAL</t>
  </si>
  <si>
    <t>VATRPLTT</t>
  </si>
  <si>
    <t>TOTAL DIST PLANT KY &amp; FERC</t>
  </si>
  <si>
    <t>TOTAL GENERAL PLANT</t>
  </si>
  <si>
    <t>ACCT 302-FRANCHISE</t>
  </si>
  <si>
    <t>ACCT 303-SOFTWARE</t>
  </si>
  <si>
    <t>TOTAL PRODUCTION PLANT SYSTEM</t>
  </si>
  <si>
    <t>TRANPLT</t>
  </si>
  <si>
    <t>TOTAL TRANSMISSION PLANT EXCL FERC</t>
  </si>
  <si>
    <t>MAT &amp; SUPPLIES DISTRIBUTED</t>
  </si>
  <si>
    <t>ACCT 924 &amp; 925 INSURANCE</t>
  </si>
  <si>
    <t>REVENUE SALE OF ELECT-KY</t>
  </si>
  <si>
    <t>CWIP PROD FERC-POST ALLOC</t>
  </si>
  <si>
    <t>CWIP TRAN FERC-POST ALLOC</t>
  </si>
  <si>
    <t>CWIPTP</t>
  </si>
  <si>
    <t>ACC DEF INC TX PROD FERC-POST</t>
  </si>
  <si>
    <t>ADITPP</t>
  </si>
  <si>
    <t>ACC DEF INC TX TRAN FERC-POST</t>
  </si>
  <si>
    <t>ADITTP</t>
  </si>
  <si>
    <t>TRANSMISSION PLANT EXCL VA</t>
  </si>
  <si>
    <t>TRANPLTX</t>
  </si>
  <si>
    <t>TRANSM PLANT VA</t>
  </si>
  <si>
    <t>TOT ACCT 364 &amp; 365-OVHD LINE</t>
  </si>
  <si>
    <t>TOTAL ELECTRIC PLANT KY</t>
  </si>
  <si>
    <t>TOTAL ELECTRIC PLANT KY &amp; FERC</t>
  </si>
  <si>
    <t>TOTAL ELECTRIC PLANT VA</t>
  </si>
  <si>
    <t>PLANTVA</t>
  </si>
  <si>
    <t>TOTAL HYDRAULIC PROD PLANT</t>
  </si>
  <si>
    <t>TOTAL OTHER PROD PLANT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</si>
  <si>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</si>
  <si>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</si>
  <si>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</si>
  <si>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</si>
  <si>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</si>
  <si>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</si>
  <si>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</si>
  <si>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</si>
  <si>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</si>
  <si>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</si>
  <si>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</si>
  <si>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</si>
  <si>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</si>
  <si>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REVENUE SALE OF ELECT-VA</t>
  </si>
  <si>
    <t>REVENUE SALE OF ELECT</t>
  </si>
  <si>
    <t>REVENUE</t>
  </si>
  <si>
    <t>REV SALE OF ELECT-VA NON JUR</t>
  </si>
  <si>
    <t>REV SALE OF ELECT-EXCL FERC</t>
  </si>
  <si>
    <t>REVENUEX</t>
  </si>
  <si>
    <t>KENTUCKY DISTRIBUTION PLANT</t>
  </si>
  <si>
    <t>VIRGINIA DISTRIBUTION PLANT</t>
  </si>
  <si>
    <t>TENNESSEE DISTRIBUTION PLT</t>
  </si>
  <si>
    <t>TOTAL CWIP FERC-AFUDC POST</t>
  </si>
  <si>
    <t>TOTAL 203(E) EXCESS</t>
  </si>
  <si>
    <t>TAX203E</t>
  </si>
  <si>
    <t>STEAM OPERATING EXP 501-507</t>
  </si>
  <si>
    <t>EXP5017STM</t>
  </si>
  <si>
    <t>STEAM MAINTENANCE EXP 511-514</t>
  </si>
  <si>
    <t>EXP5114STM</t>
  </si>
  <si>
    <t>HYDRO OPERATING EXP 536-540</t>
  </si>
  <si>
    <t>EXP5360HYD</t>
  </si>
  <si>
    <t>HYDRO MAINTENANCE EXP 542-545</t>
  </si>
  <si>
    <t>EXP5425HYD</t>
  </si>
  <si>
    <t>OTHER PROD OPER EXP 547-549</t>
  </si>
  <si>
    <t>EXP5479OTH</t>
  </si>
  <si>
    <t>OTHER PROD MAINT EXP 552-554</t>
  </si>
  <si>
    <t>EXP5524OTH</t>
  </si>
  <si>
    <t>TOT STEAM OPERATIONS LABOR</t>
  </si>
  <si>
    <t>LABSTMOP</t>
  </si>
  <si>
    <t>TOT STEAM MAINTENANCE LABOR</t>
  </si>
  <si>
    <t>LABSTMMN</t>
  </si>
  <si>
    <t>TOT HYDRO OPERATIONS LABOR</t>
  </si>
  <si>
    <t>LABHYDOP</t>
  </si>
  <si>
    <t>TOT HYDRO MAINTENANCE LABOR</t>
  </si>
  <si>
    <t>LABHYDMN</t>
  </si>
  <si>
    <t>TOT OTHER OPERATIONS LABOR</t>
  </si>
  <si>
    <t>LABOTHOP</t>
  </si>
  <si>
    <t>TOT OTHER MAINTENANCE LABOR</t>
  </si>
  <si>
    <t>LABOTHMN</t>
  </si>
  <si>
    <t>TRANSM OPER EXP 562-567</t>
  </si>
  <si>
    <t>EXP5627TX</t>
  </si>
  <si>
    <t>TRANSM MAINT EXP 569-573</t>
  </si>
  <si>
    <t>EXP5693TX</t>
  </si>
  <si>
    <t>TOT TRANSM OPERATIONS LABOR</t>
  </si>
  <si>
    <t>TOT TRANSM MAINTENANCE LABOR</t>
  </si>
  <si>
    <t>LABTRMN</t>
  </si>
  <si>
    <t>DISTR OPER EXP 582-589</t>
  </si>
  <si>
    <t>EXP5829DIS</t>
  </si>
  <si>
    <t>DISTR MAINT EXP 591-598</t>
  </si>
  <si>
    <t>EXP5918DIS</t>
  </si>
  <si>
    <t>TOT DISTR OPERATIONS LABOR</t>
  </si>
  <si>
    <t>LABDISOP</t>
  </si>
  <si>
    <t>TOT DISTR MAINTENANCE LABOR</t>
  </si>
  <si>
    <t>LABDISMN</t>
  </si>
  <si>
    <t>CUST ACCT EXP 902, 903 &amp; 905</t>
  </si>
  <si>
    <t>TOTAL CUST ACCOUNTS LABOR</t>
  </si>
  <si>
    <t>CUST SERVICES &amp; SALES EXP</t>
  </si>
  <si>
    <t>TOTAL CUST SERVICES LABOR</t>
  </si>
  <si>
    <t>LABCS</t>
  </si>
  <si>
    <t>SALES EXPENSE 912-916</t>
  </si>
  <si>
    <t>EXP9126SA</t>
  </si>
  <si>
    <t>TOTAL SALES EXP LABOR</t>
  </si>
  <si>
    <t>TOT ADMINISTRATIVE &amp; GEN EXP</t>
  </si>
  <si>
    <t>A_GEXP</t>
  </si>
  <si>
    <t>ACCT 930-EPRI &amp; ADVERTISING</t>
  </si>
  <si>
    <t>EXP930A</t>
  </si>
  <si>
    <t>TOTAL CUSTOMER SERVICES EXP</t>
  </si>
  <si>
    <t>CUSTSER</t>
  </si>
  <si>
    <t>DISTRIBUTION PLANT EXCL VA</t>
  </si>
  <si>
    <t>ACCT 926 DIR ASSIGN COMP.KY RET</t>
  </si>
  <si>
    <t>ACCT 926 DIR ASSIGN COMP.VAJ</t>
  </si>
  <si>
    <t>LABPTDVAJ</t>
  </si>
  <si>
    <t>ACCT 926 DIR ASSIGN COMP.VANJ</t>
  </si>
  <si>
    <t>LABPTDVNJ</t>
  </si>
  <si>
    <t>ACCT 926 DIR ASSIGN COMP.FERC</t>
  </si>
  <si>
    <t>LABPTDFER</t>
  </si>
  <si>
    <t>203(E) EXCESS DEF TAXES EXCL VA</t>
  </si>
  <si>
    <t>STATE203E</t>
  </si>
  <si>
    <t>ALLOC O&amp;M LABOR EXPENSE EXCL FERC</t>
  </si>
  <si>
    <t>TRANSM KENTUCKY SYS PROP XFERC</t>
  </si>
  <si>
    <t>REVENUES FROM ELECTRIC SALES</t>
  </si>
  <si>
    <t>440-RESIDENTIAL</t>
  </si>
  <si>
    <t>442-COMMERCIAL</t>
  </si>
  <si>
    <t>442-LARGE COMMERCIAL</t>
  </si>
  <si>
    <t>442-INDUSTRIAL</t>
  </si>
  <si>
    <t>442-MINE POWER</t>
  </si>
  <si>
    <t>444-PUBLIC ST &amp; HWY LIGHTING</t>
  </si>
  <si>
    <t>445-OTHER PUBLIC AUTHORITIES</t>
  </si>
  <si>
    <t>445-MUNICIPAL PUMPING</t>
  </si>
  <si>
    <t>447-SALES FOR RESALE-MUNICIPAL WHOLESALE</t>
  </si>
  <si>
    <t>ANNUALIZATION</t>
  </si>
  <si>
    <t>449-PROVISION FOR RATE REFUND</t>
  </si>
  <si>
    <t>RATIO TABLE</t>
  </si>
  <si>
    <t>CAPACITY RELATED</t>
  </si>
  <si>
    <t xml:space="preserve">DIR ASSIGN ACCUM DEPREC.VA &amp; TN </t>
  </si>
  <si>
    <t>DIR ASSIGN CWIP VA &amp; TN</t>
  </si>
  <si>
    <t>DIR ASSIGN ACC DFD TAX VA</t>
  </si>
  <si>
    <t>DIR ASSIGN ACC ITC VA</t>
  </si>
  <si>
    <t>DIR ASSIGN RECONNECT REV.</t>
  </si>
  <si>
    <t>DIR ASSIGN OTHER SERVICE REV.</t>
  </si>
  <si>
    <t>DIR ASSIGN RETURN CHECK REV.</t>
  </si>
  <si>
    <t>DIR ASSIGN ACCT 369-SERV KY</t>
  </si>
  <si>
    <t>DIR ASSIGN ACCT 370 METERS KY</t>
  </si>
  <si>
    <t>DIR ASN ACCT 371 CUST INST KY</t>
  </si>
  <si>
    <t>DIR ASGN ACCT 373 ST LIGHT KY</t>
  </si>
  <si>
    <t>DIR ASN ACCT 371 CUST INST VA</t>
  </si>
  <si>
    <t>LATE PAYMENT REVENUES</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</si>
  <si>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</si>
  <si>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</si>
  <si>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</si>
  <si>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</si>
  <si>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</si>
  <si>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</si>
  <si>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</si>
  <si>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</si>
  <si>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</si>
  <si>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SCHEDULE B-2</t>
  </si>
  <si>
    <t>PLANT IN SERVICE BY MAJOR PROPERTY GROUPING</t>
  </si>
  <si>
    <t>MAJOR PROPERTY GROUPING</t>
  </si>
  <si>
    <t>STEAM PRODUCTION</t>
  </si>
  <si>
    <t>13 MO AVG FORECAST PERIOD        TOTAL COMPANY</t>
  </si>
  <si>
    <t>HYDO PRODUCTION</t>
  </si>
  <si>
    <t>OTHER PRODUCTION</t>
  </si>
  <si>
    <t>DISTRIBUTION</t>
  </si>
  <si>
    <t>GENERAL</t>
  </si>
  <si>
    <t>ELECTRIC:</t>
  </si>
  <si>
    <t>13 MO AVG ADJUSTED JURISDICTION</t>
  </si>
  <si>
    <t>TOTAL ELECTRIC</t>
  </si>
  <si>
    <t>SCHEDULE B-1</t>
  </si>
  <si>
    <t>JURISDICTIONAL RATE BASE SUMMARY</t>
  </si>
  <si>
    <t>RATE BASE COMPONENT</t>
  </si>
  <si>
    <t>SUPPORTING SCHEDULE REFERENCE</t>
  </si>
  <si>
    <t>BASE PERIOD</t>
  </si>
  <si>
    <t>13 MONTH AVG FORECAST PERIOD</t>
  </si>
  <si>
    <t>Accumulated Depreciation and Amortization</t>
  </si>
  <si>
    <t>Construction Work in Progress</t>
  </si>
  <si>
    <t>Cash Working Capital Allowance</t>
  </si>
  <si>
    <t>Property Held for Future Use</t>
  </si>
  <si>
    <t>B-2</t>
  </si>
  <si>
    <t>B-2.6</t>
  </si>
  <si>
    <t>B-3</t>
  </si>
  <si>
    <t>B-5</t>
  </si>
  <si>
    <t>B-4</t>
  </si>
  <si>
    <t>Other Working Capital Allowances</t>
  </si>
  <si>
    <t>Customer Advances for Construction</t>
  </si>
  <si>
    <t>B-6</t>
  </si>
  <si>
    <t>Deferred Income Taxes</t>
  </si>
  <si>
    <t>Investment Tax Credits</t>
  </si>
  <si>
    <t>Other Items</t>
  </si>
  <si>
    <t>Rate Base (Lines 6 through 12)</t>
  </si>
  <si>
    <t>WORKPAPER REFERENCE NO(S).: SEE BELOW</t>
  </si>
  <si>
    <t>WORKPAPER REFERENCE NO(S).:</t>
  </si>
  <si>
    <t>SCHEDULE B-3</t>
  </si>
  <si>
    <t>ACCUMULATED DEPRECIATION AND AMORTIZATION</t>
  </si>
  <si>
    <t>BASE PERIOD TOTAL COMPANY INVESTMENT</t>
  </si>
  <si>
    <t>TOTAL COMPANY</t>
  </si>
  <si>
    <t>RESERVE BALANCES</t>
  </si>
  <si>
    <t>RWIP</t>
  </si>
  <si>
    <t>Allocation</t>
  </si>
  <si>
    <t>SCHEDULE B-3.1</t>
  </si>
  <si>
    <t>ADJUSTMENTS TO ACCUMULATED DEPRECIATION AND AMORTIZATION</t>
  </si>
  <si>
    <t>Net Plant in Service (Lines 1+2+3)</t>
  </si>
  <si>
    <t>Net Plant (Lines 4+5)</t>
  </si>
  <si>
    <t>13 MONTH AVERAGE RESERVE BALANCES</t>
  </si>
  <si>
    <t xml:space="preserve">TOTAL ELECTRIC PLANT </t>
  </si>
  <si>
    <t>SCHEDULE B-4</t>
  </si>
  <si>
    <t>CONSTRUCTION AMOUNT</t>
  </si>
  <si>
    <t>AFUDC CAPITALIZED</t>
  </si>
  <si>
    <t>INDIRECT COSTS</t>
  </si>
  <si>
    <t>TOTAL COSTS</t>
  </si>
  <si>
    <t>ACCUMULATED COSTS</t>
  </si>
  <si>
    <t>SCHEDULE B-4.1</t>
  </si>
  <si>
    <t>CONSTRUCTION WORK IN PROGRESS - PERCENT COMPLETE</t>
  </si>
  <si>
    <t>(A)</t>
  </si>
  <si>
    <t>(B)</t>
  </si>
  <si>
    <t>PROJECT NO.</t>
  </si>
  <si>
    <t>DESCRIPTION OF PROJECT</t>
  </si>
  <si>
    <t>(C)</t>
  </si>
  <si>
    <t>DATE CONSTRUCTION BEGAN</t>
  </si>
  <si>
    <t>ESTIMATED COMPLETION DATE</t>
  </si>
  <si>
    <t>PERCENT OF ELAPSED TIME</t>
  </si>
  <si>
    <t>ORIGINAL BUDGET ESTIMATE</t>
  </si>
  <si>
    <t>CURRENT BUDGET ESTIMATE</t>
  </si>
  <si>
    <t>TOTAL PROJECT EXPENDITURES</t>
  </si>
  <si>
    <t>PERCENT OF TOTAL EXPENDITURES</t>
  </si>
  <si>
    <t>(D)</t>
  </si>
  <si>
    <t>(E)</t>
  </si>
  <si>
    <t>(F)</t>
  </si>
  <si>
    <t>(G)</t>
  </si>
  <si>
    <t>(H)</t>
  </si>
  <si>
    <t>(I)</t>
  </si>
  <si>
    <t>(J)=(I) / (H)</t>
  </si>
  <si>
    <t>PROJECT DURATION</t>
  </si>
  <si>
    <t>TIME PERIOD</t>
  </si>
  <si>
    <t>FROM PERIOD TO END OF PROJECT</t>
  </si>
  <si>
    <t>SCHEDULE B-3.2</t>
  </si>
  <si>
    <t>DEPRECIATION ACCRUAL RATES AND ACCUMULATED BALANCES BY ACCOUNT</t>
  </si>
  <si>
    <t>ACCOUNT TITLE OR MAJOR PROPERTY GROUPING</t>
  </si>
  <si>
    <t>PLANT INVESTMENT</t>
  </si>
  <si>
    <t>ACCUMULATED BALANCE</t>
  </si>
  <si>
    <t>CALCULATED DEPRECIATION EXPENSE</t>
  </si>
  <si>
    <t>(G=DxF)</t>
  </si>
  <si>
    <t>% NET SALVAGE</t>
  </si>
  <si>
    <t>CURVE FORM</t>
  </si>
  <si>
    <t>(J)</t>
  </si>
  <si>
    <t>CALC.</t>
  </si>
  <si>
    <t>CAPITAL</t>
  </si>
  <si>
    <t>COST OF</t>
  </si>
  <si>
    <t>GROSS</t>
  </si>
  <si>
    <t>NET</t>
  </si>
  <si>
    <t>ANNUAL</t>
  </si>
  <si>
    <t>RECOVERY</t>
  </si>
  <si>
    <t>REMOVAL</t>
  </si>
  <si>
    <t>SALVAGE</t>
  </si>
  <si>
    <t>COMPOSITE</t>
  </si>
  <si>
    <t>ACCRUAL</t>
  </si>
  <si>
    <t>SURVIVOR</t>
  </si>
  <si>
    <t>REMAINING</t>
  </si>
  <si>
    <t>ACCOUNT</t>
  </si>
  <si>
    <t>PERCENT</t>
  </si>
  <si>
    <t>RATE %</t>
  </si>
  <si>
    <t>RATE</t>
  </si>
  <si>
    <t>CURVE</t>
  </si>
  <si>
    <t>LIFE</t>
  </si>
  <si>
    <t xml:space="preserve">DEPRECIABLE PLANT </t>
  </si>
  <si>
    <t>FRANCHISES AND CONSENTS</t>
  </si>
  <si>
    <t>20-SQ</t>
  </si>
  <si>
    <t>MISCELLANEOUS INTANGIBLE PLANT</t>
  </si>
  <si>
    <t>5-SQ</t>
  </si>
  <si>
    <t>CCS SOFTWARE</t>
  </si>
  <si>
    <t>SQUARE</t>
  </si>
  <si>
    <t xml:space="preserve">    TOTAL INTANGIBLE PLANT </t>
  </si>
  <si>
    <t xml:space="preserve">STEAM PRODUCTION PLANT </t>
  </si>
  <si>
    <t xml:space="preserve">STRUCTURES AND IMPROVEMENTS                   </t>
  </si>
  <si>
    <t xml:space="preserve">  TRIMBLE COUNTY UNIT 2</t>
  </si>
  <si>
    <t xml:space="preserve">  TRIMBLE COUNTY UNIT 2 SCRUBBER</t>
  </si>
  <si>
    <t xml:space="preserve">  SYSTEM LABORATORY</t>
  </si>
  <si>
    <t xml:space="preserve">  TYRONE UNIT 3</t>
  </si>
  <si>
    <t xml:space="preserve">  TYRONE UNITS 1 AND 2</t>
  </si>
  <si>
    <t xml:space="preserve">  GREEN RIVER UNIT 3</t>
  </si>
  <si>
    <t xml:space="preserve">  GREEN RIVER UNIT 4</t>
  </si>
  <si>
    <t xml:space="preserve">  GREEN RIVER UNITS 1 AND 2</t>
  </si>
  <si>
    <t xml:space="preserve">  BROWN UNIT 1</t>
  </si>
  <si>
    <t xml:space="preserve">  BROWN UNIT 2</t>
  </si>
  <si>
    <t xml:space="preserve">  BROWN UNIT 3</t>
  </si>
  <si>
    <t xml:space="preserve">  BROWN UNIT 1, 2 AND 3 SCRUBBER</t>
  </si>
  <si>
    <t xml:space="preserve">  PINEVILLE UNIT 3</t>
  </si>
  <si>
    <t xml:space="preserve">  GHENT UNIT 1 SCRUBBER</t>
  </si>
  <si>
    <t xml:space="preserve">  GHENT UNIT 1  </t>
  </si>
  <si>
    <t xml:space="preserve">  GHENT UNIT 2</t>
  </si>
  <si>
    <t xml:space="preserve">  GHENT UNIT 3</t>
  </si>
  <si>
    <t xml:space="preserve">  GHENT UNIT 4</t>
  </si>
  <si>
    <t xml:space="preserve">  GHENT UNIT 2 SCRUBBER</t>
  </si>
  <si>
    <t>TOTAL ACCOUNT 311 - STRUCTURES AND IMPROVEMENTS</t>
  </si>
  <si>
    <t xml:space="preserve">BOILER PLANT EQUIPMENT </t>
  </si>
  <si>
    <t>60-R2.5</t>
  </si>
  <si>
    <t xml:space="preserve">  GHENT UNIT 3 SCRUBBER</t>
  </si>
  <si>
    <t xml:space="preserve">  GHENT UNIT 4 SCRUBBER</t>
  </si>
  <si>
    <t>TOTAL ACCOUNT 312 - BOILER PLANT EQUIPMENT</t>
  </si>
  <si>
    <t xml:space="preserve">TURBOGENERATOR UNITS </t>
  </si>
  <si>
    <t>TOTAL ACCOUNT 314 - TURBOGENERATOR UNITS</t>
  </si>
  <si>
    <t xml:space="preserve">ACCESSORY ELECTRIC EQUIPMENT </t>
  </si>
  <si>
    <t>70-S3</t>
  </si>
  <si>
    <t>TOTAL ACCOUNT 315 - ACCESSORY ELECTRIC EQUIPMENT</t>
  </si>
  <si>
    <t xml:space="preserve">MISCELLANEOUS POWER PLANT EQUIPMENT </t>
  </si>
  <si>
    <t>70-R1.5</t>
  </si>
  <si>
    <t xml:space="preserve">    TOTAL STEAM PRODUCTION PLANT </t>
  </si>
  <si>
    <t>LAND RIGHTS</t>
  </si>
  <si>
    <t xml:space="preserve">  DIX DAM  </t>
  </si>
  <si>
    <t>100-R4</t>
  </si>
  <si>
    <t>TOTAL ACCOUNT 330.1 - LAND RIGHTS</t>
  </si>
  <si>
    <t>STRUCTURES AND IMPROVEMENTS</t>
  </si>
  <si>
    <t xml:space="preserve">  DIX DAM                  </t>
  </si>
  <si>
    <t>90-S2.5</t>
  </si>
  <si>
    <t>TOTAL ACCOUNT 331 - STRUCTURES AND IMPROVEMENTS</t>
  </si>
  <si>
    <t>RESERVOIRS, DAMS AND WATERWAY</t>
  </si>
  <si>
    <t>TOTAL ACCOUNT 332 - RESERVOIRS, DAMS AND WATERWAYS</t>
  </si>
  <si>
    <t>WATER WHEELS, TURBINES AND GENERATORS</t>
  </si>
  <si>
    <t xml:space="preserve">  DIX DAM                   </t>
  </si>
  <si>
    <t>75-R3</t>
  </si>
  <si>
    <t>TOTAL ACCOUNT 333 - WATER WHEELS, TURBINES AND GENERATORS</t>
  </si>
  <si>
    <t>ACCESSORY ELECTRIC EQUIPMENT</t>
  </si>
  <si>
    <t>40-L2.5</t>
  </si>
  <si>
    <t>TOTAL ACCOUNT 334 - ACCESSORY ELECTRIC EQUIPMENT</t>
  </si>
  <si>
    <t>MISCELLANEOUS POWER PLANT EQUIPMENT</t>
  </si>
  <si>
    <t>TOTAL ACCOUNT 335 - MISCELLANEOUS POWER PLANT EQUIPMENT</t>
  </si>
  <si>
    <t>ROADS, RAILROADS AND BRIDGES</t>
  </si>
  <si>
    <t>TOTAL ACCOUNT 336 - ROADS, RAILROADS AND BRIDGES</t>
  </si>
  <si>
    <t xml:space="preserve">    TOTAL HYDRAULIC PRODUCTION PLANT </t>
  </si>
  <si>
    <t xml:space="preserve">  BROWN CT UNIT 9 GAS PIPE</t>
  </si>
  <si>
    <t>TOTAL ACCOUNT 340.1 - LAND RIGHTS</t>
  </si>
  <si>
    <t xml:space="preserve">  TRIMBLE COUNTY CT 5</t>
  </si>
  <si>
    <t xml:space="preserve">  TRIMBLE COUNTY CT 6</t>
  </si>
  <si>
    <t xml:space="preserve">  TRIMBLE COUNTY CT 7</t>
  </si>
  <si>
    <t xml:space="preserve">  TRIMBLE COUNTY CT 8</t>
  </si>
  <si>
    <t xml:space="preserve">  TRIMBLE COUNTY CT 9</t>
  </si>
  <si>
    <t xml:space="preserve">  TRIMBLE COUNTY CT 10</t>
  </si>
  <si>
    <t xml:space="preserve">  BROWN CT 5</t>
  </si>
  <si>
    <t xml:space="preserve">  BROWN CT 6</t>
  </si>
  <si>
    <t xml:space="preserve">  BROWN CT 7</t>
  </si>
  <si>
    <t xml:space="preserve">  BROWN CT 8</t>
  </si>
  <si>
    <t xml:space="preserve">  BROWN CT 9</t>
  </si>
  <si>
    <t xml:space="preserve">  BROWN CT 10</t>
  </si>
  <si>
    <t xml:space="preserve">  BROWN CT 11</t>
  </si>
  <si>
    <t xml:space="preserve">  HAEFLING UNITS 1, 2 AND 3</t>
  </si>
  <si>
    <t xml:space="preserve">  PADDY'S RUN GENERATOR 13</t>
  </si>
  <si>
    <t>TOTAL ACCOUNT 341 - STRUCTURES AND IMPROVEMENTS</t>
  </si>
  <si>
    <t>FUEL HOLDERS, PRODUCERS AND ACCESSORIES</t>
  </si>
  <si>
    <t>45-R2.5</t>
  </si>
  <si>
    <t xml:space="preserve">  TRIMBLE COUNTY CT PIPELINE</t>
  </si>
  <si>
    <t>TOTAL ACCOUNT 342 - FUEL HOLDERS, PRODUCERS AND ACCESSORIES</t>
  </si>
  <si>
    <t>PRIME MOVERS</t>
  </si>
  <si>
    <t>35-R1.5</t>
  </si>
  <si>
    <t>TOTAL ACCOUNT 343 - PRIME MOVERS</t>
  </si>
  <si>
    <t xml:space="preserve">GENERATORS                                    </t>
  </si>
  <si>
    <t>TOTAL ACCOUNT 344 - GENERATORS</t>
  </si>
  <si>
    <t xml:space="preserve">ACCESSORY ELECTRIC EQUIPMENT                  </t>
  </si>
  <si>
    <t>TOTAL ACCOUNT 345 - ACCESSORY ELECTRIC EQUIPMENT</t>
  </si>
  <si>
    <t xml:space="preserve">MISCELLANEOUS POWER PLANT EQUIPMENT                 </t>
  </si>
  <si>
    <t>TOTAL ACCOUNT 346 - MISCELLANEOUS POWER PLANT EQUIPMENT</t>
  </si>
  <si>
    <t xml:space="preserve">    TOTAL OTHER PRODUCTION PLANT </t>
  </si>
  <si>
    <t xml:space="preserve">TRANSMISSION PLANT </t>
  </si>
  <si>
    <t xml:space="preserve">LAND RIGHTS        </t>
  </si>
  <si>
    <t>STRUCTURES AND IMPROVEMENTS - NON SYS CONTROL/COM</t>
  </si>
  <si>
    <t xml:space="preserve">STRUCTURES AND IMPROVEMENTS - SYS CONTROL/COM  </t>
  </si>
  <si>
    <t xml:space="preserve">STATION EQUIPMENT - NON SYS CONTROL/COM      </t>
  </si>
  <si>
    <t>60-R2</t>
  </si>
  <si>
    <t xml:space="preserve">STATION EQUIPMENT - SYS CONTROL/COM          </t>
  </si>
  <si>
    <t xml:space="preserve">TOWERS AND FIXTURES                          </t>
  </si>
  <si>
    <t>70-R4</t>
  </si>
  <si>
    <t xml:space="preserve">POLES AND FIXTURES                           </t>
  </si>
  <si>
    <t xml:space="preserve">OVERHEAD CONDUCTORS AND DEVICES              </t>
  </si>
  <si>
    <t xml:space="preserve">UNDERGROUND CONDUIT                          </t>
  </si>
  <si>
    <t xml:space="preserve">UNDERGROUND CONDUCTORS AND DEVICES           </t>
  </si>
  <si>
    <t xml:space="preserve">    TOTAL TRANSMISSION PLANT </t>
  </si>
  <si>
    <t xml:space="preserve">DISTRIBUTION PLANT </t>
  </si>
  <si>
    <t xml:space="preserve">LAND RIGHTS               </t>
  </si>
  <si>
    <t>65-R4</t>
  </si>
  <si>
    <t xml:space="preserve">STRUCTURES AND IMPROVEMENTS         </t>
  </si>
  <si>
    <t xml:space="preserve">STATION EQUIPMENT                  </t>
  </si>
  <si>
    <t>54-R2</t>
  </si>
  <si>
    <t xml:space="preserve">POLES, TOWERS AND FIXTURES        </t>
  </si>
  <si>
    <t xml:space="preserve">OVERHEAD CONDUCTORS AND DEVICES    </t>
  </si>
  <si>
    <t xml:space="preserve">UNDERGROUND CONDUIT                 </t>
  </si>
  <si>
    <t>50-R4</t>
  </si>
  <si>
    <t xml:space="preserve">UNDERGROUND CONDUCTORS AND DEVICES </t>
  </si>
  <si>
    <t xml:space="preserve">LINE TRANSFORMERS                  </t>
  </si>
  <si>
    <t xml:space="preserve">SERVICES                           </t>
  </si>
  <si>
    <t xml:space="preserve">METERS                             </t>
  </si>
  <si>
    <t xml:space="preserve">INSTALLATIONS ON CUSTOMER PREMISES </t>
  </si>
  <si>
    <t xml:space="preserve">STREET LIGHTING AND SIGNAL SYSTEMS </t>
  </si>
  <si>
    <t xml:space="preserve">    TOTAL DISTRIBUTION PLANT </t>
  </si>
  <si>
    <t xml:space="preserve">GENERAL PLANT </t>
  </si>
  <si>
    <t>STRUCTURES AND IMPROVEMENTS - TO OWNED PROPERTY</t>
  </si>
  <si>
    <t>STRUCTURES AND IMPROVEMENTS - LEASEHOLDS</t>
  </si>
  <si>
    <t xml:space="preserve">OFFICE FURNITURE AND EQUIPMENT               </t>
  </si>
  <si>
    <t xml:space="preserve">NON PC COMPUTER EQUIPMENT                    </t>
  </si>
  <si>
    <t>PERSONAL COMPUTERS</t>
  </si>
  <si>
    <t>4-SQ</t>
  </si>
  <si>
    <t>TRANSPORTATION EQUIPMENT - CARS AND LIGHT TRUCKS</t>
  </si>
  <si>
    <t>TRANSPORTATION EQUIPMENT - HEAVY TRUCKS AND OTHER</t>
  </si>
  <si>
    <t xml:space="preserve">STORES EQUIPMENT                             </t>
  </si>
  <si>
    <t>25-SQ</t>
  </si>
  <si>
    <t xml:space="preserve">TOOLS, SHOP AND GARAGE EQUIPMENT             </t>
  </si>
  <si>
    <t xml:space="preserve">POWER OPERATED EQUIPMENT - LARGE MACHINERY            </t>
  </si>
  <si>
    <t>10-SQ</t>
  </si>
  <si>
    <t xml:space="preserve">    TOTAL GENERAL PLANT </t>
  </si>
  <si>
    <t xml:space="preserve">    TOTAL DEPRECIABLE PLANT </t>
  </si>
  <si>
    <t>5-SQ, SQUARE</t>
  </si>
  <si>
    <t xml:space="preserve">WORKPAPER REFERENCE NO(S).: </t>
  </si>
  <si>
    <t>ARO amounts excluded from rate base</t>
  </si>
  <si>
    <t>ALLOWANCE FOR WORKING CAPITAL</t>
  </si>
  <si>
    <t>SCHEDULE B-5</t>
  </si>
  <si>
    <t>WORKING CAPITAL COMPONENT</t>
  </si>
  <si>
    <t>DESCRIPTION OF METHODOLOGY USED TO DETERMINE JURISDICTIONAL REQUIREMENT</t>
  </si>
  <si>
    <t>JURISDICTIONAL AMOUNT</t>
  </si>
  <si>
    <t>FUEL STOCK</t>
  </si>
  <si>
    <t>MATERIAL AND SUPPLIES</t>
  </si>
  <si>
    <t>CASH WORKING CAPITAL</t>
  </si>
  <si>
    <t>TOTAL WORKING CAPITAL REQUIREMENTS</t>
  </si>
  <si>
    <t>PREPAYMENTS (a)</t>
  </si>
  <si>
    <t>(a) Excludes PSC fees.</t>
  </si>
  <si>
    <t>13 MONTH AVERAGE BALANCE</t>
  </si>
  <si>
    <t>B-5.1</t>
  </si>
  <si>
    <t>B-5.2</t>
  </si>
  <si>
    <t>SCHEDULE B-5.1</t>
  </si>
  <si>
    <t>13 MONTH AVERAGE FOR PERIOD</t>
  </si>
  <si>
    <t>TOTAL OTHER WORKING CAPITAL</t>
  </si>
  <si>
    <t>OTHER WORKING CAPITAL COMPONENTS</t>
  </si>
  <si>
    <t>CASH WORKING CAPITAL COMPONENTS</t>
  </si>
  <si>
    <t>SCHEDULE B-5.2</t>
  </si>
  <si>
    <t>ELECTRIC POWER PURCHASED</t>
  </si>
  <si>
    <t>O&amp;M LESS PURCHASE POWER EXPENSE (LINE 1 - 2)</t>
  </si>
  <si>
    <t>SCHEDULE B-6</t>
  </si>
  <si>
    <t>CERTAIN DEFERRED CREDITS AND ACCUMULATED DEFERRED INCOME TAXES</t>
  </si>
  <si>
    <t>Deferred Investment Tax Credits</t>
  </si>
  <si>
    <t>UTILITY PLANT</t>
  </si>
  <si>
    <t>CURRENT AND ACCRUED ASSETS</t>
  </si>
  <si>
    <t>Total Current and Accrued Assets</t>
  </si>
  <si>
    <t>PROPRIETARY CAPITAL</t>
  </si>
  <si>
    <t>LONG-TERM DEBT</t>
  </si>
  <si>
    <t>CURRENT AND ACCRUED LIABILITIES</t>
  </si>
  <si>
    <t>Total Current and Accrued Liabilities</t>
  </si>
  <si>
    <t>DEFERRED CREDITS</t>
  </si>
  <si>
    <t>Total Deferred Credits</t>
  </si>
  <si>
    <t>190, 282, 283</t>
  </si>
  <si>
    <t>DESCRIPTION OF FACTORS AND/OR METHOD OF ALLOCATION</t>
  </si>
  <si>
    <t>SCHEDULE B-7</t>
  </si>
  <si>
    <t>JURISDICTIONAL PERCENTAGE</t>
  </si>
  <si>
    <t>COMPARATIVE BALANCE SHEETS</t>
  </si>
  <si>
    <t xml:space="preserve">WORKPAPER REFERENCE NO(S).:  </t>
  </si>
  <si>
    <t>Utility Plant</t>
  </si>
  <si>
    <t>Total Deferred Debits</t>
  </si>
  <si>
    <t>Total Assets</t>
  </si>
  <si>
    <t>SCHEDULE B-8</t>
  </si>
  <si>
    <t>FORECAST</t>
  </si>
  <si>
    <t>PERIOD</t>
  </si>
  <si>
    <t>% CHANGE</t>
  </si>
  <si>
    <t>BASE</t>
  </si>
  <si>
    <t>LINE</t>
  </si>
  <si>
    <t>NO.</t>
  </si>
  <si>
    <t>SCHEDULE B-7.1</t>
  </si>
  <si>
    <t>JURISDICTIONAL STATISTICS - RATE BASE</t>
  </si>
  <si>
    <t>STATISTIC TOTAL COMPANY</t>
  </si>
  <si>
    <t>ADJUSTMENT TO TOTAL COMPANY STATISTIC</t>
  </si>
  <si>
    <t>ADJUSTED STATISTIC FOR TOTAL COMPANY</t>
  </si>
  <si>
    <t>(E=C+D)</t>
  </si>
  <si>
    <t>ALLOCATION FACTOR %</t>
  </si>
  <si>
    <t>(G=F/E)</t>
  </si>
  <si>
    <t>PROCEDURES APPROVED IN PRIOR CASE</t>
  </si>
  <si>
    <t>RATIONALE FOR CHANGE</t>
  </si>
  <si>
    <t>EXPLANATION OF CHANGES IN JURISDICTIONAL PROCEDURES - RATE BASE</t>
  </si>
  <si>
    <t>SCHEDULE B-7.2</t>
  </si>
  <si>
    <t>13 MO AVG</t>
  </si>
  <si>
    <t>Ending CWIP</t>
  </si>
  <si>
    <t xml:space="preserve">   KU Distribution - KY </t>
  </si>
  <si>
    <t xml:space="preserve">   KU Distribution - VA </t>
  </si>
  <si>
    <t xml:space="preserve">   KU General - KY </t>
  </si>
  <si>
    <t xml:space="preserve">   KU General - VA </t>
  </si>
  <si>
    <t xml:space="preserve">   KU Hydro Production </t>
  </si>
  <si>
    <t xml:space="preserve">   KU Intangible - KY </t>
  </si>
  <si>
    <t xml:space="preserve">   KU Land - KY </t>
  </si>
  <si>
    <t xml:space="preserve">   KU Other Production </t>
  </si>
  <si>
    <t xml:space="preserve">   KU Steam Production </t>
  </si>
  <si>
    <t xml:space="preserve">   KU Steam Production ECR 2009 </t>
  </si>
  <si>
    <t xml:space="preserve">   KU Steam Production ECR 2011 </t>
  </si>
  <si>
    <t xml:space="preserve">   KU Steam Production ECR Future Plan </t>
  </si>
  <si>
    <t xml:space="preserve">   KU Transmission - KY </t>
  </si>
  <si>
    <t xml:space="preserve">   KU Transmission - VA </t>
  </si>
  <si>
    <t xml:space="preserve">   KY CWIP &amp; RWIP Total </t>
  </si>
  <si>
    <t>CWIP FERC AFUDC - POST</t>
  </si>
  <si>
    <t>Ending RWIP</t>
  </si>
  <si>
    <t>ASSETS</t>
  </si>
  <si>
    <t>Total Utility Plant</t>
  </si>
  <si>
    <t>Less: Accumulated Provision for Depreciation</t>
  </si>
  <si>
    <t>Net Utility Plant</t>
  </si>
  <si>
    <t>OTHER PROPERTY AND INVESTMENTS</t>
  </si>
  <si>
    <t>Nonutility Property-Less Reserve</t>
  </si>
  <si>
    <t>Investment in Subsidiary Companies</t>
  </si>
  <si>
    <t>Other Investments</t>
  </si>
  <si>
    <t>Special Funds</t>
  </si>
  <si>
    <t>Total Other Property and Investments</t>
  </si>
  <si>
    <t>Cash</t>
  </si>
  <si>
    <t>Special Deposits</t>
  </si>
  <si>
    <t>Working Funds</t>
  </si>
  <si>
    <t>Temporary Cash Investments</t>
  </si>
  <si>
    <t>Customer Accounts Receivable</t>
  </si>
  <si>
    <t>Other Accounts Receivable</t>
  </si>
  <si>
    <t>Less: Accum Prov. for Uncollectable Accts-Credit</t>
  </si>
  <si>
    <t>Accounts Receivable from Associated Companies</t>
  </si>
  <si>
    <t>Fuel</t>
  </si>
  <si>
    <t>Plant Materials and Operating Supplies</t>
  </si>
  <si>
    <t>Allowances</t>
  </si>
  <si>
    <t>Stores Expense Undistributed</t>
  </si>
  <si>
    <t>Prepayments</t>
  </si>
  <si>
    <t>Accrued Utility Revenues</t>
  </si>
  <si>
    <t>Miscellaneous Current Assets</t>
  </si>
  <si>
    <t>DEFERRED DEBITS</t>
  </si>
  <si>
    <t>Unamortized Debt Expense</t>
  </si>
  <si>
    <t>Other Regulatory Assets</t>
  </si>
  <si>
    <t>Preliminary Survey and Inventory</t>
  </si>
  <si>
    <t>Clearing Accounts</t>
  </si>
  <si>
    <t>Miscellaneous Deferred Debits</t>
  </si>
  <si>
    <t>Unamortized Loss on Re-Acquired Debt</t>
  </si>
  <si>
    <t>Accumulated Deferred Income Taxes</t>
  </si>
  <si>
    <t>LIABILITIES &amp; PROPRIETARY CAPITAL</t>
  </si>
  <si>
    <t>Common Stock Issued</t>
  </si>
  <si>
    <t>Paid in Capital</t>
  </si>
  <si>
    <t>(Less) Capital Stock Expense</t>
  </si>
  <si>
    <t>Other Comprehensive Income</t>
  </si>
  <si>
    <t>Retained Earnings</t>
  </si>
  <si>
    <t>Unappropriated Undistributed Subsidiary Earnings</t>
  </si>
  <si>
    <t>Total Proprietary Capital</t>
  </si>
  <si>
    <t>Bonds</t>
  </si>
  <si>
    <t>Unamortized Discount on Long-Term Debt</t>
  </si>
  <si>
    <t>Total Long-Term Debt</t>
  </si>
  <si>
    <t>OTHER NON-CURRENT LIABILITIES</t>
  </si>
  <si>
    <t>Accumulated Provision for Injuries and Damages</t>
  </si>
  <si>
    <t>Accumulated Provision for Pensions and Benefits</t>
  </si>
  <si>
    <t>Total Other Non-Current Liabilities</t>
  </si>
  <si>
    <t>Accounts Payable</t>
  </si>
  <si>
    <t>Accounts Payable to Associated Companies</t>
  </si>
  <si>
    <t>Customer Deposits</t>
  </si>
  <si>
    <t>Taxes Accrued</t>
  </si>
  <si>
    <t>Interest Accrued</t>
  </si>
  <si>
    <t>Tax Collections Payable</t>
  </si>
  <si>
    <t>Miscellaneous Current and Accrued Liabilities</t>
  </si>
  <si>
    <t>Accumulated Deferred Investment Tax Credits</t>
  </si>
  <si>
    <t>Other Deferred Credits</t>
  </si>
  <si>
    <t>Other Regulatory Liabilities</t>
  </si>
  <si>
    <t>Asset Retirement Obligation</t>
  </si>
  <si>
    <t>Miscellaneous Long-Term Liabilities</t>
  </si>
  <si>
    <t>Total Liabilities and Stockholders Equity</t>
  </si>
  <si>
    <t>Notes Payable</t>
  </si>
  <si>
    <t>Notes Payable to Associated Companies</t>
  </si>
  <si>
    <t>Long-Term Debt to Associated Companies</t>
  </si>
  <si>
    <t>B-1</t>
  </si>
  <si>
    <t>B-2.1</t>
  </si>
  <si>
    <t>B-2.2</t>
  </si>
  <si>
    <t>B-2.3</t>
  </si>
  <si>
    <t>B-2.4</t>
  </si>
  <si>
    <t>B-2.5</t>
  </si>
  <si>
    <t>B-3.1</t>
  </si>
  <si>
    <t>B-4.1</t>
  </si>
  <si>
    <t>B-7</t>
  </si>
  <si>
    <t>B-7.1</t>
  </si>
  <si>
    <t>B-7.2</t>
  </si>
  <si>
    <t>SCHEDULE</t>
  </si>
  <si>
    <t>B-2.7</t>
  </si>
  <si>
    <t>B-8</t>
  </si>
  <si>
    <t>ACQUISITION COST</t>
  </si>
  <si>
    <t>13 MO AVG PLANT INVESTMENT</t>
  </si>
  <si>
    <t>13 MO AVG ACCUMULATED BALANCE</t>
  </si>
  <si>
    <t>Non-utility property not included in rate base</t>
  </si>
  <si>
    <t>THE COMPANY DOES NOT HAVE ANY CAPITAL LEASES.</t>
  </si>
  <si>
    <t>THE COMPANY HAS NOT MERGED OR ACQUIRED PROPERTY FROM OTHER THAN AFFILIATED COMPANIES.</t>
  </si>
  <si>
    <t>SCHEDULE  B</t>
  </si>
  <si>
    <t>JURISDICTIONAL RATE BASE SUMMARY FOR THE BASE AND FORECASTED PERIOD</t>
  </si>
  <si>
    <t>BASE PERIOD:</t>
  </si>
  <si>
    <t>FORECASTED TEST PERIOD:</t>
  </si>
  <si>
    <t>RATE BASE SUMMARY</t>
  </si>
  <si>
    <t>PLANT IN SERVICE BY MAJOR GROUPING</t>
  </si>
  <si>
    <t>GROSS ADDITIONS, RETIREMENTS AND TRANSFERS</t>
  </si>
  <si>
    <t>DEFERRED CREDITS AND ACCUMULATED DEFERRED INCOME TAXES</t>
  </si>
  <si>
    <t>JURISDICTIONAL PERCENTAGES</t>
  </si>
  <si>
    <t>EXPLANATION OF CHANGES IN JURISDICTIONAL PROCEDURES</t>
  </si>
  <si>
    <t xml:space="preserve">Augusta </t>
  </si>
  <si>
    <t>Blackmount Substation</t>
  </si>
  <si>
    <t>Campbellsville</t>
  </si>
  <si>
    <t>Carrollton</t>
  </si>
  <si>
    <t>Cumberland Substation</t>
  </si>
  <si>
    <t>Graham Generating Plant</t>
  </si>
  <si>
    <t>Iron Works Pike Substation</t>
  </si>
  <si>
    <t>Lexington Generating Plant</t>
  </si>
  <si>
    <t>Lexington</t>
  </si>
  <si>
    <t>Middlesboro</t>
  </si>
  <si>
    <t>Nortonville</t>
  </si>
  <si>
    <t>Pineville</t>
  </si>
  <si>
    <t>Williamsburg</t>
  </si>
  <si>
    <t>Retired Great Crossing substation 0672</t>
  </si>
  <si>
    <t>Retired London Substation 0533</t>
  </si>
  <si>
    <t>Richmond Substation</t>
  </si>
  <si>
    <t>Richmond Valley View Plant Site</t>
  </si>
  <si>
    <t>Russell Springs</t>
  </si>
  <si>
    <t>Salt Lick</t>
  </si>
  <si>
    <t>Stamping Ground</t>
  </si>
  <si>
    <t>Winchester</t>
  </si>
  <si>
    <t>Graham Generating Plant - Land Rights</t>
  </si>
  <si>
    <t>Morehead - Land Rights</t>
  </si>
  <si>
    <t>Nortonville - Land Rights</t>
  </si>
  <si>
    <t>Williamsburg - Land Rights</t>
  </si>
  <si>
    <t>Land and Land Rights:</t>
  </si>
  <si>
    <t>Land and site prep located at Pennington Gap intended for Substation</t>
  </si>
  <si>
    <t>301</t>
  </si>
  <si>
    <t>Organization</t>
  </si>
  <si>
    <t>302</t>
  </si>
  <si>
    <t>Franchises and Consents</t>
  </si>
  <si>
    <t>303</t>
  </si>
  <si>
    <t>Misc Intangible Plant</t>
  </si>
  <si>
    <t>310</t>
  </si>
  <si>
    <t>311</t>
  </si>
  <si>
    <t>312</t>
  </si>
  <si>
    <t>Boiler Plant Equipment</t>
  </si>
  <si>
    <t>314</t>
  </si>
  <si>
    <t>Turbogenerator Units</t>
  </si>
  <si>
    <t>315</t>
  </si>
  <si>
    <t>Accessory Electric Equipment</t>
  </si>
  <si>
    <t>316</t>
  </si>
  <si>
    <t>Misc Power Plant Equip</t>
  </si>
  <si>
    <t>317</t>
  </si>
  <si>
    <t>330</t>
  </si>
  <si>
    <t>331</t>
  </si>
  <si>
    <t>332</t>
  </si>
  <si>
    <t>Reservoirs, Dams, and Water</t>
  </si>
  <si>
    <t>333</t>
  </si>
  <si>
    <t>Water Wheels, Turbines, Generators</t>
  </si>
  <si>
    <t>334</t>
  </si>
  <si>
    <t>335</t>
  </si>
  <si>
    <t>Misc Power Plant Equipment</t>
  </si>
  <si>
    <t>336</t>
  </si>
  <si>
    <t>Roads, Railroads, and Bridges</t>
  </si>
  <si>
    <t>337</t>
  </si>
  <si>
    <t>340</t>
  </si>
  <si>
    <t>341</t>
  </si>
  <si>
    <t>342</t>
  </si>
  <si>
    <t>Fuel Holders, Producers, Accessories</t>
  </si>
  <si>
    <t>343</t>
  </si>
  <si>
    <t>Prime Movers</t>
  </si>
  <si>
    <t>ARO Cost Steam Production</t>
  </si>
  <si>
    <t>ARO Cost Hydro Production</t>
  </si>
  <si>
    <t>344</t>
  </si>
  <si>
    <t>Generators</t>
  </si>
  <si>
    <t>345</t>
  </si>
  <si>
    <t>346</t>
  </si>
  <si>
    <t>347</t>
  </si>
  <si>
    <t>350</t>
  </si>
  <si>
    <t>352</t>
  </si>
  <si>
    <t>353</t>
  </si>
  <si>
    <t>354</t>
  </si>
  <si>
    <t>Towers and Fixtures</t>
  </si>
  <si>
    <t>355</t>
  </si>
  <si>
    <t>Poles and Fixtures</t>
  </si>
  <si>
    <t>356</t>
  </si>
  <si>
    <t>OH Conductors and Devices</t>
  </si>
  <si>
    <t>357</t>
  </si>
  <si>
    <t>Underground Conduit</t>
  </si>
  <si>
    <t>358</t>
  </si>
  <si>
    <t>UG Conductors and Devices</t>
  </si>
  <si>
    <t>359</t>
  </si>
  <si>
    <t>360</t>
  </si>
  <si>
    <t>361</t>
  </si>
  <si>
    <t>362</t>
  </si>
  <si>
    <t>Station Equipment</t>
  </si>
  <si>
    <t>364</t>
  </si>
  <si>
    <t>Poles, Towers, and Fixtures</t>
  </si>
  <si>
    <t>365</t>
  </si>
  <si>
    <t>366</t>
  </si>
  <si>
    <t>367</t>
  </si>
  <si>
    <t>368</t>
  </si>
  <si>
    <t>Line Transformers</t>
  </si>
  <si>
    <t>369</t>
  </si>
  <si>
    <t>Services</t>
  </si>
  <si>
    <t>370</t>
  </si>
  <si>
    <t>Meters</t>
  </si>
  <si>
    <t>371</t>
  </si>
  <si>
    <t>Install on Customer Premise</t>
  </si>
  <si>
    <t>373</t>
  </si>
  <si>
    <t>Street Lighting / Signal Systems</t>
  </si>
  <si>
    <t>374</t>
  </si>
  <si>
    <t>ARO Cost Other Production</t>
  </si>
  <si>
    <t>389</t>
  </si>
  <si>
    <t>390</t>
  </si>
  <si>
    <t>391</t>
  </si>
  <si>
    <t>392</t>
  </si>
  <si>
    <t>393</t>
  </si>
  <si>
    <t>Stores Equipment</t>
  </si>
  <si>
    <t>394</t>
  </si>
  <si>
    <t>Tools, Shop, and Garage Equipment</t>
  </si>
  <si>
    <t>395</t>
  </si>
  <si>
    <t>Laboratory Equipment</t>
  </si>
  <si>
    <t>396</t>
  </si>
  <si>
    <t>Power Operated Equipment</t>
  </si>
  <si>
    <t>397</t>
  </si>
  <si>
    <t>398</t>
  </si>
  <si>
    <t>Miscellaneous Equipment</t>
  </si>
  <si>
    <t>PRODUCTION</t>
  </si>
  <si>
    <t>ADJUSTMENTS TO CONSTRUCTION WORK IN PROGRESS</t>
  </si>
  <si>
    <t>SCHEDULE B-4.2</t>
  </si>
  <si>
    <t>Remove ECR CWIP</t>
  </si>
  <si>
    <t>Interest, Dividends and Rents Receivable</t>
  </si>
  <si>
    <t>Check</t>
  </si>
  <si>
    <t>13 Month Average</t>
  </si>
  <si>
    <t>CO</t>
  </si>
  <si>
    <t>ST</t>
  </si>
  <si>
    <t>ACCT</t>
  </si>
  <si>
    <t>Ending Gross Plant Balance</t>
  </si>
  <si>
    <t xml:space="preserve">   KU-1301 KY - Intangible - Organization </t>
  </si>
  <si>
    <t xml:space="preserve">   KU-1301 VA - Intangible - Organization </t>
  </si>
  <si>
    <t xml:space="preserve">   KU-1302 - Intangible - Franchises and Consents </t>
  </si>
  <si>
    <t xml:space="preserve">   KU-1303 - Intangible - Software </t>
  </si>
  <si>
    <t xml:space="preserve">   KU-1303 - Intangible - Software - CCS </t>
  </si>
  <si>
    <t xml:space="preserve">   KU-1310 - Steam Production - ECR 2009 </t>
  </si>
  <si>
    <t xml:space="preserve">   KU-1310 - Steam Production - ECR 2011 </t>
  </si>
  <si>
    <t xml:space="preserve">   KU-1310 - Steam Production - Land &amp; Land Rights </t>
  </si>
  <si>
    <t xml:space="preserve">   KU-1311 - Steam Production - ECR 2009 </t>
  </si>
  <si>
    <t xml:space="preserve">   KU-1311 - Steam Production - Structures and Improvements </t>
  </si>
  <si>
    <t xml:space="preserve">   KU-1312 - Steam Production - Boiler Plant Equipment </t>
  </si>
  <si>
    <t xml:space="preserve">   KU-1312 - Steam Production - ECR 2009 </t>
  </si>
  <si>
    <t xml:space="preserve">   KU-1312 - Steam Production - ECR 2011 </t>
  </si>
  <si>
    <t xml:space="preserve">   KU-1312 - Steam Production - ECR Future Plan </t>
  </si>
  <si>
    <t xml:space="preserve">   KU-1314 - Steam Production - Turbogenerator Units </t>
  </si>
  <si>
    <t xml:space="preserve">   KU-1315 - Steam Production - Accessory Electric Equipment </t>
  </si>
  <si>
    <t xml:space="preserve">   KU-1315 - Steam Production - ECR 2011 </t>
  </si>
  <si>
    <t xml:space="preserve">   KU-1316 - Steam Production - Misc Power Plant Equipment </t>
  </si>
  <si>
    <t xml:space="preserve">   KU-1317 - Steam Production - ARO </t>
  </si>
  <si>
    <t xml:space="preserve">   KU-1330 - Hydro Production - Land &amp; Land Rights </t>
  </si>
  <si>
    <t xml:space="preserve">   KU-1331 - Hydro Production - Structures and Improvements </t>
  </si>
  <si>
    <t xml:space="preserve">   KU-1332 - Hydro Production - Reservoirs, Dams, and Water </t>
  </si>
  <si>
    <t xml:space="preserve">   KU-1333 - Hydro Production - Water Wheels, Turbine Gen </t>
  </si>
  <si>
    <t xml:space="preserve">   KU-1334 - Hydro Production - Accessory Electric Equipment </t>
  </si>
  <si>
    <t xml:space="preserve">   KU-1335 - Hydro Production - Misc Power Plant Equipment </t>
  </si>
  <si>
    <t xml:space="preserve">   KU-1336 - Hydro Production - Roads, Railroads, and Bridges </t>
  </si>
  <si>
    <t xml:space="preserve">   KU-1337 - Hydro Production - ARO </t>
  </si>
  <si>
    <t xml:space="preserve">   KU-1340 - Other Production - Land &amp; Land Rights </t>
  </si>
  <si>
    <t xml:space="preserve">   KU-1341 - Other Production - Structures and Improvements </t>
  </si>
  <si>
    <t xml:space="preserve">   KU-1342 - Other Production - Fuel Holders, Producers, Acc </t>
  </si>
  <si>
    <t xml:space="preserve">   KU-1343 - Other Production - Prime Movers </t>
  </si>
  <si>
    <t xml:space="preserve">   KU-1344 - Other Production - Generators </t>
  </si>
  <si>
    <t xml:space="preserve">   KU-1345 - Other Production - Accessory Electric Equipment </t>
  </si>
  <si>
    <t xml:space="preserve">   KU-1346 - Other Production - Misc Power Plant Equipment </t>
  </si>
  <si>
    <t xml:space="preserve">   KU-1350 KY - Electric Transmission - Land &amp; Land Rights </t>
  </si>
  <si>
    <t xml:space="preserve">   KU-1350 TN - Electric Transmission - Land &amp; Land Rights </t>
  </si>
  <si>
    <t xml:space="preserve">   KU-1350 VA - Electric Transmission - Land &amp; Land Rights </t>
  </si>
  <si>
    <t xml:space="preserve">   KU-1352 - Electric Transmission - Structures and Improvements </t>
  </si>
  <si>
    <t xml:space="preserve">   KU-1352 KY - Electric Transmission - Structures and Improvements </t>
  </si>
  <si>
    <t xml:space="preserve">   KU-1352 VA - Electric Transmission - Structures and Improvements </t>
  </si>
  <si>
    <t xml:space="preserve">   KU-1353 KY - Electric Transmission - Station Equipment </t>
  </si>
  <si>
    <t xml:space="preserve">   KU-1353 SYSTEM - Electric Transmission - Station Equipment </t>
  </si>
  <si>
    <t xml:space="preserve">   KU-1353 VA - Electric Transmission - Station Equipment </t>
  </si>
  <si>
    <t xml:space="preserve">   KU-1354 KY - Electric Transmission - Towers and Fixtures </t>
  </si>
  <si>
    <t xml:space="preserve">   KU-1354 VA - Electric Transmission - Towers and Fixtures </t>
  </si>
  <si>
    <t xml:space="preserve">   KU-1355 KY - Electric Transmission - Poles and Fixtures </t>
  </si>
  <si>
    <t xml:space="preserve">   KU-1355 TN - Electric Transmission - Poles and Fixtures </t>
  </si>
  <si>
    <t xml:space="preserve">   KU-1355 VA - Electric Transmission - Poles and Fixtures </t>
  </si>
  <si>
    <t xml:space="preserve">   KU-1356 KY - Electric Transmission - OH Conductors and Devices </t>
  </si>
  <si>
    <t xml:space="preserve">   KU-1356 TN - Electric Transmission - OH Conductors and Devices </t>
  </si>
  <si>
    <t xml:space="preserve">   KU-1356 VA - Electric Transmission - OH Conductors and Devices </t>
  </si>
  <si>
    <t xml:space="preserve">   KU-1357 KY - Electric Transmission - Underground Conduit </t>
  </si>
  <si>
    <t xml:space="preserve">   KU-1358 KY - Electric Transmission - UG Conductors and Devices </t>
  </si>
  <si>
    <t xml:space="preserve">   KU-1359 - Electric Transmission - ARO </t>
  </si>
  <si>
    <t xml:space="preserve">   KU-1360 KY - Electric Distribution - Future Use </t>
  </si>
  <si>
    <t xml:space="preserve">   KU-1360 KY - Electric Distribution - Land &amp; Land Rights </t>
  </si>
  <si>
    <t xml:space="preserve">   KU-1360 TN - Electric Distribution - Land &amp; Land Rights </t>
  </si>
  <si>
    <t xml:space="preserve">   KU-1360 VA - Electric Distribution - Land &amp; Land Rights </t>
  </si>
  <si>
    <t xml:space="preserve">   KU-1361 KY - Electric Distribution - Structures and Improvements </t>
  </si>
  <si>
    <t xml:space="preserve">   KU-1361 TN - Electric Distribution - Structures and Improvements </t>
  </si>
  <si>
    <t xml:space="preserve">   KU-1361 VA - Electric Distribution - Structures and Improvements </t>
  </si>
  <si>
    <t xml:space="preserve">   KU-1362 KY - Electric Distribution - Station Equipment </t>
  </si>
  <si>
    <t xml:space="preserve">   KU-1362 TN - Electric Distribution - Station Equipment </t>
  </si>
  <si>
    <t xml:space="preserve">   KU-1362 VA - Electric Distribution - Station Equipment </t>
  </si>
  <si>
    <t xml:space="preserve">   KU-1364 KY - Electric Distribution - Poles, Towers, and Fixtures </t>
  </si>
  <si>
    <t xml:space="preserve">   KU-1364 TN - Electric Distribution - Poles, Towers, and Fixtures </t>
  </si>
  <si>
    <t xml:space="preserve">   KU-1364 VA - Electric Distribution - Poles, Towers, and Fixtures </t>
  </si>
  <si>
    <t xml:space="preserve">   KU-1365 KY - Electric Distribution - Overhead Conductor </t>
  </si>
  <si>
    <t xml:space="preserve">   KU-1365 TN - Electric Distribution - Overhead Conductor </t>
  </si>
  <si>
    <t xml:space="preserve">   KU-1365 VA - Electric Distribution - Overhead Conductor </t>
  </si>
  <si>
    <t xml:space="preserve">   KU-1366 KY - Electric Distribution - Underground Conduit </t>
  </si>
  <si>
    <t xml:space="preserve">   KU-1367 KY - Electric Distribution - Underground Conductors </t>
  </si>
  <si>
    <t xml:space="preserve">   KU-1367 VA - Electric Distribution - Underground Conductors </t>
  </si>
  <si>
    <t xml:space="preserve">   KU-1368 KY - Electric Distribution -  Line Transformers </t>
  </si>
  <si>
    <t xml:space="preserve">   KU-1368 TN - Electric Distribution -  Line Transformers </t>
  </si>
  <si>
    <t xml:space="preserve">   KU-1368 VA - Electric Distribution -  Line Transformers </t>
  </si>
  <si>
    <t xml:space="preserve">   KU-1369 KY - Electric Distribution - Services </t>
  </si>
  <si>
    <t xml:space="preserve">   KU-1369 TN - Electric Distribution - Services </t>
  </si>
  <si>
    <t xml:space="preserve">   KU-1369 VA - Electric Distribution - Services </t>
  </si>
  <si>
    <t xml:space="preserve">   KU-1370 KY - Electric Distribution - Meters </t>
  </si>
  <si>
    <t xml:space="preserve">   KU-1370 TN - Electric Distribution - Meters </t>
  </si>
  <si>
    <t xml:space="preserve">   KU-1370 VA - Electric Distribution - Meters </t>
  </si>
  <si>
    <t xml:space="preserve">   KU-1371 KY - Electric Distribution - Install on Customers </t>
  </si>
  <si>
    <t xml:space="preserve">   KU-1373 KY - Electric Distribution - Street Lighting and Sign </t>
  </si>
  <si>
    <t xml:space="preserve">   KU-1373 VA - Electric Distribution - Street Lighting and Sign </t>
  </si>
  <si>
    <t xml:space="preserve">   KU-1374 - Electric Distribution - ARO </t>
  </si>
  <si>
    <t xml:space="preserve">   KU-1389 KY - Electric General - Land &amp; Land Rights </t>
  </si>
  <si>
    <t xml:space="preserve">   KU-1389 VA - Electric General - Land &amp; Land Rights </t>
  </si>
  <si>
    <t xml:space="preserve">   KU-1390 - Electric General - Structures and Improvements </t>
  </si>
  <si>
    <t xml:space="preserve">   KU-1390 KY - Electric General - Structures and Improvements </t>
  </si>
  <si>
    <t xml:space="preserve">   KU-1390 VA - Electric General - Structures and Improvements </t>
  </si>
  <si>
    <t xml:space="preserve">   KU-1391 - Electric General - Office Equipment </t>
  </si>
  <si>
    <t xml:space="preserve">   KU-1391 KY - Electric General - Office Equipment </t>
  </si>
  <si>
    <t xml:space="preserve">   KU-1391 VA - Electric General - Office Equipment </t>
  </si>
  <si>
    <t xml:space="preserve">   KU-1392 - Electric General - ECR 2009 </t>
  </si>
  <si>
    <t xml:space="preserve">   KU-1392 KY - Electric General - Transportation Equipment </t>
  </si>
  <si>
    <t xml:space="preserve">   KU-1393 KY - Electric General - Stores Equipment </t>
  </si>
  <si>
    <t xml:space="preserve">   KU-1393 VA - Electric General - Stores Equipment </t>
  </si>
  <si>
    <t xml:space="preserve">   KU-1394 KY - Electric General - Tools, Shop, Garage Equipment </t>
  </si>
  <si>
    <t xml:space="preserve">   KU-1394 VA - Electric General - Tools, Shop, Garage Equipment </t>
  </si>
  <si>
    <t xml:space="preserve">   KU-1396 - Electric General - Power Operated Equipment </t>
  </si>
  <si>
    <t xml:space="preserve">   KU-1396 VA - Electric General - Power Operated Equipment </t>
  </si>
  <si>
    <t xml:space="preserve">   KU-1397 - Electric General - DSM </t>
  </si>
  <si>
    <t xml:space="preserve">   KU-1397 KY - Electric General - Communication Equipment </t>
  </si>
  <si>
    <t xml:space="preserve">   KU-1397 VA - Electric General - Communication Equipment </t>
  </si>
  <si>
    <t xml:space="preserve">   KU-3121 - Common Nonutility - Property </t>
  </si>
  <si>
    <t xml:space="preserve">   KY Plant Account Total </t>
  </si>
  <si>
    <t>Less: Retirements</t>
  </si>
  <si>
    <t>Ending Accum Depreciation</t>
  </si>
  <si>
    <t>Total Depreciation Expense</t>
  </si>
  <si>
    <t>LESS Adjustments:</t>
  </si>
  <si>
    <t>Adjusted KY Plant Total</t>
  </si>
  <si>
    <t>Less: Transfers/Adjustments</t>
  </si>
  <si>
    <t>3.9-7.5</t>
  </si>
  <si>
    <t>4-SQ, 5-SQ, 20-SQ</t>
  </si>
  <si>
    <t>-1%,-2%,-3%,-4%,-5%,-11%</t>
  </si>
  <si>
    <t>REMAINING SERVICE LIFE</t>
  </si>
  <si>
    <t>SCH 7, 7.1, 7.2</t>
  </si>
  <si>
    <t>(000s)</t>
  </si>
  <si>
    <t>Kentucky Utilities </t>
  </si>
  <si>
    <t>ASSETS AND OTHER DEBITS</t>
  </si>
  <si>
    <t xml:space="preserve">     Utility Plant at Original Cost</t>
  </si>
  <si>
    <t xml:space="preserve">          101.0 - Plant in Service</t>
  </si>
  <si>
    <t xml:space="preserve">          101.1 - Plant in Service</t>
  </si>
  <si>
    <t xml:space="preserve">          105.0 Future use in plant</t>
  </si>
  <si>
    <t xml:space="preserve">          106.0 - Comp const not class</t>
  </si>
  <si>
    <t xml:space="preserve">          107.0 CWIP</t>
  </si>
  <si>
    <t xml:space="preserve">     Gross Utility Plant</t>
  </si>
  <si>
    <t xml:space="preserve">     Less Reserve for Depreciation and Amortization</t>
  </si>
  <si>
    <t xml:space="preserve">          108.0 - Accumulated provision for Depreciation</t>
  </si>
  <si>
    <t xml:space="preserve">          108.1 - Accumulated provision for Depr Elec Intangible NC</t>
  </si>
  <si>
    <t xml:space="preserve">          108.2 - Accumulated provision for Depr Elec ARO</t>
  </si>
  <si>
    <t xml:space="preserve">          111.1 - Accumulated provision for amortization</t>
  </si>
  <si>
    <t xml:space="preserve">          111.2 - Accumulated provision for Amort Elec Intangible NC</t>
  </si>
  <si>
    <t xml:space="preserve">          254.15 - Accumulated provision - Salvage</t>
  </si>
  <si>
    <t xml:space="preserve">          254.16 - Accumulated provision - COR BB</t>
  </si>
  <si>
    <t xml:space="preserve">          254.2 - Accumulated provision - COR</t>
  </si>
  <si>
    <t xml:space="preserve">     Accumulated Provision for Depreciation and Amortization</t>
  </si>
  <si>
    <t>Total Utility Net Plant</t>
  </si>
  <si>
    <t>INVESTMENTS</t>
  </si>
  <si>
    <t xml:space="preserve">     Investment in Subsidiary companies</t>
  </si>
  <si>
    <t xml:space="preserve">          123.0 - Invest in affl companies</t>
  </si>
  <si>
    <t xml:space="preserve">     Investment in Subsidiaries</t>
  </si>
  <si>
    <t xml:space="preserve">     Nonutility Property Less Reserve</t>
  </si>
  <si>
    <t xml:space="preserve">          121.0 - Nonutility property</t>
  </si>
  <si>
    <t xml:space="preserve">     Net nonutility property</t>
  </si>
  <si>
    <t xml:space="preserve">     Special Funds</t>
  </si>
  <si>
    <t>Total other Property and Investments</t>
  </si>
  <si>
    <t xml:space="preserve">     Cash</t>
  </si>
  <si>
    <t xml:space="preserve">          131.0 -  Cash</t>
  </si>
  <si>
    <t xml:space="preserve">     Special Deposits &amp; TCI</t>
  </si>
  <si>
    <t xml:space="preserve">          136.0 - Temp cash invest</t>
  </si>
  <si>
    <t xml:space="preserve">     Accounts Receivable - Less Reserves</t>
  </si>
  <si>
    <t xml:space="preserve">          135.0 - Working Funds</t>
  </si>
  <si>
    <t xml:space="preserve">          142.0 - Customer accounts receivable</t>
  </si>
  <si>
    <t xml:space="preserve">          143.0 - Other AR</t>
  </si>
  <si>
    <t xml:space="preserve">          143.5 - Other AR Customer</t>
  </si>
  <si>
    <t xml:space="preserve">          143.7 - Other Acct Rec (Prepayments)</t>
  </si>
  <si>
    <t xml:space="preserve">          144.8 - Acc prov - customers</t>
  </si>
  <si>
    <t xml:space="preserve">          144.9 - Acc. prov - Other</t>
  </si>
  <si>
    <t xml:space="preserve">          171.0 - Interest and dividends receivable</t>
  </si>
  <si>
    <t xml:space="preserve">          172.0 - Rents receivable</t>
  </si>
  <si>
    <t xml:space="preserve">          Unbilled Revenues (Asset)</t>
  </si>
  <si>
    <t xml:space="preserve">     Accounts Receivable from Assoc Cos.</t>
  </si>
  <si>
    <t xml:space="preserve">          146 - Acct Rec From Assoc Co (LKE)</t>
  </si>
  <si>
    <t xml:space="preserve">          146.4 - Acct Rec From Assoc Co (Non LKE)</t>
  </si>
  <si>
    <t xml:space="preserve">     Inventories</t>
  </si>
  <si>
    <t xml:space="preserve">          151.0 - Fuel Stock</t>
  </si>
  <si>
    <t xml:space="preserve">          154.0 - Plant materials and operating supplies</t>
  </si>
  <si>
    <t xml:space="preserve">          158.0 - Allowance inventory</t>
  </si>
  <si>
    <t xml:space="preserve">          163.0 - Stores expense undistributed</t>
  </si>
  <si>
    <t xml:space="preserve">     Prepayments</t>
  </si>
  <si>
    <t xml:space="preserve">          165.0 - prepayments</t>
  </si>
  <si>
    <t xml:space="preserve">          165.9 - Tax prepayments</t>
  </si>
  <si>
    <t xml:space="preserve">     Other current and accrued assets</t>
  </si>
  <si>
    <t xml:space="preserve">          174.1 - Misc accrued assets</t>
  </si>
  <si>
    <t>DEFERRED DEBITS &amp; OTHER</t>
  </si>
  <si>
    <t xml:space="preserve">     Unamortized Debt Expenses</t>
  </si>
  <si>
    <t xml:space="preserve">          189.0 - Unamort loss on reacquired debt</t>
  </si>
  <si>
    <t xml:space="preserve">     Accumulated Deferred Income Tax Asset</t>
  </si>
  <si>
    <t xml:space="preserve">          190.0 - Accumulated deferred Income taxes - acc amort property</t>
  </si>
  <si>
    <t xml:space="preserve">          190.3 Acc Def Inc Tax NC FASB 109</t>
  </si>
  <si>
    <t xml:space="preserve">          190.4 Accum Def Inc Tax Cur (Cur Liab)</t>
  </si>
  <si>
    <t xml:space="preserve">     Regulatory Assets</t>
  </si>
  <si>
    <t xml:space="preserve">          182 - Regulatory assets Deferred Tax</t>
  </si>
  <si>
    <t xml:space="preserve">          182 - Regulatory assets Pension &amp; Postretirement</t>
  </si>
  <si>
    <t xml:space="preserve">          182 - Regulatory assets Storm Costs</t>
  </si>
  <si>
    <t xml:space="preserve">          182 - Regulatory assets Rate Mechanisms</t>
  </si>
  <si>
    <t xml:space="preserve">          182 - Other Regulatory assets (non current)</t>
  </si>
  <si>
    <t xml:space="preserve">          182 - Other Regulatory assets (Current)</t>
  </si>
  <si>
    <t xml:space="preserve">     Miscellaneous deferred debits</t>
  </si>
  <si>
    <t xml:space="preserve">          183.1 - Preliminary survey and investigation charges</t>
  </si>
  <si>
    <t xml:space="preserve">          183.2 - OtherPreliminary Survey</t>
  </si>
  <si>
    <t xml:space="preserve">          184.0 - Clearing accounts</t>
  </si>
  <si>
    <t xml:space="preserve">          184.2 - Clearing Accounts (Accr Pension)</t>
  </si>
  <si>
    <t xml:space="preserve">          184.3 - Clearing Accounts</t>
  </si>
  <si>
    <t xml:space="preserve">          184.4 - Clearing Accounts (O/Cur Liab)</t>
  </si>
  <si>
    <t xml:space="preserve">          184.5 - Clearing Accounts (O/LT Liab)</t>
  </si>
  <si>
    <t xml:space="preserve">          186.2 - Misc deferred debits (O/Assets LT)</t>
  </si>
  <si>
    <t xml:space="preserve">          186.6 - Misc Def Debits LTPC</t>
  </si>
  <si>
    <t>Total Deferred Debits &amp; Other</t>
  </si>
  <si>
    <t>TOTAL ASSETS</t>
  </si>
  <si>
    <t>LIABILITIES AND OTHER CREDITS</t>
  </si>
  <si>
    <t xml:space="preserve">     Common and Preferred Stock</t>
  </si>
  <si>
    <t xml:space="preserve">          201.0 - Common stock</t>
  </si>
  <si>
    <t xml:space="preserve">     Common and Preferred stock issued</t>
  </si>
  <si>
    <t xml:space="preserve">     Less Common Stock Expense</t>
  </si>
  <si>
    <t xml:space="preserve">          214.0 - Capital stock expense</t>
  </si>
  <si>
    <t xml:space="preserve">     Common Stock Expense</t>
  </si>
  <si>
    <t xml:space="preserve">     Paid in Capital</t>
  </si>
  <si>
    <t xml:space="preserve">          211.2 - Pd-in-capital - common stock</t>
  </si>
  <si>
    <t xml:space="preserve">     Paid-in-capital</t>
  </si>
  <si>
    <t xml:space="preserve">     Retained Earnings</t>
  </si>
  <si>
    <t xml:space="preserve">          216.0 - Unappropriated retained earnings</t>
  </si>
  <si>
    <t xml:space="preserve">     Other comprehensive income</t>
  </si>
  <si>
    <t xml:space="preserve">          219 - Other Comprehensive Income</t>
  </si>
  <si>
    <t xml:space="preserve">          219.1 - OCI Equity Invest EEI</t>
  </si>
  <si>
    <t xml:space="preserve">     Domestic Debt</t>
  </si>
  <si>
    <t xml:space="preserve">          221.0 - Domestic bonds current</t>
  </si>
  <si>
    <t xml:space="preserve">          221.3 - Domestic bonds noncurrent</t>
  </si>
  <si>
    <t xml:space="preserve">          226 - Unamortized discount on long-term debt</t>
  </si>
  <si>
    <t xml:space="preserve">     Intercompany and Foreign Debt</t>
  </si>
  <si>
    <t>Total Long-term Debt</t>
  </si>
  <si>
    <t>TOTAL CAPITALIZATION</t>
  </si>
  <si>
    <t xml:space="preserve">     Short Term Notes Payable to associated companies</t>
  </si>
  <si>
    <t xml:space="preserve">     Notes Payable</t>
  </si>
  <si>
    <t xml:space="preserve">          231.3 - Notes Payable (Commercial Paper)</t>
  </si>
  <si>
    <t xml:space="preserve">     Accounts Payable</t>
  </si>
  <si>
    <t xml:space="preserve">          232.2 - AP Payroll</t>
  </si>
  <si>
    <t xml:space="preserve">          232.4 - AP Other</t>
  </si>
  <si>
    <t xml:space="preserve">          232.5 - AP (O/Cur Liab)</t>
  </si>
  <si>
    <t xml:space="preserve">     Accounts Payable to associated companies</t>
  </si>
  <si>
    <t xml:space="preserve">          232.7 - AP Intercompany</t>
  </si>
  <si>
    <t xml:space="preserve">          234.0 - AP to Assoc Co (LKE)</t>
  </si>
  <si>
    <t xml:space="preserve">     Customer deposits current</t>
  </si>
  <si>
    <t xml:space="preserve">     Taxes accrued</t>
  </si>
  <si>
    <t xml:space="preserve">     Interest accrued</t>
  </si>
  <si>
    <t xml:space="preserve">          237.0 - Interest Accrued</t>
  </si>
  <si>
    <t xml:space="preserve">     Dividends Payable Affiliate</t>
  </si>
  <si>
    <t xml:space="preserve">     Misc. Current Liabilities</t>
  </si>
  <si>
    <t xml:space="preserve">          241.1 - Tax collections payable (O/Cur Liab)</t>
  </si>
  <si>
    <t xml:space="preserve">          241.2 - Tax Coll Payable (Accr Sal &amp; Ben)</t>
  </si>
  <si>
    <t xml:space="preserve">          242.0 - Misc current liab</t>
  </si>
  <si>
    <t xml:space="preserve">          242.1 - Misc Cur &amp; Accr Liab (AP)</t>
  </si>
  <si>
    <t xml:space="preserve">          242.2 - Misc Cur &amp; Accr Liab (Accr Sal &amp; Ben)</t>
  </si>
  <si>
    <t xml:space="preserve">          242.7 - Vested Vacation Unfunded Reserve</t>
  </si>
  <si>
    <t xml:space="preserve">          242.9 - Medical Expense Unfunded Reserve</t>
  </si>
  <si>
    <t xml:space="preserve">     Miscellaneous Current Liabilities</t>
  </si>
  <si>
    <t xml:space="preserve">     Accum Deferred Income Tax Liability</t>
  </si>
  <si>
    <t xml:space="preserve">          282.0 - Accumulated deferred Income taxes -other property</t>
  </si>
  <si>
    <t xml:space="preserve">          283.0 - Accumulated deferred income taxes - other (noncurrent)</t>
  </si>
  <si>
    <t xml:space="preserve">          283.1 - Acc def inc tax NC FASB 109</t>
  </si>
  <si>
    <t xml:space="preserve">     Investment tax credits</t>
  </si>
  <si>
    <t xml:space="preserve">          255.0 - Accumulated deferred investment tax credits</t>
  </si>
  <si>
    <t xml:space="preserve">          255.1 - Accumulated Deferred ITC (Job Dev Cr)</t>
  </si>
  <si>
    <t xml:space="preserve">     Regulatory Liabilities</t>
  </si>
  <si>
    <t xml:space="preserve">          254 - Other Reg Liabilities Current</t>
  </si>
  <si>
    <t xml:space="preserve">          254 - Other Reg Liabilities Non Current</t>
  </si>
  <si>
    <t xml:space="preserve">          254 - Reg Liabilities Rate Mechanisms</t>
  </si>
  <si>
    <t xml:space="preserve">          254 - Reg Liabilities Postretirement</t>
  </si>
  <si>
    <t xml:space="preserve">          254 - Reg Liabilities Deferred Tax</t>
  </si>
  <si>
    <t xml:space="preserve">     Customer advances for construction</t>
  </si>
  <si>
    <t xml:space="preserve">          252.0 Customer advances for construction Current</t>
  </si>
  <si>
    <t xml:space="preserve">          252.1 - Customer advances for construction LT</t>
  </si>
  <si>
    <t xml:space="preserve">     </t>
  </si>
  <si>
    <t xml:space="preserve">     Asset Retirement Obligations</t>
  </si>
  <si>
    <t xml:space="preserve">          230.0 - Asset Retirement Obligations</t>
  </si>
  <si>
    <t xml:space="preserve">          230.1 - Asset Retirement Obligations (O/Cur Liab)</t>
  </si>
  <si>
    <t xml:space="preserve">     Other Deferred Credits</t>
  </si>
  <si>
    <t xml:space="preserve">          253.0 - Other deferred credits current</t>
  </si>
  <si>
    <t xml:space="preserve">          253.1 - Other deferred credits - non current</t>
  </si>
  <si>
    <t xml:space="preserve">          253.2 - Other deferred credits (LT Tax Position)</t>
  </si>
  <si>
    <t xml:space="preserve">     Misc Long Term Liabilities</t>
  </si>
  <si>
    <t xml:space="preserve">          228.4 - Accum Provision Inj &amp; Dam (Accr Sal &amp; Ben)</t>
  </si>
  <si>
    <t xml:space="preserve">          228.5 - Accum Provision Inj &amp; Dam (O/LT Liab)</t>
  </si>
  <si>
    <t xml:space="preserve">     Misc Long Term Liabilities Due To Assoc Co</t>
  </si>
  <si>
    <t xml:space="preserve">     Accumulated Provision for Post Retirement Benefits</t>
  </si>
  <si>
    <t xml:space="preserve">          228.2 - Accumulated prov for pen (O/LT Liab)</t>
  </si>
  <si>
    <t xml:space="preserve">          228.3 - Accumulated provision for pensions and benefits</t>
  </si>
  <si>
    <t xml:space="preserve">          228.6 - Accumulated prov for pen (O/LT Liab FAS 106)</t>
  </si>
  <si>
    <t>ECR amounts excluded from rate base</t>
  </si>
  <si>
    <t>DSM amounts excluded from rate base</t>
  </si>
  <si>
    <t>408.14- ECR PROPERTY TAX</t>
  </si>
  <si>
    <t>411.8-GAIN-DISP OF ALLOW</t>
  </si>
  <si>
    <t>509.3 - ECR SO2/NOX EMISSION ALLOWANCES</t>
  </si>
  <si>
    <t xml:space="preserve">     Subtotal ECR COS</t>
  </si>
  <si>
    <t>ECR CASH WORKING CAPITAL</t>
  </si>
  <si>
    <t>ECR O&amp;M WORKING CAPITAL ALLOWANCE</t>
  </si>
  <si>
    <t>KU_ECR </t>
  </si>
  <si>
    <t>LGE_ECR</t>
  </si>
  <si>
    <t>13MOAVG</t>
  </si>
  <si>
    <t>JURIS % (PRODSYS)</t>
  </si>
  <si>
    <t>JURIS AMT</t>
  </si>
  <si>
    <t>Deferred Income Taxes (a)</t>
  </si>
  <si>
    <t>KU Cumulative Deferreds</t>
  </si>
  <si>
    <t>LG&amp;E Electric Cumulative Deferreds</t>
  </si>
  <si>
    <t>LG&amp;E Gas Cumulative Deferreds</t>
  </si>
  <si>
    <t>JURIS % (DIRECT) 100%</t>
  </si>
  <si>
    <t>B-3.2</t>
  </si>
  <si>
    <t>B-4.2</t>
  </si>
  <si>
    <t>TOTAL ADJUSTMENTS</t>
  </si>
  <si>
    <t>Kentucky</t>
  </si>
  <si>
    <t>Other</t>
  </si>
  <si>
    <t>Total</t>
  </si>
  <si>
    <t>Jurisdictional</t>
  </si>
  <si>
    <t>Company</t>
  </si>
  <si>
    <t>Title of Account</t>
  </si>
  <si>
    <t>Rate Base</t>
  </si>
  <si>
    <t>ECR Rate Base</t>
  </si>
  <si>
    <t>Base Rate Base</t>
  </si>
  <si>
    <t xml:space="preserve">Rate Base </t>
  </si>
  <si>
    <t>Utility Plant at Original Cost</t>
  </si>
  <si>
    <t>Deduct:</t>
  </si>
  <si>
    <t xml:space="preserve">  Reserve for Depreciation</t>
  </si>
  <si>
    <t xml:space="preserve">  Customer Advances for Construction</t>
  </si>
  <si>
    <t xml:space="preserve">  Accumulated Deferred Income Taxes</t>
  </si>
  <si>
    <t xml:space="preserve">  Investment Tax Credit (a)</t>
  </si>
  <si>
    <t>Total Deductions</t>
  </si>
  <si>
    <t>Net Plant Deductions</t>
  </si>
  <si>
    <t>Add:</t>
  </si>
  <si>
    <t xml:space="preserve">  Materials and Supplies (b) </t>
  </si>
  <si>
    <t xml:space="preserve">  Prepayments (b)(c)</t>
  </si>
  <si>
    <t xml:space="preserve">  Emission Allowances (b)</t>
  </si>
  <si>
    <t xml:space="preserve">     Total Additions</t>
  </si>
  <si>
    <t>Total Net Original Cost Rate Base</t>
  </si>
  <si>
    <t>Percentage of Rate Base to Total Company Rate Base</t>
  </si>
  <si>
    <t>(a)</t>
  </si>
  <si>
    <t>Reflects investment tax credit treatment per Case No. 2007-00178.</t>
  </si>
  <si>
    <t>(b)</t>
  </si>
  <si>
    <t>Average for 13 months.</t>
  </si>
  <si>
    <t>(c)</t>
  </si>
  <si>
    <t>Excludes PSC fees.</t>
  </si>
  <si>
    <t>DSM Rate Base</t>
  </si>
  <si>
    <t>ARO Rate Base</t>
  </si>
  <si>
    <t>Pro Forma</t>
  </si>
  <si>
    <t>(2 + 8)</t>
  </si>
  <si>
    <t>(2 - 3 - 4 - 5 - 6)</t>
  </si>
  <si>
    <t>ARO Balance Sheet Offset</t>
  </si>
  <si>
    <t>Total Net Original Cost Rate Base for Capital Allocation</t>
  </si>
  <si>
    <t>SUPPORTING SCHEDULE B-1.1</t>
  </si>
  <si>
    <t>PAGE 1 OF 4</t>
  </si>
  <si>
    <t>PAGE 2 OF 4</t>
  </si>
  <si>
    <t>PAGE 3 OF 4</t>
  </si>
  <si>
    <t>PAGE 4 OF 4</t>
  </si>
  <si>
    <t>KU</t>
  </si>
  <si>
    <t>Aug-14</t>
  </si>
  <si>
    <t>Depr. Grp Balance</t>
  </si>
  <si>
    <t>ECR Plan</t>
  </si>
  <si>
    <t>Exclusion from when project was identified as an ECR Project.</t>
  </si>
  <si>
    <t>2009 Plan</t>
  </si>
  <si>
    <t>Project 123557</t>
  </si>
  <si>
    <t>Project 125101</t>
  </si>
  <si>
    <t>Ghent CCP</t>
  </si>
  <si>
    <t>Project 122609, 138873</t>
  </si>
  <si>
    <t>TC Ash</t>
  </si>
  <si>
    <t>Project 121682</t>
  </si>
  <si>
    <t>Project 127137</t>
  </si>
  <si>
    <t>CWIP</t>
  </si>
  <si>
    <t>Exclusion</t>
  </si>
  <si>
    <t>monthly</t>
  </si>
  <si>
    <t>BRN 3 SCR</t>
  </si>
  <si>
    <t>BRN ATB Expansion</t>
  </si>
  <si>
    <t>TC Re-use</t>
  </si>
  <si>
    <t>Accum Depr</t>
  </si>
  <si>
    <t>136480KU</t>
  </si>
  <si>
    <t>GS GE Test Equip Pool KU</t>
  </si>
  <si>
    <t>Environmental Equipment KU</t>
  </si>
  <si>
    <t>140342KU</t>
  </si>
  <si>
    <t>HR Cap Equip Improvmnts KU</t>
  </si>
  <si>
    <t>Thirteen Month Average</t>
  </si>
  <si>
    <t>EMISSION ALLOWANCES (b)</t>
  </si>
  <si>
    <t>(b) Excludes ECR amounts.</t>
  </si>
  <si>
    <t>JURIS FACTOR %</t>
  </si>
  <si>
    <t>COMPARATIVE BALANCE SHEETS - TOTAL COMPANY</t>
  </si>
  <si>
    <t>COMPARATIVE BALANCE SHEETS - JURISDICTIONAL</t>
  </si>
  <si>
    <t>Adjustment to Balance</t>
  </si>
  <si>
    <t>2013</t>
  </si>
  <si>
    <t>STATISTIC FOR RATE AREA (SCHEDULE B-1)</t>
  </si>
  <si>
    <t>THERE HAVE BEEN NO CHANGES IN JURISIDICTIONAL PROCEDURES FROM PRIOR CASE.</t>
  </si>
  <si>
    <t>DESCRIPTIONS BY ACCOUNT OR MAJOR GROUPINGS</t>
  </si>
  <si>
    <t>Allowance for Funds Used Duriing Construction</t>
  </si>
  <si>
    <t>ALLOCATOR</t>
  </si>
  <si>
    <t>Total Production, Transmission, Distribution, and General plant</t>
  </si>
  <si>
    <t>Demand - Virginia and FERC Jurisdictions</t>
  </si>
  <si>
    <t>Kentucky System Property</t>
  </si>
  <si>
    <t>System Demand - Average 12 Coincident Peaks</t>
  </si>
  <si>
    <t>Retail Demand - Average 12 Coincident Peaks</t>
  </si>
  <si>
    <t xml:space="preserve">Virginia Situs Plant Directly Assigned </t>
  </si>
  <si>
    <t>Virginia Property</t>
  </si>
  <si>
    <t>Tennessee Property</t>
  </si>
  <si>
    <t xml:space="preserve">Kentucky Situs Plant Directly Assigned </t>
  </si>
  <si>
    <t>Kentucky Situs Plant Directly Assigned to Retail and Wholesale</t>
  </si>
  <si>
    <t xml:space="preserve">Tennessee Situs Plant Directly Assigned </t>
  </si>
  <si>
    <t>Total Kentucky Retail Production, Transmission, Distribution, and General plant</t>
  </si>
  <si>
    <t>PLANT IN SERVICE</t>
  </si>
  <si>
    <t>Allocated O&amp;M Labor Expense</t>
  </si>
  <si>
    <t>LABOR, DIRECT</t>
  </si>
  <si>
    <t>Allocated O&amp;M Labor Expense, DSM Plant Directly Assigned to Kentucky Retail</t>
  </si>
  <si>
    <t>Plant Account 302</t>
  </si>
  <si>
    <t>Plant Account 303</t>
  </si>
  <si>
    <t>311-316</t>
  </si>
  <si>
    <t>332-335</t>
  </si>
  <si>
    <t>341-346</t>
  </si>
  <si>
    <t>350-358</t>
  </si>
  <si>
    <t>352-356</t>
  </si>
  <si>
    <t>310-317</t>
  </si>
  <si>
    <t>Total Steam Production Plant</t>
  </si>
  <si>
    <t>ALL</t>
  </si>
  <si>
    <t>330-337</t>
  </si>
  <si>
    <t>Total Hydraulic Production Plant</t>
  </si>
  <si>
    <t>Total Other Production Plant</t>
  </si>
  <si>
    <t>340-347</t>
  </si>
  <si>
    <t>Kentucky System Transmission Property</t>
  </si>
  <si>
    <t>Virginia Transmission Property</t>
  </si>
  <si>
    <t>350-359</t>
  </si>
  <si>
    <t>350-356</t>
  </si>
  <si>
    <t>Kentucky System Transmission Plant</t>
  </si>
  <si>
    <t>Virginia and Tennessee Distribution System</t>
  </si>
  <si>
    <t>Kentucky Distribution System</t>
  </si>
  <si>
    <t>360-371</t>
  </si>
  <si>
    <t>360-374</t>
  </si>
  <si>
    <t>DISTPLTK</t>
  </si>
  <si>
    <t>Total Kentucky Distribution Plant</t>
  </si>
  <si>
    <t>Total Virginia and Tennessee Distribution Plant</t>
  </si>
  <si>
    <t>389-398</t>
  </si>
  <si>
    <t>General Plant</t>
  </si>
  <si>
    <t>Total General Plant</t>
  </si>
  <si>
    <t>Production Plant</t>
  </si>
  <si>
    <t>Total Production Plant</t>
  </si>
  <si>
    <t>Total Production System Plant</t>
  </si>
  <si>
    <t xml:space="preserve">Virginia and Tennessee Directly Assigned </t>
  </si>
  <si>
    <t>310-347</t>
  </si>
  <si>
    <t>Total Kentucky Electric Plant</t>
  </si>
  <si>
    <t>Virginia Tranmission Plant</t>
  </si>
  <si>
    <t>Virginia System Transmission Plant</t>
  </si>
  <si>
    <t>Fuel Inventory</t>
  </si>
  <si>
    <t>Energy at Generation Level</t>
  </si>
  <si>
    <t>Material and Supplies</t>
  </si>
  <si>
    <t>FUNCTIONAL</t>
  </si>
  <si>
    <t>Production, Transmission, and Distribution Functional Plant</t>
  </si>
  <si>
    <t>Emission Allowances</t>
  </si>
  <si>
    <t>Stores Undistributed</t>
  </si>
  <si>
    <t>M&amp;S</t>
  </si>
  <si>
    <t>Total Material and Supplies</t>
  </si>
  <si>
    <t>EXP9245</t>
  </si>
  <si>
    <t>Total Account 924 and 925 Expense</t>
  </si>
  <si>
    <t>Virginia Distribution System</t>
  </si>
  <si>
    <t>Kentucky and Tennessee Distribution System</t>
  </si>
  <si>
    <t xml:space="preserve">Virginia Directly Assigned </t>
  </si>
  <si>
    <t>Directly Assigned</t>
  </si>
  <si>
    <t>PAGE 1 OF 8</t>
  </si>
  <si>
    <t>PAGE 2 OF 8</t>
  </si>
  <si>
    <t>PAGE 3 OF 8</t>
  </si>
  <si>
    <t>PAGE 4 OF 8</t>
  </si>
  <si>
    <t>PAGE 6 OF 8</t>
  </si>
  <si>
    <t>PAGE 5 OF 8</t>
  </si>
  <si>
    <t>PAGE 7 OF 8</t>
  </si>
  <si>
    <t>PAGE 8 OF 8</t>
  </si>
  <si>
    <t>CHECK</t>
  </si>
  <si>
    <t>ALLOCATION FROM JURISDICTIONAL SEPARATION STUDY</t>
  </si>
  <si>
    <t>Description</t>
  </si>
  <si>
    <t>ECR</t>
  </si>
  <si>
    <t>ARO</t>
  </si>
  <si>
    <t>DSM</t>
  </si>
  <si>
    <t>CHECK TOTALS</t>
  </si>
  <si>
    <t>plus RWIP</t>
  </si>
  <si>
    <t>E370.01-Meters AMS</t>
  </si>
  <si>
    <t>E397.00- Microwave, Fiber, Other</t>
  </si>
  <si>
    <t>E397.10-Comm Eq Radio and Telephone</t>
  </si>
  <si>
    <t>E360.25-Land Held for Future Use</t>
  </si>
  <si>
    <t>Other Production</t>
  </si>
  <si>
    <t xml:space="preserve">   KU-1311 - Steam Production - ECR 2011 </t>
  </si>
  <si>
    <t xml:space="preserve">   KU-1312 - Steam Production - ECR 2016 </t>
  </si>
  <si>
    <t xml:space="preserve">   KU-1315 - Steam Production - ECR 2009 </t>
  </si>
  <si>
    <t xml:space="preserve">   KU-1316 - Steam Production - ECR 2011 </t>
  </si>
  <si>
    <t xml:space="preserve">   KU-1340 - Other Production - Future Use </t>
  </si>
  <si>
    <t xml:space="preserve">   KU-1340 - Other Production - Gas Pipe Line </t>
  </si>
  <si>
    <t xml:space="preserve">   KU-1341 - Other Production - Structures and Improvements CCGT </t>
  </si>
  <si>
    <t xml:space="preserve">   KU-1341 - Other Production - Structures and Improvements Solar </t>
  </si>
  <si>
    <t xml:space="preserve">   KU-1342 - Other Production - Fuel Holders, Producers, Acc CCGT </t>
  </si>
  <si>
    <t xml:space="preserve">   KU-1342 - Other Production - Gas Pipe Line </t>
  </si>
  <si>
    <t xml:space="preserve">   KU-1343 - Other Production - Prime Movers CCGT </t>
  </si>
  <si>
    <t xml:space="preserve">   KU-1344 - Other Production - Generators CCGT </t>
  </si>
  <si>
    <t xml:space="preserve">   KU-1344 - Other Production - Generators Solar </t>
  </si>
  <si>
    <t xml:space="preserve">   KU-1345 - Other Production - Accessory Electric Equipment CCGT </t>
  </si>
  <si>
    <t xml:space="preserve">   KU-1345 - Other Production - Accessory Electric Equipment Solar </t>
  </si>
  <si>
    <t xml:space="preserve">   KU-1346 - Other Production - Misc Power Plant Equipment CCGT </t>
  </si>
  <si>
    <t xml:space="preserve">   KU-1346 - Other Production - Misc Power Plant Equipment Solar </t>
  </si>
  <si>
    <t xml:space="preserve">   KU-1347 - Other Production - ARO </t>
  </si>
  <si>
    <t xml:space="preserve">   KU-1364 - Electric Distribution - ECR 2009 </t>
  </si>
  <si>
    <t xml:space="preserve">   KU-1365 - Electric Distribution - ECR 2009 </t>
  </si>
  <si>
    <t xml:space="preserve">   KU-1366 - Electric Distribution - ECR 2009 </t>
  </si>
  <si>
    <t xml:space="preserve">   KU-1367 - Electric Distribution - ECR 2009 </t>
  </si>
  <si>
    <t>Spec ID</t>
  </si>
  <si>
    <t>13-Month Average</t>
  </si>
  <si>
    <t>KY Aug 2016 Forecast (2017 BP-Prelim View)- No RC</t>
  </si>
  <si>
    <t xml:space="preserve">   KU Steam Production ECR 2016 </t>
  </si>
  <si>
    <t>Property Group</t>
  </si>
  <si>
    <t>13-MONTH AVERAGE</t>
  </si>
  <si>
    <t xml:space="preserve">          143.4 - Other AR Fed Tax Rec</t>
  </si>
  <si>
    <t xml:space="preserve">          145.0 - Notes receivable from assoc co (LKE)</t>
  </si>
  <si>
    <t xml:space="preserve">          165.1 - Prepayments - LT</t>
  </si>
  <si>
    <t xml:space="preserve">          181.1 - Unamortized debt expense</t>
  </si>
  <si>
    <t xml:space="preserve">          181.2 - Unamortized debt expense rollovers/lcs</t>
  </si>
  <si>
    <t xml:space="preserve">          184.6 - Clearing Accts (Int Div Payable)</t>
  </si>
  <si>
    <t xml:space="preserve">          188.1 - Misc Def Debits Resrch/Dev/Demo Exp</t>
  </si>
  <si>
    <t>TOTAL LIABILITIES AND OTHER CREDITS</t>
  </si>
  <si>
    <t>C. M. GARRETT</t>
  </si>
  <si>
    <t>JURIS PERCENT</t>
  </si>
  <si>
    <t>Land located at Green River CC GT intended for Generation</t>
  </si>
  <si>
    <t>Land and site prep located at London, Kentucky intended for Substation</t>
  </si>
  <si>
    <t xml:space="preserve">    REGULATORY DEBITS</t>
  </si>
  <si>
    <t>DIR360FU</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</si>
  <si>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</si>
  <si>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</si>
  <si>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</si>
  <si>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</si>
  <si>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</si>
  <si>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</si>
  <si>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</si>
  <si>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</si>
  <si>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</si>
  <si>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</si>
  <si>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</si>
  <si>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</si>
  <si>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</si>
  <si>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</si>
  <si>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</si>
  <si>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</si>
  <si>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</si>
  <si>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</si>
  <si>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</si>
  <si>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</si>
  <si>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</si>
  <si>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DIRECT ASSIGN 360-PHFU</t>
  </si>
  <si>
    <t>DIR ASSIGN ACC.DFDTX.DIST.VA</t>
  </si>
  <si>
    <t>DIR ASSIGN ACC.ITC.DIST.VA</t>
  </si>
  <si>
    <t>ACCT 930-GEN MISC &amp; ADVERTISING</t>
  </si>
  <si>
    <t>2015</t>
  </si>
  <si>
    <t>2014</t>
  </si>
  <si>
    <t>THIRTEEN MONTH AVERAGE FOR PERIOD</t>
  </si>
  <si>
    <t>13 MO AVG CONSTRUCTION AMOUNT</t>
  </si>
  <si>
    <t>101, 108, 182, 230</t>
  </si>
  <si>
    <t>Unamortized Closure Cost (a)</t>
  </si>
  <si>
    <t>(a) Adjustment reflects applicable ECR and DSM jurisdictional amounts.</t>
  </si>
  <si>
    <t xml:space="preserve">  Unamortized Closure Costs</t>
  </si>
  <si>
    <t>Unamortized Closure Cost</t>
  </si>
  <si>
    <t>CERTAIN DEFERRED CREDITS AND ACCUMULATED DEFERRED INCOME TAX</t>
  </si>
  <si>
    <t>158.0 - ECR Allowance inventory</t>
  </si>
  <si>
    <t>SUMMARY OF ESTIMATED SURVIVOR CURVES, NET SALVAGE, ORIGINAL COST, BOOK DEPRECIATION RESERVE AND</t>
  </si>
  <si>
    <t>100-R2.5</t>
  </si>
  <si>
    <t xml:space="preserve">STRUCTURES AND IMPROVEMENTS - ASH PONDS                   </t>
  </si>
  <si>
    <t xml:space="preserve">  TRIMBLE COUNTY UNIT 2 ASH POND</t>
  </si>
  <si>
    <t>100-S4</t>
  </si>
  <si>
    <t xml:space="preserve">  GHENT UNIT 1 SCRUBBER ASH POND</t>
  </si>
  <si>
    <t xml:space="preserve">  GHENT UNIT 1 ASH POND  </t>
  </si>
  <si>
    <t>TOTAL ACCOUNT 311.1 - STRUCTURES AND IMPROVEMENTS - ASH PONDS</t>
  </si>
  <si>
    <t>STRUCTURES AND IMPROVEMENTS - RETIRED PLANT</t>
  </si>
  <si>
    <t>65-R2</t>
  </si>
  <si>
    <t>BOILER PLANT EQUIPMENT - ASH PONDS</t>
  </si>
  <si>
    <t xml:space="preserve">  BROWN UNIT 1 ASH POND</t>
  </si>
  <si>
    <t xml:space="preserve">  BROWN UNIT 2 ASH POND</t>
  </si>
  <si>
    <t xml:space="preserve">  BROWN UNIT 3 ASH POND</t>
  </si>
  <si>
    <t xml:space="preserve">  GHENT UNIT 4 ASH POND</t>
  </si>
  <si>
    <t xml:space="preserve">  GHENT UNIT 2 SCRUBBER ASH POND</t>
  </si>
  <si>
    <t xml:space="preserve">  TYRONE UNIT 3 - ASH POND</t>
  </si>
  <si>
    <t xml:space="preserve">  GREEN RIVER UNIT 3 - ASH POND</t>
  </si>
  <si>
    <t xml:space="preserve">  PINEVILLE UNIT 3 - ASH POND</t>
  </si>
  <si>
    <t>TOTAL ACCOUNT 312.1 - BOILER PLANT EQUIPMENT - ASH PONDS</t>
  </si>
  <si>
    <t>BOILER PLANT EQUIPMENT - RETIRED PLANT</t>
  </si>
  <si>
    <t>TURBOGENERATOR UNITS - RETIRED PLANT</t>
  </si>
  <si>
    <t>TOTAL ACCOUNT 314.1 - TURBOGENERATOR UNITS - RETIRED PLANT</t>
  </si>
  <si>
    <t>70-R3</t>
  </si>
  <si>
    <t>ACCESSORY ELECTRIC EQUIPMENT - RETIRED PLANT</t>
  </si>
  <si>
    <t>TOTAL ACCOUNT 315.1 - ACCESSORY ELECTRIC EQUIPMENT - RETIRED PLANT</t>
  </si>
  <si>
    <t xml:space="preserve">MISCELLANEOUS PLANT EQUIPMENT </t>
  </si>
  <si>
    <t>75-R1.5</t>
  </si>
  <si>
    <t>TOTAL ACCOUNT 316 - MISCELLANEOUS PLANT EQUIPMENT</t>
  </si>
  <si>
    <t>MISCELLANEOUS PLANT EQUIPMENT - RETIRED PLANT</t>
  </si>
  <si>
    <t>TOTAL ACCOUNT 316.1 - MISCELLANEOUS PLANT EQUIPMENT - RETIRED PLANT</t>
  </si>
  <si>
    <t>105-S2.5</t>
  </si>
  <si>
    <t>40-S0</t>
  </si>
  <si>
    <t>60-R4</t>
  </si>
  <si>
    <t xml:space="preserve">  CANE RUN CC 7</t>
  </si>
  <si>
    <t>50-R2.5</t>
  </si>
  <si>
    <t xml:space="preserve">  CANE RUN GAS PIPELINE</t>
  </si>
  <si>
    <t>55-S2.5</t>
  </si>
  <si>
    <t>50-R3</t>
  </si>
  <si>
    <t>40-R2</t>
  </si>
  <si>
    <t>45-R2</t>
  </si>
  <si>
    <t>58-R2</t>
  </si>
  <si>
    <t>65-R3</t>
  </si>
  <si>
    <t>40-R3</t>
  </si>
  <si>
    <t>50-R1.5</t>
  </si>
  <si>
    <t>47-R1</t>
  </si>
  <si>
    <t>48-R2</t>
  </si>
  <si>
    <t>46-R2</t>
  </si>
  <si>
    <t>48-R1</t>
  </si>
  <si>
    <t>METERS - AMS</t>
  </si>
  <si>
    <t>15-S2.5</t>
  </si>
  <si>
    <t>28-O1</t>
  </si>
  <si>
    <t>28-L0.5</t>
  </si>
  <si>
    <t>28-L1</t>
  </si>
  <si>
    <t>50-S0</t>
  </si>
  <si>
    <t>33-R1.5</t>
  </si>
  <si>
    <t>14-S2</t>
  </si>
  <si>
    <t>16-L2.5</t>
  </si>
  <si>
    <t>16-L5</t>
  </si>
  <si>
    <t>18-L3</t>
  </si>
  <si>
    <t>COMMUNICATION EQUIPMENT - DSM</t>
  </si>
  <si>
    <t>-6%,-7%,-13%</t>
  </si>
  <si>
    <t>-6%,-7%,-10%,-12%</t>
  </si>
  <si>
    <t>-6%,-7%,-12%</t>
  </si>
  <si>
    <t>-10%</t>
  </si>
  <si>
    <t>15-S2.5, 28-L1</t>
  </si>
  <si>
    <t>10-SQ, 18-L3</t>
  </si>
  <si>
    <t>2.2-9.9</t>
  </si>
  <si>
    <t>10.8-13.9</t>
  </si>
  <si>
    <t>5.6-13.4</t>
  </si>
  <si>
    <t>4.3-14.7</t>
  </si>
  <si>
    <t>47.9-59.5</t>
  </si>
  <si>
    <t>149992</t>
  </si>
  <si>
    <t>BUILDING - NORTON VA</t>
  </si>
  <si>
    <t>IT0101K</t>
  </si>
  <si>
    <t>Smallworld GIS Upgr-KU17-19</t>
  </si>
  <si>
    <t>146434</t>
  </si>
  <si>
    <t>DX Dam Parapet Wall</t>
  </si>
  <si>
    <t>148391</t>
  </si>
  <si>
    <t>Prop. Tax Cap. - KU Non-Mech</t>
  </si>
  <si>
    <t>148175KU</t>
  </si>
  <si>
    <t>151763</t>
  </si>
  <si>
    <t>KU Coupling Capacitor Rpl</t>
  </si>
  <si>
    <t>145403</t>
  </si>
  <si>
    <t>139696</t>
  </si>
  <si>
    <t>LEX UNDRGD-PHASE 1</t>
  </si>
  <si>
    <t>138168</t>
  </si>
  <si>
    <t>DSP PAYNES MILL SUB PROJ</t>
  </si>
  <si>
    <t>148892</t>
  </si>
  <si>
    <t>144541</t>
  </si>
  <si>
    <t>BRCT Gas Pipeline Relocation</t>
  </si>
  <si>
    <t>144302</t>
  </si>
  <si>
    <t>GH2 4kv Switchgear</t>
  </si>
  <si>
    <t>147818</t>
  </si>
  <si>
    <t>IT0287K</t>
  </si>
  <si>
    <t>Tech Refesh desk/lap-KU18</t>
  </si>
  <si>
    <t>BRMISCCAP</t>
  </si>
  <si>
    <t>BR Miscellaneous Cap</t>
  </si>
  <si>
    <t>152792</t>
  </si>
  <si>
    <t>Richmond N. Sub</t>
  </si>
  <si>
    <t>149345</t>
  </si>
  <si>
    <t>SC CAPITAL - 2016 BP - KU</t>
  </si>
  <si>
    <t>IT0246K</t>
  </si>
  <si>
    <t>151746</t>
  </si>
  <si>
    <t>REL-Hodgenville Switch Motor</t>
  </si>
  <si>
    <t>IT0219K</t>
  </si>
  <si>
    <t>EE DSM Filing-KU18-19</t>
  </si>
  <si>
    <t>152005</t>
  </si>
  <si>
    <t>IT0242K</t>
  </si>
  <si>
    <t>Megastar &amp; DVM MW Repl-KU18</t>
  </si>
  <si>
    <t>152693KU</t>
  </si>
  <si>
    <t>TC OFFICE UPGRADES</t>
  </si>
  <si>
    <t>141391</t>
  </si>
  <si>
    <t>138842</t>
  </si>
  <si>
    <t>Grn Rvr Plnt-Hllsd 69kV Relo</t>
  </si>
  <si>
    <t>IT0221K</t>
  </si>
  <si>
    <t>EMS CIP-KU18</t>
  </si>
  <si>
    <t>IT0291K</t>
  </si>
  <si>
    <t>TRODS-KU18</t>
  </si>
  <si>
    <t>IT0264K</t>
  </si>
  <si>
    <t>Rate Case 2018-KU18-19</t>
  </si>
  <si>
    <t>151775</t>
  </si>
  <si>
    <t>Hillside Control House</t>
  </si>
  <si>
    <t>IT0254K</t>
  </si>
  <si>
    <t>Network Access Gateways-KU18</t>
  </si>
  <si>
    <t>150221</t>
  </si>
  <si>
    <t>KU Ky Wired Reimbursable</t>
  </si>
  <si>
    <t>65-R2, 100-S4</t>
  </si>
  <si>
    <t>Jul 2018</t>
  </si>
  <si>
    <t>Aug 2018</t>
  </si>
  <si>
    <t>Sep 2018</t>
  </si>
  <si>
    <t>Oct 2018</t>
  </si>
  <si>
    <t>Nov 2018</t>
  </si>
  <si>
    <t>Dec 2018</t>
  </si>
  <si>
    <t>Accum Depr Cost of Removal</t>
  </si>
  <si>
    <t>KU-1312 - Steam Production - ECR 2009 </t>
  </si>
  <si>
    <t>KU-1312 - Steam Production - ECR 2011 </t>
  </si>
  <si>
    <t>KU-1315 - Steam Production - ECR 2009 </t>
  </si>
  <si>
    <t>LGE-1312 - Steam Production - ECR 2009 </t>
  </si>
  <si>
    <t>LGE-1312 - Steam Production - ECR 2011 </t>
  </si>
  <si>
    <t>LGE-1312 - Steam Production - ECR 2016 </t>
  </si>
  <si>
    <t>INSERT "ACCUM DEPR COST OF REMOVAL" ROWS BELOW INTO PLANT DATA TAB FOR EACH ACCOUNT.</t>
  </si>
  <si>
    <t>REPLACE ACCUM DEPRECIATION RESERVE BALANCES IN PLANT DATA TAB FROM FORECASTING WITH "ENDING ACCUM DEPRECIATION" ROWS BELOW FOR EACH ACCOUNT.</t>
  </si>
  <si>
    <t>403 - ECR DEPRECIATION EXP</t>
  </si>
  <si>
    <t>408 - ECR PROPERTY TAX</t>
  </si>
  <si>
    <t>501 - ECR STEAM FUEL EXP RECOVERABLE</t>
  </si>
  <si>
    <t>502 - ECR BOILER EXPENSE</t>
  </si>
  <si>
    <t>506 - ECR ENVIRONMENTAL EXP</t>
  </si>
  <si>
    <t>509 - ECR SO2/NOX EMISSION ALLOWANCES</t>
  </si>
  <si>
    <t>512 - ECR BOILER-ENVRNL</t>
  </si>
  <si>
    <t>549 - ECR MISC OTH PWR GEN EXP</t>
  </si>
  <si>
    <t>923 - ECR CONSULTANT FEE</t>
  </si>
  <si>
    <t>FROM ECR EXPENSE MONTH FILINGS:</t>
  </si>
  <si>
    <t>407.3-REGULATORY DEBITS</t>
  </si>
  <si>
    <t>501253 - ECR Fly Ash Disposal</t>
  </si>
  <si>
    <t>502011 - ECR Other Waste Disposal</t>
  </si>
  <si>
    <t>BENEFICIAL REUSE IN BASE RATES (ES FORM 2.61)</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</si>
  <si>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</si>
  <si>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</si>
  <si>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</si>
  <si>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</si>
  <si>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</si>
  <si>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</si>
  <si>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</si>
  <si>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</si>
  <si>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</si>
  <si>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403-404</t>
  </si>
  <si>
    <t>403 - ECR Depreciation</t>
  </si>
  <si>
    <t>407 - ECR Closure Costs</t>
  </si>
  <si>
    <t>408 - ECR Property Tax</t>
  </si>
  <si>
    <t>501 - ECR Fly Ash Disposal</t>
  </si>
  <si>
    <t>502 - ECR Other Waste Disposal</t>
  </si>
  <si>
    <t>506 - ECR Operation</t>
  </si>
  <si>
    <t>509 - ECR Allowances</t>
  </si>
  <si>
    <t>512 - ECR Steam Maintenance</t>
  </si>
  <si>
    <t>Total ECR O&amp;M</t>
  </si>
  <si>
    <t>ECR O&amp;M for Working Capital</t>
  </si>
  <si>
    <t xml:space="preserve"> 506154 - ECR NOx Operation -- Consumables</t>
  </si>
  <si>
    <t xml:space="preserve"> 506155 - ECR NOx Operation -- Labor and Other</t>
  </si>
  <si>
    <t xml:space="preserve"> 512151 - ECR NOx Maintenance</t>
  </si>
  <si>
    <t xml:space="preserve"> 502013 - ECR Landfill Operations</t>
  </si>
  <si>
    <t xml:space="preserve"> 512107 - ECR Landfill Maintenance</t>
  </si>
  <si>
    <t>151465</t>
  </si>
  <si>
    <t>Mobile Control House</t>
  </si>
  <si>
    <t>SCH 1.1</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</si>
  <si>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</si>
  <si>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</si>
  <si>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</si>
  <si>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</si>
  <si>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</si>
  <si>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</si>
  <si>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</si>
  <si>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</si>
  <si>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</si>
  <si>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</si>
  <si>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</si>
  <si>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</si>
  <si>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For the 2018 Rate Case Filing</t>
  </si>
  <si>
    <t>Net Original Cost Kentucky Jurisdictional Rate Base as of December 31, 2018</t>
  </si>
  <si>
    <t>Net Original Cost Kentucky Jurisdictional Rate Base as of April 30, 2020</t>
  </si>
  <si>
    <t>512108 - ECR CCR Ben Reuse System Maint</t>
  </si>
  <si>
    <t>a-Jan 2018</t>
  </si>
  <si>
    <t>a-Feb 2018</t>
  </si>
  <si>
    <t>a-Mar 2018</t>
  </si>
  <si>
    <t>a-Apr 2018</t>
  </si>
  <si>
    <t>a-May 2018</t>
  </si>
  <si>
    <t>a-Jun 2018</t>
  </si>
  <si>
    <t>411 - AMORTIZATION OF EXCESS ADIT</t>
  </si>
  <si>
    <t>411.8 - ECR Gain Disp Allowances</t>
  </si>
  <si>
    <t>411 - ECR Amort Excess ADIT</t>
  </si>
  <si>
    <t>411 - ECR AMORT EXCESS ADIT</t>
  </si>
  <si>
    <t>411.8 - ECR GAIN-DISP OF ALLOW</t>
  </si>
  <si>
    <t>BASE PERIOD: DECEMBER 2018</t>
  </si>
  <si>
    <t>a-Jan 1 2018</t>
  </si>
  <si>
    <t>Dec 31 2018</t>
  </si>
  <si>
    <t>E360.10-Land Rights (less PHFU)</t>
  </si>
  <si>
    <t>E370.20-Meters CT and PT</t>
  </si>
  <si>
    <t>E389.20-Land (less PHFU)</t>
  </si>
  <si>
    <t>E396.00-Power Op Equip - Lg Mach</t>
  </si>
  <si>
    <t>E340.10-Land Rights (less PHFU)</t>
  </si>
  <si>
    <t>E317.08-ARO Cost Steam (CCR)</t>
  </si>
  <si>
    <t>Plant Report</t>
  </si>
  <si>
    <t>KY VA</t>
  </si>
  <si>
    <t>12 MONTHS ENDING DECEMBER 31, 2018</t>
  </si>
  <si>
    <t xml:space="preserve">    UNAMORTIZED CLOSURE COSTS</t>
  </si>
  <si>
    <t>UNAMORTIZED CLOSURE COSTS</t>
  </si>
  <si>
    <t>.</t>
  </si>
  <si>
    <t xml:space="preserve">  454-EV CHARGING STATION RENTAL</t>
  </si>
  <si>
    <t xml:space="preserve">  454-REFINED COAL LICENSE FEE</t>
  </si>
  <si>
    <t xml:space="preserve">  456-REFINED COAL EXCLUSIVITY FEE</t>
  </si>
  <si>
    <t xml:space="preserve">  UNEMPLOYMENT</t>
  </si>
  <si>
    <t xml:space="preserve">  FICA</t>
  </si>
  <si>
    <t>a-Dec 2017</t>
  </si>
  <si>
    <t>Jan2018-Dec2018</t>
  </si>
  <si>
    <t xml:space="preserve">   KU-1310 - Steam Production - ECR 2016 </t>
  </si>
  <si>
    <t xml:space="preserve">   KU-1317 - Steam Production - ARO CCR </t>
  </si>
  <si>
    <t xml:space="preserve">   KU-1370 KY - Electric Distribution - Meters - DSM </t>
  </si>
  <si>
    <t xml:space="preserve">   KU-1389 KY - Electric General - Future Use </t>
  </si>
  <si>
    <t xml:space="preserve">   KU-1392 VA - Electric General - Transportation Equipment </t>
  </si>
  <si>
    <t xml:space="preserve">   KU-1396 KY - Electric General - Transportation Equipment </t>
  </si>
  <si>
    <t xml:space="preserve">   KU-1396 VA - Electric General - Transportation Equipment </t>
  </si>
  <si>
    <t>Gross Plant FERC-AFUDC POST</t>
  </si>
  <si>
    <t>Depreciation Expense FERC-AFUDC PRE</t>
  </si>
  <si>
    <t>Depreciation Expense FERC-AFUDC POST</t>
  </si>
  <si>
    <t>Accum Depr FERC-AFUDC PRE</t>
  </si>
  <si>
    <t>Accum Depr FERC-AFUDC POST</t>
  </si>
  <si>
    <t xml:space="preserve">   KU Land - VA </t>
  </si>
  <si>
    <t>13MOAVG DEC-18</t>
  </si>
  <si>
    <t xml:space="preserve">          101.3 - Property Under Operating Lease</t>
  </si>
  <si>
    <t xml:space="preserve">          111.3 - Accumulated Depr Property Under Operating Lease</t>
  </si>
  <si>
    <t xml:space="preserve">          128.1 - Other spec funds - investments</t>
  </si>
  <si>
    <t xml:space="preserve">     Special funds</t>
  </si>
  <si>
    <t xml:space="preserve">          184.7 - Clearing Accts (Lease)</t>
  </si>
  <si>
    <t xml:space="preserve">          242.3 - Obligations Under Operating Lease - Current</t>
  </si>
  <si>
    <t xml:space="preserve">          253.3 - Other deferred credits</t>
  </si>
  <si>
    <t xml:space="preserve">          228.7 - Obligations Under Operating Leases (Noncurrent)</t>
  </si>
  <si>
    <t>FORECAST PERIOD: APRIL 2020</t>
  </si>
  <si>
    <t>May 1 2019</t>
  </si>
  <si>
    <t>Apr 30 2020</t>
  </si>
  <si>
    <t>KU Plant Account (monthly)</t>
  </si>
  <si>
    <t>Apr 2019</t>
  </si>
  <si>
    <t>May 2019</t>
  </si>
  <si>
    <t>Jun 2019</t>
  </si>
  <si>
    <t>Jul 2019</t>
  </si>
  <si>
    <t>Aug 2019</t>
  </si>
  <si>
    <t>Sep 2019</t>
  </si>
  <si>
    <t>Oct 2019</t>
  </si>
  <si>
    <t>Nov 2019</t>
  </si>
  <si>
    <t>Dec 2019</t>
  </si>
  <si>
    <t>Jan 2020</t>
  </si>
  <si>
    <t>Feb 2020</t>
  </si>
  <si>
    <t>Mar 2020</t>
  </si>
  <si>
    <t>Apr 2020</t>
  </si>
  <si>
    <t>May2019-Apr2020</t>
  </si>
  <si>
    <t>in (000's)</t>
  </si>
  <si>
    <t>Gross Plant FERC-AFUDC PRE</t>
  </si>
  <si>
    <t>Transfers/Adjustments</t>
  </si>
  <si>
    <t xml:space="preserve">    12 MONTHS ENDING APRIL 30, 2020</t>
  </si>
  <si>
    <t>Plant In Service</t>
  </si>
  <si>
    <t xml:space="preserve">KU-1312 - Steam Production - ECR 2009 </t>
  </si>
  <si>
    <t>Depreciation Exclusion</t>
  </si>
  <si>
    <t>Total Depreciation Exclusion</t>
  </si>
  <si>
    <t>Accum Depreication Exclusion</t>
  </si>
  <si>
    <t>Total Accum Depreciation Exclusion</t>
  </si>
  <si>
    <t>Depreciation Rates</t>
  </si>
  <si>
    <t>ECR Cost of Removal to be Excl from Total Reserve</t>
  </si>
  <si>
    <t>Jan 2019</t>
  </si>
  <si>
    <t>Feb 2019</t>
  </si>
  <si>
    <t>Mar 2019</t>
  </si>
  <si>
    <t>($000s)</t>
  </si>
  <si>
    <t>Ending Accum Depreciation (incl. COR)</t>
  </si>
  <si>
    <t xml:space="preserve">   KU-1312 - Steam Production - COR 2009 </t>
  </si>
  <si>
    <t xml:space="preserve">   KU-1312 - Steam Production - COR 2011 </t>
  </si>
  <si>
    <t xml:space="preserve">   KU-1315 - Steam Production - COR 2009 </t>
  </si>
  <si>
    <t>YE-Dec 2018</t>
  </si>
  <si>
    <t>407 - ECR CLOSURE COSTS (KPSC JURIS)</t>
  </si>
  <si>
    <t>YE-Apr 2020</t>
  </si>
  <si>
    <t>13MOAVG APR-20</t>
  </si>
  <si>
    <t>Land and site prep located at Kevil Service Station</t>
  </si>
  <si>
    <t>Land and site prep located at Lonesome Pine Substation</t>
  </si>
  <si>
    <t>Land and site prep located at Polo Club Substation</t>
  </si>
  <si>
    <t>KU AFUDC Balances By FERC Plant Account</t>
  </si>
  <si>
    <t>13-Month Average As of April 30, 2020</t>
  </si>
  <si>
    <t>KY JURIS</t>
  </si>
  <si>
    <t>State</t>
  </si>
  <si>
    <t>Plant Acct.</t>
  </si>
  <si>
    <t>Pre-Merger</t>
  </si>
  <si>
    <t>Post-Merger</t>
  </si>
  <si>
    <t>Accessory Electrical Equipment</t>
  </si>
  <si>
    <t>Misc. Power Plant Equipment</t>
  </si>
  <si>
    <t>TOTAL KU</t>
  </si>
  <si>
    <t>Reservoirs, Dams, and Waterways</t>
  </si>
  <si>
    <t>Waterwheels, Turbines, &amp; Generators</t>
  </si>
  <si>
    <t>Fuel Holders, Producers, &amp; Acc.</t>
  </si>
  <si>
    <t>Land</t>
  </si>
  <si>
    <t>O/H Conductors and Devices</t>
  </si>
  <si>
    <t>U/G Conductors and Devices</t>
  </si>
  <si>
    <t>Allocation Factor</t>
  </si>
  <si>
    <t>Forecast Period Jurisdictional</t>
  </si>
  <si>
    <t>Average Daily Amount</t>
  </si>
  <si>
    <t>Revenue Lag Days</t>
  </si>
  <si>
    <t>Expense (Lead)/Lag Days</t>
  </si>
  <si>
    <t>Net (Lead)/Lag Days</t>
  </si>
  <si>
    <t>Working Capital (Provided)/
Required</t>
  </si>
  <si>
    <t>O&amp;M Expenses:</t>
  </si>
  <si>
    <t>Fuel:  Coal</t>
  </si>
  <si>
    <t>Fuel:  Gas</t>
  </si>
  <si>
    <t>Fuel:  Oil</t>
  </si>
  <si>
    <t>Other Non-Fuel Commodities</t>
  </si>
  <si>
    <t>Purchased Power</t>
  </si>
  <si>
    <t>Payroll Expense</t>
  </si>
  <si>
    <t>Pension Expense</t>
  </si>
  <si>
    <t>OPEB Expense</t>
  </si>
  <si>
    <t>Team Incentive Award Compensation</t>
  </si>
  <si>
    <t>401k Match Expense</t>
  </si>
  <si>
    <t>Retirement Income Account Expense</t>
  </si>
  <si>
    <t>Uncollectible Expense</t>
  </si>
  <si>
    <t>Major Storm Damage Expense</t>
  </si>
  <si>
    <t>Charges from Affiliates</t>
  </si>
  <si>
    <t>Other O&amp;M</t>
  </si>
  <si>
    <t>Total O&amp;M Expenses</t>
  </si>
  <si>
    <t>Depreciation and Amortization Expense</t>
  </si>
  <si>
    <t>Depreciation and Amortization</t>
  </si>
  <si>
    <t>Regulatory Debits</t>
  </si>
  <si>
    <t>Amortization of Regulatory Assets</t>
  </si>
  <si>
    <t>Amortization of Regulatory Liabilities</t>
  </si>
  <si>
    <t>Total Depreciation and Amortization Expense</t>
  </si>
  <si>
    <t>Income Tax Expense:</t>
  </si>
  <si>
    <t>Current:  Federal</t>
  </si>
  <si>
    <t>Current:  State</t>
  </si>
  <si>
    <t>Deferred:  Federal and State (Including ITC)</t>
  </si>
  <si>
    <t>Total Income Tax Expense</t>
  </si>
  <si>
    <t>Taxes Other Than Income</t>
  </si>
  <si>
    <t>Property Tax Expense</t>
  </si>
  <si>
    <t>Payroll Tax Expense</t>
  </si>
  <si>
    <t>Other Taxes</t>
  </si>
  <si>
    <t>Total Taxes Other Than Income</t>
  </si>
  <si>
    <t>(Gain)/Loss on Disposition of Property</t>
  </si>
  <si>
    <t>(Gain)/Loss on Disposition of Allowances</t>
  </si>
  <si>
    <t>Charitable Donations</t>
  </si>
  <si>
    <t>Interest on Customer Deposits</t>
  </si>
  <si>
    <t>Other (Income)/Expense</t>
  </si>
  <si>
    <t>Other Interest Expense/(Income)</t>
  </si>
  <si>
    <t>Interest Expense</t>
  </si>
  <si>
    <t>Income Available for Common Equity</t>
  </si>
  <si>
    <t>Sales Taxes</t>
  </si>
  <si>
    <t>School Taxes</t>
  </si>
  <si>
    <t>Franchise Fees</t>
  </si>
  <si>
    <t>Cash Working Capital (Lead/Lag)</t>
  </si>
  <si>
    <t>Additional Cash Working Capital Items (Page 2)</t>
  </si>
  <si>
    <t>Total Cash Working Capital</t>
  </si>
  <si>
    <t>ECR Cash Working Capital (Page 3)</t>
  </si>
  <si>
    <t>Jurisdictional Cash Working Capital (Line 48 - 49)</t>
  </si>
  <si>
    <t>13 MONTH AVERAGE</t>
  </si>
  <si>
    <t>Virginia Jurisdictional Percentage</t>
  </si>
  <si>
    <t>ADDITIONAL USES OF CASH WORKING CAPITAL:</t>
  </si>
  <si>
    <t>PREPAID PENSION</t>
  </si>
  <si>
    <t>REGULATORY ASSET - FAS 158 PENSION</t>
  </si>
  <si>
    <t>PRELIMINARY SURVEY</t>
  </si>
  <si>
    <t>MISC DEFERRED DEBITS</t>
  </si>
  <si>
    <t>RESRCH/DEV/DEMO EXP</t>
  </si>
  <si>
    <t>TOTAL USES OF CASH WORKING CAPITAL</t>
  </si>
  <si>
    <t>ADDITIONAL SOURCES OF CASH WORKING CAPITAL:</t>
  </si>
  <si>
    <t>MISC LONG TERM LIABILITIES</t>
  </si>
  <si>
    <t>ACCUMULATED PROVISION FOR POST RETIREMENT BENEFITS</t>
  </si>
  <si>
    <t>MISC LIABILITY</t>
  </si>
  <si>
    <t>OTHER DEFERRED CREDITS</t>
  </si>
  <si>
    <t>143/232</t>
  </si>
  <si>
    <t>NET ACCRUED RETENTION/CWIP</t>
  </si>
  <si>
    <t>NET ACCRUED RWIP</t>
  </si>
  <si>
    <t>TOTAL SOURCES OF CASH WORKING CAPITAL</t>
  </si>
  <si>
    <t>ECR CASH WORKING CAPITAL (12.5% OF LINE 3)</t>
  </si>
  <si>
    <t>CASE NO. 2018-00294</t>
  </si>
  <si>
    <t>Total Company</t>
  </si>
  <si>
    <t>REGULATORY LIABILITY - POSTRETIREMENT</t>
  </si>
  <si>
    <t>ECR OPERATING AND MAINTENANCE EXPENSE</t>
  </si>
  <si>
    <t>LEAD/LAG STUDY</t>
  </si>
  <si>
    <t xml:space="preserve">  Cash Working Capital</t>
  </si>
  <si>
    <t>Base Period Jurisdictional</t>
  </si>
  <si>
    <t>PENSION CLEARING</t>
  </si>
  <si>
    <t>2016</t>
  </si>
  <si>
    <t>2017</t>
  </si>
  <si>
    <t xml:space="preserve">   KU-1371 KY - Electric Distribution - Install on Customers - EV Meters </t>
  </si>
  <si>
    <t>RATE BASE: THIRTEEN MONTH AVERAGE</t>
  </si>
  <si>
    <t>FEDERAL TAXES @ 21%</t>
  </si>
  <si>
    <t>AFUDC_FERC</t>
  </si>
  <si>
    <t xml:space="preserve">   KU-1370 KY - Electric Distribution - Meters - DSM</t>
  </si>
  <si>
    <t>AS OF  DECEMBER 31, 2013 - 2017 AND BASE AND FORECASTED PERIODS</t>
  </si>
  <si>
    <t>TOTAL ACCOUNT 311.0 - STRUCTURES AND IMPROVEMENTS</t>
  </si>
  <si>
    <t>-1%,-6%,-7%,-10%,-13%</t>
  </si>
  <si>
    <t xml:space="preserve">  TRIMBLE COUNTY UNIT 2 - ASH POND</t>
  </si>
  <si>
    <t xml:space="preserve">  GHENT UNIT 1 SCRUBBER - ASH POND</t>
  </si>
  <si>
    <t xml:space="preserve">  GHENT UNIT 1 - ASH POND</t>
  </si>
  <si>
    <t>TOTAL ACCOUNT 311.2 - STRUCTURES AND IMPROVEMENTS - RETIRED PLANT</t>
  </si>
  <si>
    <t>TOTAL ACCOUNT 312.0 - BOILER PLANT EQUIPMENT</t>
  </si>
  <si>
    <t>-6%,-7%,-10%,-13%</t>
  </si>
  <si>
    <t>TOTAL ACCOUNT 312.2 - BOILER PLANT EQUIPMENT - RETIRED PLANTS</t>
  </si>
  <si>
    <t>TOTAL ACCOUNT 314.0 - TURBOGENERATOR UNITS</t>
  </si>
  <si>
    <t>60-R-2</t>
  </si>
  <si>
    <t>TOTAL ACCOUNT 315.0 - ACCESSORY ELECTRIC EQUIPMENT</t>
  </si>
  <si>
    <t>TOTAL ACCOUNT 316.0 - MISCELLANEOUS POWER PLANT EQUIPMENT</t>
  </si>
  <si>
    <t>TOTAL ACCOUNT 316 - MISCELLANEOUS PLANT EQUIPMENT - RETIRED PLANT</t>
  </si>
  <si>
    <t xml:space="preserve">  BROWN SOLAR</t>
  </si>
  <si>
    <t>40-S3</t>
  </si>
  <si>
    <t>-5%,-6%,-7%,-10%,-12%</t>
  </si>
  <si>
    <t xml:space="preserve">  PADDYS RUN GAS PIPELINE</t>
  </si>
  <si>
    <t>30-S1.5</t>
  </si>
  <si>
    <t>32-R2.5</t>
  </si>
  <si>
    <t>65-R3,70-R3</t>
  </si>
  <si>
    <t>45-R2,60-R2</t>
  </si>
  <si>
    <t xml:space="preserve">METERS - CT AND PT                             </t>
  </si>
  <si>
    <t>COMMUNICATION EQUIPMENT - MICROWAVE, FIBER, OTHER</t>
  </si>
  <si>
    <t>COMMUNICATION EQUIPMENT - RADIOS AND TELEPHONES</t>
  </si>
  <si>
    <t>55-S0, 33-R1.5</t>
  </si>
  <si>
    <t>18.00-39.20</t>
  </si>
  <si>
    <t>16-L2.5, 14-S2</t>
  </si>
  <si>
    <t>APPROVED RATES AS OF JULY 1, 2017</t>
  </si>
  <si>
    <t>105-R2.5</t>
  </si>
  <si>
    <t>-6%-8%-13%</t>
  </si>
  <si>
    <t>-7%, -13%</t>
  </si>
  <si>
    <t>24.35, 49.10</t>
  </si>
  <si>
    <t>3.63, 19.65</t>
  </si>
  <si>
    <t>-6%, -8%, -13%</t>
  </si>
  <si>
    <t>-2%, -3%</t>
  </si>
  <si>
    <t>CALCULATED ANNUAL DEPRECIATION RATES BY COMPONENT AS OF DECEMBER 31, 2017</t>
  </si>
  <si>
    <t>120756</t>
  </si>
  <si>
    <t>Misc. A/R Uncollect - KU Cap</t>
  </si>
  <si>
    <t>N1DT STONEWALL 2 SUB</t>
  </si>
  <si>
    <t>152820</t>
  </si>
  <si>
    <t>DSP Viley 2 Dist</t>
  </si>
  <si>
    <t>154096</t>
  </si>
  <si>
    <t>IT Distribution Automation KU</t>
  </si>
  <si>
    <t>154118</t>
  </si>
  <si>
    <t>KU Barton Sub Expansion</t>
  </si>
  <si>
    <t>156217</t>
  </si>
  <si>
    <t>2018 CIFI - Fariston 0217</t>
  </si>
  <si>
    <t>156381</t>
  </si>
  <si>
    <t>Lex UG Vine to Race</t>
  </si>
  <si>
    <t>157066</t>
  </si>
  <si>
    <t>DSP Pepper Pike Sub Land</t>
  </si>
  <si>
    <t>157617</t>
  </si>
  <si>
    <t>KU Pole Attach Mapping Asset</t>
  </si>
  <si>
    <t>158169</t>
  </si>
  <si>
    <t>34.5:13.09 kV 5MVA Txfmr</t>
  </si>
  <si>
    <t>158170</t>
  </si>
  <si>
    <t>Rewind M042 Txfmr</t>
  </si>
  <si>
    <t>133615KU</t>
  </si>
  <si>
    <t>TC KU PLT ENG/MTR RWNDS</t>
  </si>
  <si>
    <t>137100</t>
  </si>
  <si>
    <t>GH1 Controls Syst Upgrade 2019</t>
  </si>
  <si>
    <t>137103</t>
  </si>
  <si>
    <t>GH4 Controls Syst Upgrade 2019</t>
  </si>
  <si>
    <t>137633KU</t>
  </si>
  <si>
    <t>TC2 KU SLMS UNIT</t>
  </si>
  <si>
    <t>140202</t>
  </si>
  <si>
    <t>GH Stacker Reclaimer Recert</t>
  </si>
  <si>
    <t>144365</t>
  </si>
  <si>
    <t>GH CCR Pipe Conveyor Belt</t>
  </si>
  <si>
    <t>147406</t>
  </si>
  <si>
    <t>GH1-2 Feeder &amp; Outlet Hop Repl</t>
  </si>
  <si>
    <t>147413</t>
  </si>
  <si>
    <t>GH1-3 Feeder &amp; Outlet Hop Repl</t>
  </si>
  <si>
    <t>147414</t>
  </si>
  <si>
    <t>GH1-4 Feeder &amp; Outlet Hop Repl</t>
  </si>
  <si>
    <t>147415</t>
  </si>
  <si>
    <t>GH1-5 Feeder &amp; Outlet Hop Repl</t>
  </si>
  <si>
    <t>147418</t>
  </si>
  <si>
    <t>GH1-1 Feeder &amp; Outlet Hop Repl</t>
  </si>
  <si>
    <t>GS CDM TRIPWIRE KU</t>
  </si>
  <si>
    <t>151366</t>
  </si>
  <si>
    <t>GH3 Furnace Wall Metal Ovrly18</t>
  </si>
  <si>
    <t>151370</t>
  </si>
  <si>
    <t>GH2 Burner Modification</t>
  </si>
  <si>
    <t>151917</t>
  </si>
  <si>
    <t>DX Access Bridge Refurb</t>
  </si>
  <si>
    <t>GH2 Burner Replacement 19</t>
  </si>
  <si>
    <t>154729KU</t>
  </si>
  <si>
    <t>TC COAL CONVEYOR VFD UPGD</t>
  </si>
  <si>
    <t>155070</t>
  </si>
  <si>
    <t>BR3 Eng Work Station (AW) Upgr</t>
  </si>
  <si>
    <t>155100</t>
  </si>
  <si>
    <t>BR 0-2 Gyp Dewat Vac Pump Rbld</t>
  </si>
  <si>
    <t>155149</t>
  </si>
  <si>
    <t>BRCT6 GT Thermal Insulation</t>
  </si>
  <si>
    <t>156909 KU</t>
  </si>
  <si>
    <t>PR13 SFC Switch Cab KU</t>
  </si>
  <si>
    <t>157422</t>
  </si>
  <si>
    <t>GH1 Hot RH Pipe Partial Repl19</t>
  </si>
  <si>
    <t>84GH</t>
  </si>
  <si>
    <t>GH LS 0-3 Mill Gearbox</t>
  </si>
  <si>
    <t>133641</t>
  </si>
  <si>
    <t>EFFLUENT WATER STUDY-GH</t>
  </si>
  <si>
    <t>133683</t>
  </si>
  <si>
    <t>EFFLUENT WATER STUDY-TC KU</t>
  </si>
  <si>
    <t>151121</t>
  </si>
  <si>
    <t>TC CCRT G KU</t>
  </si>
  <si>
    <t>151122</t>
  </si>
  <si>
    <t>TC CCRT TRANS KU</t>
  </si>
  <si>
    <t>151123</t>
  </si>
  <si>
    <t>TC CCRT LANDFILL KU</t>
  </si>
  <si>
    <t>152377</t>
  </si>
  <si>
    <t>BR Process Water</t>
  </si>
  <si>
    <t>152379</t>
  </si>
  <si>
    <t>GH Process Water</t>
  </si>
  <si>
    <t>152385</t>
  </si>
  <si>
    <t>TC KU Process Water</t>
  </si>
  <si>
    <t>152898</t>
  </si>
  <si>
    <t>BR CCR Rule New Construction</t>
  </si>
  <si>
    <t>152899</t>
  </si>
  <si>
    <t>GH CCR Rule New Construction</t>
  </si>
  <si>
    <t>155518</t>
  </si>
  <si>
    <t>TC CCR New Const Proces Pd KU</t>
  </si>
  <si>
    <t>157591</t>
  </si>
  <si>
    <t>GHENT DSI IMPROVE NON-ECR</t>
  </si>
  <si>
    <t>157741</t>
  </si>
  <si>
    <t>NEW CR EQUIP STOR SHED KU</t>
  </si>
  <si>
    <t>158187</t>
  </si>
  <si>
    <t>BR LF PHASE II CONSTR</t>
  </si>
  <si>
    <t>144062</t>
  </si>
  <si>
    <t>REL KEOKEE SWITCH</t>
  </si>
  <si>
    <t>144065</t>
  </si>
  <si>
    <t>TEP-CR-ADAMS-DELAPLAIN TAP</t>
  </si>
  <si>
    <t>144108</t>
  </si>
  <si>
    <t>TEP-9.0MVAr,69kVCap-Paint Lick</t>
  </si>
  <si>
    <t>144116</t>
  </si>
  <si>
    <t>Lynch Control House</t>
  </si>
  <si>
    <t>147486</t>
  </si>
  <si>
    <t>REL Dwina Switch</t>
  </si>
  <si>
    <t>148823</t>
  </si>
  <si>
    <t>Earlington No-GRS 69kV Rbld</t>
  </si>
  <si>
    <t>148846</t>
  </si>
  <si>
    <t>CR Elihu-Wofford 69kV Rebuild</t>
  </si>
  <si>
    <t>148851</t>
  </si>
  <si>
    <t>CR Mrgnfld-Ovrlnd No 69kV Rbld</t>
  </si>
  <si>
    <t>151813</t>
  </si>
  <si>
    <t>REL Mt Sterling MOS</t>
  </si>
  <si>
    <t>152706</t>
  </si>
  <si>
    <t>CR Farmers-Spencer Road</t>
  </si>
  <si>
    <t>154077</t>
  </si>
  <si>
    <t>RSC-Ghent Phys Sec Upgr</t>
  </si>
  <si>
    <t>154143</t>
  </si>
  <si>
    <t>RFN-Hillside Fence Rpl</t>
  </si>
  <si>
    <t>154146</t>
  </si>
  <si>
    <t>RFN-Indian Hill Fence Rpl</t>
  </si>
  <si>
    <t>154216</t>
  </si>
  <si>
    <t>DSP Lonesome Pine-ROW</t>
  </si>
  <si>
    <t>154511</t>
  </si>
  <si>
    <t>DSP Barton Sub</t>
  </si>
  <si>
    <t>154585</t>
  </si>
  <si>
    <t>CR Clay Village-West Frankfort</t>
  </si>
  <si>
    <t>154663</t>
  </si>
  <si>
    <t>Scott Co SST</t>
  </si>
  <si>
    <t>155854</t>
  </si>
  <si>
    <t>PGG-Finchville Ground Grid</t>
  </si>
  <si>
    <t>156689</t>
  </si>
  <si>
    <t>PR Earlington NO-G River</t>
  </si>
  <si>
    <t>156691</t>
  </si>
  <si>
    <t>PR Grahamville-Pad Primary</t>
  </si>
  <si>
    <t>157736</t>
  </si>
  <si>
    <t>TEP-MOT-Adams-Georgetown</t>
  </si>
  <si>
    <t>158019</t>
  </si>
  <si>
    <t>Mobile Control House- KU</t>
  </si>
  <si>
    <t>158113</t>
  </si>
  <si>
    <t>PBU- Earlington North 634 Repl</t>
  </si>
  <si>
    <t>LI-000010</t>
  </si>
  <si>
    <t>PR Spencer Road-Farmers</t>
  </si>
  <si>
    <t>LI-000024</t>
  </si>
  <si>
    <t>PR Green River-Green Rvr Stl</t>
  </si>
  <si>
    <t>LI-000083</t>
  </si>
  <si>
    <t>TEP-CR-Loudon Ave-Hume Road</t>
  </si>
  <si>
    <t>LI-000085</t>
  </si>
  <si>
    <t>TEP-MOT-Greensburg-Camp EKPC</t>
  </si>
  <si>
    <t>LI-000086</t>
  </si>
  <si>
    <t>TEP-CR-Eastwood-Simpsonville</t>
  </si>
  <si>
    <t>LI-000091</t>
  </si>
  <si>
    <t>TEP-MOT-Green Rvr-Shvrs Chapel</t>
  </si>
  <si>
    <t>LI-000092</t>
  </si>
  <si>
    <t>TEP-MOT-Morganfield-Wheatcrft</t>
  </si>
  <si>
    <t>LI-000093</t>
  </si>
  <si>
    <t>TEP-MOT-Floyd-Waynesburg</t>
  </si>
  <si>
    <t>LI-000106</t>
  </si>
  <si>
    <t>TEP-MOT-Fairfld-Tylrsvll EK Tp</t>
  </si>
  <si>
    <t>SU-000004</t>
  </si>
  <si>
    <t>Princeton CH, Arresters &amp; DFR</t>
  </si>
  <si>
    <t>SU-000010</t>
  </si>
  <si>
    <t>PBR-Carntown (1) 69kV BKR Rpl</t>
  </si>
  <si>
    <t>SU-000040</t>
  </si>
  <si>
    <t>PBR-Pineville (1) 345kV</t>
  </si>
  <si>
    <t>SU-000044</t>
  </si>
  <si>
    <t>PBR-Howard Branch(1) 138kV BKR</t>
  </si>
  <si>
    <t>SU-000056</t>
  </si>
  <si>
    <t>RSC-Pineville Sec Upgr</t>
  </si>
  <si>
    <t>SU-000098</t>
  </si>
  <si>
    <t>TEP-Trimble Co 345kV Reactr</t>
  </si>
  <si>
    <t>SU-000139</t>
  </si>
  <si>
    <t>PR Arnold 121-604 Panel</t>
  </si>
  <si>
    <t>SU-000179</t>
  </si>
  <si>
    <t>RSC-Pocket N. Security Upgrds</t>
  </si>
  <si>
    <t>SU-000181</t>
  </si>
  <si>
    <t>TEP-Adms-Delapln 69kV Term Eqp</t>
  </si>
  <si>
    <t>SU-000205</t>
  </si>
  <si>
    <t>TEP-Meredith 138kV Capacitor</t>
  </si>
  <si>
    <t>SU-000206</t>
  </si>
  <si>
    <t>TEP-Middlesboro 69kV Capacitor</t>
  </si>
  <si>
    <t>SU-000236</t>
  </si>
  <si>
    <t>TEP-Gtown-Lmns Mll 69kV Lne Sw</t>
  </si>
  <si>
    <t>SU-000244</t>
  </si>
  <si>
    <t>PRLY-Hardinsburg 714</t>
  </si>
  <si>
    <t>SU-000246</t>
  </si>
  <si>
    <t>TEP-Bardstwn 138/69kV Xfmr Rpl</t>
  </si>
  <si>
    <t>SU-000247</t>
  </si>
  <si>
    <t>LEX UNDRGD-PHASE 1 SUBS</t>
  </si>
  <si>
    <t>SU-000305</t>
  </si>
  <si>
    <t>PBR- Bimble (3) 69kV PIN PAR</t>
  </si>
  <si>
    <t>SU-000395</t>
  </si>
  <si>
    <t>RST-Lake Reba SSVT-</t>
  </si>
  <si>
    <t>00072FACK</t>
  </si>
  <si>
    <t>CALL CENTER RENO BOC 3 KU</t>
  </si>
  <si>
    <t>153069</t>
  </si>
  <si>
    <t>Solar Projects - Community KU</t>
  </si>
  <si>
    <t>153562</t>
  </si>
  <si>
    <t>DCC ENHANCEMENT KU</t>
  </si>
  <si>
    <t>155530</t>
  </si>
  <si>
    <t>MV-90 DAILY READ KU</t>
  </si>
  <si>
    <t>158181</t>
  </si>
  <si>
    <t>E-TOWN BUILDING PURCHASE-2018</t>
  </si>
  <si>
    <t>133KU16</t>
  </si>
  <si>
    <t>NE KY Buildout Eng Phase-KU16</t>
  </si>
  <si>
    <t>IT0000K</t>
  </si>
  <si>
    <t>IT Contingency-KU</t>
  </si>
  <si>
    <t>IT0042K</t>
  </si>
  <si>
    <t>GIS BI Reporting-KU17</t>
  </si>
  <si>
    <t>IT0329K</t>
  </si>
  <si>
    <t>Lockout/Tagout Replace-KU18</t>
  </si>
  <si>
    <t>IT0333K</t>
  </si>
  <si>
    <t>Cst Rel Mgmt Maj Acts-KU18-19</t>
  </si>
  <si>
    <t>IT0352K</t>
  </si>
  <si>
    <t>Exp/Repl Cust Comm Chan-KU18</t>
  </si>
  <si>
    <t>147830</t>
  </si>
  <si>
    <t>Corporate Contingency-KU</t>
  </si>
  <si>
    <t>138485</t>
  </si>
  <si>
    <t>DSP Hoover 2 Sub</t>
  </si>
  <si>
    <t>144913</t>
  </si>
  <si>
    <t>DSP SIMPSONVILLE 1 SUBSTATION</t>
  </si>
  <si>
    <t>148716</t>
  </si>
  <si>
    <t>N1DT WILSON DOWNING 2</t>
  </si>
  <si>
    <t>149093</t>
  </si>
  <si>
    <t>N1DT Wilson Down 2 Upg Dist</t>
  </si>
  <si>
    <t>152813</t>
  </si>
  <si>
    <t>SHE Transfer UB E.Ckt 2522</t>
  </si>
  <si>
    <t>152874</t>
  </si>
  <si>
    <t>Distr Capacitors KU 2019</t>
  </si>
  <si>
    <t>152950</t>
  </si>
  <si>
    <t>Simpsonville 1 Dist</t>
  </si>
  <si>
    <t>155280</t>
  </si>
  <si>
    <t>Rem Texas to Perryville Line</t>
  </si>
  <si>
    <t>155309</t>
  </si>
  <si>
    <t>Trans Line Clearance KU</t>
  </si>
  <si>
    <t>157010</t>
  </si>
  <si>
    <t>SCM2020 DAN REPL SUB BATTERY</t>
  </si>
  <si>
    <t>157013</t>
  </si>
  <si>
    <t>SCM2020 DAN MISC CAPITAL PROJ</t>
  </si>
  <si>
    <t>157016</t>
  </si>
  <si>
    <t>SCM2020 EARL MISC CAPITAL SUB</t>
  </si>
  <si>
    <t>157017</t>
  </si>
  <si>
    <t>SCM2020 EARL WILDLIFE PROTECT</t>
  </si>
  <si>
    <t>157022</t>
  </si>
  <si>
    <t>SCM2020 LEX MISC CAPITAL SUB</t>
  </si>
  <si>
    <t>157023</t>
  </si>
  <si>
    <t>SCM2020 LEX REPL BREAKERS</t>
  </si>
  <si>
    <t>157024</t>
  </si>
  <si>
    <t>SCM2020 LEX REPL BUSHINGS</t>
  </si>
  <si>
    <t>157025</t>
  </si>
  <si>
    <t>SCM2020 LEX REPL REGULATORS</t>
  </si>
  <si>
    <t>157028</t>
  </si>
  <si>
    <t>SCM2020 LEX REPL SUB BATTERY</t>
  </si>
  <si>
    <t>157029</t>
  </si>
  <si>
    <t>SCM2020 LEX LEGACY RTU REPL</t>
  </si>
  <si>
    <t>157034</t>
  </si>
  <si>
    <t>SCM2020 KU REPL LTC/REG CNTRL</t>
  </si>
  <si>
    <t>157054</t>
  </si>
  <si>
    <t>SCM2020 EARL MISC NESC COMPL</t>
  </si>
  <si>
    <t>157055</t>
  </si>
  <si>
    <t>SCM2020 LEX REPL LEGACY BRKR</t>
  </si>
  <si>
    <t>157056</t>
  </si>
  <si>
    <t>SCM2020 KU LTC OIL FILT ADDS</t>
  </si>
  <si>
    <t>157058</t>
  </si>
  <si>
    <t>SCM2020 LEX MISC NESC COMPL</t>
  </si>
  <si>
    <t>157061</t>
  </si>
  <si>
    <t>SCM2020 KU LEGACY RELAY REPL</t>
  </si>
  <si>
    <t>157062</t>
  </si>
  <si>
    <t>SCM2020 DAN FAILED BRKR/RECL</t>
  </si>
  <si>
    <t>157063</t>
  </si>
  <si>
    <t>SCM2020 DAN MISC NESC COMPL</t>
  </si>
  <si>
    <t>157605</t>
  </si>
  <si>
    <t>DSP WHITE SULPHUR SUB</t>
  </si>
  <si>
    <t>157614</t>
  </si>
  <si>
    <t>KU HW/SW Asset Mgmt 2019</t>
  </si>
  <si>
    <t>163028</t>
  </si>
  <si>
    <t>DSP White Sulphur 138-12kV</t>
  </si>
  <si>
    <t>163043</t>
  </si>
  <si>
    <t>KU Direct Burial Replacement</t>
  </si>
  <si>
    <t>101GH</t>
  </si>
  <si>
    <t>GH Recycle Pmp ImpellerRefrb20</t>
  </si>
  <si>
    <t>121GH</t>
  </si>
  <si>
    <t>GH1 Cooling Tower ComplRebuild</t>
  </si>
  <si>
    <t>126302</t>
  </si>
  <si>
    <t>GH4 Econ Outlet Duct Exp Jt</t>
  </si>
  <si>
    <t>131978</t>
  </si>
  <si>
    <t>GH1 Reheat Pend Assy Repl</t>
  </si>
  <si>
    <t>137244</t>
  </si>
  <si>
    <t>GH4 Upper Econ Repl</t>
  </si>
  <si>
    <t>137474</t>
  </si>
  <si>
    <t>GH4 Primary SH Repl</t>
  </si>
  <si>
    <t>137485</t>
  </si>
  <si>
    <t>GH4 FGD Inlet Duct Exp Jts 20</t>
  </si>
  <si>
    <t>140170</t>
  </si>
  <si>
    <t>GH BU Bucket and Chain 20</t>
  </si>
  <si>
    <t>140184</t>
  </si>
  <si>
    <t>GH Conveyor Belt Repl 20</t>
  </si>
  <si>
    <t>140199</t>
  </si>
  <si>
    <t>GH4 Furnace Wall Metal Overlay</t>
  </si>
  <si>
    <t>MISC TOOLS</t>
  </si>
  <si>
    <t>144309</t>
  </si>
  <si>
    <t>GH4 480v MCC Replacement</t>
  </si>
  <si>
    <t>144312</t>
  </si>
  <si>
    <t>GH1 SH Pendant Platens</t>
  </si>
  <si>
    <t>144325</t>
  </si>
  <si>
    <t>GH4 SCR Catalyst L1</t>
  </si>
  <si>
    <t>144362</t>
  </si>
  <si>
    <t>GH0-1 SFC Chain Repl 20</t>
  </si>
  <si>
    <t>144374</t>
  </si>
  <si>
    <t>GH4 Coal Handling Controls</t>
  </si>
  <si>
    <t>147347</t>
  </si>
  <si>
    <t>GH4 Mill BSO Repl</t>
  </si>
  <si>
    <t>148111</t>
  </si>
  <si>
    <t>GH4 Turbine</t>
  </si>
  <si>
    <t>149021KU</t>
  </si>
  <si>
    <t>TC2 KU TDBFP RECIRC VALVE B</t>
  </si>
  <si>
    <t>150052KU</t>
  </si>
  <si>
    <t>TC2 KU LOWER SLOPE WW REPL</t>
  </si>
  <si>
    <t>150064KU</t>
  </si>
  <si>
    <t>TC2 KU SSC TILE</t>
  </si>
  <si>
    <t>151437</t>
  </si>
  <si>
    <t>GH4 PA Duct Replacement</t>
  </si>
  <si>
    <t>151439</t>
  </si>
  <si>
    <t>GH4 Pulv Cold Air Dampers Repl</t>
  </si>
  <si>
    <t>152659KU</t>
  </si>
  <si>
    <t>TC2 KU A ID FAN OVERHAUL</t>
  </si>
  <si>
    <t>152685KU</t>
  </si>
  <si>
    <t>TC2 B BFP OVERHAUL</t>
  </si>
  <si>
    <t>153047KU</t>
  </si>
  <si>
    <t>TC2 KU FINAL SH REP</t>
  </si>
  <si>
    <t>153080KU</t>
  </si>
  <si>
    <t>TC2 SCR CATALYST L1 NEW</t>
  </si>
  <si>
    <t>154744KU</t>
  </si>
  <si>
    <t>TC2 COOLING TOWER PUMP OH</t>
  </si>
  <si>
    <t>154950</t>
  </si>
  <si>
    <t>GH4 Precip Rebuild Phase 3</t>
  </si>
  <si>
    <t>154951</t>
  </si>
  <si>
    <t>GH4 Precip Rebuild Phase 4</t>
  </si>
  <si>
    <t>154961</t>
  </si>
  <si>
    <t>GH4 AH Rack &amp; Pinion Gear Rpl</t>
  </si>
  <si>
    <t>155014</t>
  </si>
  <si>
    <t>GH4 RH Outlet Terminal TubeRpl</t>
  </si>
  <si>
    <t>155017</t>
  </si>
  <si>
    <t>GH4 Vertical RH Repl</t>
  </si>
  <si>
    <t>155018</t>
  </si>
  <si>
    <t>GH1 Air Preheating Coils Repl</t>
  </si>
  <si>
    <t>155443KU</t>
  </si>
  <si>
    <t>TC F COAL CONV GALLERY REBLD</t>
  </si>
  <si>
    <t>155558KU</t>
  </si>
  <si>
    <t>TC2 BOILER WATER WALL 2020</t>
  </si>
  <si>
    <t>155651KU</t>
  </si>
  <si>
    <t>TC2 EXPANSION JOINTS 2020</t>
  </si>
  <si>
    <t>155659KU</t>
  </si>
  <si>
    <t>TC2 BURNER B,E ROWS 2020</t>
  </si>
  <si>
    <t>156577</t>
  </si>
  <si>
    <t>GH1 Horiz LTSH Repl</t>
  </si>
  <si>
    <t>156629</t>
  </si>
  <si>
    <t>GH4 AH  Basket Repl 2020</t>
  </si>
  <si>
    <t>156834KU</t>
  </si>
  <si>
    <t>TC2 WESP DRAIN PIPING</t>
  </si>
  <si>
    <t>156838KU</t>
  </si>
  <si>
    <t>TC PLC CONVERSION</t>
  </si>
  <si>
    <t>157075KU</t>
  </si>
  <si>
    <t>TC2 HA COMP OH</t>
  </si>
  <si>
    <t>157779KU</t>
  </si>
  <si>
    <t>TC2 RH ATTEMPERATORS</t>
  </si>
  <si>
    <t>220GH</t>
  </si>
  <si>
    <t>GH4 Cooling Tower ComplRebuild</t>
  </si>
  <si>
    <t>158028</t>
  </si>
  <si>
    <t>GH FLY ASH BARGE LOAD NON-ECR</t>
  </si>
  <si>
    <t>158030</t>
  </si>
  <si>
    <t>GH GYP BARGE LOAD NON-ECR</t>
  </si>
  <si>
    <t>127111</t>
  </si>
  <si>
    <t>KY Dam to S.Paducah 69kv</t>
  </si>
  <si>
    <t>137807</t>
  </si>
  <si>
    <t>DSP HOOVER SUB</t>
  </si>
  <si>
    <t>139958</t>
  </si>
  <si>
    <t>CR MLRSBRG-MRPHYVL</t>
  </si>
  <si>
    <t>140283</t>
  </si>
  <si>
    <t>COMP-RELATED-EQUIP-KU-2020</t>
  </si>
  <si>
    <t>144975</t>
  </si>
  <si>
    <t>REL CLAYS MILL MOS</t>
  </si>
  <si>
    <t>145803</t>
  </si>
  <si>
    <t>TEP-CR-CLAY VLG TP-SHBVLL E</t>
  </si>
  <si>
    <t>145843</t>
  </si>
  <si>
    <t>Balance BP Capital Labor</t>
  </si>
  <si>
    <t>147506</t>
  </si>
  <si>
    <t>REL Woodlawn Switch</t>
  </si>
  <si>
    <t>147507</t>
  </si>
  <si>
    <t>REL Vine Grove Switch</t>
  </si>
  <si>
    <t>147513</t>
  </si>
  <si>
    <t>REL Camp Breckenridge Switch</t>
  </si>
  <si>
    <t>147734</t>
  </si>
  <si>
    <t>FULL UPGRD EMS SWARE-KU-2020</t>
  </si>
  <si>
    <t>SPIR Projects KU</t>
  </si>
  <si>
    <t>148854</t>
  </si>
  <si>
    <t>SR Morganfield-Nebo 69kV</t>
  </si>
  <si>
    <t>152641</t>
  </si>
  <si>
    <t>KU Resiliency Upgrades</t>
  </si>
  <si>
    <t>152704</t>
  </si>
  <si>
    <t>CR Ohio Co-Hartford</t>
  </si>
  <si>
    <t>152992</t>
  </si>
  <si>
    <t>West Lex Xfmr Add</t>
  </si>
  <si>
    <t>157202</t>
  </si>
  <si>
    <t>TEP-MOT-Blackwell-Ghent 138kV</t>
  </si>
  <si>
    <t>157203</t>
  </si>
  <si>
    <t>TEP-MOT-Campground-London</t>
  </si>
  <si>
    <t>157204</t>
  </si>
  <si>
    <t>TEP-MOT-Crittenden-Marion So</t>
  </si>
  <si>
    <t>157205</t>
  </si>
  <si>
    <t>TEP-MOT-Eddyville Prsn-Ky Dam</t>
  </si>
  <si>
    <t>157209</t>
  </si>
  <si>
    <t>TEP-CR-Ky Dam-So Paducah</t>
  </si>
  <si>
    <t>157210</t>
  </si>
  <si>
    <t>TEP-MOT-LaGrange E-Penal Tap</t>
  </si>
  <si>
    <t>157211</t>
  </si>
  <si>
    <t>TEP-NL-Lebanon-Lebanon South</t>
  </si>
  <si>
    <t>157215</t>
  </si>
  <si>
    <t>TEP-MOT-Southville-Bonds Mill</t>
  </si>
  <si>
    <t>157216</t>
  </si>
  <si>
    <t>ESR Existing Switch Rep</t>
  </si>
  <si>
    <t>157309</t>
  </si>
  <si>
    <t>DSP Simpsonville 1 Sub</t>
  </si>
  <si>
    <t>157315</t>
  </si>
  <si>
    <t>DSP N1DT Wilson Downing</t>
  </si>
  <si>
    <t>157443</t>
  </si>
  <si>
    <t>REL Lakeshore (Alt 2A)</t>
  </si>
  <si>
    <t>157635</t>
  </si>
  <si>
    <t>PR Nebo-Wheatcroft</t>
  </si>
  <si>
    <t>157636</t>
  </si>
  <si>
    <t>PR Dorchester-St Paul</t>
  </si>
  <si>
    <t>157639</t>
  </si>
  <si>
    <t>PR Corydon-Grn River Steel</t>
  </si>
  <si>
    <t>157641</t>
  </si>
  <si>
    <t>PR Bimble-London 69kV</t>
  </si>
  <si>
    <t>157642</t>
  </si>
  <si>
    <t>PR Imboden-Gorge-Dorchester</t>
  </si>
  <si>
    <t>157645</t>
  </si>
  <si>
    <t>PR Adams-Haefling</t>
  </si>
  <si>
    <t>157708</t>
  </si>
  <si>
    <t>ESR Ashland Oil-Cty of Paducah</t>
  </si>
  <si>
    <t>LI-000094</t>
  </si>
  <si>
    <t>TEP-CR-Green County-Grburg</t>
  </si>
  <si>
    <t>LI-000095</t>
  </si>
  <si>
    <t>TEP-MOT-KU Park-Stinking Creek</t>
  </si>
  <si>
    <t>LI-000096</t>
  </si>
  <si>
    <t>TEP-MOT-Wofford-Rockhold</t>
  </si>
  <si>
    <t>SU-000001</t>
  </si>
  <si>
    <t>PCH Barlow Control House</t>
  </si>
  <si>
    <t>SU-000002</t>
  </si>
  <si>
    <t>PR Middlesboro Control House</t>
  </si>
  <si>
    <t>SU-000052</t>
  </si>
  <si>
    <t>PBR-Nebo (3) 69kV BKR</t>
  </si>
  <si>
    <t>SU-000053</t>
  </si>
  <si>
    <t>PBR-Okonite (2) 69kV BKR</t>
  </si>
  <si>
    <t>SU-000055</t>
  </si>
  <si>
    <t>PBR-Winchester (3) 69kV BKR</t>
  </si>
  <si>
    <t>SU-000070</t>
  </si>
  <si>
    <t>PCH-SHELBYVILLE CONTROL HOUSE</t>
  </si>
  <si>
    <t>SU-000088</t>
  </si>
  <si>
    <t>REL-River Queen DFR</t>
  </si>
  <si>
    <t>SU-000089</t>
  </si>
  <si>
    <t>REL-South Paducah DFR</t>
  </si>
  <si>
    <t>SU-000130</t>
  </si>
  <si>
    <t>PR Harlan Y CONTROL HOUSE</t>
  </si>
  <si>
    <t>SU-000191</t>
  </si>
  <si>
    <t>TEP-Crrlltn-Lckprt Trm Eqp</t>
  </si>
  <si>
    <t>SU-000203</t>
  </si>
  <si>
    <t>TEP-Hardin Co-Etwn 69kV 2 Line</t>
  </si>
  <si>
    <t>SU-000220</t>
  </si>
  <si>
    <t>REL-Andover Taps RTU</t>
  </si>
  <si>
    <t>SU-000221</t>
  </si>
  <si>
    <t>REL-Bear Track 69 RTU</t>
  </si>
  <si>
    <t>SU-000222</t>
  </si>
  <si>
    <t>REL-Howards Branch 161 RTU</t>
  </si>
  <si>
    <t>SU-000223</t>
  </si>
  <si>
    <t>REL-Lakeshore 69 RTU</t>
  </si>
  <si>
    <t>SU-000224</t>
  </si>
  <si>
    <t>REL-Oak Hill 69 RTU</t>
  </si>
  <si>
    <t>SU-000229</t>
  </si>
  <si>
    <t>REL-Lakeshore (Alt 2A)</t>
  </si>
  <si>
    <t>SU-000241</t>
  </si>
  <si>
    <t>REL-IBM 69 RTU</t>
  </si>
  <si>
    <t>SU-000320</t>
  </si>
  <si>
    <t>PRLY-Bonds Mill 604</t>
  </si>
  <si>
    <t>SU-000321</t>
  </si>
  <si>
    <t>PRLY-Bonds Mill 614</t>
  </si>
  <si>
    <t>SU-000322</t>
  </si>
  <si>
    <t>PCH-St Paul</t>
  </si>
  <si>
    <t>SU-000326</t>
  </si>
  <si>
    <t>PDFR-Pineville Transmission</t>
  </si>
  <si>
    <t>SU-000343</t>
  </si>
  <si>
    <t>TEP-MV Simpsonville-Finch. Bkr</t>
  </si>
  <si>
    <t>SU-000344</t>
  </si>
  <si>
    <t>TEP-Virginia City Reactor</t>
  </si>
  <si>
    <t>SU-000349</t>
  </si>
  <si>
    <t>TEP-Lemons Mill 69kV Cap Bank</t>
  </si>
  <si>
    <t>SU-000351</t>
  </si>
  <si>
    <t>TEP-Taylorsville 69kV Cap Bank</t>
  </si>
  <si>
    <t>SU-000364</t>
  </si>
  <si>
    <t>REL-West Hickman Comm</t>
  </si>
  <si>
    <t>SU-000371</t>
  </si>
  <si>
    <t>PBR-Simmons (1) BKR</t>
  </si>
  <si>
    <t>SU-000372</t>
  </si>
  <si>
    <t>PBR-Rogersville Sw (3) BKR</t>
  </si>
  <si>
    <t>SU-000373</t>
  </si>
  <si>
    <t>PBR-S Paducah (4) BKR (PIN)</t>
  </si>
  <si>
    <t>SU-000374</t>
  </si>
  <si>
    <t>PBR_Clark Co (4) BKR (PIN)</t>
  </si>
  <si>
    <t>SU-000375</t>
  </si>
  <si>
    <t>PBR-Finchville (1) BKR</t>
  </si>
  <si>
    <t>SU-000378</t>
  </si>
  <si>
    <t>PBR-Rumsey (1) BKR</t>
  </si>
  <si>
    <t>SU-000396</t>
  </si>
  <si>
    <t>PPLC-Arnold PCA</t>
  </si>
  <si>
    <t>SU-000397</t>
  </si>
  <si>
    <t>PPLC-Dorchester 072-814 DCB</t>
  </si>
  <si>
    <t>SU-000398</t>
  </si>
  <si>
    <t>PPLC-Delvinta 139-804, 824 DCB</t>
  </si>
  <si>
    <t>SU-000399</t>
  </si>
  <si>
    <t>PPLC-West Irvine 193-608 DCB</t>
  </si>
  <si>
    <t>SU-000400</t>
  </si>
  <si>
    <t>PPLC-Lake Reba 163-658 DTT</t>
  </si>
  <si>
    <t>SU-000401</t>
  </si>
  <si>
    <t>PPLC-Lake Reba Tap 162-714 DTT</t>
  </si>
  <si>
    <t>SU-000404</t>
  </si>
  <si>
    <t>RTU-Beattyville</t>
  </si>
  <si>
    <t>SU-000405</t>
  </si>
  <si>
    <t>PCH-Lancaster</t>
  </si>
  <si>
    <t>SU-000408</t>
  </si>
  <si>
    <t>PCH-Boyle County</t>
  </si>
  <si>
    <t>00017FACK</t>
  </si>
  <si>
    <t>KUGO RESTROOM UPDATES</t>
  </si>
  <si>
    <t>00051FACK</t>
  </si>
  <si>
    <t>A/V UPDATES 2020</t>
  </si>
  <si>
    <t>00100FACK</t>
  </si>
  <si>
    <t>Middlesboro BO Reno</t>
  </si>
  <si>
    <t>00105FACK</t>
  </si>
  <si>
    <t>KUGO Floor 1, 2 Remodel KU</t>
  </si>
  <si>
    <t>149166</t>
  </si>
  <si>
    <t>KU SECURITY EQUIPMENT 2020</t>
  </si>
  <si>
    <t>149487</t>
  </si>
  <si>
    <t>Misc Retail Hardware 2020 KU</t>
  </si>
  <si>
    <t>152387</t>
  </si>
  <si>
    <t>KU FAC CONSOLIDATION 2019-20</t>
  </si>
  <si>
    <t>153022</t>
  </si>
  <si>
    <t>REPL FAILED EQUIP LTP-KU</t>
  </si>
  <si>
    <t>153025</t>
  </si>
  <si>
    <t>FURN &amp; EQUIP LTP-KU</t>
  </si>
  <si>
    <t>157893</t>
  </si>
  <si>
    <t>Smart Cities KU 2019</t>
  </si>
  <si>
    <t>157898</t>
  </si>
  <si>
    <t>EE Business Dvlp KU 2020</t>
  </si>
  <si>
    <t>Mobile Dispatch Enh-KU19-20</t>
  </si>
  <si>
    <t>IT0302K</t>
  </si>
  <si>
    <t>Rep ASTRO Spectra Yr 2/3-KU20</t>
  </si>
  <si>
    <t>IT0306K</t>
  </si>
  <si>
    <t>Repl Quantar Repeat 2/2-KU20</t>
  </si>
  <si>
    <t>IT0407K</t>
  </si>
  <si>
    <t>Bill Design Tool Upg-KU20</t>
  </si>
  <si>
    <t>IT0419K</t>
  </si>
  <si>
    <t>Corp Web Redesign-KU19-20</t>
  </si>
  <si>
    <t>IT0452K</t>
  </si>
  <si>
    <t>Oracle NMS Enhance-KU20</t>
  </si>
  <si>
    <t>IT0453K</t>
  </si>
  <si>
    <t>OTN Extend EKY Ring-KU19-20</t>
  </si>
  <si>
    <t>IT0458K</t>
  </si>
  <si>
    <t>PowerPlan Upgrade-KU19-20</t>
  </si>
  <si>
    <t>IT0480K</t>
  </si>
  <si>
    <t>Time and Labor Upgr-KU19-21</t>
  </si>
  <si>
    <t>IT0511K</t>
  </si>
  <si>
    <t>Trns Lnes Wk Mgmt Upg-KU19-20</t>
  </si>
  <si>
    <t>IT0514K</t>
  </si>
  <si>
    <t>DACS Equip Repl (Yr2of3)-KU20</t>
  </si>
  <si>
    <t>IT0559K</t>
  </si>
  <si>
    <t>Genetec HW Upgrade-KU19-20</t>
  </si>
  <si>
    <t>IT0560K</t>
  </si>
  <si>
    <t>Cust Not Expand/Repl-KU19-20</t>
  </si>
  <si>
    <t>IT0561K</t>
  </si>
  <si>
    <t>MAM Enhments-KU19-20</t>
  </si>
  <si>
    <t>IT0569K</t>
  </si>
  <si>
    <t>Enterprise GIS-Phase2-KU20-21</t>
  </si>
  <si>
    <t>IT0604K</t>
  </si>
  <si>
    <t>Avaya-Route&amp;Rpt Upg-KU19-20</t>
  </si>
  <si>
    <t>IT0606K</t>
  </si>
  <si>
    <t>Bulk Power &amp; Env Systems-KU20</t>
  </si>
  <si>
    <t>IT0609K</t>
  </si>
  <si>
    <t>Call Recording Upgr-KU20-21</t>
  </si>
  <si>
    <t>IT0612K</t>
  </si>
  <si>
    <t>CIP Compl Tools - Yr 10-KU20</t>
  </si>
  <si>
    <t>IT0613K</t>
  </si>
  <si>
    <t>Citrix XenDesk Maj Upgr-KU20</t>
  </si>
  <si>
    <t>IT0614K</t>
  </si>
  <si>
    <t>Citrix XenMobile Upgrade-KU20</t>
  </si>
  <si>
    <t>IT0615K</t>
  </si>
  <si>
    <t>CIP Compl Infra - Yr 10-KU20</t>
  </si>
  <si>
    <t>IT0618K</t>
  </si>
  <si>
    <t>Constellation MW Rplmnt-KU20</t>
  </si>
  <si>
    <t>IT0627K</t>
  </si>
  <si>
    <t>IT Sec Infrast Enhance-KU20</t>
  </si>
  <si>
    <t>IT0628K</t>
  </si>
  <si>
    <t>ITSM Upgrade-KU20</t>
  </si>
  <si>
    <t>IT0633K</t>
  </si>
  <si>
    <t>Microsoft Lic True-up-KU20</t>
  </si>
  <si>
    <t>IT0634K</t>
  </si>
  <si>
    <t>Mbl &amp; Wrkst Lic True-up-KU20</t>
  </si>
  <si>
    <t>IT0636K</t>
  </si>
  <si>
    <t>Mobile Radio-KU20</t>
  </si>
  <si>
    <t>IT0637K</t>
  </si>
  <si>
    <t>Monitor Replacement-KU20</t>
  </si>
  <si>
    <t>IT0644K</t>
  </si>
  <si>
    <t>Ntwrk Acc Dev&amp;Site Infra-KU20</t>
  </si>
  <si>
    <t>IT0647K</t>
  </si>
  <si>
    <t>Network Test Equipment-KU20</t>
  </si>
  <si>
    <t>IT0649K</t>
  </si>
  <si>
    <t>Outside Cable Plant -KU20</t>
  </si>
  <si>
    <t>IT0651K</t>
  </si>
  <si>
    <t>Pers Product Grow &amp; Ref-KU20</t>
  </si>
  <si>
    <t>IT0652K</t>
  </si>
  <si>
    <t>Purch/Rebld Radio Site-KU20</t>
  </si>
  <si>
    <t>IT0656K</t>
  </si>
  <si>
    <t>Router Upgrade Project-KU20</t>
  </si>
  <si>
    <t>IT0661K</t>
  </si>
  <si>
    <t>Ser Cap Expan and Rel-KU20</t>
  </si>
  <si>
    <t>IT0668K</t>
  </si>
  <si>
    <t>Site Security Improve-KU20</t>
  </si>
  <si>
    <t>IT0671K</t>
  </si>
  <si>
    <t>Tech Refesh desk/lap-KU20</t>
  </si>
  <si>
    <t>IT0672K</t>
  </si>
  <si>
    <t>Telecom Site Ren-KU20</t>
  </si>
  <si>
    <t>IT0673K</t>
  </si>
  <si>
    <t>TOA Upgrade-KU20</t>
  </si>
  <si>
    <t>IT0674K</t>
  </si>
  <si>
    <t>TRODS-KU20</t>
  </si>
  <si>
    <t>IT0675K</t>
  </si>
  <si>
    <t>Truepoint MW Replacement-KU20</t>
  </si>
  <si>
    <t>IT0680K</t>
  </si>
  <si>
    <t>Voice Infra Expansion-KU20</t>
  </si>
  <si>
    <t>IT0681K</t>
  </si>
  <si>
    <t>Wireless Buildout-KU20</t>
  </si>
  <si>
    <t>IT0682K</t>
  </si>
  <si>
    <t>SCADA Radio Refrsh Yr1/3-KU20</t>
  </si>
  <si>
    <t>IT0689K</t>
  </si>
  <si>
    <t>Safety Dashboard Enhance-KU20</t>
  </si>
  <si>
    <t>IT0690K</t>
  </si>
  <si>
    <t>Aligne Upgrade-KU20</t>
  </si>
  <si>
    <t>IT0693K</t>
  </si>
  <si>
    <t>DB Refresh-KU20</t>
  </si>
  <si>
    <t>IT0694K</t>
  </si>
  <si>
    <t>Windows 10 CBB Upgrade-KU20</t>
  </si>
  <si>
    <t>IT0695K</t>
  </si>
  <si>
    <t>SCCM Upgrades-KU20</t>
  </si>
  <si>
    <t>IT0701K</t>
  </si>
  <si>
    <t>Trans Lines Mobile Insp-KU20</t>
  </si>
  <si>
    <t>IT0705K</t>
  </si>
  <si>
    <t>iPad Refresh Project-KU20</t>
  </si>
  <si>
    <t>IT0708K</t>
  </si>
  <si>
    <t>My Acct Repl/Enhance-KU19-20</t>
  </si>
  <si>
    <t>IT0710K</t>
  </si>
  <si>
    <t>SOA Middleware Upgrade-KU20</t>
  </si>
  <si>
    <t>IT0711K</t>
  </si>
  <si>
    <t>CA API Mgmt Gateway Upg-KU20</t>
  </si>
  <si>
    <t>IT0712K</t>
  </si>
  <si>
    <t>BI Rpting Aligne Fuels-KU20</t>
  </si>
  <si>
    <t>IT0713K</t>
  </si>
  <si>
    <t>Enterprise GIS Enhance-KU20</t>
  </si>
  <si>
    <t>IT0715K</t>
  </si>
  <si>
    <t>OpenTxt for Envrn Affrs-KU20</t>
  </si>
  <si>
    <t>IT0716K</t>
  </si>
  <si>
    <t>UC&amp;C/CUCM Major Upgrade-KU20</t>
  </si>
  <si>
    <t>IT0718K</t>
  </si>
  <si>
    <t>Virtual Reality Implment-KU20</t>
  </si>
  <si>
    <t>IT0720K</t>
  </si>
  <si>
    <t>Computing Infra Upgrade-KU20</t>
  </si>
  <si>
    <t>IT0722K</t>
  </si>
  <si>
    <t>Data Center Facility Upg-KU20</t>
  </si>
  <si>
    <t>IT0723K</t>
  </si>
  <si>
    <t>Corporate RPA-KU20</t>
  </si>
  <si>
    <t>IT0724K</t>
  </si>
  <si>
    <t>SAP Hana 2 Upgrade-KU20-21</t>
  </si>
  <si>
    <t>IT0726K</t>
  </si>
  <si>
    <t>Data Analytics (SIO)-KU20</t>
  </si>
  <si>
    <t>IT1087K</t>
  </si>
  <si>
    <t>SONET Equip Repl Yr 2/4-KU20</t>
  </si>
  <si>
    <t>PAGE 10 OF 11</t>
  </si>
  <si>
    <t>PAGE 11 OF 11</t>
  </si>
  <si>
    <t>PAGE 9 OF 11</t>
  </si>
  <si>
    <t>PAGE 8 OF 11</t>
  </si>
  <si>
    <t>PAGE 7 OF 11</t>
  </si>
  <si>
    <t>PAGE 6 OF 11</t>
  </si>
  <si>
    <t>PAGE 5 OF 11</t>
  </si>
  <si>
    <t>PAGE 1 OF 11</t>
  </si>
  <si>
    <t>PAGE 2 OF 11</t>
  </si>
  <si>
    <t>PAGE 3 OF 11</t>
  </si>
  <si>
    <t>PAGE 4 OF 11</t>
  </si>
  <si>
    <t>Directly Assigned to Kentucky, Demand - Virginia and FERC Jurisdictions</t>
  </si>
  <si>
    <t>AFUDC method of allocation based upon Demand to the Virginia and FERC Jurisdictions.</t>
  </si>
  <si>
    <t>Allowance for Funds Used Duriing Construction (AFUDC) method of allocation changed to directly assign terminated Municipal contract amounts to Kentucky Jurisdiction. All other AFUDC amounts are allocated based upon prior approved procedures.</t>
  </si>
  <si>
    <t>Termination of Municipal contracts effective end of April 2019.</t>
  </si>
  <si>
    <t>ECR Cash Working Capital (Page 6)</t>
  </si>
  <si>
    <t>Additional Cash Working Capital Items (Page 5)</t>
  </si>
  <si>
    <t>TOTAL USES / (SOURCES) OF CASH WORKING CAPITAL (LINE 7 + 15)</t>
  </si>
  <si>
    <t>TOTAL PLANT HELD FOR FUTURE USE</t>
  </si>
  <si>
    <t>ACCRUAL RATE</t>
  </si>
  <si>
    <t>13 MO AVG FORECAST PERIOD                TOTAL COMPANY</t>
  </si>
  <si>
    <t>13 MO AVG FORECAST PERIOD                TOTAL COMPANY INVESTMENT</t>
  </si>
  <si>
    <t>FORECAST PERIOD                TOTAL COMPANY</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</si>
</sst>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mmm\-yyyy"/>
    <numFmt numFmtId="166" formatCode="[$-409]mmmm\ d\,\ yyyy;@"/>
    <numFmt numFmtId="167" formatCode="0\ 00\ 000\ 000"/>
    <numFmt numFmtId="168" formatCode="&quot;$&quot;#,##0\ ;\(&quot;$&quot;#,##0\)"/>
    <numFmt numFmtId="169" formatCode="_-* #,##0.00\ [$€]_-;\-* #,##0.00\ [$€]_-;_-* &quot;-&quot;??\ [$€]_-;_-@_-"/>
    <numFmt numFmtId="170" formatCode="[$-409]d\-mmm\-yyyy;@"/>
    <numFmt numFmtId="171" formatCode="#,##0.00;[Red]\(#,##0.00\)"/>
    <numFmt numFmtId="172" formatCode="[$-409]mmmm\-yy;@"/>
    <numFmt numFmtId="173" formatCode="_(* #,##0_);_(* \(#,##0\);_(* &quot;-&quot;??_);_(@_)"/>
    <numFmt numFmtId="174" formatCode="###0;###0"/>
    <numFmt numFmtId="175" formatCode=";;;"/>
    <numFmt numFmtId="176" formatCode="dd\-mmm\-yy_)"/>
    <numFmt numFmtId="177" formatCode="hh:mm\ AM/PM_)"/>
    <numFmt numFmtId="178" formatCode="0.0000%"/>
    <numFmt numFmtId="179" formatCode="_(* #,##0.00000_);_(* \(#,##0.00000\);_(* &quot;-&quot;??_);_(@_)"/>
    <numFmt numFmtId="180" formatCode="#,##0.00000_);\(#,##0.00000\)"/>
    <numFmt numFmtId="181" formatCode="0.000%"/>
    <numFmt numFmtId="182" formatCode="[$-409]mmm\-yy;@"/>
    <numFmt numFmtId="183" formatCode="0_);\(0\)"/>
    <numFmt numFmtId="184" formatCode="_(* #,##0.0_);_(* \(#,##0.0\);_(* &quot;-&quot;??_);_(@_)"/>
    <numFmt numFmtId="185" formatCode="#,##0_);[Red]\(#,##0\);&quot; &quot;"/>
    <numFmt numFmtId="186" formatCode="#,##0.0000_);\(#,##0.0000\)"/>
    <numFmt numFmtId="187" formatCode="_(&quot;$&quot;* #,##0_);_(&quot;$&quot;* \(#,##0\);_(&quot;$&quot;* &quot;-&quot;??_);_(@_)"/>
    <numFmt numFmtId="188" formatCode="&quot;$&quot;#,##0.00"/>
    <numFmt numFmtId="189" formatCode="d\-mmm\-yyyy"/>
    <numFmt numFmtId="190" formatCode="#,##0.00\ &quot;DM&quot;;[Red]\-#,##0.00\ &quot;DM&quot;"/>
    <numFmt numFmtId="191" formatCode="#,##0.000_);[Red]\(#,##0.000\);&quot; &quot;"/>
    <numFmt numFmtId="192" formatCode="."/>
    <numFmt numFmtId="193" formatCode="_([$€-2]* #,##0.00_);_([$€-2]* \(#,##0.00\);_([$€-2]* &quot;-&quot;??_)"/>
    <numFmt numFmtId="194" formatCode="0.000"/>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00000000"/>
    <numFmt numFmtId="200" formatCode="&quot;$&quot;#,##0_);[Red]\(&quot;$&quot;#,##0\);&quot; &quot;"/>
    <numFmt numFmtId="201" formatCode="_(* #,##0.0000000000_);_(* \(#,##0.0000000000\);_(* &quot;-&quot;??_);_(@_)"/>
    <numFmt numFmtId="202" formatCode="###,000"/>
    <numFmt numFmtId="203" formatCode="#,##0.00000_);[Red]\(#,##0.00000\);&quot; &quot;"/>
    <numFmt numFmtId="204" formatCode="0.00000"/>
    <numFmt numFmtId="205" formatCode="#,##0.0_);[Red]\(#,##0.0\);&quot; &quot;"/>
    <numFmt numFmtId="206" formatCode="#,##0.00_);[Red]\(#,##0.00\);&quot; &quot;"/>
    <numFmt numFmtId="207" formatCode="0.0000000"/>
    <numFmt numFmtId="208" formatCode="_(* #,##0.00_);_(* \(#,##0.00\);_(* &quot;-&quot;_);_(@_)"/>
    <numFmt numFmtId="209" formatCode="_(* #,##0.0000_);_(* \(#,##0.0000\);_(* &quot;-&quot;??_);_(@_)"/>
  </numFmts>
  <fonts count="219">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0"/>
      <name val="Arial"/>
      <family val="2"/>
    </font>
    <font>
      <sz val="10"/>
      <name val="Arial"/>
      <family val="2"/>
    </font>
    <font>
      <sz val="11"/>
      <color theme="1"/>
      <name val="Calibri"/>
      <family val="2"/>
    </font>
    <font>
      <b/>
      <sz val="11"/>
      <color theme="1"/>
      <name val="Calibri"/>
      <family val="2"/>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8"/>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10"/>
      <name val="Courier"/>
      <family val="3"/>
    </font>
    <font>
      <sz val="8"/>
      <color indexed="8"/>
      <name val="Wingdings"/>
      <charset val="2"/>
    </font>
    <font>
      <sz val="10"/>
      <name val="Arial"/>
      <family val="2"/>
    </font>
    <font>
      <sz val="10"/>
      <color rgb="FF000000"/>
      <name val="Times New Roman"/>
      <family val="1"/>
    </font>
    <font>
      <sz val="10"/>
      <color rgb="FF000000"/>
      <name val="Arial"/>
      <family val="2"/>
    </font>
    <font>
      <sz val="10"/>
      <name val="Courier"/>
      <family val="3"/>
    </font>
    <font>
      <b/>
      <sz val="12"/>
      <name val="Arial"/>
      <family val="2"/>
    </font>
    <font>
      <u/>
      <sz val="10"/>
      <name val="Arial"/>
      <family val="2"/>
    </font>
    <font>
      <sz val="10"/>
      <color rgb="FFFF0000"/>
      <name val="Arial"/>
      <family val="2"/>
    </font>
    <font>
      <b/>
      <sz val="12"/>
      <name val="Times New Roman"/>
      <family val="1"/>
    </font>
    <font>
      <i/>
      <sz val="12"/>
      <name val="Times New Roman"/>
      <family val="1"/>
    </font>
    <font>
      <sz val="12"/>
      <name val="Arial"/>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12"/>
      <color theme="1"/>
      <name val="Times New Roman"/>
      <family val="2"/>
    </font>
    <font>
      <sz val="12"/>
      <color theme="1"/>
      <name val="Times New Roman"/>
      <family val="1"/>
    </font>
    <font>
      <sz val="10"/>
      <color theme="1"/>
      <name val="Arial"/>
      <family val="2"/>
    </font>
    <font>
      <sz val="10"/>
      <name val="Courier"/>
      <family val="3"/>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sz val="18"/>
      <name val="Arial"/>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1"/>
      <color rgb="FFFF0000"/>
      <name val="Calibri"/>
      <family val="2"/>
    </font>
    <font>
      <sz val="14"/>
      <color theme="1"/>
      <name val="Calibri"/>
      <family val="2"/>
    </font>
    <font>
      <b/>
      <sz val="11"/>
      <color rgb="FFFF0000"/>
      <name val="Calibri"/>
      <family val="2"/>
    </font>
    <font>
      <sz val="12"/>
      <name val="Arial"/>
      <family val="2"/>
    </font>
    <font>
      <sz val="11"/>
      <name val="Calibri"/>
      <family val="2"/>
    </font>
    <font>
      <sz val="11"/>
      <color indexed="63"/>
      <name val="Calibri"/>
      <family val="2"/>
    </font>
    <font>
      <b/>
      <u/>
      <sz val="12"/>
      <name val="Times New Roman"/>
      <family val="1"/>
    </font>
    <font>
      <b/>
      <sz val="18"/>
      <color theme="3"/>
      <name val="Cambria"/>
      <family val="2"/>
      <scheme val="major"/>
    </font>
    <font>
      <b/>
      <sz val="12"/>
      <color indexed="10"/>
      <name val="Times New Roman"/>
      <family val="1"/>
    </font>
    <font>
      <sz val="12"/>
      <color indexed="12"/>
      <name val="Times New Roman"/>
      <family val="1"/>
    </font>
    <font>
      <sz val="12"/>
      <color indexed="10"/>
      <name val="Times New Roman"/>
      <family val="1"/>
    </font>
    <font>
      <b/>
      <sz val="12"/>
      <color indexed="12"/>
      <name val="Arial"/>
      <family val="2"/>
    </font>
    <font>
      <sz val="11"/>
      <color theme="0"/>
      <name val="Times New Roman"/>
      <family val="2"/>
    </font>
    <font>
      <sz val="11"/>
      <color rgb="FF9C0006"/>
      <name val="Times New Roman"/>
      <family val="2"/>
    </font>
    <font>
      <sz val="10"/>
      <name val="Helv"/>
    </font>
    <font>
      <b/>
      <sz val="11"/>
      <color theme="0"/>
      <name val="Times New Roman"/>
      <family val="2"/>
    </font>
    <font>
      <sz val="9"/>
      <color theme="1"/>
      <name val="Times New Roman"/>
      <family val="2"/>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8"/>
      <color indexed="56"/>
      <name val="Cambria"/>
      <family val="2"/>
    </font>
    <font>
      <b/>
      <sz val="11"/>
      <color theme="1"/>
      <name val="Times New Roman"/>
      <family val="2"/>
    </font>
    <font>
      <sz val="11"/>
      <color rgb="FFFF0000"/>
      <name val="Times New Roman"/>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u/>
      <sz val="11"/>
      <color theme="1"/>
      <name val="Calibri"/>
      <family val="2"/>
    </font>
    <font>
      <sz val="11"/>
      <name val="Courier"/>
      <family val="3"/>
    </font>
    <font>
      <sz val="10"/>
      <color rgb="FF000000"/>
      <name val="3"/>
    </font>
    <font>
      <b/>
      <sz val="10"/>
      <color rgb="FF000000"/>
      <name val="Arial"/>
      <family val="2"/>
    </font>
    <font>
      <sz val="11"/>
      <color rgb="FF3F3F76"/>
      <name val="Calibri"/>
      <family val="2"/>
      <scheme val="minor"/>
    </font>
    <font>
      <b/>
      <sz val="11"/>
      <color rgb="FFFA7D00"/>
      <name val="Calibri"/>
      <family val="2"/>
      <scheme val="minor"/>
    </font>
    <font>
      <b/>
      <sz val="11"/>
      <color indexed="52"/>
      <name val="Calibri"/>
      <family val="2"/>
    </font>
    <font>
      <b/>
      <sz val="11"/>
      <color rgb="FFFA7D00"/>
      <name val="Times New Roman"/>
      <family val="2"/>
    </font>
    <font>
      <sz val="11"/>
      <name val="Times New Roman"/>
      <family val="1"/>
    </font>
    <font>
      <sz val="12"/>
      <name val="Tms Rmn"/>
    </font>
    <font>
      <b/>
      <sz val="18"/>
      <name val="Arial"/>
      <family val="2"/>
    </font>
    <font>
      <sz val="11"/>
      <color rgb="FF3F3F76"/>
      <name val="Times New Roman"/>
      <family val="2"/>
    </font>
    <font>
      <b/>
      <sz val="12"/>
      <name val="Tms Rmn"/>
    </font>
    <font>
      <sz val="11"/>
      <color indexed="8"/>
      <name val="Times New Roman"/>
      <family val="2"/>
    </font>
    <font>
      <b/>
      <sz val="16"/>
      <color indexed="13"/>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b/>
      <sz val="11"/>
      <color rgb="FFFF0000"/>
      <name val="Calibri"/>
      <family val="2"/>
      <scheme val="minor"/>
    </font>
    <font>
      <sz val="11"/>
      <color indexed="63"/>
      <name val="Calibri"/>
      <family val="2"/>
      <scheme val="minor"/>
    </font>
    <font>
      <sz val="11"/>
      <name val="Calibri"/>
      <family val="2"/>
      <scheme val="minor"/>
    </font>
    <font>
      <b/>
      <u/>
      <sz val="14"/>
      <name val="Arial"/>
      <family val="2"/>
    </font>
    <font>
      <b/>
      <u/>
      <sz val="12"/>
      <name val="Arial"/>
      <family val="2"/>
    </font>
    <font>
      <sz val="10"/>
      <name val="Calibri"/>
      <family val="2"/>
      <scheme val="minor"/>
    </font>
    <font>
      <sz val="12"/>
      <color theme="1"/>
      <name val="Arial"/>
      <family val="2"/>
    </font>
    <font>
      <sz val="10"/>
      <color rgb="FF0070C0"/>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gray0625"/>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99"/>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bottom style="double">
        <color indexed="64"/>
      </bottom>
      <diagonal/>
    </border>
    <border>
      <left/>
      <right/>
      <top style="thin">
        <color indexed="64"/>
      </top>
      <bottom style="thin">
        <color indexed="64"/>
      </bottom>
      <diagonal/>
    </border>
    <border>
      <left/>
      <right/>
      <top style="medium">
        <color indexed="8"/>
      </top>
      <bottom/>
      <diagonal/>
    </border>
    <border>
      <left/>
      <right/>
      <top style="double">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double">
        <color indexed="0"/>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4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double">
        <color indexed="8"/>
      </top>
      <bottom style="thin">
        <color indexed="8"/>
      </bottom>
      <diagonal/>
    </border>
  </borders>
  <cellStyleXfs count="61985">
    <xf numFmtId="37" fontId="0" fillId="0" borderId="0"/>
    <xf numFmtId="0" fontId="22"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15" borderId="0"/>
    <xf numFmtId="0" fontId="21" fillId="15" borderId="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4"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4"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4"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4" fillId="20"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4" fillId="2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4" fillId="2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4"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4" fillId="2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4" fillId="2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4" fillId="2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4" fillId="1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25"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0" fontId="26" fillId="26"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0" fontId="26" fillId="23"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17"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0" fontId="26" fillId="28"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25"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6"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6"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6"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30"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0" fontId="28" fillId="33"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2" fillId="36" borderId="9" applyNumberFormat="0" applyAlignment="0" applyProtection="0"/>
    <xf numFmtId="166" fontId="33" fillId="36" borderId="9" applyNumberFormat="0" applyAlignment="0" applyProtection="0"/>
    <xf numFmtId="166" fontId="33" fillId="36" borderId="9" applyNumberFormat="0" applyAlignment="0" applyProtection="0"/>
    <xf numFmtId="167" fontId="34" fillId="0" borderId="10" applyBorder="0">
      <alignment horizontal="center" vertical="center"/>
    </xf>
    <xf numFmtId="164" fontId="33" fillId="37" borderId="0">
      <alignment horizontal="left"/>
    </xf>
    <xf numFmtId="0" fontId="33" fillId="37" borderId="0">
      <alignment horizontal="left"/>
    </xf>
    <xf numFmtId="166" fontId="33" fillId="37" borderId="0">
      <alignment horizontal="left"/>
    </xf>
    <xf numFmtId="164" fontId="35" fillId="37" borderId="0">
      <alignment horizontal="right"/>
    </xf>
    <xf numFmtId="0" fontId="35" fillId="37" borderId="0">
      <alignment horizontal="right"/>
    </xf>
    <xf numFmtId="166" fontId="35" fillId="37" borderId="0">
      <alignment horizontal="right"/>
    </xf>
    <xf numFmtId="164" fontId="36" fillId="34" borderId="0">
      <alignment horizontal="center"/>
    </xf>
    <xf numFmtId="0" fontId="36" fillId="34" borderId="0">
      <alignment horizontal="center"/>
    </xf>
    <xf numFmtId="166" fontId="36" fillId="34" borderId="0">
      <alignment horizontal="center"/>
    </xf>
    <xf numFmtId="164" fontId="35" fillId="37" borderId="0">
      <alignment horizontal="right"/>
    </xf>
    <xf numFmtId="0" fontId="35" fillId="37" borderId="0">
      <alignment horizontal="right"/>
    </xf>
    <xf numFmtId="166" fontId="35" fillId="37" borderId="0">
      <alignment horizontal="right"/>
    </xf>
    <xf numFmtId="164" fontId="37" fillId="34" borderId="0">
      <alignment horizontal="left"/>
    </xf>
    <xf numFmtId="0" fontId="37" fillId="34" borderId="0">
      <alignment horizontal="left"/>
    </xf>
    <xf numFmtId="166" fontId="37" fillId="34" borderId="0">
      <alignment horizontal="left"/>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5" fontId="1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4" fontId="1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38" borderId="11" applyNumberFormat="0" applyFont="0" applyAlignment="0">
      <protection locked="0"/>
    </xf>
    <xf numFmtId="0" fontId="21" fillId="38" borderId="11" applyNumberFormat="0" applyFont="0" applyAlignment="0">
      <protection locked="0"/>
    </xf>
    <xf numFmtId="169" fontId="21" fillId="0" borderId="0" applyFont="0" applyFill="0" applyBorder="0" applyAlignment="0" applyProtection="0"/>
    <xf numFmtId="169"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40"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20" fillId="0" borderId="0" applyProtection="0"/>
    <xf numFmtId="166" fontId="20" fillId="0" borderId="0" applyProtection="0"/>
    <xf numFmtId="0" fontId="42" fillId="0" borderId="0" applyProtection="0"/>
    <xf numFmtId="166" fontId="42" fillId="0" borderId="0" applyProtection="0"/>
    <xf numFmtId="0" fontId="43" fillId="0" borderId="0" applyProtection="0"/>
    <xf numFmtId="166" fontId="43" fillId="0" borderId="0" applyProtection="0"/>
    <xf numFmtId="0" fontId="44" fillId="0" borderId="0" applyProtection="0"/>
    <xf numFmtId="166" fontId="44" fillId="0" borderId="0" applyProtection="0"/>
    <xf numFmtId="166" fontId="44" fillId="0" borderId="0" applyProtection="0"/>
    <xf numFmtId="0" fontId="21" fillId="0" borderId="0" applyProtection="0"/>
    <xf numFmtId="0" fontId="21" fillId="0" borderId="0" applyProtection="0"/>
    <xf numFmtId="166" fontId="21" fillId="0" borderId="0" applyProtection="0"/>
    <xf numFmtId="166" fontId="21" fillId="0" borderId="0" applyProtection="0"/>
    <xf numFmtId="0" fontId="20" fillId="0" borderId="0" applyProtection="0"/>
    <xf numFmtId="166" fontId="20" fillId="0" borderId="0" applyProtection="0"/>
    <xf numFmtId="0" fontId="45" fillId="0" borderId="0" applyProtection="0"/>
    <xf numFmtId="166" fontId="45" fillId="0" borderId="0" applyProtection="0"/>
    <xf numFmtId="2" fontId="19"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0" fontId="46" fillId="21"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47" fillId="0" borderId="12" applyNumberFormat="0" applyFill="0" applyAlignment="0" applyProtection="0"/>
    <xf numFmtId="166" fontId="48" fillId="0" borderId="13"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0" fontId="49" fillId="0" borderId="14" applyNumberFormat="0" applyFill="0" applyAlignment="0" applyProtection="0"/>
    <xf numFmtId="166" fontId="50" fillId="0" borderId="15"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0" fontId="51" fillId="0" borderId="16"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1"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164" fontId="53" fillId="0" borderId="0" applyNumberFormat="0" applyFill="0" applyBorder="0" applyAlignment="0" applyProtection="0">
      <alignment vertical="top"/>
      <protection locked="0"/>
    </xf>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4" fontId="33" fillId="37" borderId="0">
      <alignment horizontal="left"/>
    </xf>
    <xf numFmtId="0" fontId="33" fillId="37" borderId="0">
      <alignment horizontal="left"/>
    </xf>
    <xf numFmtId="166" fontId="33" fillId="37" borderId="0">
      <alignment horizontal="left"/>
    </xf>
    <xf numFmtId="164" fontId="56" fillId="34" borderId="0">
      <alignment horizontal="left"/>
    </xf>
    <xf numFmtId="0" fontId="56" fillId="34" borderId="0">
      <alignment horizontal="left"/>
    </xf>
    <xf numFmtId="0" fontId="56" fillId="34" borderId="0">
      <alignment horizontal="left"/>
    </xf>
    <xf numFmtId="166" fontId="56" fillId="34" borderId="0">
      <alignment horizontal="left"/>
    </xf>
    <xf numFmtId="0" fontId="57" fillId="0" borderId="18"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59" fillId="22"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164" fontId="21" fillId="0" borderId="0"/>
    <xf numFmtId="0" fontId="21" fillId="0" borderId="0"/>
    <xf numFmtId="166" fontId="21" fillId="0" borderId="0"/>
    <xf numFmtId="164"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21" fillId="0" borderId="0"/>
    <xf numFmtId="0" fontId="15" fillId="0" borderId="0"/>
    <xf numFmtId="0" fontId="21" fillId="0" borderId="0"/>
    <xf numFmtId="0" fontId="39" fillId="0" borderId="0"/>
    <xf numFmtId="0" fontId="15" fillId="0" borderId="0"/>
    <xf numFmtId="0" fontId="15" fillId="0" borderId="0"/>
    <xf numFmtId="0" fontId="15" fillId="0" borderId="0"/>
    <xf numFmtId="0" fontId="21" fillId="0" borderId="0"/>
    <xf numFmtId="0" fontId="15" fillId="0" borderId="0"/>
    <xf numFmtId="0" fontId="15" fillId="0" borderId="0"/>
    <xf numFmtId="0" fontId="21" fillId="0" borderId="0"/>
    <xf numFmtId="0" fontId="21" fillId="0" borderId="0"/>
    <xf numFmtId="0" fontId="21" fillId="0" borderId="0"/>
    <xf numFmtId="0" fontId="15" fillId="0" borderId="0"/>
    <xf numFmtId="0" fontId="15" fillId="0" borderId="0"/>
    <xf numFmtId="0" fontId="21" fillId="0" borderId="0"/>
    <xf numFmtId="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164" fontId="21" fillId="0" borderId="0"/>
    <xf numFmtId="0" fontId="21" fillId="0" borderId="0"/>
    <xf numFmtId="0" fontId="21" fillId="0" borderId="0"/>
    <xf numFmtId="166"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21" fillId="0" borderId="0"/>
    <xf numFmtId="166"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17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xf numFmtId="166" fontId="21" fillId="0" borderId="0"/>
    <xf numFmtId="0" fontId="25" fillId="0" borderId="0"/>
    <xf numFmtId="170" fontId="21"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21" fillId="0" borderId="0"/>
    <xf numFmtId="0" fontId="15" fillId="0" borderId="0"/>
    <xf numFmtId="170" fontId="21" fillId="0" borderId="0"/>
    <xf numFmtId="0" fontId="15" fillId="0" borderId="0"/>
    <xf numFmtId="0" fontId="21"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21" fillId="0" borderId="0"/>
    <xf numFmtId="0" fontId="21" fillId="0" borderId="0"/>
    <xf numFmtId="0" fontId="15" fillId="0" borderId="0"/>
    <xf numFmtId="0" fontId="15" fillId="0" borderId="0"/>
    <xf numFmtId="166" fontId="21" fillId="0" borderId="0"/>
    <xf numFmtId="37" fontId="42" fillId="0" borderId="0"/>
    <xf numFmtId="0" fontId="15" fillId="0" borderId="0"/>
    <xf numFmtId="0" fontId="15" fillId="0" borderId="0"/>
    <xf numFmtId="164"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3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6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15" fillId="0" borderId="0"/>
    <xf numFmtId="0" fontId="15" fillId="0" borderId="0"/>
    <xf numFmtId="171" fontId="63" fillId="34" borderId="0">
      <alignment horizontal="right"/>
    </xf>
    <xf numFmtId="40" fontId="64" fillId="40" borderId="0">
      <alignment horizontal="right"/>
    </xf>
    <xf numFmtId="4" fontId="63" fillId="40" borderId="0">
      <alignment horizontal="right"/>
    </xf>
    <xf numFmtId="0" fontId="15" fillId="0" borderId="0"/>
    <xf numFmtId="40" fontId="64" fillId="40" borderId="0">
      <alignment horizontal="right"/>
    </xf>
    <xf numFmtId="164" fontId="65" fillId="41" borderId="0">
      <alignment horizontal="center"/>
    </xf>
    <xf numFmtId="0" fontId="66" fillId="40" borderId="0">
      <alignment horizontal="right"/>
    </xf>
    <xf numFmtId="0" fontId="15" fillId="0" borderId="0"/>
    <xf numFmtId="0" fontId="65" fillId="40" borderId="0">
      <alignment horizontal="center" vertical="center"/>
    </xf>
    <xf numFmtId="0" fontId="15" fillId="0" borderId="0"/>
    <xf numFmtId="0" fontId="66" fillId="40" borderId="0">
      <alignment horizontal="right"/>
    </xf>
    <xf numFmtId="164" fontId="33" fillId="42" borderId="0"/>
    <xf numFmtId="0" fontId="67" fillId="40" borderId="10"/>
    <xf numFmtId="0" fontId="56" fillId="40" borderId="10"/>
    <xf numFmtId="0" fontId="15" fillId="0" borderId="0"/>
    <xf numFmtId="0" fontId="56" fillId="40" borderId="10"/>
    <xf numFmtId="0" fontId="15" fillId="0" borderId="0"/>
    <xf numFmtId="0" fontId="67" fillId="40" borderId="10"/>
    <xf numFmtId="164" fontId="68" fillId="34" borderId="0" applyBorder="0">
      <alignment horizontal="centerContinuous"/>
    </xf>
    <xf numFmtId="0" fontId="67" fillId="0" borderId="0" applyBorder="0">
      <alignment horizontal="centerContinuous"/>
    </xf>
    <xf numFmtId="0" fontId="15" fillId="0" borderId="0"/>
    <xf numFmtId="0" fontId="65" fillId="40" borderId="0" applyBorder="0">
      <alignment horizontal="centerContinuous"/>
    </xf>
    <xf numFmtId="0" fontId="15" fillId="0" borderId="0"/>
    <xf numFmtId="0" fontId="67"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15" fillId="0" borderId="0"/>
    <xf numFmtId="0" fontId="71" fillId="40" borderId="0" applyBorder="0">
      <alignment horizontal="centerContinuous"/>
    </xf>
    <xf numFmtId="0" fontId="15" fillId="0" borderId="0"/>
    <xf numFmtId="0" fontId="70" fillId="0" borderId="0" applyBorder="0">
      <alignment horizontal="centerContinuous"/>
    </xf>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22">
      <alignment horizontal="center"/>
    </xf>
    <xf numFmtId="3" fontId="72" fillId="0" borderId="0" applyFont="0" applyFill="0" applyBorder="0" applyAlignment="0" applyProtection="0"/>
    <xf numFmtId="0" fontId="72" fillId="43" borderId="0" applyNumberFormat="0" applyFont="0" applyBorder="0" applyAlignment="0" applyProtection="0"/>
    <xf numFmtId="164" fontId="56" fillId="22" borderId="0">
      <alignment horizontal="center"/>
    </xf>
    <xf numFmtId="0" fontId="56" fillId="22" borderId="0">
      <alignment horizontal="center"/>
    </xf>
    <xf numFmtId="0" fontId="56" fillId="22" borderId="0">
      <alignment horizontal="center"/>
    </xf>
    <xf numFmtId="0" fontId="15" fillId="0" borderId="0"/>
    <xf numFmtId="49" fontId="74" fillId="34" borderId="0">
      <alignment horizontal="center"/>
    </xf>
    <xf numFmtId="0" fontId="15" fillId="0" borderId="0"/>
    <xf numFmtId="164" fontId="35" fillId="37" borderId="0">
      <alignment horizontal="center"/>
    </xf>
    <xf numFmtId="0" fontId="35" fillId="37" borderId="0">
      <alignment horizontal="center"/>
    </xf>
    <xf numFmtId="0" fontId="15" fillId="0" borderId="0"/>
    <xf numFmtId="164" fontId="35" fillId="37" borderId="0">
      <alignment horizontal="centerContinuous"/>
    </xf>
    <xf numFmtId="0" fontId="35" fillId="37" borderId="0">
      <alignment horizontal="centerContinuous"/>
    </xf>
    <xf numFmtId="0" fontId="15" fillId="0" borderId="0"/>
    <xf numFmtId="164" fontId="75" fillId="34" borderId="0">
      <alignment horizontal="left"/>
    </xf>
    <xf numFmtId="0" fontId="75" fillId="34" borderId="0">
      <alignment horizontal="left"/>
    </xf>
    <xf numFmtId="0" fontId="15" fillId="0" borderId="0"/>
    <xf numFmtId="49" fontId="75" fillId="34" borderId="0">
      <alignment horizontal="center"/>
    </xf>
    <xf numFmtId="0" fontId="15" fillId="0" borderId="0"/>
    <xf numFmtId="164" fontId="33" fillId="37" borderId="0">
      <alignment horizontal="left"/>
    </xf>
    <xf numFmtId="0" fontId="33" fillId="37" borderId="0">
      <alignment horizontal="left"/>
    </xf>
    <xf numFmtId="0" fontId="15" fillId="0" borderId="0"/>
    <xf numFmtId="49" fontId="75" fillId="34" borderId="0">
      <alignment horizontal="left"/>
    </xf>
    <xf numFmtId="0" fontId="15" fillId="0" borderId="0"/>
    <xf numFmtId="164" fontId="33" fillId="37" borderId="0">
      <alignment horizontal="centerContinuous"/>
    </xf>
    <xf numFmtId="0" fontId="33" fillId="37" borderId="0">
      <alignment horizontal="centerContinuous"/>
    </xf>
    <xf numFmtId="0" fontId="15" fillId="0" borderId="0"/>
    <xf numFmtId="164" fontId="33" fillId="37" borderId="0">
      <alignment horizontal="right"/>
    </xf>
    <xf numFmtId="0" fontId="33" fillId="37" borderId="0">
      <alignment horizontal="right"/>
    </xf>
    <xf numFmtId="0" fontId="15" fillId="0" borderId="0"/>
    <xf numFmtId="49" fontId="56" fillId="34" borderId="0">
      <alignment horizontal="left"/>
    </xf>
    <xf numFmtId="49" fontId="56" fillId="34" borderId="0">
      <alignment horizontal="left"/>
    </xf>
    <xf numFmtId="0" fontId="15" fillId="0" borderId="0"/>
    <xf numFmtId="164" fontId="35" fillId="37" borderId="0">
      <alignment horizontal="right"/>
    </xf>
    <xf numFmtId="0" fontId="35" fillId="37" borderId="0">
      <alignment horizontal="right"/>
    </xf>
    <xf numFmtId="0" fontId="15" fillId="0" borderId="0"/>
    <xf numFmtId="164" fontId="75" fillId="20" borderId="0">
      <alignment horizontal="center"/>
    </xf>
    <xf numFmtId="0" fontId="75" fillId="20" borderId="0">
      <alignment horizontal="center"/>
    </xf>
    <xf numFmtId="0" fontId="15" fillId="0" borderId="0"/>
    <xf numFmtId="164" fontId="76" fillId="20" borderId="0">
      <alignment horizontal="center"/>
    </xf>
    <xf numFmtId="0" fontId="76" fillId="20" borderId="0">
      <alignment horizontal="center"/>
    </xf>
    <xf numFmtId="0" fontId="15"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0" fillId="42" borderId="0" applyNumberFormat="0" applyProtection="0">
      <alignment horizontal="left" vertical="center" indent="1"/>
    </xf>
    <xf numFmtId="4" fontId="20" fillId="42" borderId="0" applyNumberFormat="0" applyProtection="0">
      <alignment horizontal="left" vertical="center"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0" fillId="49" borderId="0" applyNumberFormat="0" applyProtection="0">
      <alignment horizontal="left" vertical="center" indent="1"/>
    </xf>
    <xf numFmtId="4" fontId="20" fillId="49" borderId="0" applyNumberFormat="0" applyProtection="0">
      <alignment horizontal="left" vertical="center" indent="1"/>
    </xf>
    <xf numFmtId="4" fontId="21" fillId="25" borderId="0" applyNumberFormat="0" applyProtection="0">
      <alignment horizontal="left" vertical="center" indent="1"/>
    </xf>
    <xf numFmtId="4" fontId="21" fillId="25" borderId="0" applyNumberFormat="0" applyProtection="0">
      <alignment horizontal="left" vertical="center" indent="1"/>
    </xf>
    <xf numFmtId="4" fontId="74" fillId="50" borderId="0" applyNumberFormat="0" applyProtection="0">
      <alignment horizontal="left" vertical="center" indent="1"/>
    </xf>
    <xf numFmtId="4" fontId="74" fillId="50" borderId="0" applyNumberFormat="0" applyProtection="0">
      <alignment horizontal="left" vertical="center" indent="1"/>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0" applyNumberFormat="0" applyProtection="0">
      <alignment horizontal="left" vertical="center" indent="1"/>
    </xf>
    <xf numFmtId="4" fontId="21" fillId="25" borderId="0" applyNumberFormat="0" applyProtection="0">
      <alignment horizontal="left" vertical="center" indent="1"/>
    </xf>
    <xf numFmtId="4" fontId="21" fillId="45" borderId="0" applyNumberFormat="0" applyProtection="0">
      <alignment horizontal="left" vertical="center" indent="1"/>
    </xf>
    <xf numFmtId="4" fontId="21" fillId="45" borderId="0"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80" fillId="0" borderId="0" applyNumberFormat="0" applyProtection="0">
      <alignment horizontal="left" vertical="center"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1" fillId="0" borderId="0" applyNumberFormat="0" applyFill="0" applyBorder="0" applyAlignment="0" applyProtection="0"/>
    <xf numFmtId="0" fontId="15" fillId="0" borderId="0"/>
    <xf numFmtId="0" fontId="15" fillId="0" borderId="0"/>
    <xf numFmtId="0" fontId="82" fillId="0" borderId="26" applyNumberFormat="0" applyFill="0" applyAlignment="0" applyProtection="0"/>
    <xf numFmtId="0" fontId="82" fillId="0" borderId="26" applyNumberFormat="0" applyFill="0" applyAlignment="0" applyProtection="0"/>
    <xf numFmtId="0" fontId="15" fillId="0" borderId="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15" fillId="0" borderId="0"/>
    <xf numFmtId="0" fontId="18" fillId="0" borderId="4" applyNumberFormat="0" applyFill="0" applyAlignment="0" applyProtection="0"/>
    <xf numFmtId="0" fontId="15" fillId="0" borderId="0"/>
    <xf numFmtId="0" fontId="15" fillId="0" borderId="0"/>
    <xf numFmtId="0" fontId="83" fillId="0" borderId="0"/>
    <xf numFmtId="164" fontId="84" fillId="34" borderId="0">
      <alignment horizontal="center"/>
    </xf>
    <xf numFmtId="0" fontId="84" fillId="34" borderId="0">
      <alignment horizontal="center"/>
    </xf>
    <xf numFmtId="0" fontId="15" fillId="0" borderId="0"/>
    <xf numFmtId="0" fontId="57" fillId="0" borderId="0" applyNumberFormat="0" applyFill="0" applyBorder="0" applyAlignment="0" applyProtection="0"/>
    <xf numFmtId="0" fontId="15" fillId="0" borderId="0"/>
    <xf numFmtId="0" fontId="15" fillId="0" borderId="0"/>
    <xf numFmtId="0" fontId="15" fillId="0" borderId="0"/>
    <xf numFmtId="0" fontId="85" fillId="0" borderId="0"/>
    <xf numFmtId="172" fontId="21" fillId="0" borderId="0"/>
    <xf numFmtId="172" fontId="2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21" fillId="0" borderId="0"/>
    <xf numFmtId="172" fontId="21" fillId="0" borderId="0"/>
    <xf numFmtId="172" fontId="21" fillId="0" borderId="0"/>
    <xf numFmtId="172" fontId="21" fillId="0" borderId="0"/>
    <xf numFmtId="172"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86" fillId="0" borderId="0"/>
    <xf numFmtId="43" fontId="86" fillId="0" borderId="0" applyFont="0" applyFill="0" applyBorder="0" applyAlignment="0" applyProtection="0"/>
    <xf numFmtId="9" fontId="88" fillId="0" borderId="0" applyFont="0" applyFill="0" applyBorder="0" applyAlignment="0" applyProtection="0"/>
    <xf numFmtId="164" fontId="21" fillId="0" borderId="0"/>
    <xf numFmtId="37" fontId="83" fillId="0" borderId="0"/>
    <xf numFmtId="37" fontId="21" fillId="0" borderId="0" applyFont="0" applyFill="0" applyBorder="0" applyAlignment="0" applyProtection="0"/>
    <xf numFmtId="0" fontId="19" fillId="0" borderId="0"/>
    <xf numFmtId="0" fontId="94" fillId="0" borderId="0"/>
    <xf numFmtId="0" fontId="21" fillId="0" borderId="0"/>
    <xf numFmtId="0" fontId="21" fillId="0" borderId="0"/>
    <xf numFmtId="0" fontId="95" fillId="0" borderId="0"/>
    <xf numFmtId="0" fontId="21" fillId="0" borderId="0"/>
    <xf numFmtId="0" fontId="21" fillId="0" borderId="0"/>
    <xf numFmtId="0" fontId="21" fillId="0" borderId="0"/>
    <xf numFmtId="0" fontId="96" fillId="0" borderId="0" applyNumberFormat="0" applyFill="0" applyBorder="0" applyAlignment="0" applyProtection="0"/>
    <xf numFmtId="0" fontId="96" fillId="0" borderId="0" applyNumberFormat="0" applyFill="0" applyBorder="0" applyAlignment="0" applyProtection="0"/>
    <xf numFmtId="0" fontId="21" fillId="0" borderId="0"/>
    <xf numFmtId="188" fontId="44" fillId="0" borderId="0" applyFill="0"/>
    <xf numFmtId="188" fontId="44" fillId="0" borderId="0">
      <alignment horizontal="center"/>
    </xf>
    <xf numFmtId="0" fontId="44" fillId="0" borderId="0" applyFill="0">
      <alignment horizontal="center"/>
    </xf>
    <xf numFmtId="188" fontId="43" fillId="0" borderId="30" applyFill="0"/>
    <xf numFmtId="0" fontId="21" fillId="0" borderId="0" applyFont="0" applyAlignment="0"/>
    <xf numFmtId="0" fontId="97" fillId="0" borderId="0" applyFill="0">
      <alignment vertical="top"/>
    </xf>
    <xf numFmtId="0" fontId="43" fillId="0" borderId="0" applyFill="0">
      <alignment horizontal="left" vertical="top"/>
    </xf>
    <xf numFmtId="188" fontId="89" fillId="0" borderId="6" applyFill="0"/>
    <xf numFmtId="0" fontId="21" fillId="0" borderId="0" applyNumberFormat="0" applyFont="0" applyAlignment="0"/>
    <xf numFmtId="0" fontId="97" fillId="0" borderId="0" applyFill="0">
      <alignment wrapText="1"/>
    </xf>
    <xf numFmtId="0" fontId="43" fillId="0" borderId="0" applyFill="0">
      <alignment horizontal="left" vertical="top" wrapText="1"/>
    </xf>
    <xf numFmtId="188" fontId="98" fillId="0" borderId="0" applyFill="0"/>
    <xf numFmtId="0" fontId="99" fillId="0" borderId="0" applyNumberFormat="0" applyFont="0" applyAlignment="0">
      <alignment horizontal="center"/>
    </xf>
    <xf numFmtId="0" fontId="100" fillId="0" borderId="0" applyFill="0">
      <alignment vertical="top" wrapText="1"/>
    </xf>
    <xf numFmtId="0" fontId="89" fillId="0" borderId="0" applyFill="0">
      <alignment horizontal="left" vertical="top" wrapText="1"/>
    </xf>
    <xf numFmtId="188" fontId="21" fillId="0" borderId="0" applyFill="0"/>
    <xf numFmtId="0" fontId="99" fillId="0" borderId="0" applyNumberFormat="0" applyFont="0" applyAlignment="0">
      <alignment horizontal="center"/>
    </xf>
    <xf numFmtId="0" fontId="101" fillId="0" borderId="0" applyFill="0">
      <alignment vertical="center" wrapText="1"/>
    </xf>
    <xf numFmtId="0" fontId="19" fillId="0" borderId="0">
      <alignment horizontal="left" vertical="center" wrapText="1"/>
    </xf>
    <xf numFmtId="188" fontId="102" fillId="0" borderId="0" applyFill="0"/>
    <xf numFmtId="0" fontId="99" fillId="0" borderId="0" applyNumberFormat="0" applyFont="0" applyAlignment="0">
      <alignment horizontal="center"/>
    </xf>
    <xf numFmtId="0" fontId="103" fillId="0" borderId="0" applyFill="0">
      <alignment horizontal="center" vertical="center" wrapText="1"/>
    </xf>
    <xf numFmtId="0" fontId="21" fillId="0" borderId="0" applyFill="0">
      <alignment horizontal="center" vertical="center" wrapText="1"/>
    </xf>
    <xf numFmtId="188" fontId="104" fillId="0" borderId="0" applyFill="0"/>
    <xf numFmtId="0" fontId="99" fillId="0" borderId="0" applyNumberFormat="0" applyFont="0" applyAlignment="0">
      <alignment horizontal="center"/>
    </xf>
    <xf numFmtId="0" fontId="105" fillId="0" borderId="0" applyFill="0">
      <alignment horizontal="center" vertical="center" wrapText="1"/>
    </xf>
    <xf numFmtId="0" fontId="106" fillId="0" borderId="0" applyFill="0">
      <alignment horizontal="center" vertical="center" wrapText="1"/>
    </xf>
    <xf numFmtId="188" fontId="107" fillId="0" borderId="0" applyFill="0"/>
    <xf numFmtId="0" fontId="99" fillId="0" borderId="0" applyNumberFormat="0" applyFont="0" applyAlignment="0">
      <alignment horizontal="center"/>
    </xf>
    <xf numFmtId="0" fontId="108" fillId="0" borderId="0">
      <alignment horizontal="center" wrapText="1"/>
    </xf>
    <xf numFmtId="0" fontId="104" fillId="0" borderId="0" applyFill="0">
      <alignment horizontal="center" wrapTex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39" fontId="44" fillId="15" borderId="0" applyFill="0"/>
    <xf numFmtId="0" fontId="109" fillId="0" borderId="0">
      <alignment horizontal="left" indent="7"/>
    </xf>
    <xf numFmtId="0" fontId="44" fillId="0" borderId="0" applyFill="0">
      <alignment horizontal="left" indent="7"/>
    </xf>
    <xf numFmtId="7" fontId="110" fillId="0" borderId="28" applyFill="0">
      <alignment horizontal="right"/>
    </xf>
    <xf numFmtId="0" fontId="89" fillId="0" borderId="0" applyNumberFormat="0">
      <alignment horizontal="right"/>
    </xf>
    <xf numFmtId="0" fontId="111" fillId="0" borderId="28" applyFont="0" applyFill="0"/>
    <xf numFmtId="0" fontId="89" fillId="0" borderId="28" applyFill="0"/>
    <xf numFmtId="39" fontId="110" fillId="0" borderId="0" applyFill="0"/>
    <xf numFmtId="0" fontId="21" fillId="0" borderId="0" applyNumberFormat="0" applyFont="0" applyBorder="0" applyAlignment="0"/>
    <xf numFmtId="0" fontId="100" fillId="0" borderId="0" applyFill="0">
      <alignment horizontal="left" indent="1"/>
    </xf>
    <xf numFmtId="0" fontId="89" fillId="0" borderId="0" applyFill="0">
      <alignment horizontal="left" indent="1"/>
    </xf>
    <xf numFmtId="39" fontId="102" fillId="0" borderId="0" applyFill="0"/>
    <xf numFmtId="0" fontId="21" fillId="0" borderId="0" applyNumberFormat="0" applyFont="0" applyFill="0" applyBorder="0" applyAlignment="0"/>
    <xf numFmtId="0" fontId="100" fillId="0" borderId="0" applyFill="0">
      <alignment horizontal="left" indent="2"/>
    </xf>
    <xf numFmtId="0" fontId="74" fillId="0" borderId="0" applyFill="0">
      <alignment horizontal="left" indent="2"/>
    </xf>
    <xf numFmtId="39" fontId="102" fillId="0" borderId="0" applyFill="0"/>
    <xf numFmtId="0" fontId="21" fillId="0" borderId="0" applyNumberFormat="0" applyFont="0" applyBorder="0" applyAlignment="0"/>
    <xf numFmtId="0" fontId="112" fillId="0" borderId="0">
      <alignment horizontal="left" indent="3"/>
    </xf>
    <xf numFmtId="0" fontId="113" fillId="0" borderId="0" applyFill="0">
      <alignment horizontal="left" indent="3"/>
    </xf>
    <xf numFmtId="39" fontId="102" fillId="0" borderId="0" applyFill="0"/>
    <xf numFmtId="0" fontId="21" fillId="0" borderId="0" applyNumberFormat="0" applyFont="0" applyBorder="0" applyAlignment="0"/>
    <xf numFmtId="0" fontId="103" fillId="0" borderId="0">
      <alignment horizontal="left" indent="4"/>
    </xf>
    <xf numFmtId="0" fontId="21" fillId="0" borderId="0" applyFill="0">
      <alignment horizontal="left" indent="4"/>
    </xf>
    <xf numFmtId="39" fontId="102" fillId="0" borderId="0" applyFill="0"/>
    <xf numFmtId="0" fontId="21" fillId="0" borderId="0" applyNumberFormat="0" applyFont="0" applyBorder="0" applyAlignment="0"/>
    <xf numFmtId="0" fontId="105" fillId="0" borderId="0">
      <alignment horizontal="left" indent="5"/>
    </xf>
    <xf numFmtId="0" fontId="106" fillId="0" borderId="0" applyFill="0">
      <alignment horizontal="left" indent="5"/>
    </xf>
    <xf numFmtId="39" fontId="107" fillId="0" borderId="0" applyFill="0"/>
    <xf numFmtId="0" fontId="21" fillId="0" borderId="0" applyNumberFormat="0" applyFont="0" applyFill="0" applyBorder="0" applyAlignment="0"/>
    <xf numFmtId="0" fontId="108" fillId="0" borderId="0" applyFill="0">
      <alignment horizontal="left" indent="6"/>
    </xf>
    <xf numFmtId="0" fontId="104" fillId="0" borderId="0" applyFill="0">
      <alignment horizontal="left" indent="6"/>
    </xf>
    <xf numFmtId="0" fontId="39" fillId="0" borderId="0"/>
    <xf numFmtId="166" fontId="21" fillId="0" borderId="0"/>
    <xf numFmtId="0" fontId="114" fillId="0" borderId="0"/>
    <xf numFmtId="166" fontId="21" fillId="0" borderId="0"/>
    <xf numFmtId="166" fontId="21" fillId="0" borderId="0"/>
    <xf numFmtId="166" fontId="21" fillId="0" borderId="0"/>
    <xf numFmtId="166" fontId="116"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9" fontId="83" fillId="0" borderId="0" applyFont="0" applyFill="0" applyBorder="0" applyAlignment="0" applyProtection="0"/>
    <xf numFmtId="166" fontId="21" fillId="0" borderId="0"/>
    <xf numFmtId="44" fontId="114" fillId="0" borderId="0" applyFont="0" applyFill="0" applyBorder="0" applyAlignment="0" applyProtection="0"/>
    <xf numFmtId="43" fontId="117"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25"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5"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5"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5"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5"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5"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25"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25"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5"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5"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166" fontId="27" fillId="24" borderId="0" applyNumberFormat="0" applyBorder="0" applyAlignment="0" applyProtection="0"/>
    <xf numFmtId="0" fontId="118" fillId="61" borderId="0" applyNumberFormat="0" applyBorder="0" applyAlignment="0" applyProtection="0"/>
    <xf numFmtId="166" fontId="27" fillId="17" borderId="0" applyNumberFormat="0" applyBorder="0" applyAlignment="0" applyProtection="0"/>
    <xf numFmtId="0" fontId="118" fillId="63" borderId="0" applyNumberFormat="0" applyBorder="0" applyAlignment="0" applyProtection="0"/>
    <xf numFmtId="166" fontId="27" fillId="27" borderId="0" applyNumberFormat="0" applyBorder="0" applyAlignment="0" applyProtection="0"/>
    <xf numFmtId="0" fontId="118" fillId="65" borderId="0" applyNumberFormat="0" applyBorder="0" applyAlignment="0" applyProtection="0"/>
    <xf numFmtId="166" fontId="27" fillId="19" borderId="0" applyNumberFormat="0" applyBorder="0" applyAlignment="0" applyProtection="0"/>
    <xf numFmtId="0" fontId="118" fillId="67" borderId="0" applyNumberFormat="0" applyBorder="0" applyAlignment="0" applyProtection="0"/>
    <xf numFmtId="166" fontId="27" fillId="24" borderId="0" applyNumberFormat="0" applyBorder="0" applyAlignment="0" applyProtection="0"/>
    <xf numFmtId="0" fontId="118" fillId="69" borderId="0" applyNumberFormat="0" applyBorder="0" applyAlignment="0" applyProtection="0"/>
    <xf numFmtId="166" fontId="27" fillId="20" borderId="0" applyNumberFormat="0" applyBorder="0" applyAlignment="0" applyProtection="0"/>
    <xf numFmtId="0" fontId="118" fillId="71" borderId="0" applyNumberFormat="0" applyBorder="0" applyAlignment="0" applyProtection="0"/>
    <xf numFmtId="166" fontId="27" fillId="29" borderId="0" applyNumberFormat="0" applyBorder="0" applyAlignment="0" applyProtection="0"/>
    <xf numFmtId="0" fontId="118" fillId="60" borderId="0" applyNumberFormat="0" applyBorder="0" applyAlignment="0" applyProtection="0"/>
    <xf numFmtId="166" fontId="27" fillId="30" borderId="0" applyNumberFormat="0" applyBorder="0" applyAlignment="0" applyProtection="0"/>
    <xf numFmtId="0" fontId="118" fillId="62" borderId="0" applyNumberFormat="0" applyBorder="0" applyAlignment="0" applyProtection="0"/>
    <xf numFmtId="166" fontId="27" fillId="31" borderId="0" applyNumberFormat="0" applyBorder="0" applyAlignment="0" applyProtection="0"/>
    <xf numFmtId="0" fontId="118" fillId="64" borderId="0" applyNumberFormat="0" applyBorder="0" applyAlignment="0" applyProtection="0"/>
    <xf numFmtId="166" fontId="27" fillId="32" borderId="0" applyNumberFormat="0" applyBorder="0" applyAlignment="0" applyProtection="0"/>
    <xf numFmtId="0" fontId="118" fillId="66" borderId="0" applyNumberFormat="0" applyBorder="0" applyAlignment="0" applyProtection="0"/>
    <xf numFmtId="166" fontId="27" fillId="29" borderId="0" applyNumberFormat="0" applyBorder="0" applyAlignment="0" applyProtection="0"/>
    <xf numFmtId="0" fontId="118" fillId="68" borderId="0" applyNumberFormat="0" applyBorder="0" applyAlignment="0" applyProtection="0"/>
    <xf numFmtId="166" fontId="27" fillId="25" borderId="0" applyNumberFormat="0" applyBorder="0" applyAlignment="0" applyProtection="0"/>
    <xf numFmtId="0" fontId="118" fillId="70"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20" fillId="58" borderId="32" applyNumberFormat="0" applyAlignment="0" applyProtection="0"/>
    <xf numFmtId="0" fontId="30" fillId="34" borderId="8" applyNumberFormat="0" applyAlignment="0" applyProtection="0"/>
    <xf numFmtId="166" fontId="33" fillId="36" borderId="9" applyNumberFormat="0" applyAlignment="0" applyProtection="0"/>
    <xf numFmtId="0" fontId="121" fillId="59" borderId="35" applyNumberFormat="0" applyAlignment="0" applyProtection="0"/>
    <xf numFmtId="164" fontId="33" fillId="37" borderId="0">
      <alignment horizontal="left"/>
    </xf>
    <xf numFmtId="164" fontId="35" fillId="37" borderId="0">
      <alignment horizontal="right"/>
    </xf>
    <xf numFmtId="164" fontId="36" fillId="34" borderId="0">
      <alignment horizontal="center"/>
    </xf>
    <xf numFmtId="164" fontId="35" fillId="37" borderId="0">
      <alignment horizontal="right"/>
    </xf>
    <xf numFmtId="164" fontId="37" fillId="34" borderId="0">
      <alignment horizontal="left"/>
    </xf>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2"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166" fontId="34" fillId="39" borderId="0" applyNumberFormat="0" applyBorder="0" applyAlignment="0" applyProtection="0"/>
    <xf numFmtId="0" fontId="123" fillId="54" borderId="0" applyNumberFormat="0" applyBorder="0" applyAlignment="0" applyProtection="0"/>
    <xf numFmtId="164" fontId="124" fillId="0" borderId="0" applyNumberFormat="0" applyFont="0" applyFill="0" applyAlignment="0" applyProtection="0"/>
    <xf numFmtId="0" fontId="125" fillId="0" borderId="1" applyNumberFormat="0" applyFill="0" applyAlignment="0" applyProtection="0"/>
    <xf numFmtId="164" fontId="44" fillId="0" borderId="0" applyNumberFormat="0" applyFont="0" applyFill="0" applyAlignment="0" applyProtection="0"/>
    <xf numFmtId="0" fontId="126" fillId="0" borderId="2" applyNumberFormat="0" applyFill="0" applyAlignment="0" applyProtection="0"/>
    <xf numFmtId="166" fontId="52" fillId="0" borderId="17" applyNumberFormat="0" applyFill="0" applyAlignment="0" applyProtection="0"/>
    <xf numFmtId="0" fontId="127" fillId="0" borderId="31" applyNumberFormat="0" applyFill="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28" fillId="57" borderId="32" applyNumberFormat="0" applyAlignment="0" applyProtection="0"/>
    <xf numFmtId="0" fontId="54" fillId="22" borderId="8" applyNumberFormat="0" applyAlignment="0" applyProtection="0"/>
    <xf numFmtId="164" fontId="33" fillId="37" borderId="0">
      <alignment horizontal="left"/>
    </xf>
    <xf numFmtId="164" fontId="56" fillId="34" borderId="0">
      <alignment horizontal="left"/>
    </xf>
    <xf numFmtId="166" fontId="58" fillId="0" borderId="19" applyNumberFormat="0" applyFill="0" applyAlignment="0" applyProtection="0"/>
    <xf numFmtId="0" fontId="129" fillId="0" borderId="34" applyNumberFormat="0" applyFill="0" applyAlignment="0" applyProtection="0"/>
    <xf numFmtId="166" fontId="60" fillId="22" borderId="0" applyNumberFormat="0" applyBorder="0" applyAlignment="0" applyProtection="0"/>
    <xf numFmtId="0" fontId="130" fillId="56" borderId="0" applyNumberFormat="0" applyBorder="0" applyAlignment="0" applyProtection="0"/>
    <xf numFmtId="164" fontId="21" fillId="0" borderId="0"/>
    <xf numFmtId="164"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14" fillId="0" borderId="0"/>
    <xf numFmtId="170" fontId="21"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2" fillId="0" borderId="0"/>
    <xf numFmtId="0" fontId="21" fillId="0" borderId="0"/>
    <xf numFmtId="0" fontId="14" fillId="0" borderId="0"/>
    <xf numFmtId="0" fontId="21" fillId="0" borderId="0"/>
    <xf numFmtId="0" fontId="22" fillId="0" borderId="0"/>
    <xf numFmtId="37" fontId="83" fillId="0" borderId="0"/>
    <xf numFmtId="164"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3" applyNumberFormat="0" applyFont="0" applyAlignment="0" applyProtection="0"/>
    <xf numFmtId="0" fontId="39" fillId="18" borderId="20" applyNumberFormat="0" applyFont="0" applyAlignment="0" applyProtection="0"/>
    <xf numFmtId="0" fontId="14" fillId="0" borderId="0"/>
    <xf numFmtId="0" fontId="14" fillId="0" borderId="0"/>
    <xf numFmtId="0" fontId="14" fillId="0" borderId="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22"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131" fillId="58" borderId="33" applyNumberFormat="0" applyAlignment="0" applyProtection="0"/>
    <xf numFmtId="4" fontId="63" fillId="40" borderId="0">
      <alignment horizontal="right"/>
    </xf>
    <xf numFmtId="171" fontId="63" fillId="34" borderId="0">
      <alignment horizontal="right"/>
    </xf>
    <xf numFmtId="0" fontId="65" fillId="40" borderId="0">
      <alignment horizontal="center" vertical="center"/>
    </xf>
    <xf numFmtId="164" fontId="65" fillId="41" borderId="0">
      <alignment horizontal="center"/>
    </xf>
    <xf numFmtId="0" fontId="56" fillId="40" borderId="10"/>
    <xf numFmtId="164" fontId="33" fillId="42" borderId="0"/>
    <xf numFmtId="0" fontId="65" fillId="40" borderId="0" applyBorder="0">
      <alignment horizontal="centerContinuous"/>
    </xf>
    <xf numFmtId="164" fontId="68" fillId="34" borderId="0" applyBorder="0">
      <alignment horizontal="centerContinuous"/>
    </xf>
    <xf numFmtId="0" fontId="71" fillId="40" borderId="0" applyBorder="0">
      <alignment horizontal="centerContinuous"/>
    </xf>
    <xf numFmtId="164" fontId="69" fillId="42" borderId="0" applyBorder="0">
      <alignment horizontal="centerContinuous"/>
    </xf>
    <xf numFmtId="0" fontId="72" fillId="0" borderId="0" applyNumberFormat="0" applyFont="0" applyFill="0" applyBorder="0" applyAlignment="0" applyProtection="0">
      <alignment horizontal="left"/>
    </xf>
    <xf numFmtId="164" fontId="56" fillId="22" borderId="0">
      <alignment horizontal="center"/>
    </xf>
    <xf numFmtId="164" fontId="35" fillId="37" borderId="0">
      <alignment horizontal="center"/>
    </xf>
    <xf numFmtId="164" fontId="35" fillId="37" borderId="0">
      <alignment horizontal="centerContinuous"/>
    </xf>
    <xf numFmtId="164" fontId="75" fillId="34" borderId="0">
      <alignment horizontal="left"/>
    </xf>
    <xf numFmtId="164" fontId="33" fillId="37" borderId="0">
      <alignment horizontal="left"/>
    </xf>
    <xf numFmtId="164" fontId="33" fillId="37" borderId="0">
      <alignment horizontal="centerContinuous"/>
    </xf>
    <xf numFmtId="164" fontId="33" fillId="37" borderId="0">
      <alignment horizontal="right"/>
    </xf>
    <xf numFmtId="164" fontId="35" fillId="37" borderId="0">
      <alignment horizontal="right"/>
    </xf>
    <xf numFmtId="164" fontId="75" fillId="20" borderId="0">
      <alignment horizontal="center"/>
    </xf>
    <xf numFmtId="164" fontId="76" fillId="20" borderId="0">
      <alignment horizontal="center"/>
    </xf>
    <xf numFmtId="38" fontId="21" fillId="72" borderId="0" applyNumberFormat="0" applyFont="0" applyBorder="0" applyAlignment="0" applyProtection="0"/>
    <xf numFmtId="0" fontId="14" fillId="0" borderId="0"/>
    <xf numFmtId="164" fontId="19" fillId="0" borderId="36" applyNumberFormat="0" applyFont="0" applyBorder="0" applyAlignment="0" applyProtection="0"/>
    <xf numFmtId="0" fontId="23" fillId="0" borderId="4" applyNumberFormat="0" applyFill="0" applyAlignment="0" applyProtection="0"/>
    <xf numFmtId="164" fontId="84" fillId="34" borderId="0">
      <alignment horizontal="center"/>
    </xf>
    <xf numFmtId="190" fontId="72" fillId="0" borderId="0" applyFont="0" applyFill="0" applyBorder="0" applyAlignment="0" applyProtection="0"/>
    <xf numFmtId="0" fontId="14" fillId="0" borderId="0"/>
    <xf numFmtId="0" fontId="132" fillId="0" borderId="0" applyNumberFormat="0" applyFill="0" applyBorder="0" applyAlignment="0" applyProtection="0"/>
    <xf numFmtId="0" fontId="135" fillId="0" borderId="0"/>
    <xf numFmtId="0" fontId="21"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39" fillId="0" borderId="0"/>
    <xf numFmtId="172" fontId="21" fillId="0" borderId="0"/>
    <xf numFmtId="172" fontId="21" fillId="0" borderId="0"/>
    <xf numFmtId="0" fontId="21" fillId="0" borderId="0"/>
    <xf numFmtId="182" fontId="25" fillId="3" borderId="0" applyNumberFormat="0" applyBorder="0" applyAlignment="0" applyProtection="0"/>
    <xf numFmtId="182" fontId="25" fillId="3" borderId="0" applyNumberFormat="0" applyBorder="0" applyAlignment="0" applyProtection="0"/>
    <xf numFmtId="0" fontId="24" fillId="73" borderId="0" applyNumberFormat="0" applyBorder="0" applyAlignment="0" applyProtection="0"/>
    <xf numFmtId="182" fontId="25" fillId="5" borderId="0" applyNumberFormat="0" applyBorder="0" applyAlignment="0" applyProtection="0"/>
    <xf numFmtId="182" fontId="25" fillId="5" borderId="0" applyNumberFormat="0" applyBorder="0" applyAlignment="0" applyProtection="0"/>
    <xf numFmtId="0" fontId="24" fillId="23" borderId="0" applyNumberFormat="0" applyBorder="0" applyAlignment="0" applyProtection="0"/>
    <xf numFmtId="182" fontId="25" fillId="7" borderId="0" applyNumberFormat="0" applyBorder="0" applyAlignment="0" applyProtection="0"/>
    <xf numFmtId="182" fontId="25" fillId="7" borderId="0" applyNumberFormat="0" applyBorder="0" applyAlignment="0" applyProtection="0"/>
    <xf numFmtId="0" fontId="24" fillId="39" borderId="0" applyNumberFormat="0" applyBorder="0" applyAlignment="0" applyProtection="0"/>
    <xf numFmtId="182" fontId="25" fillId="9" borderId="0" applyNumberFormat="0" applyBorder="0" applyAlignment="0" applyProtection="0"/>
    <xf numFmtId="0" fontId="24" fillId="33" borderId="0" applyNumberFormat="0" applyBorder="0" applyAlignment="0" applyProtection="0"/>
    <xf numFmtId="182" fontId="25" fillId="11" borderId="0" applyNumberFormat="0" applyBorder="0" applyAlignment="0" applyProtection="0"/>
    <xf numFmtId="182" fontId="25" fillId="11" borderId="0" applyNumberFormat="0" applyBorder="0" applyAlignment="0" applyProtection="0"/>
    <xf numFmtId="0" fontId="24" fillId="21" borderId="0" applyNumberFormat="0" applyBorder="0" applyAlignment="0" applyProtection="0"/>
    <xf numFmtId="182" fontId="25" fillId="13" borderId="0" applyNumberFormat="0" applyBorder="0" applyAlignment="0" applyProtection="0"/>
    <xf numFmtId="182" fontId="25" fillId="13" borderId="0" applyNumberFormat="0" applyBorder="0" applyAlignment="0" applyProtection="0"/>
    <xf numFmtId="0" fontId="24" fillId="20" borderId="0" applyNumberFormat="0" applyBorder="0" applyAlignment="0" applyProtection="0"/>
    <xf numFmtId="182" fontId="25" fillId="4" borderId="0" applyNumberFormat="0" applyBorder="0" applyAlignment="0" applyProtection="0"/>
    <xf numFmtId="182" fontId="25" fillId="4" borderId="0" applyNumberFormat="0" applyBorder="0" applyAlignment="0" applyProtection="0"/>
    <xf numFmtId="0" fontId="24" fillId="16" borderId="0" applyNumberFormat="0" applyBorder="0" applyAlignment="0" applyProtection="0"/>
    <xf numFmtId="182" fontId="25" fillId="6" borderId="0" applyNumberFormat="0" applyBorder="0" applyAlignment="0" applyProtection="0"/>
    <xf numFmtId="182" fontId="25" fillId="6" borderId="0" applyNumberFormat="0" applyBorder="0" applyAlignment="0" applyProtection="0"/>
    <xf numFmtId="0" fontId="24" fillId="17" borderId="0" applyNumberFormat="0" applyBorder="0" applyAlignment="0" applyProtection="0"/>
    <xf numFmtId="182" fontId="25" fillId="8" borderId="0" applyNumberFormat="0" applyBorder="0" applyAlignment="0" applyProtection="0"/>
    <xf numFmtId="182" fontId="25" fillId="8" borderId="0" applyNumberFormat="0" applyBorder="0" applyAlignment="0" applyProtection="0"/>
    <xf numFmtId="0" fontId="24" fillId="38" borderId="0" applyNumberFormat="0" applyBorder="0" applyAlignment="0" applyProtection="0"/>
    <xf numFmtId="182" fontId="25" fillId="10" borderId="0" applyNumberFormat="0" applyBorder="0" applyAlignment="0" applyProtection="0"/>
    <xf numFmtId="182" fontId="25" fillId="10" borderId="0" applyNumberFormat="0" applyBorder="0" applyAlignment="0" applyProtection="0"/>
    <xf numFmtId="0" fontId="24" fillId="33" borderId="0" applyNumberFormat="0" applyBorder="0" applyAlignment="0" applyProtection="0"/>
    <xf numFmtId="182" fontId="25" fillId="12" borderId="0" applyNumberFormat="0" applyBorder="0" applyAlignment="0" applyProtection="0"/>
    <xf numFmtId="182" fontId="25" fillId="12" borderId="0" applyNumberFormat="0" applyBorder="0" applyAlignment="0" applyProtection="0"/>
    <xf numFmtId="0" fontId="24" fillId="16" borderId="0" applyNumberFormat="0" applyBorder="0" applyAlignment="0" applyProtection="0"/>
    <xf numFmtId="182" fontId="25" fillId="14" borderId="0" applyNumberFormat="0" applyBorder="0" applyAlignment="0" applyProtection="0"/>
    <xf numFmtId="182" fontId="25" fillId="14"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182" fontId="144" fillId="61" borderId="0" applyNumberFormat="0" applyBorder="0" applyAlignment="0" applyProtection="0"/>
    <xf numFmtId="182" fontId="144" fillId="61" borderId="0" applyNumberFormat="0" applyBorder="0" applyAlignment="0" applyProtection="0"/>
    <xf numFmtId="0"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182" fontId="144" fillId="63" borderId="0" applyNumberFormat="0" applyBorder="0" applyAlignment="0" applyProtection="0"/>
    <xf numFmtId="182" fontId="144" fillId="63" borderId="0" applyNumberFormat="0" applyBorder="0" applyAlignment="0" applyProtection="0"/>
    <xf numFmtId="0"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182" fontId="144" fillId="65" borderId="0" applyNumberFormat="0" applyBorder="0" applyAlignment="0" applyProtection="0"/>
    <xf numFmtId="182" fontId="144" fillId="65" borderId="0" applyNumberFormat="0" applyBorder="0" applyAlignment="0" applyProtection="0"/>
    <xf numFmtId="0"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7" borderId="0" applyNumberFormat="0" applyBorder="0" applyAlignment="0" applyProtection="0"/>
    <xf numFmtId="182" fontId="144" fillId="67"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9" borderId="0" applyNumberFormat="0" applyBorder="0" applyAlignment="0" applyProtection="0"/>
    <xf numFmtId="182" fontId="144" fillId="69"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182" fontId="144" fillId="71" borderId="0" applyNumberFormat="0" applyBorder="0" applyAlignment="0" applyProtection="0"/>
    <xf numFmtId="182" fontId="144" fillId="71" borderId="0" applyNumberFormat="0" applyBorder="0" applyAlignment="0" applyProtection="0"/>
    <xf numFmtId="0"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182" fontId="144" fillId="60" borderId="0" applyNumberFormat="0" applyBorder="0" applyAlignment="0" applyProtection="0"/>
    <xf numFmtId="182" fontId="144" fillId="60" borderId="0" applyNumberFormat="0" applyBorder="0" applyAlignment="0" applyProtection="0"/>
    <xf numFmtId="0"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82" fontId="144" fillId="62" borderId="0" applyNumberFormat="0" applyBorder="0" applyAlignment="0" applyProtection="0"/>
    <xf numFmtId="182" fontId="144" fillId="62" borderId="0" applyNumberFormat="0" applyBorder="0" applyAlignment="0" applyProtection="0"/>
    <xf numFmtId="0"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82" fontId="144" fillId="64" borderId="0" applyNumberFormat="0" applyBorder="0" applyAlignment="0" applyProtection="0"/>
    <xf numFmtId="182" fontId="144" fillId="64" borderId="0" applyNumberFormat="0" applyBorder="0" applyAlignment="0" applyProtection="0"/>
    <xf numFmtId="0"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6" borderId="0" applyNumberFormat="0" applyBorder="0" applyAlignment="0" applyProtection="0"/>
    <xf numFmtId="182" fontId="144" fillId="66"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8" borderId="0" applyNumberFormat="0" applyBorder="0" applyAlignment="0" applyProtection="0"/>
    <xf numFmtId="182" fontId="144" fillId="68"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82" fontId="144" fillId="70" borderId="0" applyNumberFormat="0" applyBorder="0" applyAlignment="0" applyProtection="0"/>
    <xf numFmtId="182" fontId="144" fillId="70" borderId="0" applyNumberFormat="0" applyBorder="0" applyAlignment="0" applyProtection="0"/>
    <xf numFmtId="0"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182" fontId="145" fillId="55" borderId="0" applyNumberFormat="0" applyBorder="0" applyAlignment="0" applyProtection="0"/>
    <xf numFmtId="182" fontId="145" fillId="55" borderId="0" applyNumberFormat="0" applyBorder="0" applyAlignment="0" applyProtection="0"/>
    <xf numFmtId="0"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0" fontId="28" fillId="23" borderId="0" applyNumberFormat="0" applyBorder="0" applyAlignment="0" applyProtection="0"/>
    <xf numFmtId="173" fontId="146" fillId="0" borderId="28"/>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182" fontId="147" fillId="59" borderId="35" applyNumberFormat="0" applyAlignment="0" applyProtection="0"/>
    <xf numFmtId="182" fontId="147" fillId="59" borderId="35" applyNumberFormat="0" applyAlignment="0" applyProtection="0"/>
    <xf numFmtId="0"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0" fontId="32" fillId="36" borderId="9" applyNumberFormat="0" applyAlignment="0" applyProtection="0"/>
    <xf numFmtId="0" fontId="33" fillId="37" borderId="0">
      <alignment horizontal="left"/>
    </xf>
    <xf numFmtId="164" fontId="33" fillId="37" borderId="0">
      <alignment horizontal="left"/>
    </xf>
    <xf numFmtId="0" fontId="35" fillId="37" borderId="0">
      <alignment horizontal="right"/>
    </xf>
    <xf numFmtId="164" fontId="35" fillId="37" borderId="0">
      <alignment horizontal="right"/>
    </xf>
    <xf numFmtId="0" fontId="36" fillId="34" borderId="0">
      <alignment horizontal="center"/>
    </xf>
    <xf numFmtId="164" fontId="36" fillId="34" borderId="0">
      <alignment horizontal="center"/>
    </xf>
    <xf numFmtId="0" fontId="35" fillId="37" borderId="0">
      <alignment horizontal="right"/>
    </xf>
    <xf numFmtId="164" fontId="35" fillId="37" borderId="0">
      <alignment horizontal="righ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21"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77"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82" fontId="149" fillId="0" borderId="0" applyNumberFormat="0" applyFill="0" applyBorder="0" applyAlignment="0" applyProtection="0"/>
    <xf numFmtId="182" fontId="149" fillId="0" borderId="0" applyNumberFormat="0" applyFill="0" applyBorder="0" applyAlignment="0" applyProtection="0"/>
    <xf numFmtId="0"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0" fontId="40" fillId="0" borderId="0" applyNumberFormat="0" applyFill="0" applyBorder="0" applyAlignment="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82" fontId="42" fillId="0" borderId="0" applyProtection="0"/>
    <xf numFmtId="182"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82" fontId="43" fillId="0" borderId="0" applyProtection="0"/>
    <xf numFmtId="182" fontId="43" fillId="0" borderId="0" applyProtection="0"/>
    <xf numFmtId="0" fontId="43"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82" fontId="44" fillId="0" borderId="0" applyProtection="0"/>
    <xf numFmtId="182" fontId="44" fillId="0" borderId="0" applyProtection="0"/>
    <xf numFmtId="0" fontId="44"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182" fontId="21" fillId="0" borderId="0" applyProtection="0"/>
    <xf numFmtId="182" fontId="21" fillId="0" borderId="0" applyProtection="0"/>
    <xf numFmtId="0" fontId="21"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82" fontId="45" fillId="0" borderId="0" applyProtection="0"/>
    <xf numFmtId="182" fontId="45" fillId="0" borderId="0" applyProtection="0"/>
    <xf numFmtId="0" fontId="45"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182" fontId="150" fillId="54" borderId="0" applyNumberFormat="0" applyBorder="0" applyAlignment="0" applyProtection="0"/>
    <xf numFmtId="182" fontId="150" fillId="54" borderId="0" applyNumberFormat="0" applyBorder="0" applyAlignment="0" applyProtection="0"/>
    <xf numFmtId="0"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0" fontId="46" fillId="39" borderId="0" applyNumberFormat="0" applyBorder="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182" fontId="152" fillId="0" borderId="1" applyNumberFormat="0" applyFill="0" applyAlignment="0" applyProtection="0"/>
    <xf numFmtId="182" fontId="152" fillId="0" borderId="1" applyNumberFormat="0" applyFill="0" applyAlignment="0" applyProtection="0"/>
    <xf numFmtId="0"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0" fontId="151" fillId="0" borderId="37"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182" fontId="154" fillId="0" borderId="2" applyNumberFormat="0" applyFill="0" applyAlignment="0" applyProtection="0"/>
    <xf numFmtId="182" fontId="154" fillId="0" borderId="2" applyNumberFormat="0" applyFill="0" applyAlignment="0" applyProtection="0"/>
    <xf numFmtId="0"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182" fontId="156" fillId="0" borderId="31" applyNumberFormat="0" applyFill="0" applyAlignment="0" applyProtection="0"/>
    <xf numFmtId="182" fontId="156" fillId="0" borderId="31" applyNumberFormat="0" applyFill="0" applyAlignment="0" applyProtection="0"/>
    <xf numFmtId="0" fontId="155" fillId="0" borderId="39" applyNumberFormat="0" applyFill="0" applyAlignment="0" applyProtection="0"/>
    <xf numFmtId="172" fontId="155" fillId="0" borderId="39" applyNumberFormat="0" applyFill="0" applyAlignment="0" applyProtection="0"/>
    <xf numFmtId="172" fontId="155" fillId="0" borderId="39"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82" fontId="156" fillId="0" borderId="0" applyNumberFormat="0" applyFill="0" applyBorder="0" applyAlignment="0" applyProtection="0"/>
    <xf numFmtId="182" fontId="156" fillId="0" borderId="0" applyNumberFormat="0" applyFill="0" applyBorder="0" applyAlignment="0" applyProtection="0"/>
    <xf numFmtId="0"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0" fontId="155" fillId="0" borderId="0" applyNumberFormat="0" applyFill="0" applyBorder="0" applyAlignment="0" applyProtection="0"/>
    <xf numFmtId="0" fontId="33" fillId="37" borderId="0">
      <alignment horizontal="left"/>
    </xf>
    <xf numFmtId="164" fontId="33" fillId="37" borderId="0">
      <alignment horizontal="left"/>
    </xf>
    <xf numFmtId="0" fontId="56" fillId="34" borderId="0">
      <alignment horizontal="left"/>
    </xf>
    <xf numFmtId="164" fontId="56" fillId="34" borderId="0">
      <alignment horizontal="left"/>
    </xf>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182" fontId="158" fillId="0" borderId="34" applyNumberFormat="0" applyFill="0" applyAlignment="0" applyProtection="0"/>
    <xf numFmtId="182" fontId="158" fillId="0" borderId="34" applyNumberFormat="0" applyFill="0" applyAlignment="0" applyProtection="0"/>
    <xf numFmtId="0"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0" fontId="157" fillId="0" borderId="19" applyNumberFormat="0" applyFill="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182" fontId="160" fillId="56" borderId="0" applyNumberFormat="0" applyBorder="0" applyAlignment="0" applyProtection="0"/>
    <xf numFmtId="182" fontId="160" fillId="56" borderId="0" applyNumberFormat="0" applyBorder="0" applyAlignment="0" applyProtection="0"/>
    <xf numFmtId="0"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0" fontId="159" fillId="22" borderId="0" applyNumberFormat="0" applyBorder="0" applyAlignment="0" applyProtection="0"/>
    <xf numFmtId="172" fontId="21" fillId="0" borderId="0"/>
    <xf numFmtId="172" fontId="21" fillId="0" borderId="0"/>
    <xf numFmtId="182" fontId="21" fillId="0" borderId="0"/>
    <xf numFmtId="182" fontId="21" fillId="0" borderId="0"/>
    <xf numFmtId="0" fontId="39"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72" fillId="0" borderId="0"/>
    <xf numFmtId="172" fontId="72" fillId="0" borderId="0"/>
    <xf numFmtId="172" fontId="72" fillId="0" borderId="0"/>
    <xf numFmtId="172" fontId="72" fillId="0" borderId="0"/>
    <xf numFmtId="172" fontId="72" fillId="0" borderId="0"/>
    <xf numFmtId="182" fontId="25" fillId="0" borderId="0"/>
    <xf numFmtId="182" fontId="25"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21" fillId="0" borderId="0"/>
    <xf numFmtId="172" fontId="21" fillId="0" borderId="0"/>
    <xf numFmtId="172" fontId="21" fillId="0" borderId="0"/>
    <xf numFmtId="0" fontId="12" fillId="0" borderId="0"/>
    <xf numFmtId="0" fontId="12" fillId="0" borderId="0"/>
    <xf numFmtId="0" fontId="12" fillId="0" borderId="0"/>
    <xf numFmtId="172" fontId="72" fillId="0" borderId="0"/>
    <xf numFmtId="172" fontId="72" fillId="0" borderId="0"/>
    <xf numFmtId="172" fontId="72" fillId="0" borderId="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182" fontId="161" fillId="58" borderId="33" applyNumberFormat="0" applyAlignment="0" applyProtection="0"/>
    <xf numFmtId="182" fontId="161" fillId="58" borderId="33" applyNumberFormat="0" applyAlignment="0" applyProtection="0"/>
    <xf numFmtId="0"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0" fontId="62" fillId="19" borderId="21" applyNumberFormat="0" applyAlignment="0" applyProtection="0"/>
    <xf numFmtId="171" fontId="63" fillId="34" borderId="0">
      <alignment horizontal="right"/>
    </xf>
    <xf numFmtId="40" fontId="64" fillId="40" borderId="0">
      <alignment horizontal="right"/>
    </xf>
    <xf numFmtId="164" fontId="65" fillId="41" borderId="0">
      <alignment horizontal="center"/>
    </xf>
    <xf numFmtId="0" fontId="65" fillId="40" borderId="0">
      <alignment horizontal="center" vertical="center"/>
    </xf>
    <xf numFmtId="0" fontId="65" fillId="40" borderId="0">
      <alignment horizontal="center" vertical="center"/>
    </xf>
    <xf numFmtId="182" fontId="65" fillId="40" borderId="0">
      <alignment horizontal="center" vertical="center"/>
    </xf>
    <xf numFmtId="182" fontId="65" fillId="40" borderId="0">
      <alignment horizontal="center" vertical="center"/>
    </xf>
    <xf numFmtId="0" fontId="33" fillId="42" borderId="0"/>
    <xf numFmtId="0" fontId="56" fillId="40" borderId="10"/>
    <xf numFmtId="0" fontId="56" fillId="40" borderId="10"/>
    <xf numFmtId="182" fontId="56" fillId="40" borderId="10"/>
    <xf numFmtId="182" fontId="56" fillId="40" borderId="10"/>
    <xf numFmtId="164" fontId="68" fillId="34" borderId="0" applyBorder="0">
      <alignment horizontal="centerContinuous"/>
    </xf>
    <xf numFmtId="0" fontId="65" fillId="40" borderId="0" applyBorder="0">
      <alignment horizontal="centerContinuous"/>
    </xf>
    <xf numFmtId="0" fontId="65" fillId="40" borderId="0" applyBorder="0">
      <alignment horizontal="centerContinuous"/>
    </xf>
    <xf numFmtId="182" fontId="65" fillId="40" borderId="0" applyBorder="0">
      <alignment horizontal="centerContinuous"/>
    </xf>
    <xf numFmtId="182" fontId="65" fillId="40" borderId="0" applyBorder="0">
      <alignment horizontal="centerContinuous"/>
    </xf>
    <xf numFmtId="164" fontId="69" fillId="42" borderId="0" applyBorder="0">
      <alignment horizontal="centerContinuous"/>
    </xf>
    <xf numFmtId="0" fontId="71" fillId="40" borderId="0" applyBorder="0">
      <alignment horizontal="centerContinuous"/>
    </xf>
    <xf numFmtId="0" fontId="71" fillId="40" borderId="0" applyBorder="0">
      <alignment horizontal="centerContinuous"/>
    </xf>
    <xf numFmtId="182" fontId="71" fillId="40" borderId="0" applyBorder="0">
      <alignment horizontal="centerContinuous"/>
    </xf>
    <xf numFmtId="182" fontId="71" fillId="40" borderId="0" applyBorder="0">
      <alignment horizontal="centerContinuous"/>
    </xf>
    <xf numFmtId="0" fontId="56" fillId="22" borderId="0">
      <alignment horizontal="center"/>
    </xf>
    <xf numFmtId="164" fontId="56" fillId="22" borderId="0">
      <alignment horizontal="center"/>
    </xf>
    <xf numFmtId="49" fontId="74" fillId="34" borderId="0">
      <alignment horizontal="center"/>
    </xf>
    <xf numFmtId="0" fontId="35" fillId="37" borderId="0">
      <alignment horizontal="center"/>
    </xf>
    <xf numFmtId="164" fontId="35" fillId="37" borderId="0">
      <alignment horizontal="center"/>
    </xf>
    <xf numFmtId="0" fontId="35" fillId="37" borderId="0">
      <alignment horizontal="centerContinuous"/>
    </xf>
    <xf numFmtId="164" fontId="35" fillId="37" borderId="0">
      <alignment horizontal="centerContinuous"/>
    </xf>
    <xf numFmtId="0" fontId="75" fillId="34" borderId="0">
      <alignment horizontal="left"/>
    </xf>
    <xf numFmtId="164" fontId="75" fillId="34" borderId="0">
      <alignment horizontal="left"/>
    </xf>
    <xf numFmtId="49" fontId="75" fillId="34" borderId="0">
      <alignment horizontal="center"/>
    </xf>
    <xf numFmtId="0" fontId="33" fillId="37" borderId="0">
      <alignment horizontal="left"/>
    </xf>
    <xf numFmtId="164" fontId="33" fillId="37" borderId="0">
      <alignment horizontal="left"/>
    </xf>
    <xf numFmtId="49" fontId="75" fillId="34" borderId="0">
      <alignment horizontal="left"/>
    </xf>
    <xf numFmtId="0" fontId="33" fillId="37" borderId="0">
      <alignment horizontal="centerContinuous"/>
    </xf>
    <xf numFmtId="164" fontId="33" fillId="37" borderId="0">
      <alignment horizontal="centerContinuous"/>
    </xf>
    <xf numFmtId="0" fontId="33" fillId="37" borderId="0">
      <alignment horizontal="right"/>
    </xf>
    <xf numFmtId="164" fontId="33" fillId="37" borderId="0">
      <alignment horizontal="right"/>
    </xf>
    <xf numFmtId="49" fontId="56" fillId="34" borderId="0">
      <alignment horizontal="left"/>
    </xf>
    <xf numFmtId="0" fontId="35" fillId="37" borderId="0">
      <alignment horizontal="right"/>
    </xf>
    <xf numFmtId="164" fontId="35" fillId="37" borderId="0">
      <alignment horizontal="right"/>
    </xf>
    <xf numFmtId="0" fontId="75" fillId="20" borderId="0">
      <alignment horizontal="center"/>
    </xf>
    <xf numFmtId="164" fontId="75" fillId="20" borderId="0">
      <alignment horizontal="center"/>
    </xf>
    <xf numFmtId="0" fontId="76" fillId="20" borderId="0">
      <alignment horizontal="center"/>
    </xf>
    <xf numFmtId="164" fontId="76" fillId="20" borderId="0">
      <alignment horizont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82" fontId="139" fillId="0" borderId="0" applyNumberFormat="0" applyFill="0" applyBorder="0" applyAlignment="0" applyProtection="0"/>
    <xf numFmtId="182" fontId="139" fillId="0" borderId="0" applyNumberFormat="0" applyFill="0" applyBorder="0" applyAlignment="0" applyProtection="0"/>
    <xf numFmtId="0"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0" fontId="162" fillId="0" borderId="0" applyNumberFormat="0" applyFill="0" applyBorder="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182" fontId="163" fillId="0" borderId="4" applyNumberFormat="0" applyFill="0" applyAlignment="0" applyProtection="0"/>
    <xf numFmtId="182" fontId="163" fillId="0" borderId="4" applyNumberFormat="0" applyFill="0" applyAlignment="0" applyProtection="0"/>
    <xf numFmtId="0"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0" fontId="82" fillId="0" borderId="40" applyNumberFormat="0" applyFill="0" applyAlignment="0" applyProtection="0"/>
    <xf numFmtId="0" fontId="83"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82" fontId="164" fillId="0" borderId="0" applyNumberFormat="0" applyFill="0" applyBorder="0" applyAlignment="0" applyProtection="0"/>
    <xf numFmtId="182" fontId="164" fillId="0" borderId="0" applyNumberFormat="0" applyFill="0" applyBorder="0" applyAlignment="0" applyProtection="0"/>
    <xf numFmtId="0"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0" fontId="57" fillId="0" borderId="0" applyNumberFormat="0" applyFill="0" applyBorder="0" applyAlignment="0" applyProtection="0"/>
    <xf numFmtId="9" fontId="21" fillId="0" borderId="0" applyFont="0" applyFill="0" applyBorder="0" applyAlignment="0" applyProtection="0"/>
    <xf numFmtId="0" fontId="22" fillId="0" borderId="0"/>
    <xf numFmtId="194" fontId="21" fillId="0" borderId="0">
      <alignment horizontal="left" wrapText="1"/>
    </xf>
    <xf numFmtId="0" fontId="21" fillId="15"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1" borderId="0" applyNumberFormat="0" applyBorder="0" applyAlignment="0" applyProtection="0"/>
    <xf numFmtId="0" fontId="175" fillId="61" borderId="0" applyNumberFormat="0" applyBorder="0" applyAlignment="0" applyProtection="0"/>
    <xf numFmtId="0" fontId="174" fillId="61" borderId="0" applyNumberFormat="0" applyBorder="0" applyAlignment="0" applyProtection="0"/>
    <xf numFmtId="0" fontId="174" fillId="61" borderId="0" applyNumberFormat="0" applyBorder="0" applyAlignment="0" applyProtection="0"/>
    <xf numFmtId="0" fontId="26" fillId="25" borderId="0" applyNumberFormat="0" applyBorder="0" applyAlignment="0" applyProtection="0"/>
    <xf numFmtId="172" fontId="27" fillId="27" borderId="0" applyNumberFormat="0" applyBorder="0" applyAlignment="0" applyProtection="0"/>
    <xf numFmtId="0" fontId="174" fillId="63"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66" fontId="27" fillId="17" borderId="0" applyNumberFormat="0" applyBorder="0" applyAlignment="0" applyProtection="0"/>
    <xf numFmtId="0" fontId="27" fillId="27" borderId="0" applyNumberFormat="0" applyBorder="0" applyAlignment="0" applyProtection="0"/>
    <xf numFmtId="0" fontId="27" fillId="17" borderId="0" applyNumberFormat="0" applyBorder="0" applyAlignment="0" applyProtection="0"/>
    <xf numFmtId="0" fontId="118" fillId="63" borderId="0" applyNumberFormat="0" applyBorder="0" applyAlignment="0" applyProtection="0"/>
    <xf numFmtId="0" fontId="175" fillId="63" borderId="0" applyNumberFormat="0" applyBorder="0" applyAlignment="0" applyProtection="0"/>
    <xf numFmtId="0" fontId="174" fillId="63" borderId="0" applyNumberFormat="0" applyBorder="0" applyAlignment="0" applyProtection="0"/>
    <xf numFmtId="0" fontId="174" fillId="63" borderId="0" applyNumberFormat="0" applyBorder="0" applyAlignment="0" applyProtection="0"/>
    <xf numFmtId="0" fontId="26" fillId="26" borderId="0" applyNumberFormat="0" applyBorder="0" applyAlignment="0" applyProtection="0"/>
    <xf numFmtId="172" fontId="27" fillId="27" borderId="0" applyNumberFormat="0" applyBorder="0" applyAlignment="0" applyProtection="0"/>
    <xf numFmtId="0" fontId="174" fillId="6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66" fontId="27" fillId="27" borderId="0" applyNumberFormat="0" applyBorder="0" applyAlignment="0" applyProtection="0"/>
    <xf numFmtId="0" fontId="27" fillId="27" borderId="0" applyNumberFormat="0" applyBorder="0" applyAlignment="0" applyProtection="0"/>
    <xf numFmtId="0" fontId="118" fillId="65" borderId="0" applyNumberFormat="0" applyBorder="0" applyAlignment="0" applyProtection="0"/>
    <xf numFmtId="0" fontId="175" fillId="65" borderId="0" applyNumberFormat="0" applyBorder="0" applyAlignment="0" applyProtection="0"/>
    <xf numFmtId="0" fontId="174" fillId="65" borderId="0" applyNumberFormat="0" applyBorder="0" applyAlignment="0" applyProtection="0"/>
    <xf numFmtId="0" fontId="174" fillId="65" borderId="0" applyNumberFormat="0" applyBorder="0" applyAlignment="0" applyProtection="0"/>
    <xf numFmtId="0" fontId="26" fillId="23" borderId="0" applyNumberFormat="0" applyBorder="0" applyAlignment="0" applyProtection="0"/>
    <xf numFmtId="172" fontId="27" fillId="19" borderId="0" applyNumberFormat="0" applyBorder="0" applyAlignment="0" applyProtection="0"/>
    <xf numFmtId="0" fontId="174" fillId="6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66" fontId="27" fillId="19" borderId="0" applyNumberFormat="0" applyBorder="0" applyAlignment="0" applyProtection="0"/>
    <xf numFmtId="0" fontId="27" fillId="19" borderId="0" applyNumberFormat="0" applyBorder="0" applyAlignment="0" applyProtection="0"/>
    <xf numFmtId="0" fontId="118" fillId="67" borderId="0" applyNumberFormat="0" applyBorder="0" applyAlignment="0" applyProtection="0"/>
    <xf numFmtId="0" fontId="175" fillId="67" borderId="0" applyNumberFormat="0" applyBorder="0" applyAlignment="0" applyProtection="0"/>
    <xf numFmtId="0" fontId="174" fillId="67" borderId="0" applyNumberFormat="0" applyBorder="0" applyAlignment="0" applyProtection="0"/>
    <xf numFmtId="0" fontId="174" fillId="67"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9"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9" borderId="0" applyNumberFormat="0" applyBorder="0" applyAlignment="0" applyProtection="0"/>
    <xf numFmtId="0" fontId="175" fillId="69" borderId="0" applyNumberFormat="0" applyBorder="0" applyAlignment="0" applyProtection="0"/>
    <xf numFmtId="0" fontId="174" fillId="69" borderId="0" applyNumberFormat="0" applyBorder="0" applyAlignment="0" applyProtection="0"/>
    <xf numFmtId="0" fontId="174" fillId="69" borderId="0" applyNumberFormat="0" applyBorder="0" applyAlignment="0" applyProtection="0"/>
    <xf numFmtId="0" fontId="26" fillId="17" borderId="0" applyNumberFormat="0" applyBorder="0" applyAlignment="0" applyProtection="0"/>
    <xf numFmtId="172" fontId="27" fillId="20" borderId="0" applyNumberFormat="0" applyBorder="0" applyAlignment="0" applyProtection="0"/>
    <xf numFmtId="0" fontId="174" fillId="7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6" fontId="27" fillId="20" borderId="0" applyNumberFormat="0" applyBorder="0" applyAlignment="0" applyProtection="0"/>
    <xf numFmtId="0" fontId="27" fillId="20" borderId="0" applyNumberFormat="0" applyBorder="0" applyAlignment="0" applyProtection="0"/>
    <xf numFmtId="0" fontId="118" fillId="71" borderId="0" applyNumberFormat="0" applyBorder="0" applyAlignment="0" applyProtection="0"/>
    <xf numFmtId="0" fontId="175" fillId="71" borderId="0" applyNumberFormat="0" applyBorder="0" applyAlignment="0" applyProtection="0"/>
    <xf numFmtId="0" fontId="174" fillId="71" borderId="0" applyNumberFormat="0" applyBorder="0" applyAlignment="0" applyProtection="0"/>
    <xf numFmtId="0" fontId="174" fillId="71" borderId="0" applyNumberFormat="0" applyBorder="0" applyAlignment="0" applyProtection="0"/>
    <xf numFmtId="193" fontId="61" fillId="0" borderId="5" applyBorder="0"/>
    <xf numFmtId="0" fontId="61" fillId="0" borderId="5" applyBorder="0"/>
    <xf numFmtId="0" fontId="26" fillId="28" borderId="0" applyNumberFormat="0" applyBorder="0" applyAlignment="0" applyProtection="0"/>
    <xf numFmtId="172" fontId="27" fillId="29" borderId="0" applyNumberFormat="0" applyBorder="0" applyAlignment="0" applyProtection="0"/>
    <xf numFmtId="0" fontId="174" fillId="60"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0" borderId="0" applyNumberFormat="0" applyBorder="0" applyAlignment="0" applyProtection="0"/>
    <xf numFmtId="0" fontId="175"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26" fillId="25" borderId="0" applyNumberFormat="0" applyBorder="0" applyAlignment="0" applyProtection="0"/>
    <xf numFmtId="172" fontId="27" fillId="30" borderId="0" applyNumberFormat="0" applyBorder="0" applyAlignment="0" applyProtection="0"/>
    <xf numFmtId="0" fontId="174" fillId="62"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118" fillId="62" borderId="0" applyNumberFormat="0" applyBorder="0" applyAlignment="0" applyProtection="0"/>
    <xf numFmtId="0" fontId="175" fillId="62"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26" fillId="26" borderId="0" applyNumberFormat="0" applyBorder="0" applyAlignment="0" applyProtection="0"/>
    <xf numFmtId="172" fontId="27" fillId="31" borderId="0" applyNumberFormat="0" applyBorder="0" applyAlignment="0" applyProtection="0"/>
    <xf numFmtId="0" fontId="174" fillId="64"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118" fillId="64" borderId="0" applyNumberFormat="0" applyBorder="0" applyAlignment="0" applyProtection="0"/>
    <xf numFmtId="0" fontId="175" fillId="64"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26" fillId="32" borderId="0" applyNumberFormat="0" applyBorder="0" applyAlignment="0" applyProtection="0"/>
    <xf numFmtId="172" fontId="27" fillId="32" borderId="0" applyNumberFormat="0" applyBorder="0" applyAlignment="0" applyProtection="0"/>
    <xf numFmtId="0" fontId="174" fillId="6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118" fillId="66" borderId="0" applyNumberFormat="0" applyBorder="0" applyAlignment="0" applyProtection="0"/>
    <xf numFmtId="0" fontId="175" fillId="6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172" fontId="27" fillId="29" borderId="0" applyNumberFormat="0" applyBorder="0" applyAlignment="0" applyProtection="0"/>
    <xf numFmtId="0" fontId="174" fillId="6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8" borderId="0" applyNumberFormat="0" applyBorder="0" applyAlignment="0" applyProtection="0"/>
    <xf numFmtId="0" fontId="175" fillId="68"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26" fillId="30" borderId="0" applyNumberFormat="0" applyBorder="0" applyAlignment="0" applyProtection="0"/>
    <xf numFmtId="172" fontId="27" fillId="25" borderId="0" applyNumberFormat="0" applyBorder="0" applyAlignment="0" applyProtection="0"/>
    <xf numFmtId="0" fontId="174" fillId="7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166" fontId="27" fillId="25" borderId="0" applyNumberFormat="0" applyBorder="0" applyAlignment="0" applyProtection="0"/>
    <xf numFmtId="0" fontId="27" fillId="25" borderId="0" applyNumberFormat="0" applyBorder="0" applyAlignment="0" applyProtection="0"/>
    <xf numFmtId="0" fontId="118" fillId="70" borderId="0" applyNumberFormat="0" applyBorder="0" applyAlignment="0" applyProtection="0"/>
    <xf numFmtId="0" fontId="175"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28" fillId="33" borderId="0" applyNumberFormat="0" applyBorder="0" applyAlignment="0" applyProtection="0"/>
    <xf numFmtId="0" fontId="167" fillId="55"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76" fillId="55" borderId="0" applyNumberFormat="0" applyBorder="0" applyAlignment="0" applyProtection="0"/>
    <xf numFmtId="0" fontId="167" fillId="55" borderId="0" applyNumberFormat="0" applyBorder="0" applyAlignment="0" applyProtection="0"/>
    <xf numFmtId="0" fontId="167" fillId="55" borderId="0" applyNumberFormat="0" applyBorder="0" applyAlignment="0" applyProtection="0"/>
    <xf numFmtId="0" fontId="171" fillId="59" borderId="35" applyNumberFormat="0" applyAlignment="0" applyProtection="0"/>
    <xf numFmtId="166" fontId="33" fillId="36" borderId="9" applyNumberFormat="0" applyAlignment="0" applyProtection="0"/>
    <xf numFmtId="166" fontId="33" fillId="36" borderId="9" applyNumberFormat="0" applyAlignment="0" applyProtection="0"/>
    <xf numFmtId="0" fontId="121" fillId="59" borderId="35" applyNumberFormat="0" applyAlignment="0" applyProtection="0"/>
    <xf numFmtId="0" fontId="177" fillId="59" borderId="35" applyNumberFormat="0" applyAlignment="0" applyProtection="0"/>
    <xf numFmtId="0" fontId="171" fillId="59" borderId="35" applyNumberFormat="0" applyAlignment="0" applyProtection="0"/>
    <xf numFmtId="0" fontId="171" fillId="59" borderId="35" applyNumberFormat="0" applyAlignment="0" applyProtection="0"/>
    <xf numFmtId="0" fontId="37" fillId="34" borderId="0">
      <alignment horizontal="left"/>
    </xf>
    <xf numFmtId="41" fontId="178"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1" fillId="38" borderId="11" applyNumberFormat="0" applyFont="0" applyAlignment="0">
      <protection locked="0"/>
    </xf>
    <xf numFmtId="0" fontId="173"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0" fontId="179"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6" fillId="21" borderId="0" applyNumberFormat="0" applyBorder="0" applyAlignment="0" applyProtection="0"/>
    <xf numFmtId="0" fontId="166" fillId="54"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123" fillId="54" borderId="0" applyNumberFormat="0" applyBorder="0" applyAlignment="0" applyProtection="0"/>
    <xf numFmtId="0" fontId="180"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47" fillId="0" borderId="12"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166" fontId="48" fillId="0" borderId="13" applyNumberFormat="0" applyFill="0" applyAlignment="0" applyProtection="0"/>
    <xf numFmtId="0" fontId="48" fillId="0" borderId="13" applyNumberFormat="0" applyFill="0" applyAlignment="0" applyProtection="0"/>
    <xf numFmtId="0" fontId="125" fillId="0" borderId="1" applyNumberFormat="0" applyFill="0" applyAlignment="0" applyProtection="0"/>
    <xf numFmtId="0" fontId="181" fillId="0" borderId="1" applyNumberFormat="0" applyFill="0" applyAlignment="0" applyProtection="0"/>
    <xf numFmtId="0" fontId="16" fillId="0" borderId="1" applyNumberFormat="0" applyFill="0" applyAlignment="0" applyProtection="0"/>
    <xf numFmtId="0" fontId="16" fillId="0" borderId="1" applyNumberFormat="0" applyFill="0" applyAlignment="0" applyProtection="0"/>
    <xf numFmtId="0" fontId="49" fillId="0" borderId="14"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166" fontId="50" fillId="0" borderId="15" applyNumberFormat="0" applyFill="0" applyAlignment="0" applyProtection="0"/>
    <xf numFmtId="0" fontId="50" fillId="0" borderId="38" applyNumberFormat="0" applyFill="0" applyAlignment="0" applyProtection="0"/>
    <xf numFmtId="0" fontId="50" fillId="0" borderId="15" applyNumberFormat="0" applyFill="0" applyAlignment="0" applyProtection="0"/>
    <xf numFmtId="0" fontId="126" fillId="0" borderId="2" applyNumberFormat="0" applyFill="0" applyAlignment="0" applyProtection="0"/>
    <xf numFmtId="0" fontId="182"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51" fillId="0" borderId="16" applyNumberFormat="0" applyFill="0" applyAlignment="0" applyProtection="0"/>
    <xf numFmtId="172" fontId="52" fillId="0" borderId="41" applyNumberFormat="0" applyFill="0" applyAlignment="0" applyProtection="0"/>
    <xf numFmtId="0" fontId="165" fillId="0" borderId="31"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2" fillId="0" borderId="17" applyNumberFormat="0" applyFill="0" applyAlignment="0" applyProtection="0"/>
    <xf numFmtId="0" fontId="127" fillId="0" borderId="31" applyNumberFormat="0" applyFill="0" applyAlignment="0" applyProtection="0"/>
    <xf numFmtId="0" fontId="183"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51" fillId="0" borderId="0" applyNumberFormat="0" applyFill="0" applyBorder="0" applyAlignment="0" applyProtection="0"/>
    <xf numFmtId="0" fontId="165"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83"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4" fillId="0" borderId="0" applyNumberFormat="0" applyFill="0" applyBorder="0" applyAlignment="0" applyProtection="0">
      <alignment vertical="top"/>
      <protection locked="0"/>
    </xf>
    <xf numFmtId="0" fontId="57" fillId="0" borderId="18" applyNumberFormat="0" applyFill="0" applyAlignment="0" applyProtection="0"/>
    <xf numFmtId="0" fontId="170" fillId="0" borderId="34"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129" fillId="0" borderId="34" applyNumberFormat="0" applyFill="0" applyAlignment="0" applyProtection="0"/>
    <xf numFmtId="0" fontId="185" fillId="0" borderId="34" applyNumberFormat="0" applyFill="0" applyAlignment="0" applyProtection="0"/>
    <xf numFmtId="0" fontId="170" fillId="0" borderId="34" applyNumberFormat="0" applyFill="0" applyAlignment="0" applyProtection="0"/>
    <xf numFmtId="0" fontId="170" fillId="0" borderId="34" applyNumberFormat="0" applyFill="0" applyAlignment="0" applyProtection="0"/>
    <xf numFmtId="195" fontId="21" fillId="0" borderId="0" applyFont="0" applyFill="0" applyBorder="0" applyAlignment="0" applyProtection="0"/>
    <xf numFmtId="196" fontId="21" fillId="0" borderId="0" applyFont="0" applyFill="0" applyBorder="0" applyAlignment="0" applyProtection="0"/>
    <xf numFmtId="197" fontId="21" fillId="0" borderId="0" applyFont="0" applyFill="0" applyBorder="0" applyAlignment="0" applyProtection="0"/>
    <xf numFmtId="198" fontId="21" fillId="0" borderId="0" applyFont="0" applyFill="0" applyBorder="0" applyAlignment="0" applyProtection="0"/>
    <xf numFmtId="0" fontId="19" fillId="0" borderId="0" applyProtection="0">
      <alignment horizontal="center"/>
    </xf>
    <xf numFmtId="0" fontId="59" fillId="22" borderId="0" applyNumberFormat="0" applyBorder="0" applyAlignment="0" applyProtection="0"/>
    <xf numFmtId="0" fontId="168" fillId="56"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0" fontId="130" fillId="56" borderId="0" applyNumberFormat="0" applyBorder="0" applyAlignment="0" applyProtection="0"/>
    <xf numFmtId="0" fontId="18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199" fontId="21" fillId="0" borderId="0"/>
    <xf numFmtId="0" fontId="11" fillId="0" borderId="0"/>
    <xf numFmtId="193"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1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21" fillId="0" borderId="0"/>
    <xf numFmtId="0" fontId="11" fillId="0" borderId="0"/>
    <xf numFmtId="0" fontId="21" fillId="0" borderId="0"/>
    <xf numFmtId="0" fontId="21" fillId="0" borderId="0"/>
    <xf numFmtId="166"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39" fillId="0" borderId="0"/>
    <xf numFmtId="0" fontId="11" fillId="0" borderId="0"/>
    <xf numFmtId="0" fontId="11" fillId="0" borderId="0"/>
    <xf numFmtId="0" fontId="11" fillId="0" borderId="0"/>
    <xf numFmtId="37" fontId="83"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4" fillId="0" borderId="0"/>
    <xf numFmtId="0" fontId="11" fillId="0" borderId="0"/>
    <xf numFmtId="0" fontId="21" fillId="0" borderId="0"/>
    <xf numFmtId="0" fontId="11" fillId="0" borderId="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131" fillId="58" borderId="33" applyNumberFormat="0" applyAlignment="0" applyProtection="0"/>
    <xf numFmtId="0" fontId="187" fillId="58" borderId="33" applyNumberFormat="0" applyAlignment="0" applyProtection="0"/>
    <xf numFmtId="0" fontId="169" fillId="58" borderId="33" applyNumberFormat="0" applyAlignment="0" applyProtection="0"/>
    <xf numFmtId="0" fontId="169" fillId="58" borderId="33" applyNumberFormat="0" applyAlignment="0" applyProtection="0"/>
    <xf numFmtId="171" fontId="63" fillId="34" borderId="0">
      <alignment horizontal="right"/>
    </xf>
    <xf numFmtId="171" fontId="63" fillId="34" borderId="0">
      <alignment horizontal="right"/>
    </xf>
    <xf numFmtId="171" fontId="63" fillId="34" borderId="0">
      <alignment horizontal="right"/>
    </xf>
    <xf numFmtId="0" fontId="66" fillId="40" borderId="0">
      <alignment horizontal="right"/>
    </xf>
    <xf numFmtId="0" fontId="67" fillId="40" borderId="10"/>
    <xf numFmtId="0" fontId="56" fillId="40" borderId="10"/>
    <xf numFmtId="0" fontId="67" fillId="40" borderId="10"/>
    <xf numFmtId="0" fontId="67" fillId="0" borderId="0" applyBorder="0">
      <alignment horizontal="centerContinuous"/>
    </xf>
    <xf numFmtId="0" fontId="70" fillId="0" borderId="0" applyBorder="0">
      <alignment horizontal="centerContinuous"/>
    </xf>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3" fillId="0" borderId="22">
      <alignment horizontal="center"/>
    </xf>
    <xf numFmtId="0" fontId="72" fillId="43" borderId="0" applyNumberFormat="0" applyFont="0" applyBorder="0" applyAlignment="0" applyProtection="0"/>
    <xf numFmtId="49" fontId="21" fillId="0" borderId="42">
      <alignment horizontal="center" vertical="center"/>
      <protection locked="0"/>
    </xf>
    <xf numFmtId="0" fontId="81" fillId="0" borderId="0" applyNumberFormat="0" applyFill="0" applyBorder="0" applyAlignment="0" applyProtection="0"/>
    <xf numFmtId="166" fontId="81" fillId="0" borderId="0" applyNumberFormat="0" applyFill="0" applyBorder="0" applyAlignment="0" applyProtection="0"/>
    <xf numFmtId="0" fontId="23" fillId="0" borderId="4" applyNumberFormat="0" applyFill="0" applyAlignment="0" applyProtection="0"/>
    <xf numFmtId="0" fontId="18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84" fillId="34" borderId="0">
      <alignment horizontal="center"/>
    </xf>
    <xf numFmtId="172" fontId="189" fillId="0" borderId="0" applyNumberFormat="0" applyFill="0" applyBorder="0" applyAlignment="0" applyProtection="0"/>
    <xf numFmtId="0" fontId="17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66" fontId="189" fillId="0" borderId="0" applyNumberFormat="0" applyFill="0" applyBorder="0" applyAlignment="0" applyProtection="0"/>
    <xf numFmtId="0" fontId="189" fillId="0" borderId="0" applyNumberFormat="0" applyFill="0" applyBorder="0" applyAlignment="0" applyProtection="0"/>
    <xf numFmtId="0" fontId="132" fillId="0" borderId="0" applyNumberFormat="0" applyFill="0" applyBorder="0" applyAlignment="0" applyProtection="0"/>
    <xf numFmtId="0" fontId="190"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9" fontId="22"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16"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0" fontId="24" fillId="7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4" fillId="1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0" fontId="24" fillId="2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0" fontId="24" fillId="3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4" fillId="2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4"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4" fillId="2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0" fontId="24" fillId="1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2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0" fontId="24" fillId="3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4" fillId="2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4" fillId="2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4" fillId="18"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174" fillId="68"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6" fillId="58" borderId="32" applyNumberFormat="0" applyAlignment="0" applyProtection="0"/>
    <xf numFmtId="0" fontId="196"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71" fillId="59" borderId="35"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77" borderId="0"/>
    <xf numFmtId="3" fontId="21"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77"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00" fillId="0" borderId="0"/>
    <xf numFmtId="0" fontId="200" fillId="0" borderId="43"/>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73" fillId="0" borderId="0" applyNumberFormat="0" applyFill="0" applyBorder="0" applyAlignment="0" applyProtection="0"/>
    <xf numFmtId="0" fontId="21" fillId="0" borderId="0" applyProtection="0"/>
    <xf numFmtId="0" fontId="21" fillId="0" borderId="0" applyProtection="0"/>
    <xf numFmtId="0" fontId="21" fillId="0" borderId="0" applyProtection="0"/>
    <xf numFmtId="0" fontId="21"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201" fillId="0" borderId="0" applyNumberFormat="0" applyFill="0" applyBorder="0" applyAlignment="0" applyProtection="0"/>
    <xf numFmtId="164" fontId="124" fillId="0" borderId="0" applyNumberFormat="0" applyFont="0" applyFill="0" applyAlignment="0" applyProtection="0"/>
    <xf numFmtId="0" fontId="151" fillId="0" borderId="37" applyNumberFormat="0" applyFill="0" applyAlignment="0" applyProtection="0"/>
    <xf numFmtId="0" fontId="201" fillId="0" borderId="0" applyNumberFormat="0" applyFill="0" applyBorder="0" applyAlignment="0" applyProtection="0"/>
    <xf numFmtId="0" fontId="89" fillId="0" borderId="0" applyNumberFormat="0" applyFill="0" applyBorder="0" applyAlignment="0" applyProtection="0"/>
    <xf numFmtId="164" fontId="44" fillId="0" borderId="0" applyNumberFormat="0" applyFon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195" fillId="57" borderId="32" applyNumberFormat="0" applyAlignment="0" applyProtection="0"/>
    <xf numFmtId="0" fontId="195"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203" fillId="41" borderId="43"/>
    <xf numFmtId="0" fontId="157" fillId="0" borderId="19" applyNumberFormat="0" applyFill="0" applyAlignment="0" applyProtection="0"/>
    <xf numFmtId="0" fontId="159" fillId="22" borderId="0" applyNumberFormat="0" applyBorder="0" applyAlignment="0" applyProtection="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1" fillId="0" borderId="0"/>
    <xf numFmtId="172" fontId="21" fillId="0" borderId="0"/>
    <xf numFmtId="172" fontId="21" fillId="0" borderId="0"/>
    <xf numFmtId="172" fontId="21" fillId="0" borderId="0"/>
    <xf numFmtId="172" fontId="21"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0" fontId="199" fillId="0" borderId="0"/>
    <xf numFmtId="0" fontId="199" fillId="0" borderId="0"/>
    <xf numFmtId="0" fontId="199" fillId="0" borderId="0"/>
    <xf numFmtId="164" fontId="21" fillId="0" borderId="0"/>
    <xf numFmtId="0" fontId="199" fillId="0" borderId="0"/>
    <xf numFmtId="41" fontId="3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19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172" fontId="72"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21" fillId="0" borderId="0"/>
    <xf numFmtId="0" fontId="21" fillId="0" borderId="0"/>
    <xf numFmtId="0" fontId="21"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9" fillId="0" borderId="0"/>
    <xf numFmtId="37" fontId="83" fillId="0" borderId="0"/>
    <xf numFmtId="172" fontId="9" fillId="0" borderId="0"/>
    <xf numFmtId="172" fontId="9" fillId="0" borderId="0"/>
    <xf numFmtId="172" fontId="9" fillId="0" borderId="0"/>
    <xf numFmtId="172" fontId="9" fillId="0" borderId="0"/>
    <xf numFmtId="172" fontId="9" fillId="0" borderId="0"/>
    <xf numFmtId="0" fontId="2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172" fontId="21"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2" fontId="25" fillId="0" borderId="0"/>
    <xf numFmtId="0" fontId="9" fillId="0" borderId="0"/>
    <xf numFmtId="0" fontId="9" fillId="0" borderId="0"/>
    <xf numFmtId="0" fontId="9" fillId="0" borderId="0"/>
    <xf numFmtId="172" fontId="21" fillId="0" borderId="0"/>
    <xf numFmtId="182" fontId="25" fillId="0" borderId="0"/>
    <xf numFmtId="0" fontId="9" fillId="0" borderId="0"/>
    <xf numFmtId="0" fontId="9" fillId="0" borderId="0"/>
    <xf numFmtId="0" fontId="9" fillId="0" borderId="0"/>
    <xf numFmtId="182" fontId="25"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9" fillId="0" borderId="0"/>
    <xf numFmtId="0" fontId="21" fillId="0" borderId="0"/>
    <xf numFmtId="0" fontId="21" fillId="0" borderId="0"/>
    <xf numFmtId="0" fontId="21" fillId="0" borderId="0"/>
    <xf numFmtId="0" fontId="199" fillId="0" borderId="0"/>
    <xf numFmtId="0" fontId="9" fillId="0" borderId="0"/>
    <xf numFmtId="0" fontId="9" fillId="0" borderId="0"/>
    <xf numFmtId="172" fontId="21" fillId="0" borderId="0"/>
    <xf numFmtId="172" fontId="21" fillId="0" borderId="0"/>
    <xf numFmtId="172" fontId="21" fillId="0" borderId="0"/>
    <xf numFmtId="0" fontId="21"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37" fontId="83" fillId="0" borderId="0"/>
    <xf numFmtId="37" fontId="83" fillId="0" borderId="0"/>
    <xf numFmtId="0" fontId="21" fillId="0" borderId="0"/>
    <xf numFmtId="0" fontId="21" fillId="0" borderId="0"/>
    <xf numFmtId="0" fontId="199" fillId="0" borderId="0"/>
    <xf numFmtId="0" fontId="199" fillId="0" borderId="0"/>
    <xf numFmtId="0" fontId="199" fillId="0" borderId="0"/>
    <xf numFmtId="37" fontId="83"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9" fillId="0" borderId="0"/>
    <xf numFmtId="0" fontId="9" fillId="0" borderId="0"/>
    <xf numFmtId="0" fontId="21" fillId="0" borderId="0"/>
    <xf numFmtId="0" fontId="9" fillId="0" borderId="0"/>
    <xf numFmtId="37" fontId="83" fillId="0" borderId="0"/>
    <xf numFmtId="37" fontId="83" fillId="0" borderId="0"/>
    <xf numFmtId="0" fontId="9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21" fillId="0" borderId="0"/>
    <xf numFmtId="0" fontId="9" fillId="0" borderId="0"/>
    <xf numFmtId="0" fontId="9" fillId="0" borderId="0"/>
    <xf numFmtId="0" fontId="9" fillId="0" borderId="0"/>
    <xf numFmtId="0" fontId="9" fillId="0" borderId="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1"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182" fontId="204"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42"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19" borderId="21" applyNumberFormat="0" applyAlignment="0" applyProtection="0"/>
    <xf numFmtId="0" fontId="169" fillId="58" borderId="33"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69" fillId="58" borderId="33" applyNumberFormat="0" applyAlignment="0" applyProtection="0"/>
    <xf numFmtId="171" fontId="63" fillId="34" borderId="0">
      <alignment horizontal="right"/>
    </xf>
    <xf numFmtId="4" fontId="63" fillId="40" borderId="0">
      <alignment horizontal="right"/>
    </xf>
    <xf numFmtId="40" fontId="64" fillId="40" borderId="0">
      <alignment horizontal="right"/>
    </xf>
    <xf numFmtId="171" fontId="63" fillId="34" borderId="0">
      <alignment horizontal="right"/>
    </xf>
    <xf numFmtId="40" fontId="64" fillId="40" borderId="0">
      <alignment horizontal="right"/>
    </xf>
    <xf numFmtId="4" fontId="63" fillId="40" borderId="0">
      <alignment horizontal="right"/>
    </xf>
    <xf numFmtId="40" fontId="64" fillId="40" borderId="0">
      <alignment horizontal="right"/>
    </xf>
    <xf numFmtId="40" fontId="64"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171" fontId="63" fillId="34" borderId="0">
      <alignment horizontal="right"/>
    </xf>
    <xf numFmtId="0" fontId="65" fillId="41" borderId="0">
      <alignment horizontal="center"/>
    </xf>
    <xf numFmtId="164" fontId="65" fillId="41" borderId="0">
      <alignment horizontal="center"/>
    </xf>
    <xf numFmtId="0" fontId="65" fillId="40" borderId="0">
      <alignment horizontal="center" vertical="center"/>
    </xf>
    <xf numFmtId="0" fontId="65" fillId="41" borderId="0">
      <alignment horizontal="center"/>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164" fontId="65" fillId="41" borderId="0">
      <alignment horizontal="center"/>
    </xf>
    <xf numFmtId="0" fontId="66" fillId="40" borderId="0">
      <alignment horizontal="right"/>
    </xf>
    <xf numFmtId="0" fontId="66" fillId="40" borderId="0">
      <alignment horizontal="right"/>
    </xf>
    <xf numFmtId="0" fontId="65" fillId="40" borderId="0">
      <alignment horizontal="center" vertical="center"/>
    </xf>
    <xf numFmtId="0" fontId="65" fillId="40" borderId="0">
      <alignment horizontal="center" vertical="center"/>
    </xf>
    <xf numFmtId="0" fontId="33" fillId="42" borderId="0"/>
    <xf numFmtId="164" fontId="33" fillId="42" borderId="0"/>
    <xf numFmtId="0" fontId="56" fillId="40" borderId="10"/>
    <xf numFmtId="0" fontId="56" fillId="40" borderId="10"/>
    <xf numFmtId="0" fontId="33" fillId="42" borderId="0"/>
    <xf numFmtId="0" fontId="67" fillId="40" borderId="10"/>
    <xf numFmtId="0" fontId="67" fillId="40" borderId="10"/>
    <xf numFmtId="0" fontId="67" fillId="40" borderId="10"/>
    <xf numFmtId="0" fontId="67" fillId="40" borderId="10"/>
    <xf numFmtId="0" fontId="67" fillId="40" borderId="10"/>
    <xf numFmtId="172" fontId="67" fillId="40" borderId="10"/>
    <xf numFmtId="0" fontId="67" fillId="40" borderId="10"/>
    <xf numFmtId="0" fontId="67" fillId="40" borderId="10"/>
    <xf numFmtId="0" fontId="68" fillId="34" borderId="0" applyBorder="0">
      <alignment horizontal="centerContinuous"/>
    </xf>
    <xf numFmtId="164" fontId="68" fillId="34" borderId="0" applyBorder="0">
      <alignment horizontal="centerContinuous"/>
    </xf>
    <xf numFmtId="0" fontId="65" fillId="40" borderId="0" applyBorder="0">
      <alignment horizontal="centerContinuous"/>
    </xf>
    <xf numFmtId="0"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164"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5" fillId="40" borderId="0" applyBorder="0">
      <alignment horizontal="centerContinuous"/>
    </xf>
    <xf numFmtId="0" fontId="65" fillId="40" borderId="0" applyBorder="0">
      <alignment horizontal="centerContinuous"/>
    </xf>
    <xf numFmtId="0" fontId="69" fillId="42" borderId="0" applyBorder="0">
      <alignment horizontal="centerContinuous"/>
    </xf>
    <xf numFmtId="164" fontId="69" fillId="42" borderId="0" applyBorder="0">
      <alignment horizontal="centerContinuous"/>
    </xf>
    <xf numFmtId="0" fontId="205" fillId="42" borderId="0" applyBorder="0">
      <alignment horizontal="centerContinuous"/>
    </xf>
    <xf numFmtId="0" fontId="71" fillId="40" borderId="0" applyBorder="0">
      <alignment horizontal="centerContinuous"/>
    </xf>
    <xf numFmtId="0"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1" fillId="40" borderId="0" applyBorder="0">
      <alignment horizontal="centerContinuous"/>
    </xf>
    <xf numFmtId="0" fontId="71" fillId="4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142" fillId="78" borderId="44">
      <alignment horizontal="left"/>
    </xf>
    <xf numFmtId="0" fontId="200"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202" fontId="206" fillId="0" borderId="45" applyNumberFormat="0" applyProtection="0">
      <alignment horizontal="right" vertical="center"/>
    </xf>
    <xf numFmtId="202" fontId="207" fillId="0" borderId="46" applyNumberFormat="0" applyProtection="0">
      <alignment horizontal="right" vertical="center"/>
    </xf>
    <xf numFmtId="0" fontId="207" fillId="79" borderId="47" applyNumberFormat="0" applyAlignment="0" applyProtection="0">
      <alignment horizontal="left" vertical="center" indent="1"/>
    </xf>
    <xf numFmtId="0" fontId="208" fillId="0" borderId="48" applyNumberFormat="0" applyFill="0" applyBorder="0" applyAlignment="0" applyProtection="0"/>
    <xf numFmtId="0" fontId="209" fillId="80" borderId="47" applyNumberFormat="0" applyAlignment="0" applyProtection="0">
      <alignment horizontal="left" vertical="center" indent="1"/>
    </xf>
    <xf numFmtId="0" fontId="209" fillId="81" borderId="47" applyNumberFormat="0" applyAlignment="0" applyProtection="0">
      <alignment horizontal="left" vertical="center" indent="1"/>
    </xf>
    <xf numFmtId="0" fontId="209" fillId="82" borderId="47" applyNumberFormat="0" applyAlignment="0" applyProtection="0">
      <alignment horizontal="left" vertical="center" indent="1"/>
    </xf>
    <xf numFmtId="0" fontId="209" fillId="83" borderId="47" applyNumberFormat="0" applyAlignment="0" applyProtection="0">
      <alignment horizontal="left" vertical="center" indent="1"/>
    </xf>
    <xf numFmtId="0" fontId="209" fillId="84" borderId="46" applyNumberFormat="0" applyAlignment="0" applyProtection="0">
      <alignment horizontal="left" vertical="center" indent="1"/>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202" fontId="206" fillId="85" borderId="47" applyNumberFormat="0" applyAlignment="0" applyProtection="0">
      <alignment horizontal="left" vertical="center" indent="1"/>
    </xf>
    <xf numFmtId="0" fontId="207" fillId="79" borderId="46" applyNumberFormat="0" applyAlignment="0" applyProtection="0">
      <alignment horizontal="left" vertical="center" indent="1"/>
    </xf>
    <xf numFmtId="0" fontId="200" fillId="0" borderId="43"/>
    <xf numFmtId="0" fontId="210" fillId="37" borderId="0"/>
    <xf numFmtId="0" fontId="162"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1" fillId="0" borderId="0" applyNumberFormat="0" applyFill="0" applyBorder="0" applyAlignment="0" applyProtection="0"/>
    <xf numFmtId="0" fontId="21" fillId="0" borderId="30" applyNumberFormat="0" applyFont="0" applyFill="0" applyAlignment="0" applyProtection="0"/>
    <xf numFmtId="164" fontId="19" fillId="0" borderId="36" applyNumberFormat="0" applyFont="0" applyBorder="0" applyAlignment="0" applyProtection="0"/>
    <xf numFmtId="0" fontId="82" fillId="0" borderId="40" applyNumberFormat="0" applyFill="0" applyAlignment="0" applyProtection="0"/>
    <xf numFmtId="0" fontId="21" fillId="0" borderId="30" applyNumberFormat="0" applyFont="0" applyFill="0" applyAlignment="0" applyProtection="0"/>
    <xf numFmtId="0" fontId="21" fillId="0" borderId="30" applyNumberFormat="0" applyFon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21" fillId="0" borderId="30" applyNumberFormat="0" applyFont="0" applyFill="0" applyAlignment="0" applyProtection="0"/>
    <xf numFmtId="0" fontId="203" fillId="0" borderId="49"/>
    <xf numFmtId="0" fontId="203" fillId="0" borderId="43"/>
    <xf numFmtId="0" fontId="172" fillId="0" borderId="0" applyNumberFormat="0" applyFill="0" applyBorder="0" applyAlignment="0" applyProtection="0"/>
    <xf numFmtId="0" fontId="8" fillId="0" borderId="0"/>
    <xf numFmtId="0" fontId="7" fillId="0" borderId="0"/>
    <xf numFmtId="0" fontId="22" fillId="0" borderId="0"/>
    <xf numFmtId="0" fontId="7" fillId="0" borderId="0"/>
    <xf numFmtId="43" fontId="114" fillId="0" borderId="0" applyFont="0" applyFill="0" applyBorder="0" applyAlignment="0" applyProtection="0"/>
    <xf numFmtId="0" fontId="6" fillId="0" borderId="0"/>
    <xf numFmtId="43" fontId="22" fillId="0" borderId="0" applyFont="0" applyFill="0" applyBorder="0" applyAlignment="0" applyProtection="0"/>
    <xf numFmtId="9" fontId="22" fillId="0" borderId="0" applyFont="0" applyFill="0" applyBorder="0" applyAlignment="0" applyProtection="0"/>
    <xf numFmtId="0" fontId="3" fillId="0" borderId="0"/>
    <xf numFmtId="0" fontId="3" fillId="0" borderId="0"/>
    <xf numFmtId="164" fontId="21" fillId="0" borderId="0"/>
    <xf numFmtId="0" fontId="1" fillId="0" borderId="0"/>
    <xf numFmtId="0" fontId="217" fillId="0" borderId="0"/>
    <xf numFmtId="44" fontId="217" fillId="0" borderId="0" applyFont="0" applyFill="0" applyBorder="0" applyAlignment="0" applyProtection="0"/>
    <xf numFmtId="9" fontId="217" fillId="0" borderId="0" applyFont="0" applyFill="0" applyBorder="0" applyAlignment="0" applyProtection="0"/>
  </cellStyleXfs>
  <cellXfs count="786">
    <xf numFmtId="37" fontId="0" fillId="0" borderId="0" xfId="0"/>
    <xf numFmtId="164" fontId="19" fillId="0" borderId="0" xfId="0" applyNumberFormat="1" applyFont="1" applyFill="1" applyProtection="1">
      <protection locked="0"/>
    </xf>
    <xf numFmtId="164" fontId="21" fillId="0" borderId="0" xfId="0" applyNumberFormat="1" applyFont="1"/>
    <xf numFmtId="165" fontId="21" fillId="0" borderId="0" xfId="0" applyNumberFormat="1" applyFont="1" applyAlignment="1">
      <alignment horizontal="center"/>
    </xf>
    <xf numFmtId="49" fontId="23" fillId="0" borderId="0" xfId="1" applyNumberFormat="1" applyFont="1" applyAlignment="1">
      <alignment horizontal="center" wrapText="1"/>
    </xf>
    <xf numFmtId="0" fontId="21" fillId="0" borderId="0" xfId="0" applyNumberFormat="1" applyFont="1" applyFill="1"/>
    <xf numFmtId="43" fontId="20" fillId="0" borderId="0" xfId="2" applyFont="1" applyFill="1" applyAlignment="1">
      <alignment horizontal="center"/>
    </xf>
    <xf numFmtId="43" fontId="21" fillId="0" borderId="0" xfId="2" applyFont="1" applyFill="1"/>
    <xf numFmtId="0" fontId="20" fillId="0" borderId="0" xfId="0" applyNumberFormat="1" applyFont="1" applyFill="1"/>
    <xf numFmtId="164" fontId="21" fillId="0" borderId="0" xfId="0" applyNumberFormat="1" applyFont="1" applyFill="1"/>
    <xf numFmtId="43" fontId="20" fillId="0" borderId="5" xfId="2" applyFont="1" applyFill="1" applyBorder="1" applyAlignment="1">
      <alignment horizontal="center"/>
    </xf>
    <xf numFmtId="43" fontId="20" fillId="0" borderId="0" xfId="2" applyFont="1" applyFill="1" applyBorder="1" applyAlignment="1">
      <alignment horizontal="center"/>
    </xf>
    <xf numFmtId="43" fontId="21" fillId="0" borderId="0" xfId="2" applyNumberFormat="1" applyFont="1" applyFill="1"/>
    <xf numFmtId="43" fontId="21" fillId="0" borderId="0" xfId="0" applyNumberFormat="1" applyFont="1" applyFill="1"/>
    <xf numFmtId="0" fontId="21" fillId="0" borderId="0" xfId="0" applyNumberFormat="1" applyFont="1" applyFill="1" applyBorder="1"/>
    <xf numFmtId="43" fontId="21" fillId="0" borderId="0" xfId="0" applyNumberFormat="1" applyFont="1" applyFill="1" applyBorder="1"/>
    <xf numFmtId="0" fontId="21" fillId="0" borderId="0" xfId="0" quotePrefix="1" applyNumberFormat="1" applyFont="1" applyFill="1" applyAlignment="1">
      <alignment horizontal="left"/>
    </xf>
    <xf numFmtId="43" fontId="21" fillId="0" borderId="0" xfId="2" applyFont="1" applyFill="1" applyBorder="1"/>
    <xf numFmtId="39" fontId="21" fillId="0" borderId="0" xfId="3" applyNumberFormat="1" applyFont="1" applyFill="1" applyBorder="1"/>
    <xf numFmtId="39" fontId="21" fillId="0" borderId="0" xfId="3" applyNumberFormat="1" applyFont="1" applyFill="1"/>
    <xf numFmtId="43" fontId="21" fillId="0" borderId="5" xfId="2" applyFont="1" applyFill="1" applyBorder="1"/>
    <xf numFmtId="43" fontId="21" fillId="0" borderId="5" xfId="0" applyNumberFormat="1" applyFont="1" applyFill="1" applyBorder="1"/>
    <xf numFmtId="43" fontId="21" fillId="0" borderId="7" xfId="2" applyFont="1" applyFill="1" applyBorder="1"/>
    <xf numFmtId="164" fontId="20" fillId="0" borderId="0" xfId="0" applyNumberFormat="1" applyFont="1"/>
    <xf numFmtId="43" fontId="21" fillId="0" borderId="0" xfId="2" applyFont="1" applyBorder="1"/>
    <xf numFmtId="39" fontId="21" fillId="0" borderId="0" xfId="3" applyNumberFormat="1" applyFont="1" applyBorder="1"/>
    <xf numFmtId="43" fontId="21" fillId="0" borderId="0" xfId="2" applyFont="1"/>
    <xf numFmtId="39" fontId="21" fillId="0" borderId="0" xfId="3" applyNumberFormat="1" applyFont="1"/>
    <xf numFmtId="164" fontId="20" fillId="0" borderId="0" xfId="0" applyNumberFormat="1" applyFont="1" applyBorder="1"/>
    <xf numFmtId="164" fontId="21" fillId="0" borderId="0" xfId="0" applyNumberFormat="1" applyFont="1" applyBorder="1"/>
    <xf numFmtId="43" fontId="21" fillId="0" borderId="0" xfId="0" applyNumberFormat="1" applyFont="1" applyBorder="1"/>
    <xf numFmtId="0" fontId="21" fillId="0" borderId="0" xfId="0" applyNumberFormat="1" applyFont="1"/>
    <xf numFmtId="165" fontId="20" fillId="0" borderId="0" xfId="0" applyNumberFormat="1" applyFont="1" applyAlignment="1">
      <alignment horizontal="center"/>
    </xf>
    <xf numFmtId="43" fontId="20" fillId="0" borderId="0" xfId="2" applyFont="1" applyAlignment="1">
      <alignment horizontal="center"/>
    </xf>
    <xf numFmtId="0" fontId="20" fillId="0" borderId="0" xfId="0" applyNumberFormat="1" applyFont="1"/>
    <xf numFmtId="43" fontId="20" fillId="0" borderId="5" xfId="2" applyFont="1" applyBorder="1" applyAlignment="1">
      <alignment horizontal="center"/>
    </xf>
    <xf numFmtId="43" fontId="20" fillId="0" borderId="0" xfId="2" applyFont="1" applyBorder="1" applyAlignment="1">
      <alignment horizontal="center"/>
    </xf>
    <xf numFmtId="44" fontId="21" fillId="0" borderId="0" xfId="3" applyFont="1"/>
    <xf numFmtId="43" fontId="21" fillId="0" borderId="0" xfId="0" applyNumberFormat="1" applyFont="1"/>
    <xf numFmtId="44" fontId="21" fillId="0" borderId="0" xfId="3" applyFont="1" applyFill="1"/>
    <xf numFmtId="44" fontId="21" fillId="0" borderId="0" xfId="3" applyFont="1" applyBorder="1"/>
    <xf numFmtId="43" fontId="21" fillId="0" borderId="5" xfId="2" applyFont="1" applyBorder="1"/>
    <xf numFmtId="43" fontId="21" fillId="0" borderId="5" xfId="0" applyNumberFormat="1" applyFont="1" applyBorder="1"/>
    <xf numFmtId="44" fontId="21" fillId="0" borderId="0" xfId="3" applyFont="1" applyFill="1" applyBorder="1"/>
    <xf numFmtId="43" fontId="21" fillId="0" borderId="7" xfId="2" applyFont="1" applyBorder="1"/>
    <xf numFmtId="43" fontId="21" fillId="0" borderId="0" xfId="2" applyFont="1" applyAlignment="1">
      <alignment horizontal="center"/>
    </xf>
    <xf numFmtId="0" fontId="21" fillId="0" borderId="0" xfId="0" applyNumberFormat="1" applyFont="1" applyBorder="1"/>
    <xf numFmtId="164" fontId="20" fillId="0" borderId="0" xfId="0" applyNumberFormat="1" applyFont="1" applyFill="1"/>
    <xf numFmtId="0" fontId="19" fillId="0" borderId="0" xfId="4" applyFont="1" applyFill="1" applyProtection="1">
      <protection locked="0"/>
    </xf>
    <xf numFmtId="0" fontId="21" fillId="0" borderId="0" xfId="4" applyFont="1"/>
    <xf numFmtId="165" fontId="20" fillId="0" borderId="0" xfId="4" applyNumberFormat="1" applyFont="1" applyAlignment="1">
      <alignment horizontal="center"/>
    </xf>
    <xf numFmtId="43" fontId="20" fillId="0" borderId="0" xfId="5" applyFont="1" applyAlignment="1">
      <alignment horizontal="center"/>
    </xf>
    <xf numFmtId="43" fontId="21" fillId="0" borderId="0" xfId="5" applyFont="1"/>
    <xf numFmtId="0" fontId="21" fillId="0" borderId="0" xfId="4" applyFont="1" applyFill="1"/>
    <xf numFmtId="43" fontId="20" fillId="0" borderId="5" xfId="5" applyFont="1" applyBorder="1" applyAlignment="1">
      <alignment horizontal="center"/>
    </xf>
    <xf numFmtId="43" fontId="20" fillId="0" borderId="0" xfId="5" applyFont="1" applyBorder="1" applyAlignment="1">
      <alignment horizontal="center"/>
    </xf>
    <xf numFmtId="0" fontId="20" fillId="0" borderId="0" xfId="4" applyFont="1" applyFill="1"/>
    <xf numFmtId="0" fontId="20" fillId="0" borderId="0" xfId="4" applyFont="1"/>
    <xf numFmtId="43" fontId="21" fillId="0" borderId="0" xfId="5" applyFont="1" applyBorder="1"/>
    <xf numFmtId="0" fontId="21" fillId="0" borderId="0" xfId="4" applyFont="1" applyBorder="1"/>
    <xf numFmtId="43" fontId="21" fillId="0" borderId="5" xfId="5" applyFont="1" applyBorder="1"/>
    <xf numFmtId="43" fontId="21" fillId="0" borderId="7" xfId="5" applyFont="1" applyBorder="1"/>
    <xf numFmtId="43" fontId="20" fillId="0" borderId="0" xfId="3236" applyFont="1" applyAlignment="1">
      <alignment horizontal="center"/>
    </xf>
    <xf numFmtId="43" fontId="20" fillId="0" borderId="5" xfId="3236" applyFont="1" applyBorder="1" applyAlignment="1">
      <alignment horizontal="center"/>
    </xf>
    <xf numFmtId="43" fontId="20" fillId="0" borderId="0" xfId="3236" applyFont="1" applyBorder="1" applyAlignment="1">
      <alignment horizontal="center"/>
    </xf>
    <xf numFmtId="0" fontId="21" fillId="0" borderId="0" xfId="8207" applyFont="1"/>
    <xf numFmtId="43" fontId="21" fillId="0" borderId="0" xfId="3236" applyFont="1"/>
    <xf numFmtId="0" fontId="21" fillId="0" borderId="0" xfId="8667" applyFont="1" applyFill="1" applyBorder="1" applyAlignment="1">
      <alignment horizontal="left"/>
    </xf>
    <xf numFmtId="0" fontId="87" fillId="0" borderId="0" xfId="8667" applyFont="1" applyFill="1" applyBorder="1" applyAlignment="1">
      <alignment horizontal="left"/>
    </xf>
    <xf numFmtId="0" fontId="87" fillId="0" borderId="0" xfId="8667" applyFont="1" applyFill="1" applyBorder="1" applyAlignment="1">
      <alignment horizontal="left" vertical="top"/>
    </xf>
    <xf numFmtId="174" fontId="87" fillId="0" borderId="0" xfId="8667" applyNumberFormat="1" applyFont="1" applyFill="1" applyBorder="1" applyAlignment="1">
      <alignment horizontal="center" wrapText="1"/>
    </xf>
    <xf numFmtId="0" fontId="21" fillId="0" borderId="0" xfId="8667" applyFont="1" applyFill="1" applyBorder="1" applyAlignment="1">
      <alignment horizontal="center" wrapText="1"/>
    </xf>
    <xf numFmtId="173" fontId="87" fillId="0" borderId="0" xfId="8668" applyNumberFormat="1" applyFont="1" applyFill="1" applyBorder="1" applyAlignment="1">
      <alignment horizontal="right" vertical="top" wrapText="1"/>
    </xf>
    <xf numFmtId="0" fontId="87" fillId="0" borderId="0" xfId="8667" applyFont="1" applyFill="1" applyBorder="1" applyAlignment="1">
      <alignment horizontal="center" wrapText="1"/>
    </xf>
    <xf numFmtId="0" fontId="87" fillId="0" borderId="0" xfId="8667" applyFont="1" applyFill="1" applyBorder="1" applyAlignment="1">
      <alignment horizontal="right"/>
    </xf>
    <xf numFmtId="0" fontId="21" fillId="0" borderId="0" xfId="8667" applyFont="1" applyFill="1" applyBorder="1" applyAlignment="1">
      <alignment horizontal="right"/>
    </xf>
    <xf numFmtId="0" fontId="21" fillId="0" borderId="6" xfId="8667" applyFont="1" applyFill="1" applyBorder="1" applyAlignment="1">
      <alignment horizontal="center" wrapText="1"/>
    </xf>
    <xf numFmtId="173" fontId="87" fillId="0" borderId="0" xfId="8668" applyNumberFormat="1" applyFont="1" applyFill="1" applyBorder="1" applyAlignment="1">
      <alignment horizontal="right" vertical="center" wrapText="1"/>
    </xf>
    <xf numFmtId="0" fontId="21" fillId="0" borderId="0" xfId="8667" applyFont="1" applyFill="1" applyBorder="1" applyAlignment="1">
      <alignment horizontal="left" wrapText="1"/>
    </xf>
    <xf numFmtId="0" fontId="21" fillId="0" borderId="6" xfId="8667" applyFont="1" applyFill="1" applyBorder="1" applyAlignment="1">
      <alignment horizontal="left" wrapText="1"/>
    </xf>
    <xf numFmtId="0" fontId="87" fillId="0" borderId="6" xfId="8667" applyFont="1" applyFill="1" applyBorder="1" applyAlignment="1">
      <alignment horizontal="center" wrapText="1"/>
    </xf>
    <xf numFmtId="0" fontId="21" fillId="0" borderId="6" xfId="8667" applyFont="1" applyFill="1" applyBorder="1" applyAlignment="1">
      <alignment horizontal="left" vertical="center" wrapText="1"/>
    </xf>
    <xf numFmtId="173" fontId="87" fillId="0" borderId="6" xfId="8668" applyNumberFormat="1" applyFont="1" applyFill="1" applyBorder="1" applyAlignment="1">
      <alignment horizontal="center" vertical="center" wrapText="1"/>
    </xf>
    <xf numFmtId="49" fontId="21" fillId="0" borderId="0" xfId="8667" applyNumberFormat="1" applyFont="1" applyFill="1" applyBorder="1" applyAlignment="1">
      <alignment horizontal="center"/>
    </xf>
    <xf numFmtId="49" fontId="21" fillId="0" borderId="0" xfId="8667" applyNumberFormat="1" applyFont="1" applyFill="1" applyBorder="1" applyAlignment="1">
      <alignment horizontal="center"/>
    </xf>
    <xf numFmtId="0" fontId="77" fillId="0" borderId="0" xfId="8667" applyFont="1" applyFill="1" applyBorder="1" applyAlignment="1">
      <alignment horizontal="left" vertical="center" wrapText="1"/>
    </xf>
    <xf numFmtId="173" fontId="87" fillId="0" borderId="0" xfId="8668" applyNumberFormat="1" applyFont="1" applyFill="1" applyBorder="1" applyAlignment="1">
      <alignment horizontal="right" wrapText="1"/>
    </xf>
    <xf numFmtId="173" fontId="20" fillId="0" borderId="0" xfId="8668" applyNumberFormat="1" applyFont="1" applyFill="1" applyBorder="1" applyAlignment="1">
      <alignment horizontal="right" wrapText="1"/>
    </xf>
    <xf numFmtId="173" fontId="21" fillId="0" borderId="0" xfId="8668" applyNumberFormat="1" applyFont="1" applyFill="1" applyBorder="1" applyAlignment="1">
      <alignment horizontal="right" wrapText="1"/>
    </xf>
    <xf numFmtId="173" fontId="21" fillId="0" borderId="5" xfId="8668" applyNumberFormat="1" applyFont="1" applyFill="1" applyBorder="1" applyAlignment="1">
      <alignment horizontal="right" wrapText="1"/>
    </xf>
    <xf numFmtId="0" fontId="77" fillId="0" borderId="0" xfId="8207" applyFont="1" applyAlignment="1">
      <alignment vertical="center"/>
    </xf>
    <xf numFmtId="0" fontId="21" fillId="0" borderId="0" xfId="8667" applyFont="1" applyFill="1" applyBorder="1" applyAlignment="1">
      <alignment horizontal="center"/>
    </xf>
    <xf numFmtId="49" fontId="21" fillId="0" borderId="0" xfId="8667" applyNumberFormat="1" applyFont="1" applyFill="1" applyBorder="1" applyAlignment="1">
      <alignment horizontal="center"/>
    </xf>
    <xf numFmtId="173" fontId="87" fillId="0" borderId="0" xfId="8667" applyNumberFormat="1" applyFont="1" applyFill="1" applyBorder="1" applyAlignment="1">
      <alignment horizontal="left" vertical="top"/>
    </xf>
    <xf numFmtId="173" fontId="87" fillId="0" borderId="27" xfId="8668" applyNumberFormat="1" applyFont="1" applyFill="1" applyBorder="1" applyAlignment="1">
      <alignment horizontal="right" wrapText="1"/>
    </xf>
    <xf numFmtId="173" fontId="87" fillId="0" borderId="0" xfId="8668" applyNumberFormat="1" applyFont="1" applyFill="1" applyBorder="1" applyAlignment="1">
      <alignment horizontal="center" vertical="center" wrapText="1"/>
    </xf>
    <xf numFmtId="0" fontId="87" fillId="0" borderId="6" xfId="8667" applyFont="1" applyFill="1" applyBorder="1" applyAlignment="1">
      <alignment horizontal="left"/>
    </xf>
    <xf numFmtId="0" fontId="87" fillId="0" borderId="6" xfId="8667" applyFont="1" applyFill="1" applyBorder="1" applyAlignment="1">
      <alignment horizontal="center"/>
    </xf>
    <xf numFmtId="0" fontId="21" fillId="0" borderId="5" xfId="8667" applyFont="1" applyFill="1" applyBorder="1" applyAlignment="1">
      <alignment horizontal="center" wrapText="1"/>
    </xf>
    <xf numFmtId="0" fontId="87" fillId="0" borderId="0" xfId="8667" applyFont="1" applyFill="1" applyBorder="1" applyAlignment="1">
      <alignment horizontal="center" vertical="center" wrapText="1"/>
    </xf>
    <xf numFmtId="0" fontId="19" fillId="53" borderId="0" xfId="8670" applyNumberFormat="1" applyFont="1" applyFill="1" applyProtection="1">
      <protection locked="0"/>
    </xf>
    <xf numFmtId="175" fontId="19" fillId="0" borderId="0" xfId="8670" applyNumberFormat="1" applyFont="1" applyProtection="1">
      <protection locked="0"/>
    </xf>
    <xf numFmtId="173" fontId="19" fillId="0" borderId="0" xfId="3236" applyNumberFormat="1" applyFont="1" applyProtection="1"/>
    <xf numFmtId="164" fontId="19" fillId="0" borderId="0" xfId="8670" applyFont="1" applyProtection="1"/>
    <xf numFmtId="164" fontId="21" fillId="0" borderId="0" xfId="8670" applyFont="1"/>
    <xf numFmtId="0" fontId="19" fillId="0" borderId="0" xfId="8670" applyNumberFormat="1" applyFont="1"/>
    <xf numFmtId="176" fontId="19" fillId="0" borderId="0" xfId="8670" applyNumberFormat="1" applyFont="1" applyAlignment="1" applyProtection="1">
      <alignment horizontal="left"/>
    </xf>
    <xf numFmtId="164" fontId="19" fillId="0" borderId="0" xfId="8670" applyFont="1"/>
    <xf numFmtId="164" fontId="19" fillId="0" borderId="0" xfId="8670" applyFont="1" applyAlignment="1" applyProtection="1">
      <alignment horizontal="left"/>
      <protection locked="0"/>
    </xf>
    <xf numFmtId="177" fontId="19" fillId="0" borderId="0" xfId="8670" applyNumberFormat="1" applyFont="1" applyAlignment="1" applyProtection="1">
      <alignment horizontal="left"/>
    </xf>
    <xf numFmtId="164" fontId="19" fillId="0" borderId="0" xfId="8670" applyFont="1" applyAlignment="1" applyProtection="1">
      <alignment horizontal="center"/>
      <protection locked="0"/>
    </xf>
    <xf numFmtId="164" fontId="19" fillId="0" borderId="0" xfId="8670" applyFont="1" applyAlignment="1" applyProtection="1">
      <alignment horizontal="center"/>
    </xf>
    <xf numFmtId="164" fontId="19" fillId="0" borderId="0" xfId="8670" quotePrefix="1" applyFont="1" applyAlignment="1" applyProtection="1">
      <alignment horizontal="center"/>
      <protection locked="0"/>
    </xf>
    <xf numFmtId="37" fontId="19" fillId="0" borderId="0" xfId="8670" applyNumberFormat="1" applyFont="1"/>
    <xf numFmtId="37" fontId="19" fillId="0" borderId="0" xfId="8670" applyNumberFormat="1" applyFont="1" applyAlignment="1" applyProtection="1">
      <alignment horizontal="left"/>
      <protection locked="0"/>
    </xf>
    <xf numFmtId="164" fontId="19" fillId="0" borderId="0" xfId="8670" applyFont="1" applyAlignment="1">
      <alignment horizontal="center"/>
    </xf>
    <xf numFmtId="164" fontId="19" fillId="0" borderId="0" xfId="8670" applyFont="1" applyAlignment="1" applyProtection="1">
      <alignment horizontal="left"/>
    </xf>
    <xf numFmtId="164" fontId="19" fillId="0" borderId="0" xfId="8670" quotePrefix="1" applyFont="1" applyAlignment="1" applyProtection="1">
      <alignment horizontal="center"/>
    </xf>
    <xf numFmtId="37" fontId="19" fillId="0" borderId="0" xfId="8671" applyFont="1" applyAlignment="1" applyProtection="1">
      <alignment horizontal="center"/>
    </xf>
    <xf numFmtId="164" fontId="19" fillId="0" borderId="0" xfId="8670" applyFont="1" applyProtection="1">
      <protection locked="0"/>
    </xf>
    <xf numFmtId="173" fontId="19" fillId="0" borderId="0" xfId="3236" applyNumberFormat="1" applyFont="1"/>
    <xf numFmtId="173" fontId="21" fillId="0" borderId="0" xfId="3236" applyNumberFormat="1" applyFont="1"/>
    <xf numFmtId="10" fontId="19" fillId="0" borderId="0" xfId="6291" applyNumberFormat="1" applyFont="1"/>
    <xf numFmtId="178" fontId="19" fillId="0" borderId="0" xfId="6291" applyNumberFormat="1" applyFont="1"/>
    <xf numFmtId="179" fontId="19" fillId="0" borderId="0" xfId="3236" applyNumberFormat="1" applyFont="1"/>
    <xf numFmtId="0" fontId="19" fillId="0" borderId="0" xfId="8670" applyNumberFormat="1" applyFont="1" applyProtection="1"/>
    <xf numFmtId="180" fontId="19" fillId="0" borderId="0" xfId="8672" applyNumberFormat="1" applyFont="1"/>
    <xf numFmtId="0" fontId="21" fillId="0" borderId="0" xfId="8670" applyNumberFormat="1" applyFont="1"/>
    <xf numFmtId="180" fontId="21" fillId="0" borderId="0" xfId="8672" applyNumberFormat="1" applyFont="1"/>
    <xf numFmtId="0" fontId="19" fillId="0" borderId="0" xfId="8670" applyNumberFormat="1" applyFont="1" applyAlignment="1">
      <alignment horizontal="center"/>
    </xf>
    <xf numFmtId="181" fontId="87" fillId="0" borderId="0" xfId="8669" applyNumberFormat="1" applyFont="1" applyFill="1" applyBorder="1" applyAlignment="1">
      <alignment horizontal="right" wrapText="1"/>
    </xf>
    <xf numFmtId="173" fontId="87" fillId="0" borderId="5" xfId="8668" applyNumberFormat="1" applyFont="1" applyFill="1" applyBorder="1" applyAlignment="1">
      <alignment horizontal="right" wrapText="1"/>
    </xf>
    <xf numFmtId="0" fontId="21" fillId="0" borderId="0" xfId="8667" applyFont="1" applyFill="1" applyBorder="1" applyAlignment="1">
      <alignment horizontal="left" vertical="center" wrapText="1"/>
    </xf>
    <xf numFmtId="181" fontId="87" fillId="0" borderId="0" xfId="8669" applyNumberFormat="1" applyFont="1" applyFill="1" applyBorder="1" applyAlignment="1">
      <alignment horizontal="right" vertical="top" wrapText="1"/>
    </xf>
    <xf numFmtId="181" fontId="21" fillId="0" borderId="0" xfId="8669" applyNumberFormat="1" applyFont="1" applyFill="1" applyBorder="1" applyAlignment="1">
      <alignment horizontal="right" wrapText="1"/>
    </xf>
    <xf numFmtId="181" fontId="87" fillId="0" borderId="0" xfId="8669" applyNumberFormat="1" applyFont="1" applyFill="1" applyBorder="1" applyAlignment="1">
      <alignment horizontal="left" vertical="top"/>
    </xf>
    <xf numFmtId="173" fontId="87" fillId="0" borderId="0" xfId="8667" applyNumberFormat="1" applyFont="1" applyFill="1" applyBorder="1" applyAlignment="1">
      <alignment horizontal="right"/>
    </xf>
    <xf numFmtId="181" fontId="87" fillId="0" borderId="0" xfId="8669" applyNumberFormat="1" applyFont="1" applyFill="1" applyBorder="1" applyAlignment="1">
      <alignment horizontal="right"/>
    </xf>
    <xf numFmtId="49" fontId="21" fillId="0" borderId="0" xfId="8667" applyNumberFormat="1" applyFont="1" applyFill="1" applyBorder="1" applyAlignment="1">
      <alignment horizontal="center"/>
    </xf>
    <xf numFmtId="0" fontId="91" fillId="0" borderId="0" xfId="8667" applyFont="1" applyFill="1" applyBorder="1" applyAlignment="1">
      <alignment horizontal="left"/>
    </xf>
    <xf numFmtId="0" fontId="91" fillId="0" borderId="0" xfId="8667" applyFont="1" applyFill="1" applyBorder="1" applyAlignment="1">
      <alignment horizontal="center" wrapText="1"/>
    </xf>
    <xf numFmtId="0" fontId="87" fillId="0" borderId="0" xfId="8667" applyFont="1" applyFill="1" applyBorder="1" applyAlignment="1">
      <alignment horizontal="center"/>
    </xf>
    <xf numFmtId="49" fontId="21" fillId="0" borderId="6" xfId="8667" applyNumberFormat="1" applyFont="1" applyFill="1" applyBorder="1" applyAlignment="1">
      <alignment horizontal="center" wrapText="1"/>
    </xf>
    <xf numFmtId="49" fontId="87" fillId="0" borderId="0" xfId="8667" applyNumberFormat="1" applyFont="1" applyFill="1" applyBorder="1" applyAlignment="1">
      <alignment horizontal="left" vertical="top"/>
    </xf>
    <xf numFmtId="49" fontId="87" fillId="0" borderId="0" xfId="8667" applyNumberFormat="1" applyFont="1" applyFill="1" applyBorder="1" applyAlignment="1">
      <alignment horizontal="center"/>
    </xf>
    <xf numFmtId="182" fontId="87" fillId="0" borderId="0" xfId="8668" quotePrefix="1" applyNumberFormat="1" applyFont="1" applyFill="1" applyBorder="1" applyAlignment="1">
      <alignment horizontal="center" wrapText="1"/>
    </xf>
    <xf numFmtId="182" fontId="87" fillId="0" borderId="0" xfId="8667" applyNumberFormat="1" applyFont="1" applyFill="1" applyBorder="1" applyAlignment="1">
      <alignment horizontal="center"/>
    </xf>
    <xf numFmtId="0" fontId="87" fillId="0" borderId="0" xfId="8667" applyFont="1" applyFill="1" applyBorder="1" applyAlignment="1">
      <alignment horizontal="left" wrapText="1"/>
    </xf>
    <xf numFmtId="9" fontId="87" fillId="0" borderId="0" xfId="8667" applyNumberFormat="1" applyFont="1" applyFill="1" applyBorder="1" applyAlignment="1">
      <alignment horizontal="left" vertical="top"/>
    </xf>
    <xf numFmtId="9" fontId="87" fillId="0" borderId="0" xfId="8667" applyNumberFormat="1" applyFont="1" applyFill="1" applyBorder="1" applyAlignment="1">
      <alignment horizontal="center"/>
    </xf>
    <xf numFmtId="0" fontId="87" fillId="0" borderId="5" xfId="8667" applyFont="1" applyFill="1" applyBorder="1" applyAlignment="1">
      <alignment horizontal="center" wrapText="1"/>
    </xf>
    <xf numFmtId="10" fontId="87" fillId="0" borderId="0" xfId="8669" applyNumberFormat="1" applyFont="1" applyFill="1" applyBorder="1" applyAlignment="1">
      <alignment horizontal="right" wrapText="1"/>
    </xf>
    <xf numFmtId="9" fontId="87" fillId="0" borderId="0" xfId="8669" applyNumberFormat="1" applyFont="1" applyFill="1" applyBorder="1" applyAlignment="1">
      <alignment horizontal="right" wrapText="1"/>
    </xf>
    <xf numFmtId="9" fontId="87" fillId="0" borderId="0" xfId="8668" applyNumberFormat="1" applyFont="1" applyFill="1" applyBorder="1" applyAlignment="1">
      <alignment horizontal="right" wrapText="1"/>
    </xf>
    <xf numFmtId="9" fontId="87" fillId="0" borderId="0" xfId="8668" applyNumberFormat="1" applyFont="1" applyFill="1" applyBorder="1" applyAlignment="1">
      <alignment horizontal="right" vertical="top" wrapText="1"/>
    </xf>
    <xf numFmtId="49" fontId="87" fillId="0" borderId="0" xfId="8668" applyNumberFormat="1" applyFont="1" applyFill="1" applyBorder="1" applyAlignment="1">
      <alignment horizontal="right" wrapText="1"/>
    </xf>
    <xf numFmtId="49" fontId="21" fillId="0" borderId="0" xfId="8668" applyNumberFormat="1" applyFont="1" applyFill="1" applyBorder="1" applyAlignment="1">
      <alignment horizontal="right" wrapText="1"/>
    </xf>
    <xf numFmtId="49" fontId="87" fillId="0" borderId="0" xfId="8668" applyNumberFormat="1" applyFont="1" applyFill="1" applyBorder="1" applyAlignment="1">
      <alignment horizontal="right" vertical="top" wrapText="1"/>
    </xf>
    <xf numFmtId="49" fontId="21" fillId="0" borderId="0" xfId="8667" applyNumberFormat="1" applyFont="1" applyFill="1" applyBorder="1" applyAlignment="1">
      <alignment horizontal="center"/>
    </xf>
    <xf numFmtId="0" fontId="21" fillId="0" borderId="28" xfId="8667" applyFont="1" applyFill="1" applyBorder="1" applyAlignment="1">
      <alignment horizontal="center" wrapText="1"/>
    </xf>
    <xf numFmtId="0" fontId="21" fillId="0" borderId="28" xfId="8667" applyFont="1" applyFill="1" applyBorder="1" applyAlignment="1">
      <alignment horizontal="left" wrapText="1"/>
    </xf>
    <xf numFmtId="0" fontId="21" fillId="0" borderId="5" xfId="8667" applyFont="1" applyFill="1" applyBorder="1" applyAlignment="1">
      <alignment horizontal="left" wrapText="1"/>
    </xf>
    <xf numFmtId="185" fontId="23" fillId="0" borderId="0" xfId="1" applyNumberFormat="1" applyFont="1" applyAlignment="1">
      <alignment horizontal="left"/>
    </xf>
    <xf numFmtId="185" fontId="22" fillId="0" borderId="0" xfId="1" applyNumberFormat="1" applyFont="1" applyAlignment="1">
      <alignment horizontal="right"/>
    </xf>
    <xf numFmtId="185" fontId="22" fillId="0" borderId="0" xfId="1" applyNumberFormat="1" applyFont="1" applyAlignment="1">
      <alignment horizontal="left"/>
    </xf>
    <xf numFmtId="37" fontId="21" fillId="0" borderId="0" xfId="8674" applyNumberFormat="1" applyFont="1" applyFill="1" applyAlignment="1">
      <alignment horizontal="centerContinuous"/>
    </xf>
    <xf numFmtId="37" fontId="21" fillId="0" borderId="0" xfId="8674" applyNumberFormat="1" applyFont="1" applyFill="1"/>
    <xf numFmtId="37" fontId="21" fillId="0" borderId="0" xfId="8674" applyNumberFormat="1" applyFont="1" applyFill="1" applyAlignment="1"/>
    <xf numFmtId="37" fontId="21" fillId="0" borderId="0" xfId="8674" applyNumberFormat="1" applyFont="1" applyFill="1" applyAlignment="1" applyProtection="1">
      <alignment horizontal="centerContinuous"/>
      <protection locked="0"/>
    </xf>
    <xf numFmtId="37" fontId="21" fillId="0" borderId="0" xfId="8674" applyNumberFormat="1" applyFont="1" applyFill="1" applyAlignment="1">
      <alignment horizontal="right"/>
    </xf>
    <xf numFmtId="0" fontId="21" fillId="0" borderId="0" xfId="8674" applyFont="1" applyFill="1"/>
    <xf numFmtId="0" fontId="21" fillId="0" borderId="0" xfId="8674" applyFont="1" applyFill="1" applyAlignment="1">
      <alignment horizontal="center"/>
    </xf>
    <xf numFmtId="173" fontId="21" fillId="0" borderId="0" xfId="3236" applyNumberFormat="1" applyFont="1" applyFill="1"/>
    <xf numFmtId="37" fontId="21" fillId="0" borderId="29" xfId="8674" applyNumberFormat="1" applyFont="1" applyFill="1" applyBorder="1" applyAlignment="1"/>
    <xf numFmtId="37" fontId="21" fillId="0" borderId="0" xfId="8674" applyNumberFormat="1" applyFont="1" applyFill="1" applyAlignment="1">
      <alignment horizontal="center"/>
    </xf>
    <xf numFmtId="183" fontId="21" fillId="0" borderId="0" xfId="8674" applyNumberFormat="1" applyFont="1" applyFill="1" applyAlignment="1">
      <alignment horizontal="center"/>
    </xf>
    <xf numFmtId="37" fontId="21" fillId="0" borderId="29" xfId="8674" applyNumberFormat="1" applyFont="1" applyFill="1" applyBorder="1" applyAlignment="1">
      <alignment horizontal="center"/>
    </xf>
    <xf numFmtId="37" fontId="21" fillId="0" borderId="29" xfId="8674" applyNumberFormat="1" applyFont="1" applyFill="1" applyBorder="1"/>
    <xf numFmtId="37" fontId="77" fillId="0" borderId="0" xfId="8674" applyNumberFormat="1" applyFont="1" applyFill="1" applyAlignment="1"/>
    <xf numFmtId="10" fontId="21" fillId="0" borderId="0" xfId="8674" applyNumberFormat="1" applyFont="1" applyFill="1"/>
    <xf numFmtId="37" fontId="21" fillId="0" borderId="0" xfId="8674" applyNumberFormat="1" applyFont="1" applyFill="1" applyAlignment="1" applyProtection="1">
      <protection locked="0"/>
    </xf>
    <xf numFmtId="37" fontId="21" fillId="0" borderId="0" xfId="8674" applyNumberFormat="1" applyFont="1" applyFill="1" applyProtection="1">
      <protection locked="0"/>
    </xf>
    <xf numFmtId="10" fontId="21" fillId="0" borderId="0" xfId="8674" applyNumberFormat="1" applyFont="1" applyFill="1" applyAlignment="1"/>
    <xf numFmtId="186" fontId="21" fillId="0" borderId="0" xfId="8674" applyNumberFormat="1" applyFont="1" applyFill="1" applyAlignment="1"/>
    <xf numFmtId="37" fontId="21" fillId="0" borderId="0" xfId="8674" applyNumberFormat="1" applyFont="1" applyFill="1" applyAlignment="1">
      <alignment horizontal="left"/>
    </xf>
    <xf numFmtId="37" fontId="21" fillId="0" borderId="0" xfId="8674" applyNumberFormat="1" applyFont="1" applyFill="1" applyBorder="1"/>
    <xf numFmtId="37" fontId="90" fillId="0" borderId="0" xfId="8674" applyNumberFormat="1" applyFont="1" applyFill="1" applyAlignment="1"/>
    <xf numFmtId="37" fontId="21" fillId="0" borderId="0" xfId="8674" applyNumberFormat="1" applyFont="1" applyFill="1" applyAlignment="1">
      <alignment horizontal="center"/>
    </xf>
    <xf numFmtId="0" fontId="21" fillId="0" borderId="0" xfId="8667" quotePrefix="1" applyFont="1" applyFill="1" applyBorder="1" applyAlignment="1">
      <alignment horizontal="left"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5" fontId="21" fillId="0" borderId="0" xfId="8674" applyNumberFormat="1" applyFont="1" applyFill="1" applyBorder="1" applyAlignment="1"/>
    <xf numFmtId="10" fontId="21" fillId="0" borderId="0" xfId="8674" applyNumberFormat="1" applyFont="1" applyFill="1" applyBorder="1"/>
    <xf numFmtId="37" fontId="21" fillId="0" borderId="0" xfId="8674" applyNumberFormat="1" applyFont="1" applyFill="1" applyBorder="1" applyAlignment="1"/>
    <xf numFmtId="10" fontId="21" fillId="0" borderId="0" xfId="8674" applyNumberFormat="1" applyFont="1" applyFill="1" applyBorder="1" applyAlignment="1"/>
    <xf numFmtId="37" fontId="21" fillId="0" borderId="0" xfId="8674" applyNumberFormat="1" applyFont="1" applyFill="1" applyBorder="1" applyProtection="1">
      <protection locked="0"/>
    </xf>
    <xf numFmtId="187" fontId="21" fillId="0" borderId="0" xfId="3834" applyNumberFormat="1" applyFont="1" applyFill="1"/>
    <xf numFmtId="187" fontId="21" fillId="0" borderId="28" xfId="3834" applyNumberFormat="1" applyFont="1" applyFill="1" applyBorder="1"/>
    <xf numFmtId="37" fontId="21" fillId="0" borderId="0" xfId="0" applyFont="1" applyFill="1"/>
    <xf numFmtId="5" fontId="21" fillId="0" borderId="0" xfId="0" applyNumberFormat="1" applyFont="1" applyFill="1"/>
    <xf numFmtId="187" fontId="21" fillId="0" borderId="28" xfId="3834" quotePrefix="1" applyNumberFormat="1" applyFont="1" applyFill="1" applyBorder="1"/>
    <xf numFmtId="173" fontId="21" fillId="0" borderId="0" xfId="3236" applyNumberFormat="1" applyFont="1" applyFill="1" applyProtection="1">
      <protection locked="0"/>
    </xf>
    <xf numFmtId="187" fontId="21" fillId="0" borderId="0" xfId="0" applyNumberFormat="1" applyFont="1" applyFill="1"/>
    <xf numFmtId="187" fontId="21" fillId="0" borderId="27" xfId="3834" applyNumberFormat="1" applyFont="1" applyFill="1" applyBorder="1"/>
    <xf numFmtId="187" fontId="21" fillId="0" borderId="0" xfId="3834" applyNumberFormat="1" applyFont="1" applyFill="1" applyProtection="1">
      <protection locked="0"/>
    </xf>
    <xf numFmtId="173" fontId="21" fillId="0" borderId="5" xfId="3236" applyNumberFormat="1" applyFont="1" applyFill="1" applyBorder="1" applyProtection="1">
      <protection locked="0"/>
    </xf>
    <xf numFmtId="173" fontId="21" fillId="0" borderId="0" xfId="3236" applyNumberFormat="1" applyFont="1" applyFill="1" applyBorder="1" applyProtection="1">
      <protection locked="0"/>
    </xf>
    <xf numFmtId="5" fontId="21" fillId="0" borderId="0" xfId="8674" applyNumberFormat="1" applyFont="1" applyFill="1" applyBorder="1" applyProtection="1">
      <protection locked="0"/>
    </xf>
    <xf numFmtId="49" fontId="21" fillId="0" borderId="0" xfId="8667" applyNumberFormat="1" applyFont="1" applyFill="1" applyBorder="1" applyAlignment="1">
      <alignment horizontal="center"/>
    </xf>
    <xf numFmtId="184" fontId="21" fillId="0" borderId="0" xfId="8668" applyNumberFormat="1" applyFont="1" applyFill="1" applyBorder="1" applyAlignment="1">
      <alignment horizontal="right" wrapText="1"/>
    </xf>
    <xf numFmtId="184" fontId="21" fillId="0" borderId="0" xfId="8668" quotePrefix="1" applyNumberFormat="1" applyFont="1" applyFill="1" applyBorder="1" applyAlignment="1">
      <alignment horizontal="right" wrapText="1"/>
    </xf>
    <xf numFmtId="0" fontId="87" fillId="0" borderId="0" xfId="8667" quotePrefix="1" applyFont="1" applyFill="1" applyBorder="1" applyAlignment="1">
      <alignment horizontal="center"/>
    </xf>
    <xf numFmtId="175" fontId="21" fillId="0" borderId="0" xfId="8677" applyNumberFormat="1" applyFont="1" applyAlignment="1" applyProtection="1">
      <alignment horizontal="left"/>
    </xf>
    <xf numFmtId="0" fontId="21" fillId="0" borderId="0" xfId="8677" applyFont="1"/>
    <xf numFmtId="0" fontId="21" fillId="0" borderId="0" xfId="8677" applyFont="1" applyAlignment="1" applyProtection="1">
      <alignment horizontal="left"/>
    </xf>
    <xf numFmtId="0" fontId="90" fillId="0" borderId="0" xfId="8677" applyFont="1" applyBorder="1" applyAlignment="1" applyProtection="1">
      <alignment horizontal="left"/>
    </xf>
    <xf numFmtId="0" fontId="90" fillId="0" borderId="0" xfId="8677" applyFont="1" applyBorder="1"/>
    <xf numFmtId="0" fontId="21" fillId="0" borderId="0" xfId="8677" applyFont="1" applyBorder="1"/>
    <xf numFmtId="0" fontId="21" fillId="0" borderId="0" xfId="8677" applyFont="1" applyFill="1" applyAlignment="1" applyProtection="1">
      <alignment horizontal="left"/>
    </xf>
    <xf numFmtId="0" fontId="21" fillId="0" borderId="0" xfId="8677" applyFont="1" applyFill="1"/>
    <xf numFmtId="49" fontId="21" fillId="0" borderId="0" xfId="8671" applyNumberFormat="1" applyFont="1"/>
    <xf numFmtId="0" fontId="87" fillId="0" borderId="0" xfId="8667" applyFont="1" applyFill="1" applyBorder="1" applyAlignment="1">
      <alignment horizontal="center"/>
    </xf>
    <xf numFmtId="180" fontId="21" fillId="0" borderId="0" xfId="8674" applyNumberFormat="1" applyFont="1" applyFill="1" applyAlignment="1"/>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20" fillId="0" borderId="0" xfId="8667" applyFont="1" applyFill="1" applyBorder="1" applyAlignment="1">
      <alignment horizontal="left" wrapText="1"/>
    </xf>
    <xf numFmtId="189" fontId="21" fillId="0" borderId="0" xfId="8766" applyNumberFormat="1" applyFont="1" applyFill="1" applyBorder="1" applyAlignment="1" applyProtection="1"/>
    <xf numFmtId="0" fontId="87" fillId="0" borderId="5" xfId="8667" applyFont="1" applyFill="1" applyBorder="1" applyAlignment="1">
      <alignment horizontal="left" vertical="top"/>
    </xf>
    <xf numFmtId="181" fontId="21" fillId="0" borderId="0" xfId="8779" applyNumberFormat="1" applyFont="1" applyFill="1" applyBorder="1" applyAlignment="1">
      <alignment horizontal="right" wrapText="1"/>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20" fillId="0" borderId="0" xfId="0" applyNumberFormat="1" applyFont="1" applyFill="1" applyAlignment="1">
      <alignment horizontal="center"/>
    </xf>
    <xf numFmtId="43" fontId="21" fillId="0" borderId="0" xfId="3236" applyFont="1" applyBorder="1"/>
    <xf numFmtId="43" fontId="21" fillId="0" borderId="5" xfId="3236" applyFont="1" applyBorder="1"/>
    <xf numFmtId="43" fontId="21" fillId="0" borderId="7" xfId="3236" applyFont="1" applyBorder="1"/>
    <xf numFmtId="185" fontId="22" fillId="0" borderId="0" xfId="1" applyNumberFormat="1" applyFont="1" applyFill="1" applyAlignment="1">
      <alignment horizontal="right"/>
    </xf>
    <xf numFmtId="185" fontId="22" fillId="0" borderId="0" xfId="1" applyNumberFormat="1" applyFont="1" applyFill="1" applyAlignment="1">
      <alignment horizontal="left"/>
    </xf>
    <xf numFmtId="0" fontId="114" fillId="0" borderId="0" xfId="8767" applyFill="1"/>
    <xf numFmtId="0" fontId="92" fillId="0" borderId="0" xfId="9370" applyFont="1" applyFill="1" applyAlignment="1">
      <alignment horizontal="centerContinuous"/>
    </xf>
    <xf numFmtId="0" fontId="39" fillId="0" borderId="0" xfId="9370" applyFont="1" applyFill="1"/>
    <xf numFmtId="0" fontId="135" fillId="0" borderId="0" xfId="9370" applyFill="1" applyAlignment="1"/>
    <xf numFmtId="0" fontId="92" fillId="0" borderId="0" xfId="9370" applyNumberFormat="1" applyFont="1" applyFill="1" applyAlignment="1">
      <alignment horizontal="centerContinuous"/>
    </xf>
    <xf numFmtId="0" fontId="39" fillId="0" borderId="0" xfId="9370" applyNumberFormat="1" applyFont="1" applyFill="1" applyAlignment="1">
      <alignment horizontal="centerContinuous"/>
    </xf>
    <xf numFmtId="0" fontId="92" fillId="0" borderId="0" xfId="9370" applyFont="1" applyFill="1" applyAlignment="1"/>
    <xf numFmtId="0" fontId="92" fillId="0" borderId="0" xfId="9370" applyNumberFormat="1" applyFont="1" applyFill="1" applyAlignment="1">
      <alignment horizontal="center"/>
    </xf>
    <xf numFmtId="0" fontId="92" fillId="0" borderId="5" xfId="9370" applyNumberFormat="1" applyFont="1" applyFill="1" applyBorder="1" applyAlignment="1">
      <alignment horizontal="center"/>
    </xf>
    <xf numFmtId="3" fontId="92" fillId="0" borderId="0" xfId="9370" applyNumberFormat="1" applyFont="1" applyFill="1" applyAlignment="1">
      <alignment horizontal="center"/>
    </xf>
    <xf numFmtId="0" fontId="92" fillId="0" borderId="0" xfId="9370" applyNumberFormat="1" applyFont="1" applyFill="1" applyAlignment="1">
      <alignment horizontal="left"/>
    </xf>
    <xf numFmtId="2" fontId="39" fillId="0" borderId="0" xfId="9370" applyNumberFormat="1" applyFont="1" applyFill="1"/>
    <xf numFmtId="0" fontId="39" fillId="0" borderId="0" xfId="9370" applyFont="1" applyFill="1" applyAlignment="1"/>
    <xf numFmtId="0" fontId="39" fillId="0" borderId="0" xfId="9370" applyNumberFormat="1" applyFont="1" applyFill="1" applyAlignment="1">
      <alignment horizontal="center"/>
    </xf>
    <xf numFmtId="2" fontId="39" fillId="0" borderId="0" xfId="9370" applyNumberFormat="1" applyFont="1" applyFill="1" applyAlignment="1">
      <alignment horizontal="center"/>
    </xf>
    <xf numFmtId="0" fontId="92" fillId="0" borderId="25" xfId="9370" applyNumberFormat="1" applyFont="1" applyFill="1" applyBorder="1" applyAlignment="1">
      <alignment horizontal="center"/>
    </xf>
    <xf numFmtId="0" fontId="39" fillId="0" borderId="0" xfId="9370" applyNumberFormat="1" applyFont="1" applyFill="1" applyAlignment="1"/>
    <xf numFmtId="0" fontId="93" fillId="0" borderId="0" xfId="9370" applyNumberFormat="1" applyFont="1" applyFill="1" applyAlignment="1"/>
    <xf numFmtId="2" fontId="39" fillId="0" borderId="0" xfId="9370" applyNumberFormat="1" applyFont="1" applyFill="1" applyAlignment="1">
      <alignment horizontal="right"/>
    </xf>
    <xf numFmtId="0" fontId="39" fillId="0" borderId="0" xfId="9370" applyNumberFormat="1" applyFont="1" applyFill="1"/>
    <xf numFmtId="0" fontId="39" fillId="0" borderId="0" xfId="9370" applyNumberFormat="1" applyFont="1" applyFill="1" applyAlignment="1">
      <alignment horizontal="left"/>
    </xf>
    <xf numFmtId="183" fontId="39" fillId="0" borderId="0" xfId="9370" applyNumberFormat="1" applyFont="1" applyFill="1" applyAlignment="1"/>
    <xf numFmtId="0" fontId="93" fillId="0" borderId="0" xfId="9370" applyNumberFormat="1" applyFont="1" applyFill="1" applyAlignment="1">
      <alignment horizontal="left"/>
    </xf>
    <xf numFmtId="2" fontId="92" fillId="0" borderId="0" xfId="9370" applyNumberFormat="1" applyFont="1" applyFill="1"/>
    <xf numFmtId="183" fontId="92" fillId="0" borderId="0" xfId="9370" applyNumberFormat="1" applyFont="1" applyFill="1" applyAlignment="1"/>
    <xf numFmtId="0" fontId="39" fillId="0" borderId="0" xfId="9370" applyFont="1" applyFill="1" applyAlignment="1">
      <alignment horizontal="left"/>
    </xf>
    <xf numFmtId="0" fontId="39" fillId="0" borderId="25" xfId="9370" applyFont="1" applyFill="1" applyBorder="1"/>
    <xf numFmtId="2" fontId="39" fillId="0" borderId="0" xfId="9370" applyNumberFormat="1" applyFont="1" applyFill="1" applyBorder="1"/>
    <xf numFmtId="0" fontId="39" fillId="0" borderId="0" xfId="9370" applyFont="1" applyFill="1" applyBorder="1" applyAlignment="1"/>
    <xf numFmtId="0" fontId="39" fillId="0" borderId="0" xfId="9370" applyFont="1" applyFill="1" applyBorder="1" applyAlignment="1">
      <alignment horizontal="left"/>
    </xf>
    <xf numFmtId="183" fontId="39" fillId="0" borderId="0" xfId="9370" applyNumberFormat="1" applyFont="1" applyFill="1" applyBorder="1" applyAlignment="1"/>
    <xf numFmtId="0" fontId="93" fillId="0" borderId="0" xfId="9370" applyFont="1" applyFill="1" applyBorder="1" applyAlignment="1">
      <alignment horizontal="left"/>
    </xf>
    <xf numFmtId="0" fontId="39" fillId="0" borderId="0" xfId="9370" applyNumberFormat="1" applyFont="1" applyFill="1" applyBorder="1" applyAlignment="1">
      <alignment horizontal="left"/>
    </xf>
    <xf numFmtId="0" fontId="92" fillId="0" borderId="0" xfId="9370" applyNumberFormat="1" applyFont="1" applyFill="1" applyAlignment="1"/>
    <xf numFmtId="1" fontId="21" fillId="0" borderId="0" xfId="8667" applyNumberFormat="1" applyFont="1" applyFill="1" applyBorder="1" applyAlignment="1">
      <alignment horizontal="center" wrapText="1"/>
    </xf>
    <xf numFmtId="1" fontId="39" fillId="0" borderId="0" xfId="9370" applyNumberFormat="1" applyFont="1" applyFill="1"/>
    <xf numFmtId="1" fontId="92" fillId="0" borderId="0" xfId="9370" applyNumberFormat="1" applyFont="1" applyFill="1" applyAlignment="1">
      <alignment horizontal="centerContinuous"/>
    </xf>
    <xf numFmtId="1" fontId="39" fillId="0" borderId="0" xfId="9370" applyNumberFormat="1" applyFont="1" applyFill="1" applyAlignment="1">
      <alignment horizontal="right"/>
    </xf>
    <xf numFmtId="1" fontId="92" fillId="0" borderId="0" xfId="9370" applyNumberFormat="1" applyFont="1" applyFill="1"/>
    <xf numFmtId="1" fontId="39" fillId="0" borderId="0" xfId="9370" applyNumberFormat="1" applyFont="1" applyFill="1" applyBorder="1"/>
    <xf numFmtId="10" fontId="39" fillId="0" borderId="0" xfId="9370" quotePrefix="1" applyNumberFormat="1" applyFont="1" applyFill="1" applyAlignment="1">
      <alignment horizontal="center"/>
    </xf>
    <xf numFmtId="0" fontId="39" fillId="0" borderId="0" xfId="9370" quotePrefix="1" applyNumberFormat="1" applyFont="1" applyFill="1" applyAlignment="1">
      <alignment horizontal="center"/>
    </xf>
    <xf numFmtId="184" fontId="87" fillId="0" borderId="0" xfId="8782" applyNumberFormat="1" applyFont="1" applyFill="1" applyBorder="1" applyAlignment="1">
      <alignment horizontal="right" wrapText="1"/>
    </xf>
    <xf numFmtId="184" fontId="87" fillId="0" borderId="0" xfId="8782" applyNumberFormat="1" applyFont="1" applyFill="1" applyBorder="1" applyAlignment="1">
      <alignment horizontal="center" wrapText="1"/>
    </xf>
    <xf numFmtId="9" fontId="21" fillId="0" borderId="0" xfId="8669" applyFont="1" applyFill="1" applyBorder="1" applyAlignment="1">
      <alignment horizontal="right" wrapText="1"/>
    </xf>
    <xf numFmtId="0" fontId="87" fillId="0" borderId="0" xfId="8667" applyFont="1" applyFill="1" applyBorder="1" applyAlignment="1">
      <alignment horizontal="center"/>
    </xf>
    <xf numFmtId="0" fontId="87" fillId="0" borderId="0" xfId="8667" applyFont="1" applyFill="1" applyBorder="1" applyAlignment="1">
      <alignment horizontal="center"/>
    </xf>
    <xf numFmtId="49" fontId="22" fillId="0" borderId="0" xfId="9285" applyNumberFormat="1" applyFont="1" applyAlignment="1">
      <alignment horizontal="left" wrapText="1"/>
    </xf>
    <xf numFmtId="49" fontId="22" fillId="0" borderId="0" xfId="9285" applyNumberFormat="1" applyFont="1" applyAlignment="1">
      <alignment horizontal="right" wrapText="1"/>
    </xf>
    <xf numFmtId="49" fontId="23" fillId="0" borderId="0" xfId="9285" applyNumberFormat="1" applyFont="1" applyAlignment="1">
      <alignment horizontal="left" wrapText="1"/>
    </xf>
    <xf numFmtId="185" fontId="23" fillId="0" borderId="0" xfId="9285" applyNumberFormat="1" applyFont="1" applyAlignment="1">
      <alignment horizontal="left"/>
    </xf>
    <xf numFmtId="185" fontId="22" fillId="0" borderId="0" xfId="9285" applyNumberFormat="1" applyFont="1" applyAlignment="1">
      <alignment horizontal="right"/>
    </xf>
    <xf numFmtId="185" fontId="22" fillId="0" borderId="0" xfId="9285" applyNumberFormat="1" applyFont="1" applyAlignment="1">
      <alignment horizontal="left"/>
    </xf>
    <xf numFmtId="185" fontId="22" fillId="0" borderId="28" xfId="9285" applyNumberFormat="1" applyFont="1" applyBorder="1" applyAlignment="1">
      <alignment horizontal="right"/>
    </xf>
    <xf numFmtId="0" fontId="87" fillId="0" borderId="0" xfId="8667" applyFont="1" applyFill="1" applyBorder="1" applyAlignment="1">
      <alignment horizontal="center"/>
    </xf>
    <xf numFmtId="44" fontId="115" fillId="0" borderId="0" xfId="9374" applyFont="1" applyFill="1" applyBorder="1"/>
    <xf numFmtId="37" fontId="0" fillId="0" borderId="0" xfId="0" applyFill="1"/>
    <xf numFmtId="0" fontId="39" fillId="0" borderId="0" xfId="4475" applyFont="1" applyFill="1" applyAlignment="1"/>
    <xf numFmtId="2" fontId="39" fillId="0" borderId="0" xfId="4475" applyNumberFormat="1" applyFont="1" applyFill="1"/>
    <xf numFmtId="0" fontId="39" fillId="0" borderId="0" xfId="4475" applyNumberFormat="1" applyFont="1" applyFill="1" applyAlignment="1">
      <alignment horizontal="center"/>
    </xf>
    <xf numFmtId="183" fontId="39" fillId="0" borderId="0" xfId="4475" applyNumberFormat="1" applyFont="1" applyFill="1" applyAlignment="1"/>
    <xf numFmtId="0" fontId="92" fillId="0" borderId="0" xfId="4475" applyNumberFormat="1" applyFont="1" applyFill="1" applyAlignment="1">
      <alignment horizontal="left"/>
    </xf>
    <xf numFmtId="0" fontId="92" fillId="0" borderId="0" xfId="4475" applyFont="1" applyFill="1" applyAlignment="1"/>
    <xf numFmtId="0" fontId="87" fillId="0" borderId="0" xfId="8667" applyFont="1" applyFill="1" applyBorder="1" applyAlignment="1">
      <alignment horizontal="center"/>
    </xf>
    <xf numFmtId="192" fontId="92" fillId="0" borderId="0" xfId="9375" applyNumberFormat="1" applyFont="1" applyAlignment="1">
      <alignment horizontal="right"/>
    </xf>
    <xf numFmtId="0" fontId="39" fillId="0" borderId="0" xfId="9375" applyFont="1"/>
    <xf numFmtId="0" fontId="39" fillId="0" borderId="0" xfId="9375" applyFont="1" applyBorder="1"/>
    <xf numFmtId="37" fontId="92" fillId="0" borderId="0" xfId="9290" applyFont="1" applyAlignment="1">
      <alignment horizontal="right"/>
    </xf>
    <xf numFmtId="179" fontId="39" fillId="0" borderId="0" xfId="3236" applyNumberFormat="1" applyFont="1"/>
    <xf numFmtId="192" fontId="39" fillId="0" borderId="0" xfId="9290" applyNumberFormat="1" applyFont="1" applyAlignment="1">
      <alignment horizontal="right"/>
    </xf>
    <xf numFmtId="37" fontId="39" fillId="0" borderId="0" xfId="9290" applyFont="1" applyAlignment="1">
      <alignment horizontal="centerContinuous"/>
    </xf>
    <xf numFmtId="37" fontId="39" fillId="0" borderId="0" xfId="9290" applyFont="1" applyBorder="1" applyAlignment="1">
      <alignment horizontal="centerContinuous"/>
    </xf>
    <xf numFmtId="0" fontId="140" fillId="0" borderId="0" xfId="9375" applyFont="1" applyAlignment="1">
      <alignment horizontal="center"/>
    </xf>
    <xf numFmtId="165" fontId="92" fillId="0" borderId="0" xfId="9375" quotePrefix="1" applyNumberFormat="1" applyFont="1" applyAlignment="1">
      <alignment horizontal="right"/>
    </xf>
    <xf numFmtId="37" fontId="39" fillId="0" borderId="0" xfId="9290" applyFont="1" applyAlignment="1">
      <alignment horizontal="center"/>
    </xf>
    <xf numFmtId="37" fontId="39" fillId="0" borderId="0" xfId="9290" applyFont="1" applyFill="1" applyAlignment="1">
      <alignment horizontal="center"/>
    </xf>
    <xf numFmtId="37" fontId="39" fillId="0" borderId="0" xfId="9290" quotePrefix="1" applyFont="1" applyAlignment="1">
      <alignment horizontal="center"/>
    </xf>
    <xf numFmtId="37" fontId="39" fillId="0" borderId="5" xfId="9290" applyFont="1" applyBorder="1" applyAlignment="1">
      <alignment horizontal="centerContinuous"/>
    </xf>
    <xf numFmtId="37" fontId="39" fillId="0" borderId="5" xfId="9290" applyFont="1" applyBorder="1" applyAlignment="1">
      <alignment horizontal="center"/>
    </xf>
    <xf numFmtId="165" fontId="39" fillId="0" borderId="0" xfId="9375" applyNumberFormat="1" applyFont="1" applyBorder="1"/>
    <xf numFmtId="192" fontId="39" fillId="0" borderId="0" xfId="9290" applyNumberFormat="1" applyFont="1" applyBorder="1" applyAlignment="1">
      <alignment horizontal="right"/>
    </xf>
    <xf numFmtId="37" fontId="39" fillId="0" borderId="0" xfId="9290" applyFont="1" applyAlignment="1">
      <alignment horizontal="left"/>
    </xf>
    <xf numFmtId="37" fontId="39" fillId="0" borderId="0" xfId="9290" applyFont="1" applyBorder="1" applyAlignment="1">
      <alignment horizontal="left"/>
    </xf>
    <xf numFmtId="173" fontId="39" fillId="0" borderId="0" xfId="3236" applyNumberFormat="1" applyFont="1" applyBorder="1" applyAlignment="1">
      <alignment horizontal="right"/>
    </xf>
    <xf numFmtId="187" fontId="39" fillId="0" borderId="0" xfId="3834" applyNumberFormat="1" applyFont="1" applyAlignment="1">
      <alignment horizontal="right"/>
    </xf>
    <xf numFmtId="187" fontId="39" fillId="0" borderId="0" xfId="9375" applyNumberFormat="1" applyFont="1" applyBorder="1"/>
    <xf numFmtId="173" fontId="39" fillId="0" borderId="0" xfId="3236" applyNumberFormat="1" applyFont="1" applyAlignment="1">
      <alignment horizontal="right"/>
    </xf>
    <xf numFmtId="173" fontId="39" fillId="0" borderId="6" xfId="3236" applyNumberFormat="1" applyFont="1" applyBorder="1" applyAlignment="1">
      <alignment horizontal="right"/>
    </xf>
    <xf numFmtId="179" fontId="142" fillId="0" borderId="0" xfId="3236" applyNumberFormat="1" applyFont="1"/>
    <xf numFmtId="178" fontId="39" fillId="0" borderId="0" xfId="6291" applyNumberFormat="1" applyFont="1" applyBorder="1" applyAlignment="1">
      <alignment horizontal="right"/>
    </xf>
    <xf numFmtId="173" fontId="39" fillId="0" borderId="0" xfId="3236" applyNumberFormat="1" applyFont="1" applyFill="1" applyBorder="1" applyAlignment="1">
      <alignment horizontal="right"/>
    </xf>
    <xf numFmtId="173" fontId="39" fillId="0" borderId="0" xfId="3236" applyNumberFormat="1" applyFont="1" applyFill="1" applyAlignment="1">
      <alignment horizontal="right"/>
    </xf>
    <xf numFmtId="37" fontId="39" fillId="0" borderId="0" xfId="9290" quotePrefix="1" applyFont="1"/>
    <xf numFmtId="179" fontId="141" fillId="0" borderId="0" xfId="3236" applyNumberFormat="1" applyFont="1"/>
    <xf numFmtId="37" fontId="39" fillId="0" borderId="0" xfId="9290" quotePrefix="1" applyFont="1" applyAlignment="1">
      <alignment horizontal="left"/>
    </xf>
    <xf numFmtId="37" fontId="39" fillId="0" borderId="0" xfId="9290" quotePrefix="1" applyFont="1" applyFill="1" applyAlignment="1">
      <alignment horizontal="left"/>
    </xf>
    <xf numFmtId="187" fontId="39" fillId="0" borderId="7" xfId="3834" applyNumberFormat="1" applyFont="1" applyBorder="1" applyAlignment="1">
      <alignment horizontal="right"/>
    </xf>
    <xf numFmtId="187" fontId="39" fillId="0" borderId="0" xfId="3834" applyNumberFormat="1" applyFont="1" applyBorder="1" applyAlignment="1">
      <alignment horizontal="right"/>
    </xf>
    <xf numFmtId="192" fontId="39" fillId="0" borderId="0" xfId="9375" applyNumberFormat="1" applyFont="1"/>
    <xf numFmtId="10" fontId="39" fillId="0" borderId="27" xfId="6291" applyNumberFormat="1" applyFont="1" applyBorder="1" applyAlignment="1">
      <alignment horizontal="right"/>
    </xf>
    <xf numFmtId="44" fontId="89" fillId="0" borderId="0" xfId="3834" applyFont="1" applyFill="1" applyBorder="1"/>
    <xf numFmtId="10" fontId="39" fillId="0" borderId="0" xfId="6291" applyNumberFormat="1" applyFont="1" applyBorder="1" applyAlignment="1">
      <alignment horizontal="right"/>
    </xf>
    <xf numFmtId="0" fontId="39" fillId="0" borderId="0" xfId="9375" applyFont="1" applyAlignment="1">
      <alignment horizontal="center"/>
    </xf>
    <xf numFmtId="0" fontId="39" fillId="0" borderId="0" xfId="9375" quotePrefix="1" applyFont="1" applyAlignment="1">
      <alignment horizontal="center"/>
    </xf>
    <xf numFmtId="37" fontId="39" fillId="0" borderId="0" xfId="9290" applyFont="1"/>
    <xf numFmtId="44" fontId="143" fillId="0" borderId="0" xfId="3834" applyFont="1" applyFill="1" applyBorder="1"/>
    <xf numFmtId="2" fontId="39" fillId="0" borderId="0" xfId="9375" applyNumberFormat="1" applyFont="1"/>
    <xf numFmtId="173" fontId="39" fillId="0" borderId="0" xfId="8782" applyNumberFormat="1" applyFont="1"/>
    <xf numFmtId="37" fontId="39" fillId="0" borderId="0" xfId="9290" applyFont="1" applyFill="1"/>
    <xf numFmtId="0" fontId="22" fillId="0" borderId="0" xfId="10006" applyFill="1"/>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201" fontId="87" fillId="0" borderId="6" xfId="8668" applyNumberFormat="1" applyFont="1" applyFill="1" applyBorder="1" applyAlignment="1">
      <alignment horizontal="center" vertical="center" wrapText="1"/>
    </xf>
    <xf numFmtId="0" fontId="22" fillId="0" borderId="0" xfId="10006" applyFont="1" applyFill="1" applyAlignment="1">
      <alignment horizontal="center"/>
    </xf>
    <xf numFmtId="0" fontId="23" fillId="0" borderId="0" xfId="10006" applyFont="1" applyFill="1" applyAlignment="1">
      <alignment horizontal="center"/>
    </xf>
    <xf numFmtId="9" fontId="87" fillId="0" borderId="0" xfId="8779" applyNumberFormat="1" applyFont="1" applyFill="1" applyBorder="1" applyAlignment="1">
      <alignment horizontal="center"/>
    </xf>
    <xf numFmtId="9" fontId="87" fillId="0" borderId="0" xfId="8779" applyFont="1" applyFill="1" applyBorder="1" applyAlignment="1">
      <alignment horizontal="right"/>
    </xf>
    <xf numFmtId="43" fontId="87" fillId="0" borderId="0" xfId="57815" applyFont="1" applyFill="1" applyBorder="1" applyAlignment="1">
      <alignment horizontal="left"/>
    </xf>
    <xf numFmtId="49" fontId="87" fillId="0" borderId="6" xfId="8668" applyNumberFormat="1" applyFont="1" applyFill="1" applyBorder="1" applyAlignment="1">
      <alignment horizontal="center" wrapText="1"/>
    </xf>
    <xf numFmtId="173" fontId="87" fillId="0" borderId="6" xfId="8668" applyNumberFormat="1" applyFont="1" applyFill="1" applyBorder="1" applyAlignment="1">
      <alignment horizontal="center" wrapText="1"/>
    </xf>
    <xf numFmtId="49" fontId="116" fillId="0" borderId="0" xfId="57816" applyNumberFormat="1" applyFont="1" applyFill="1" applyAlignment="1"/>
    <xf numFmtId="43" fontId="87" fillId="0" borderId="0" xfId="8667" applyNumberFormat="1" applyFont="1" applyFill="1" applyBorder="1" applyAlignment="1">
      <alignment horizontal="left"/>
    </xf>
    <xf numFmtId="0" fontId="193" fillId="0" borderId="0" xfId="8667" applyFont="1" applyFill="1" applyBorder="1" applyAlignment="1">
      <alignment horizontal="left"/>
    </xf>
    <xf numFmtId="0" fontId="193" fillId="0" borderId="5" xfId="8667" applyFont="1" applyFill="1" applyBorder="1" applyAlignment="1">
      <alignment horizontal="center" wrapText="1"/>
    </xf>
    <xf numFmtId="49" fontId="87" fillId="0" borderId="0" xfId="8668" applyNumberFormat="1" applyFont="1" applyFill="1" applyBorder="1" applyAlignment="1">
      <alignment horizontal="center" wrapText="1"/>
    </xf>
    <xf numFmtId="173" fontId="87" fillId="0" borderId="0" xfId="8668" applyNumberFormat="1" applyFont="1" applyFill="1" applyBorder="1" applyAlignment="1">
      <alignment horizontal="center"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49" fontId="21" fillId="0" borderId="0" xfId="8667" applyNumberFormat="1" applyFont="1" applyFill="1" applyBorder="1" applyAlignment="1">
      <alignment horizontal="center"/>
    </xf>
    <xf numFmtId="37" fontId="20" fillId="0" borderId="0" xfId="9290" applyFont="1" applyAlignment="1">
      <alignment horizontal="right"/>
    </xf>
    <xf numFmtId="37" fontId="20" fillId="0" borderId="0" xfId="9290" quotePrefix="1" applyFont="1" applyAlignment="1">
      <alignment horizontal="right"/>
    </xf>
    <xf numFmtId="37" fontId="20" fillId="0" borderId="0" xfId="9290" quotePrefix="1" applyFont="1" applyFill="1" applyAlignment="1">
      <alignment horizontal="right"/>
    </xf>
    <xf numFmtId="0" fontId="20" fillId="0" borderId="0" xfId="8667" applyFont="1" applyFill="1" applyBorder="1" applyAlignment="1">
      <alignment horizontal="left"/>
    </xf>
    <xf numFmtId="0" fontId="194" fillId="0" borderId="0" xfId="8667" applyFont="1" applyFill="1" applyBorder="1" applyAlignment="1">
      <alignment horizontal="left"/>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173" fontId="87" fillId="0" borderId="0" xfId="8668" applyNumberFormat="1" applyFont="1" applyFill="1" applyBorder="1" applyAlignment="1">
      <alignment horizontal="left" wrapText="1"/>
    </xf>
    <xf numFmtId="181" fontId="87" fillId="0" borderId="0" xfId="8669" applyNumberFormat="1" applyFont="1" applyFill="1" applyBorder="1" applyAlignment="1">
      <alignment horizontal="center" wrapText="1"/>
    </xf>
    <xf numFmtId="0" fontId="87" fillId="0" borderId="0" xfId="8667" applyFont="1" applyFill="1" applyBorder="1" applyAlignment="1">
      <alignment horizontal="center" vertical="top"/>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77" fillId="0" borderId="0" xfId="8667" applyFont="1" applyFill="1" applyBorder="1" applyAlignment="1">
      <alignment horizontal="left" wrapText="1"/>
    </xf>
    <xf numFmtId="0" fontId="77" fillId="0" borderId="0" xfId="8207" applyFont="1" applyAlignment="1"/>
    <xf numFmtId="0" fontId="90" fillId="0" borderId="0" xfId="8207" applyFont="1" applyAlignment="1"/>
    <xf numFmtId="0" fontId="21" fillId="0" borderId="0" xfId="8667" quotePrefix="1" applyFont="1" applyFill="1" applyBorder="1" applyAlignment="1">
      <alignment horizontal="center" wrapText="1"/>
    </xf>
    <xf numFmtId="0" fontId="21" fillId="0" borderId="0" xfId="8207" applyFont="1" applyAlignment="1"/>
    <xf numFmtId="0" fontId="77" fillId="0" borderId="0" xfId="8207" applyFont="1" applyFill="1" applyAlignment="1"/>
    <xf numFmtId="0" fontId="90" fillId="0" borderId="0" xfId="8207" applyFont="1" applyFill="1" applyAlignment="1"/>
    <xf numFmtId="0" fontId="21" fillId="0" borderId="0" xfId="8207" applyFont="1" applyFill="1" applyAlignment="1"/>
    <xf numFmtId="0" fontId="21" fillId="0" borderId="0" xfId="8667" applyFont="1" applyFill="1" applyBorder="1" applyAlignment="1">
      <alignment horizontal="center"/>
    </xf>
    <xf numFmtId="0" fontId="21" fillId="0" borderId="0" xfId="8667" applyFont="1" applyFill="1" applyBorder="1" applyAlignment="1">
      <alignment horizontal="center"/>
    </xf>
    <xf numFmtId="173" fontId="87" fillId="0" borderId="7" xfId="8668" applyNumberFormat="1" applyFont="1" applyFill="1" applyBorder="1" applyAlignment="1">
      <alignment horizontal="right"/>
    </xf>
    <xf numFmtId="173" fontId="87" fillId="0" borderId="0" xfId="8668" applyNumberFormat="1" applyFont="1" applyFill="1" applyBorder="1" applyAlignment="1">
      <alignment horizontal="right"/>
    </xf>
    <xf numFmtId="173" fontId="87" fillId="0" borderId="5" xfId="8668" applyNumberFormat="1" applyFont="1" applyFill="1" applyBorder="1" applyAlignment="1">
      <alignment horizontal="right"/>
    </xf>
    <xf numFmtId="173" fontId="21" fillId="0" borderId="7" xfId="8668" applyNumberFormat="1" applyFont="1" applyFill="1" applyBorder="1" applyAlignment="1">
      <alignment horizontal="right"/>
    </xf>
    <xf numFmtId="181" fontId="87" fillId="0" borderId="0" xfId="8779" applyNumberFormat="1" applyFont="1" applyFill="1" applyBorder="1" applyAlignment="1">
      <alignment horizontal="right"/>
    </xf>
    <xf numFmtId="173" fontId="21" fillId="0" borderId="0" xfId="8668" applyNumberFormat="1" applyFont="1" applyFill="1" applyBorder="1" applyAlignment="1">
      <alignment horizontal="right"/>
    </xf>
    <xf numFmtId="181" fontId="21" fillId="0" borderId="0" xfId="8669" applyNumberFormat="1" applyFont="1" applyFill="1" applyBorder="1" applyAlignment="1">
      <alignment horizontal="right"/>
    </xf>
    <xf numFmtId="181" fontId="21" fillId="0" borderId="0" xfId="8779" applyNumberFormat="1" applyFont="1" applyFill="1" applyBorder="1" applyAlignment="1">
      <alignment horizontal="right"/>
    </xf>
    <xf numFmtId="0" fontId="87" fillId="0" borderId="28" xfId="8667" applyFont="1" applyFill="1" applyBorder="1" applyAlignment="1">
      <alignment horizontal="left"/>
    </xf>
    <xf numFmtId="49" fontId="133" fillId="0" borderId="0" xfId="1" applyNumberFormat="1" applyFont="1" applyFill="1" applyAlignment="1">
      <alignment horizontal="left"/>
    </xf>
    <xf numFmtId="49" fontId="22" fillId="0" borderId="0" xfId="1" applyNumberFormat="1" applyFont="1" applyFill="1" applyAlignment="1">
      <alignment horizontal="right" wrapText="1"/>
    </xf>
    <xf numFmtId="49" fontId="22" fillId="0" borderId="0" xfId="1" applyNumberFormat="1" applyFont="1" applyFill="1" applyAlignment="1">
      <alignment horizontal="left" wrapText="1"/>
    </xf>
    <xf numFmtId="185" fontId="134" fillId="0" borderId="0" xfId="1" applyNumberFormat="1" applyFont="1" applyFill="1" applyAlignment="1">
      <alignment horizontal="left"/>
    </xf>
    <xf numFmtId="191" fontId="22" fillId="0" borderId="0" xfId="1" applyNumberFormat="1" applyFont="1" applyFill="1" applyAlignment="1">
      <alignment horizontal="right"/>
    </xf>
    <xf numFmtId="43" fontId="22" fillId="0" borderId="0" xfId="10006" applyNumberFormat="1" applyFont="1" applyFill="1"/>
    <xf numFmtId="43" fontId="136" fillId="0" borderId="0" xfId="29405" applyFont="1" applyFill="1"/>
    <xf numFmtId="0" fontId="22" fillId="0" borderId="0" xfId="10006" applyFont="1" applyFill="1"/>
    <xf numFmtId="43" fontId="22" fillId="0" borderId="28" xfId="10006" applyNumberFormat="1" applyFont="1" applyFill="1" applyBorder="1"/>
    <xf numFmtId="43" fontId="23" fillId="0" borderId="28" xfId="10006" applyNumberFormat="1" applyFont="1" applyFill="1" applyBorder="1"/>
    <xf numFmtId="43" fontId="192" fillId="0" borderId="0" xfId="29405" applyFont="1" applyFill="1"/>
    <xf numFmtId="43" fontId="136" fillId="0" borderId="28" xfId="29405" applyFont="1" applyFill="1" applyBorder="1"/>
    <xf numFmtId="43" fontId="0" fillId="0" borderId="0" xfId="29405" applyFont="1" applyFill="1"/>
    <xf numFmtId="0" fontId="22" fillId="0" borderId="0" xfId="10006" applyFill="1" applyAlignment="1">
      <alignment horizontal="right"/>
    </xf>
    <xf numFmtId="0" fontId="22" fillId="0" borderId="0" xfId="1" applyFill="1"/>
    <xf numFmtId="49" fontId="23" fillId="0" borderId="0" xfId="1" applyNumberFormat="1" applyFont="1" applyFill="1" applyAlignment="1">
      <alignment horizontal="left" wrapText="1"/>
    </xf>
    <xf numFmtId="0" fontId="23" fillId="0" borderId="0" xfId="1" applyFont="1" applyFill="1"/>
    <xf numFmtId="0" fontId="13" fillId="0" borderId="0" xfId="9372" applyFill="1"/>
    <xf numFmtId="49" fontId="13" fillId="0" borderId="0" xfId="9372" applyNumberFormat="1" applyFont="1" applyFill="1" applyAlignment="1">
      <alignment horizontal="right" wrapText="1"/>
    </xf>
    <xf numFmtId="0" fontId="21" fillId="0" borderId="0" xfId="4397"/>
    <xf numFmtId="0" fontId="87" fillId="0" borderId="0" xfId="8667" applyFont="1" applyFill="1" applyBorder="1" applyAlignment="1">
      <alignment horizontal="center"/>
    </xf>
    <xf numFmtId="0" fontId="87" fillId="0" borderId="0" xfId="8667" applyFont="1" applyFill="1" applyBorder="1" applyAlignment="1">
      <alignment horizontal="center" vertic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center"/>
    </xf>
    <xf numFmtId="165" fontId="20" fillId="0" borderId="0" xfId="0" quotePrefix="1" applyNumberFormat="1" applyFont="1" applyFill="1" applyAlignment="1">
      <alignment horizontal="center"/>
    </xf>
    <xf numFmtId="165" fontId="20" fillId="0" borderId="0" xfId="0" applyNumberFormat="1" applyFont="1" applyFill="1" applyAlignment="1">
      <alignment horizontal="center"/>
    </xf>
    <xf numFmtId="185" fontId="22" fillId="0" borderId="0" xfId="9290" applyNumberFormat="1" applyFont="1" applyFill="1" applyAlignment="1">
      <alignment horizontal="center"/>
    </xf>
    <xf numFmtId="185" fontId="22" fillId="0" borderId="0" xfId="9290" applyNumberFormat="1" applyFont="1" applyFill="1" applyAlignment="1">
      <alignment horizontal="right"/>
    </xf>
    <xf numFmtId="185" fontId="22" fillId="0" borderId="0" xfId="9290" applyNumberFormat="1" applyFont="1" applyFill="1" applyAlignment="1">
      <alignment horizontal="left"/>
    </xf>
    <xf numFmtId="0" fontId="21" fillId="0" borderId="0" xfId="8667" applyFont="1" applyFill="1" applyBorder="1" applyAlignment="1">
      <alignment horizontal="right" wrapText="1"/>
    </xf>
    <xf numFmtId="49" fontId="133" fillId="0" borderId="0" xfId="9290" applyNumberFormat="1" applyFont="1" applyFill="1" applyAlignment="1">
      <alignment horizontal="left"/>
    </xf>
    <xf numFmtId="49" fontId="22" fillId="0" borderId="0" xfId="9290" applyNumberFormat="1" applyFont="1" applyFill="1" applyAlignment="1">
      <alignment horizontal="right" wrapText="1"/>
    </xf>
    <xf numFmtId="49" fontId="22" fillId="0" borderId="0" xfId="9290" applyNumberFormat="1" applyFont="1" applyFill="1" applyAlignment="1">
      <alignment horizontal="left" wrapText="1"/>
    </xf>
    <xf numFmtId="49" fontId="22" fillId="0" borderId="0" xfId="9290" applyNumberFormat="1" applyFont="1" applyFill="1" applyAlignment="1">
      <alignment horizontal="center" wrapText="1"/>
    </xf>
    <xf numFmtId="49" fontId="23" fillId="0" borderId="0" xfId="9290" applyNumberFormat="1" applyFont="1" applyAlignment="1">
      <alignment horizontal="center" wrapText="1"/>
    </xf>
    <xf numFmtId="43" fontId="21" fillId="0" borderId="6" xfId="2" applyFont="1" applyFill="1" applyBorder="1"/>
    <xf numFmtId="0" fontId="21" fillId="0" borderId="0" xfId="2" applyNumberFormat="1" applyFont="1" applyFill="1" applyBorder="1"/>
    <xf numFmtId="165" fontId="21" fillId="0" borderId="0" xfId="0" applyNumberFormat="1" applyFont="1" applyBorder="1" applyAlignment="1">
      <alignment horizontal="center"/>
    </xf>
    <xf numFmtId="37" fontId="20" fillId="0" borderId="0" xfId="0" applyFont="1" applyFill="1"/>
    <xf numFmtId="37" fontId="0" fillId="0" borderId="0" xfId="0" applyBorder="1"/>
    <xf numFmtId="0" fontId="19" fillId="0" borderId="0" xfId="4" applyFont="1" applyFill="1" applyBorder="1" applyProtection="1">
      <protection locked="0"/>
    </xf>
    <xf numFmtId="165" fontId="20" fillId="0" borderId="0" xfId="4" applyNumberFormat="1" applyFont="1" applyBorder="1" applyAlignment="1">
      <alignment horizontal="center"/>
    </xf>
    <xf numFmtId="49" fontId="8" fillId="0" borderId="0" xfId="8667" applyNumberFormat="1" applyFont="1" applyAlignment="1">
      <alignment horizontal="left" wrapText="1"/>
    </xf>
    <xf numFmtId="49" fontId="8" fillId="0" borderId="0" xfId="8667" applyNumberFormat="1" applyFont="1" applyAlignment="1">
      <alignment horizontal="right" wrapText="1"/>
    </xf>
    <xf numFmtId="200" fontId="8" fillId="0" borderId="0" xfId="8667" applyNumberFormat="1" applyFont="1" applyAlignment="1">
      <alignment horizontal="left"/>
    </xf>
    <xf numFmtId="200" fontId="18" fillId="0" borderId="6" xfId="8667" applyNumberFormat="1" applyFont="1" applyBorder="1" applyAlignment="1">
      <alignment horizontal="right"/>
    </xf>
    <xf numFmtId="200" fontId="211" fillId="0" borderId="0" xfId="8667" applyNumberFormat="1" applyFont="1" applyAlignment="1">
      <alignment horizontal="left"/>
    </xf>
    <xf numFmtId="200" fontId="18" fillId="0" borderId="0" xfId="8667" applyNumberFormat="1" applyFont="1" applyBorder="1" applyAlignment="1">
      <alignment horizontal="right"/>
    </xf>
    <xf numFmtId="200" fontId="8" fillId="0" borderId="0" xfId="8667" applyNumberFormat="1" applyFont="1" applyBorder="1" applyAlignment="1">
      <alignment horizontal="right"/>
    </xf>
    <xf numFmtId="185" fontId="8" fillId="0" borderId="0" xfId="8667" applyNumberFormat="1" applyFont="1" applyAlignment="1">
      <alignment horizontal="left"/>
    </xf>
    <xf numFmtId="185" fontId="8" fillId="0" borderId="0" xfId="8667" applyNumberFormat="1" applyFont="1" applyBorder="1" applyAlignment="1">
      <alignment horizontal="right"/>
    </xf>
    <xf numFmtId="49" fontId="8" fillId="0" borderId="0" xfId="8667" applyNumberFormat="1" applyFont="1" applyFill="1" applyAlignment="1">
      <alignment horizontal="right" wrapText="1"/>
    </xf>
    <xf numFmtId="49" fontId="133" fillId="0" borderId="0" xfId="9290" applyNumberFormat="1" applyFont="1" applyFill="1" applyAlignment="1">
      <alignment horizontal="center"/>
    </xf>
    <xf numFmtId="49" fontId="22" fillId="0" borderId="0" xfId="1" applyNumberFormat="1" applyFont="1" applyFill="1" applyAlignment="1">
      <alignment horizontal="center" wrapText="1"/>
    </xf>
    <xf numFmtId="49" fontId="8" fillId="0" borderId="0" xfId="8667" applyNumberFormat="1" applyFont="1" applyAlignment="1">
      <alignment horizontal="center" wrapText="1"/>
    </xf>
    <xf numFmtId="200" fontId="8" fillId="0" borderId="0" xfId="8667" applyNumberFormat="1" applyFont="1" applyAlignment="1">
      <alignment horizontal="center"/>
    </xf>
    <xf numFmtId="200" fontId="211" fillId="0" borderId="0" xfId="8667" applyNumberFormat="1" applyFont="1" applyAlignment="1">
      <alignment horizontal="center"/>
    </xf>
    <xf numFmtId="185" fontId="8" fillId="0" borderId="0" xfId="8667" applyNumberFormat="1" applyFont="1" applyAlignment="1">
      <alignment horizontal="center"/>
    </xf>
    <xf numFmtId="185" fontId="22" fillId="0" borderId="0" xfId="1" applyNumberFormat="1" applyFont="1" applyFill="1" applyAlignment="1">
      <alignment horizontal="center"/>
    </xf>
    <xf numFmtId="200" fontId="8" fillId="0" borderId="0" xfId="8667" applyNumberFormat="1" applyFont="1" applyAlignment="1">
      <alignment horizontal="right"/>
    </xf>
    <xf numFmtId="6" fontId="8" fillId="0" borderId="0" xfId="8667" applyNumberFormat="1" applyFont="1" applyBorder="1" applyAlignment="1">
      <alignment horizontal="right"/>
    </xf>
    <xf numFmtId="0" fontId="21" fillId="0" borderId="0" xfId="56076" applyFont="1"/>
    <xf numFmtId="0" fontId="20" fillId="0" borderId="5" xfId="56076" applyFont="1" applyBorder="1"/>
    <xf numFmtId="49" fontId="21" fillId="0" borderId="0" xfId="56076" applyNumberFormat="1" applyFont="1" applyAlignment="1">
      <alignment horizontal="left"/>
    </xf>
    <xf numFmtId="14" fontId="21" fillId="0" borderId="0" xfId="56076" applyNumberFormat="1" applyFont="1" applyAlignment="1">
      <alignment horizontal="left"/>
    </xf>
    <xf numFmtId="0" fontId="90" fillId="0" borderId="0" xfId="56076" applyFont="1"/>
    <xf numFmtId="37" fontId="21" fillId="0" borderId="0" xfId="8674" quotePrefix="1" applyNumberFormat="1" applyFont="1" applyFill="1" applyAlignment="1"/>
    <xf numFmtId="191" fontId="22" fillId="0" borderId="0" xfId="9285" applyNumberFormat="1" applyFont="1" applyBorder="1" applyAlignment="1">
      <alignment horizontal="right"/>
    </xf>
    <xf numFmtId="181" fontId="87" fillId="0" borderId="0" xfId="8779" applyNumberFormat="1" applyFont="1" applyFill="1" applyBorder="1" applyAlignment="1">
      <alignment horizontal="right" wrapText="1"/>
    </xf>
    <xf numFmtId="37" fontId="39" fillId="0" borderId="0" xfId="9290" quotePrefix="1" applyFont="1" applyFill="1"/>
    <xf numFmtId="0" fontId="115" fillId="0" borderId="0" xfId="8767" applyFont="1" applyFill="1" applyAlignment="1"/>
    <xf numFmtId="0" fontId="115" fillId="0" borderId="0" xfId="8767" applyNumberFormat="1" applyFont="1" applyFill="1" applyAlignment="1">
      <alignment horizontal="center"/>
    </xf>
    <xf numFmtId="0" fontId="115" fillId="0" borderId="0" xfId="8767" applyFont="1" applyFill="1"/>
    <xf numFmtId="37" fontId="115" fillId="0" borderId="0" xfId="8767" applyNumberFormat="1" applyFont="1" applyFill="1" applyAlignment="1"/>
    <xf numFmtId="0" fontId="115" fillId="0" borderId="0" xfId="8767" applyFont="1" applyFill="1" applyAlignment="1">
      <alignment horizontal="right"/>
    </xf>
    <xf numFmtId="0" fontId="115" fillId="0" borderId="0" xfId="8767" applyFont="1" applyFill="1" applyAlignment="1">
      <alignment horizontal="center"/>
    </xf>
    <xf numFmtId="2" fontId="115" fillId="0" borderId="0" xfId="8767" applyNumberFormat="1" applyFont="1" applyFill="1"/>
    <xf numFmtId="0" fontId="39" fillId="0" borderId="0" xfId="8767" applyFont="1" applyFill="1" applyAlignment="1"/>
    <xf numFmtId="0" fontId="39" fillId="0" borderId="0" xfId="8767" applyNumberFormat="1" applyFont="1" applyFill="1" applyAlignment="1">
      <alignment horizontal="center"/>
    </xf>
    <xf numFmtId="0" fontId="39" fillId="0" borderId="0" xfId="8767" applyNumberFormat="1" applyFont="1" applyFill="1" applyAlignment="1"/>
    <xf numFmtId="0" fontId="93" fillId="0" borderId="0" xfId="8767" applyNumberFormat="1" applyFont="1" applyFill="1" applyAlignment="1"/>
    <xf numFmtId="2" fontId="39" fillId="0" borderId="0" xfId="8767" applyNumberFormat="1" applyFont="1" applyFill="1" applyBorder="1" applyAlignment="1">
      <alignment horizontal="right"/>
    </xf>
    <xf numFmtId="0" fontId="115" fillId="0" borderId="0" xfId="8767" applyFont="1" applyFill="1" applyBorder="1" applyAlignment="1">
      <alignment horizontal="right"/>
    </xf>
    <xf numFmtId="0" fontId="39" fillId="0" borderId="0" xfId="8767" applyNumberFormat="1" applyFont="1" applyFill="1" applyBorder="1" applyAlignment="1"/>
    <xf numFmtId="0" fontId="39" fillId="0" borderId="0" xfId="8767" applyNumberFormat="1" applyFont="1" applyFill="1" applyBorder="1" applyAlignment="1">
      <alignment horizontal="center"/>
    </xf>
    <xf numFmtId="0" fontId="115" fillId="0" borderId="0" xfId="8767" applyFont="1" applyFill="1" applyBorder="1" applyAlignment="1"/>
    <xf numFmtId="2" fontId="115" fillId="0" borderId="0" xfId="8767" applyNumberFormat="1" applyFont="1" applyFill="1" applyBorder="1"/>
    <xf numFmtId="0" fontId="92" fillId="0" borderId="0" xfId="8767" applyFont="1" applyFill="1" applyAlignment="1"/>
    <xf numFmtId="0" fontId="39" fillId="0" borderId="0" xfId="8767" quotePrefix="1" applyNumberFormat="1" applyFont="1" applyFill="1" applyAlignment="1">
      <alignment horizontal="center"/>
    </xf>
    <xf numFmtId="204" fontId="22" fillId="0" borderId="0" xfId="1" applyNumberFormat="1" applyFill="1"/>
    <xf numFmtId="205" fontId="22" fillId="0" borderId="0" xfId="1" applyNumberFormat="1" applyFont="1" applyFill="1" applyAlignment="1">
      <alignment horizontal="right"/>
    </xf>
    <xf numFmtId="191" fontId="22" fillId="0" borderId="0" xfId="1" applyNumberFormat="1" applyFont="1" applyFill="1" applyBorder="1" applyAlignment="1">
      <alignment horizontal="right"/>
    </xf>
    <xf numFmtId="191" fontId="22" fillId="0" borderId="28" xfId="1" applyNumberFormat="1" applyFont="1" applyFill="1" applyBorder="1" applyAlignment="1">
      <alignment horizontal="right"/>
    </xf>
    <xf numFmtId="191" fontId="22" fillId="0" borderId="0" xfId="9285" applyNumberFormat="1" applyFont="1" applyAlignment="1">
      <alignment horizontal="right"/>
    </xf>
    <xf numFmtId="173" fontId="87" fillId="0" borderId="0" xfId="8667" applyNumberFormat="1" applyFont="1" applyFill="1" applyBorder="1" applyAlignment="1">
      <alignment horizontal="left"/>
    </xf>
    <xf numFmtId="200" fontId="4" fillId="0" borderId="0" xfId="8667" applyNumberFormat="1" applyFont="1" applyAlignment="1">
      <alignment horizontal="left"/>
    </xf>
    <xf numFmtId="0" fontId="87" fillId="0" borderId="0" xfId="8667" applyFont="1" applyFill="1" applyBorder="1" applyAlignment="1">
      <alignment horizontal="center"/>
    </xf>
    <xf numFmtId="15" fontId="21" fillId="0" borderId="0" xfId="56076" quotePrefix="1" applyNumberFormat="1" applyFont="1" applyAlignment="1">
      <alignment horizontal="left"/>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left"/>
    </xf>
    <xf numFmtId="165" fontId="20" fillId="0" borderId="0" xfId="0" quotePrefix="1" applyNumberFormat="1" applyFont="1" applyFill="1" applyAlignment="1">
      <alignment horizontal="left"/>
    </xf>
    <xf numFmtId="165" fontId="20" fillId="0" borderId="0" xfId="0" applyNumberFormat="1" applyFont="1" applyFill="1" applyAlignment="1">
      <alignment horizontal="left"/>
    </xf>
    <xf numFmtId="39" fontId="21" fillId="0" borderId="0" xfId="3834" applyNumberFormat="1" applyFont="1" applyBorder="1"/>
    <xf numFmtId="39" fontId="21" fillId="0" borderId="0" xfId="3834" applyNumberFormat="1" applyFont="1"/>
    <xf numFmtId="44" fontId="21" fillId="0" borderId="0" xfId="3834" applyFont="1"/>
    <xf numFmtId="44" fontId="21" fillId="0" borderId="0" xfId="3834" applyFont="1" applyBorder="1"/>
    <xf numFmtId="49" fontId="20" fillId="0" borderId="0" xfId="2" applyNumberFormat="1" applyFont="1" applyAlignment="1">
      <alignment horizontal="center"/>
    </xf>
    <xf numFmtId="164" fontId="20" fillId="0" borderId="0" xfId="0" applyNumberFormat="1" applyFont="1" applyFill="1" applyAlignment="1" applyProtection="1">
      <alignment horizontal="left"/>
    </xf>
    <xf numFmtId="165" fontId="20" fillId="0" borderId="0" xfId="0" applyNumberFormat="1" applyFont="1" applyAlignment="1">
      <alignment horizontal="left"/>
    </xf>
    <xf numFmtId="164" fontId="20" fillId="0" borderId="0" xfId="0" applyNumberFormat="1" applyFont="1" applyAlignment="1">
      <alignment horizontal="center"/>
    </xf>
    <xf numFmtId="0" fontId="20" fillId="0" borderId="0" xfId="4" applyFont="1" applyFill="1" applyAlignment="1" applyProtection="1">
      <alignment horizontal="left"/>
    </xf>
    <xf numFmtId="49" fontId="23" fillId="0" borderId="0" xfId="1" quotePrefix="1" applyNumberFormat="1" applyFont="1" applyAlignment="1">
      <alignment horizontal="center" wrapText="1"/>
    </xf>
    <xf numFmtId="0" fontId="21" fillId="0" borderId="0" xfId="0" applyNumberFormat="1" applyFont="1" applyFill="1" applyAlignment="1">
      <alignment horizontal="left"/>
    </xf>
    <xf numFmtId="200" fontId="3" fillId="0" borderId="0" xfId="60086" applyNumberFormat="1" applyFont="1" applyAlignment="1">
      <alignment horizontal="left"/>
    </xf>
    <xf numFmtId="200" fontId="3" fillId="0" borderId="0" xfId="60086" applyNumberFormat="1" applyFont="1" applyBorder="1" applyAlignment="1">
      <alignment horizontal="right"/>
    </xf>
    <xf numFmtId="200" fontId="3" fillId="0" borderId="0" xfId="60086" applyNumberFormat="1" applyFont="1" applyFill="1" applyAlignment="1">
      <alignment horizontal="left"/>
    </xf>
    <xf numFmtId="200" fontId="3" fillId="0" borderId="0" xfId="60086" applyNumberFormat="1" applyFont="1" applyFill="1" applyBorder="1" applyAlignment="1">
      <alignment horizontal="right"/>
    </xf>
    <xf numFmtId="0" fontId="20" fillId="0" borderId="0" xfId="0" applyNumberFormat="1" applyFont="1" applyAlignment="1">
      <alignment horizontal="center"/>
    </xf>
    <xf numFmtId="165" fontId="20" fillId="0" borderId="0" xfId="0" quotePrefix="1" applyNumberFormat="1" applyFont="1" applyAlignment="1">
      <alignment horizontal="left"/>
    </xf>
    <xf numFmtId="176" fontId="42" fillId="0" borderId="0" xfId="0" applyNumberFormat="1" applyFont="1" applyAlignment="1" applyProtection="1">
      <alignment horizontal="left"/>
    </xf>
    <xf numFmtId="176" fontId="42" fillId="0" borderId="0" xfId="0" applyNumberFormat="1" applyFont="1" applyAlignment="1" applyProtection="1">
      <alignment horizontal="right"/>
    </xf>
    <xf numFmtId="177" fontId="42" fillId="0" borderId="0" xfId="0" applyNumberFormat="1" applyFont="1" applyAlignment="1" applyProtection="1">
      <alignment horizontal="left"/>
    </xf>
    <xf numFmtId="177" fontId="42" fillId="0" borderId="0" xfId="0" applyNumberFormat="1" applyFont="1" applyAlignment="1" applyProtection="1">
      <alignment horizontal="right"/>
    </xf>
    <xf numFmtId="37" fontId="19" fillId="0" borderId="0" xfId="0" applyFont="1" applyAlignment="1" applyProtection="1">
      <alignment horizontal="center"/>
    </xf>
    <xf numFmtId="10" fontId="19" fillId="0" borderId="0" xfId="10005" applyNumberFormat="1" applyFont="1"/>
    <xf numFmtId="178" fontId="19" fillId="0" borderId="0" xfId="10005" applyNumberFormat="1" applyFont="1"/>
    <xf numFmtId="0" fontId="22" fillId="0" borderId="0" xfId="9285"/>
    <xf numFmtId="0" fontId="22" fillId="0" borderId="0" xfId="9285" applyFill="1"/>
    <xf numFmtId="0" fontId="23" fillId="0" borderId="0" xfId="9285" applyFont="1"/>
    <xf numFmtId="0" fontId="22" fillId="0" borderId="0" xfId="9285" quotePrefix="1" applyAlignment="1">
      <alignment horizontal="center"/>
    </xf>
    <xf numFmtId="0" fontId="22" fillId="0" borderId="0" xfId="9285" applyFill="1" applyAlignment="1">
      <alignment horizontal="center"/>
    </xf>
    <xf numFmtId="185" fontId="134" fillId="0" borderId="0" xfId="9285" applyNumberFormat="1" applyFont="1" applyAlignment="1">
      <alignment horizontal="left"/>
    </xf>
    <xf numFmtId="43" fontId="22" fillId="0" borderId="0" xfId="9285" applyNumberFormat="1"/>
    <xf numFmtId="14" fontId="22" fillId="0" borderId="0" xfId="9285" applyNumberFormat="1" applyFill="1" applyAlignment="1">
      <alignment horizontal="center"/>
    </xf>
    <xf numFmtId="0" fontId="23" fillId="0" borderId="0" xfId="9285" applyFont="1" applyFill="1" applyAlignment="1">
      <alignment horizontal="center"/>
    </xf>
    <xf numFmtId="41" fontId="22" fillId="0" borderId="0" xfId="9285" applyNumberFormat="1" applyFill="1"/>
    <xf numFmtId="0" fontId="23" fillId="0" borderId="0" xfId="9285" applyFont="1" applyFill="1"/>
    <xf numFmtId="43" fontId="0" fillId="0" borderId="0" xfId="61976" applyFont="1" applyFill="1"/>
    <xf numFmtId="14" fontId="22" fillId="0" borderId="0" xfId="9285" applyNumberFormat="1" applyFill="1"/>
    <xf numFmtId="0" fontId="191" fillId="0" borderId="0" xfId="9285" applyFont="1" applyFill="1"/>
    <xf numFmtId="41" fontId="22" fillId="0" borderId="0" xfId="9285" applyNumberFormat="1"/>
    <xf numFmtId="41" fontId="22" fillId="0" borderId="28" xfId="9285" applyNumberFormat="1" applyBorder="1"/>
    <xf numFmtId="41" fontId="22" fillId="0" borderId="7" xfId="9285" applyNumberFormat="1" applyBorder="1"/>
    <xf numFmtId="0" fontId="23" fillId="0" borderId="0" xfId="9285" applyFont="1" applyFill="1" applyAlignment="1">
      <alignment horizontal="left"/>
    </xf>
    <xf numFmtId="41" fontId="22" fillId="0" borderId="0" xfId="9285" applyNumberFormat="1" applyFont="1" applyFill="1"/>
    <xf numFmtId="0" fontId="22" fillId="0" borderId="0" xfId="9285" applyFont="1" applyFill="1"/>
    <xf numFmtId="10" fontId="22" fillId="0" borderId="0" xfId="10005" applyNumberFormat="1" applyFont="1"/>
    <xf numFmtId="200" fontId="22" fillId="0" borderId="0" xfId="9285" applyNumberFormat="1" applyFont="1" applyAlignment="1">
      <alignment horizontal="left"/>
    </xf>
    <xf numFmtId="0" fontId="22" fillId="0" borderId="0" xfId="9285" applyFill="1" applyBorder="1" applyAlignment="1">
      <alignment horizontal="center"/>
    </xf>
    <xf numFmtId="43" fontId="22" fillId="0" borderId="0" xfId="9285" applyNumberFormat="1" applyFill="1" applyBorder="1"/>
    <xf numFmtId="0" fontId="22" fillId="0" borderId="0" xfId="9285" applyFill="1" applyBorder="1"/>
    <xf numFmtId="181" fontId="22" fillId="0" borderId="0" xfId="10005" applyNumberFormat="1" applyFont="1" applyFill="1" applyBorder="1"/>
    <xf numFmtId="41" fontId="23" fillId="0" borderId="0" xfId="9285" applyNumberFormat="1" applyFont="1" applyFill="1"/>
    <xf numFmtId="41" fontId="23" fillId="0" borderId="7" xfId="9285" applyNumberFormat="1" applyFont="1" applyBorder="1"/>
    <xf numFmtId="14" fontId="23" fillId="0" borderId="0" xfId="9285" applyNumberFormat="1" applyFont="1"/>
    <xf numFmtId="173" fontId="23" fillId="0" borderId="0" xfId="10006" applyNumberFormat="1" applyFont="1" applyFill="1"/>
    <xf numFmtId="0" fontId="23" fillId="0" borderId="0" xfId="10006" applyFont="1" applyFill="1" applyAlignment="1">
      <alignment horizontal="right"/>
    </xf>
    <xf numFmtId="194" fontId="22" fillId="0" borderId="0" xfId="1" applyNumberFormat="1" applyFill="1"/>
    <xf numFmtId="164" fontId="21" fillId="0" borderId="0" xfId="61980" applyFont="1" applyFill="1"/>
    <xf numFmtId="164" fontId="21" fillId="0" borderId="0" xfId="0" applyNumberFormat="1" applyFont="1" applyFill="1" applyAlignment="1">
      <alignment horizontal="center"/>
    </xf>
    <xf numFmtId="164" fontId="21" fillId="0" borderId="0" xfId="0" applyNumberFormat="1" applyFont="1" applyFill="1" applyAlignment="1">
      <alignment horizontal="left"/>
    </xf>
    <xf numFmtId="164" fontId="21" fillId="0" borderId="0" xfId="61980" applyFont="1" applyFill="1" applyAlignment="1">
      <alignment horizontal="center"/>
    </xf>
    <xf numFmtId="164" fontId="90" fillId="0" borderId="0" xfId="0" applyNumberFormat="1" applyFont="1" applyFill="1" applyAlignment="1">
      <alignment horizontal="center"/>
    </xf>
    <xf numFmtId="0" fontId="90" fillId="0" borderId="0" xfId="0" applyNumberFormat="1" applyFont="1" applyFill="1" applyAlignment="1">
      <alignment horizontal="center"/>
    </xf>
    <xf numFmtId="44" fontId="90" fillId="0" borderId="0" xfId="3" applyFont="1" applyFill="1" applyBorder="1" applyAlignment="1">
      <alignment horizontal="center"/>
    </xf>
    <xf numFmtId="44" fontId="90" fillId="0" borderId="0" xfId="3" applyFont="1" applyFill="1" applyAlignment="1">
      <alignment horizontal="center"/>
    </xf>
    <xf numFmtId="44" fontId="90" fillId="0" borderId="0" xfId="3" quotePrefix="1" applyFont="1" applyFill="1" applyAlignment="1">
      <alignment horizontal="center"/>
    </xf>
    <xf numFmtId="0" fontId="21" fillId="0" borderId="0" xfId="0" applyNumberFormat="1" applyFont="1" applyFill="1" applyAlignment="1">
      <alignment horizontal="center"/>
    </xf>
    <xf numFmtId="44" fontId="20" fillId="0" borderId="0" xfId="3" applyFont="1" applyFill="1" applyBorder="1"/>
    <xf numFmtId="44" fontId="20" fillId="0" borderId="7" xfId="3" applyFont="1" applyFill="1" applyBorder="1"/>
    <xf numFmtId="164" fontId="21" fillId="0" borderId="0" xfId="61980" applyFont="1" applyFill="1" applyAlignment="1">
      <alignment horizontal="right"/>
    </xf>
    <xf numFmtId="164" fontId="20" fillId="0" borderId="0" xfId="0" quotePrefix="1" applyNumberFormat="1" applyFont="1" applyFill="1" applyAlignment="1">
      <alignment horizontal="left"/>
    </xf>
    <xf numFmtId="164" fontId="21" fillId="0" borderId="0" xfId="0" quotePrefix="1" applyNumberFormat="1" applyFont="1" applyFill="1" applyAlignment="1">
      <alignment horizontal="left"/>
    </xf>
    <xf numFmtId="44" fontId="21" fillId="0" borderId="0" xfId="61980" applyNumberFormat="1" applyFont="1" applyFill="1"/>
    <xf numFmtId="44" fontId="0" fillId="0" borderId="0" xfId="3" applyNumberFormat="1" applyFont="1" applyFill="1" applyBorder="1"/>
    <xf numFmtId="164" fontId="90" fillId="0" borderId="0" xfId="0" applyNumberFormat="1" applyFont="1" applyFill="1" applyBorder="1" applyAlignment="1">
      <alignment horizontal="center"/>
    </xf>
    <xf numFmtId="0" fontId="90" fillId="0" borderId="0" xfId="0" applyNumberFormat="1" applyFont="1" applyFill="1" applyBorder="1" applyAlignment="1">
      <alignment horizontal="center"/>
    </xf>
    <xf numFmtId="44" fontId="216" fillId="0" borderId="0" xfId="3" applyFont="1" applyFill="1" applyBorder="1"/>
    <xf numFmtId="164" fontId="20" fillId="0" borderId="0" xfId="0" applyNumberFormat="1" applyFont="1" applyFill="1" applyAlignment="1">
      <alignment horizontal="right"/>
    </xf>
    <xf numFmtId="0" fontId="21" fillId="0" borderId="0" xfId="8667" applyFont="1" applyFill="1" applyBorder="1" applyAlignment="1"/>
    <xf numFmtId="207" fontId="19" fillId="0" borderId="0" xfId="6291" applyNumberFormat="1" applyFont="1"/>
    <xf numFmtId="185" fontId="3" fillId="0" borderId="0" xfId="60088" applyNumberFormat="1" applyFont="1" applyFill="1" applyAlignment="1">
      <alignment horizontal="left"/>
    </xf>
    <xf numFmtId="0" fontId="21" fillId="0" borderId="0" xfId="61981" applyFont="1" applyFill="1" applyAlignment="1" applyProtection="1">
      <alignment horizontal="left"/>
    </xf>
    <xf numFmtId="0" fontId="21" fillId="0" borderId="0" xfId="61982" applyFont="1" applyFill="1"/>
    <xf numFmtId="0" fontId="21" fillId="0" borderId="0" xfId="61982" applyFont="1" applyFill="1" applyAlignment="1">
      <alignment horizontal="center"/>
    </xf>
    <xf numFmtId="0" fontId="21" fillId="0" borderId="0" xfId="61981" quotePrefix="1" applyFont="1" applyFill="1" applyAlignment="1" applyProtection="1">
      <alignment horizontal="left"/>
      <protection locked="0"/>
    </xf>
    <xf numFmtId="41" fontId="21" fillId="0" borderId="0" xfId="61982" applyNumberFormat="1" applyFont="1" applyFill="1"/>
    <xf numFmtId="10" fontId="21" fillId="0" borderId="0" xfId="61982" applyNumberFormat="1" applyFont="1" applyFill="1"/>
    <xf numFmtId="208" fontId="21" fillId="0" borderId="0" xfId="61982" applyNumberFormat="1" applyFont="1" applyFill="1"/>
    <xf numFmtId="0" fontId="21" fillId="0" borderId="0" xfId="61982" applyFont="1" applyFill="1" applyAlignment="1">
      <alignment horizontal="center" wrapText="1"/>
    </xf>
    <xf numFmtId="0" fontId="21" fillId="0" borderId="0" xfId="61982" applyFont="1" applyFill="1" applyAlignment="1">
      <alignment horizontal="left" indent="1"/>
    </xf>
    <xf numFmtId="187" fontId="21" fillId="0" borderId="0" xfId="61983" applyNumberFormat="1" applyFont="1" applyFill="1" applyAlignment="1">
      <alignment horizontal="left"/>
    </xf>
    <xf numFmtId="41" fontId="21" fillId="0" borderId="0" xfId="61982" applyNumberFormat="1" applyFont="1" applyFill="1" applyAlignment="1">
      <alignment horizontal="left" indent="1"/>
    </xf>
    <xf numFmtId="181" fontId="21" fillId="0" borderId="0" xfId="61982" applyNumberFormat="1" applyFont="1" applyFill="1" applyAlignment="1">
      <alignment horizontal="right"/>
    </xf>
    <xf numFmtId="10" fontId="21" fillId="0" borderId="0" xfId="61982" applyNumberFormat="1" applyFont="1" applyFill="1" applyAlignment="1">
      <alignment horizontal="right"/>
    </xf>
    <xf numFmtId="187" fontId="21" fillId="0" borderId="0" xfId="61983" applyNumberFormat="1" applyFont="1" applyFill="1"/>
    <xf numFmtId="187" fontId="21" fillId="0" borderId="0" xfId="61983" applyNumberFormat="1" applyFont="1" applyFill="1" applyBorder="1" applyAlignment="1">
      <alignment horizontal="left"/>
    </xf>
    <xf numFmtId="41" fontId="21" fillId="0" borderId="0" xfId="61982" applyNumberFormat="1" applyFont="1" applyFill="1" applyBorder="1"/>
    <xf numFmtId="187" fontId="21" fillId="0" borderId="0" xfId="61983" applyNumberFormat="1" applyFont="1" applyFill="1" applyBorder="1"/>
    <xf numFmtId="187" fontId="21" fillId="0" borderId="5" xfId="61983" applyNumberFormat="1" applyFont="1" applyFill="1" applyBorder="1"/>
    <xf numFmtId="0" fontId="21" fillId="0" borderId="0" xfId="61982" applyFont="1" applyFill="1" applyAlignment="1">
      <alignment horizontal="left" indent="2"/>
    </xf>
    <xf numFmtId="41" fontId="21" fillId="0" borderId="0" xfId="61982" applyNumberFormat="1" applyFont="1" applyFill="1" applyAlignment="1">
      <alignment horizontal="left" indent="2"/>
    </xf>
    <xf numFmtId="41" fontId="21" fillId="0" borderId="0" xfId="61983" applyNumberFormat="1" applyFont="1" applyFill="1" applyAlignment="1">
      <alignment horizontal="right"/>
    </xf>
    <xf numFmtId="187" fontId="21" fillId="0" borderId="0" xfId="61982" applyNumberFormat="1" applyFont="1" applyFill="1"/>
    <xf numFmtId="187" fontId="21" fillId="0" borderId="0" xfId="61983" applyNumberFormat="1" applyFont="1" applyFill="1" applyAlignment="1">
      <alignment horizontal="left" indent="1"/>
    </xf>
    <xf numFmtId="187" fontId="21" fillId="0" borderId="6" xfId="61983" applyNumberFormat="1" applyFont="1" applyFill="1" applyBorder="1" applyAlignment="1">
      <alignment horizontal="left"/>
    </xf>
    <xf numFmtId="41" fontId="21" fillId="0" borderId="0" xfId="61982" applyNumberFormat="1" applyFont="1" applyFill="1" applyAlignment="1">
      <alignment horizontal="left"/>
    </xf>
    <xf numFmtId="0" fontId="21" fillId="0" borderId="0" xfId="61982" applyFont="1" applyFill="1" applyBorder="1"/>
    <xf numFmtId="187" fontId="21" fillId="0" borderId="5" xfId="61983" applyNumberFormat="1" applyFont="1" applyFill="1" applyBorder="1" applyAlignment="1">
      <alignment horizontal="left"/>
    </xf>
    <xf numFmtId="41" fontId="21" fillId="0" borderId="0" xfId="61982" applyNumberFormat="1" applyFont="1" applyFill="1" applyBorder="1" applyAlignment="1">
      <alignment horizontal="left" indent="1"/>
    </xf>
    <xf numFmtId="187" fontId="21" fillId="0" borderId="0" xfId="61982" applyNumberFormat="1" applyFont="1" applyFill="1" applyBorder="1"/>
    <xf numFmtId="44" fontId="21" fillId="0" borderId="0" xfId="61983" applyNumberFormat="1" applyFont="1" applyFill="1"/>
    <xf numFmtId="187" fontId="21" fillId="0" borderId="27" xfId="61983" applyNumberFormat="1" applyFont="1" applyFill="1" applyBorder="1"/>
    <xf numFmtId="0" fontId="20" fillId="0" borderId="0" xfId="61981" applyFont="1" applyFill="1" applyAlignment="1" applyProtection="1">
      <alignment horizontal="left"/>
    </xf>
    <xf numFmtId="0" fontId="20" fillId="0" borderId="0" xfId="61981" quotePrefix="1" applyFont="1" applyFill="1" applyAlignment="1" applyProtection="1">
      <alignment horizontal="left"/>
      <protection locked="0"/>
    </xf>
    <xf numFmtId="49" fontId="21" fillId="0" borderId="0" xfId="61982" applyNumberFormat="1" applyFont="1" applyFill="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0" fontId="21" fillId="0" borderId="0" xfId="61982" applyFont="1" applyFill="1" applyAlignment="1">
      <alignment horizontal="left"/>
    </xf>
    <xf numFmtId="0" fontId="116" fillId="0" borderId="0" xfId="61982" applyFont="1"/>
    <xf numFmtId="10" fontId="116" fillId="0" borderId="0" xfId="61982" applyNumberFormat="1" applyFont="1"/>
    <xf numFmtId="0" fontId="20" fillId="0" borderId="0" xfId="61982" applyFont="1" applyFill="1" applyAlignment="1">
      <alignment horizontal="left"/>
    </xf>
    <xf numFmtId="182" fontId="21" fillId="0" borderId="5" xfId="61982" applyNumberFormat="1" applyFont="1" applyFill="1" applyBorder="1" applyAlignment="1">
      <alignment horizontal="center"/>
    </xf>
    <xf numFmtId="0" fontId="116" fillId="0" borderId="5" xfId="61982" applyFont="1" applyBorder="1" applyAlignment="1">
      <alignment horizontal="center" wrapText="1"/>
    </xf>
    <xf numFmtId="10" fontId="116" fillId="0" borderId="5" xfId="61982" applyNumberFormat="1" applyFont="1" applyBorder="1" applyAlignment="1">
      <alignment horizontal="center" wrapText="1"/>
    </xf>
    <xf numFmtId="0" fontId="21" fillId="0" borderId="0" xfId="61982" applyFont="1" applyFill="1" applyBorder="1" applyAlignment="1">
      <alignment horizontal="center" wrapText="1"/>
    </xf>
    <xf numFmtId="181" fontId="21" fillId="0" borderId="0" xfId="61984" applyNumberFormat="1" applyFont="1" applyFill="1"/>
    <xf numFmtId="41" fontId="116" fillId="0" borderId="0" xfId="61982" applyNumberFormat="1" applyFont="1"/>
    <xf numFmtId="181" fontId="218" fillId="86" borderId="0" xfId="61984" applyNumberFormat="1" applyFont="1" applyFill="1"/>
    <xf numFmtId="41" fontId="116" fillId="0" borderId="0" xfId="61982" applyNumberFormat="1" applyFont="1" applyBorder="1"/>
    <xf numFmtId="0" fontId="21" fillId="0" borderId="0" xfId="61982" quotePrefix="1" applyFont="1" applyFill="1" applyAlignment="1">
      <alignment horizontal="center"/>
    </xf>
    <xf numFmtId="41" fontId="116" fillId="0" borderId="0" xfId="61982" applyNumberFormat="1" applyFont="1" applyFill="1" applyBorder="1"/>
    <xf numFmtId="181" fontId="218" fillId="0" borderId="0" xfId="61984" applyNumberFormat="1" applyFont="1" applyFill="1"/>
    <xf numFmtId="181" fontId="21" fillId="0" borderId="0" xfId="6291" applyNumberFormat="1" applyFont="1" applyFill="1"/>
    <xf numFmtId="0" fontId="21" fillId="0" borderId="0" xfId="61982" applyNumberFormat="1" applyFont="1" applyFill="1"/>
    <xf numFmtId="41" fontId="116" fillId="0" borderId="0" xfId="61982" applyNumberFormat="1" applyFont="1" applyFill="1"/>
    <xf numFmtId="0" fontId="116" fillId="0" borderId="0" xfId="61982" applyFont="1" applyFill="1"/>
    <xf numFmtId="10" fontId="116" fillId="0" borderId="0" xfId="61982" applyNumberFormat="1" applyFont="1" applyFill="1"/>
    <xf numFmtId="0" fontId="21" fillId="0" borderId="0" xfId="61982" applyFont="1" applyFill="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37" fontId="21" fillId="0" borderId="0" xfId="8674" applyNumberFormat="1" applyFont="1" applyFill="1" applyAlignment="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92" fillId="0" borderId="0" xfId="9370" applyFont="1" applyFill="1" applyAlignment="1">
      <alignment horizontal="center"/>
    </xf>
    <xf numFmtId="49" fontId="21" fillId="0" borderId="0" xfId="8667" applyNumberFormat="1" applyFont="1" applyFill="1" applyBorder="1" applyAlignment="1">
      <alignment horizontal="center"/>
    </xf>
    <xf numFmtId="37" fontId="21" fillId="0" borderId="0" xfId="56122" applyNumberFormat="1" applyFont="1" applyFill="1" applyAlignment="1">
      <alignment horizontal="center"/>
    </xf>
    <xf numFmtId="0" fontId="21" fillId="0" borderId="0" xfId="61982" applyFont="1" applyFill="1" applyAlignment="1">
      <alignment horizontal="center"/>
    </xf>
    <xf numFmtId="1" fontId="115" fillId="0" borderId="0" xfId="8767" applyNumberFormat="1" applyFont="1" applyFill="1"/>
    <xf numFmtId="2" fontId="92" fillId="0" borderId="0" xfId="9370" applyNumberFormat="1" applyFont="1" applyFill="1" applyAlignment="1">
      <alignment horizontal="center"/>
    </xf>
    <xf numFmtId="2" fontId="92" fillId="0" borderId="0" xfId="9370" applyNumberFormat="1" applyFont="1" applyFill="1" applyBorder="1" applyAlignment="1">
      <alignment horizontal="center"/>
    </xf>
    <xf numFmtId="2" fontId="92" fillId="0" borderId="5" xfId="9370" applyNumberFormat="1" applyFont="1" applyFill="1" applyBorder="1" applyAlignment="1">
      <alignment horizontal="center"/>
    </xf>
    <xf numFmtId="2" fontId="39" fillId="0" borderId="0" xfId="0" applyNumberFormat="1" applyFont="1" applyFill="1" applyAlignment="1">
      <alignment horizontal="center"/>
    </xf>
    <xf numFmtId="2" fontId="115" fillId="0" borderId="0" xfId="0" applyNumberFormat="1" applyFont="1" applyFill="1" applyAlignment="1">
      <alignment horizontal="center"/>
    </xf>
    <xf numFmtId="2" fontId="39" fillId="0" borderId="0" xfId="9370" quotePrefix="1" applyNumberFormat="1" applyFont="1" applyFill="1" applyAlignment="1">
      <alignment horizontal="center"/>
    </xf>
    <xf numFmtId="0" fontId="39" fillId="0" borderId="0" xfId="0" applyNumberFormat="1" applyFont="1" applyFill="1" applyBorder="1" applyAlignment="1">
      <alignment horizontal="center"/>
    </xf>
    <xf numFmtId="2" fontId="39" fillId="0" borderId="0" xfId="0" applyNumberFormat="1" applyFont="1" applyFill="1" applyBorder="1" applyAlignment="1">
      <alignment horizontal="center"/>
    </xf>
    <xf numFmtId="2" fontId="115" fillId="0" borderId="0" xfId="8767" applyNumberFormat="1" applyFont="1" applyFill="1" applyAlignment="1">
      <alignment horizontal="center"/>
    </xf>
    <xf numFmtId="2" fontId="39" fillId="0" borderId="0" xfId="8767" applyNumberFormat="1" applyFont="1" applyFill="1" applyAlignment="1">
      <alignment horizontal="center"/>
    </xf>
    <xf numFmtId="2" fontId="115" fillId="0" borderId="0" xfId="61974" applyNumberFormat="1" applyFont="1" applyFill="1" applyAlignment="1">
      <alignment horizontal="center"/>
    </xf>
    <xf numFmtId="2" fontId="39" fillId="0" borderId="0" xfId="8767" quotePrefix="1" applyNumberFormat="1" applyFont="1" applyFill="1" applyAlignment="1">
      <alignment horizontal="center"/>
    </xf>
    <xf numFmtId="2" fontId="115" fillId="0" borderId="0" xfId="61974" quotePrefix="1" applyNumberFormat="1" applyFont="1" applyFill="1" applyAlignment="1">
      <alignment horizontal="center"/>
    </xf>
    <xf numFmtId="0" fontId="39" fillId="0" borderId="0" xfId="0" applyNumberFormat="1" applyFont="1" applyFill="1" applyBorder="1" applyAlignment="1"/>
    <xf numFmtId="2" fontId="115" fillId="0" borderId="0" xfId="0" applyNumberFormat="1" applyFont="1" applyFill="1" applyBorder="1" applyAlignment="1">
      <alignment horizontal="center"/>
    </xf>
    <xf numFmtId="1" fontId="39" fillId="0" borderId="0" xfId="9370" applyNumberFormat="1" applyFont="1" applyFill="1" applyAlignment="1"/>
    <xf numFmtId="37" fontId="39" fillId="0" borderId="0" xfId="0" applyFont="1" applyFill="1" applyBorder="1" applyAlignment="1"/>
    <xf numFmtId="2" fontId="115" fillId="0" borderId="0" xfId="8767" applyNumberFormat="1" applyFont="1" applyFill="1" applyBorder="1" applyAlignment="1">
      <alignment horizontal="center"/>
    </xf>
    <xf numFmtId="2" fontId="39" fillId="0" borderId="0" xfId="8767" applyNumberFormat="1" applyFont="1" applyFill="1" applyBorder="1" applyAlignment="1">
      <alignment horizontal="center"/>
    </xf>
    <xf numFmtId="2" fontId="115" fillId="0" borderId="0" xfId="61974" applyNumberFormat="1" applyFont="1" applyFill="1" applyBorder="1" applyAlignment="1">
      <alignment horizontal="center"/>
    </xf>
    <xf numFmtId="0" fontId="115" fillId="0" borderId="0" xfId="8782" applyNumberFormat="1" applyFont="1" applyFill="1" applyBorder="1" applyAlignment="1">
      <alignment horizontal="center"/>
    </xf>
    <xf numFmtId="209" fontId="115" fillId="0" borderId="0" xfId="8782" applyNumberFormat="1" applyFont="1" applyFill="1" applyBorder="1" applyAlignment="1"/>
    <xf numFmtId="0" fontId="93" fillId="0" borderId="0" xfId="9370" applyFont="1" applyFill="1" applyAlignment="1"/>
    <xf numFmtId="0" fontId="115" fillId="0" borderId="0" xfId="0" applyNumberFormat="1" applyFont="1" applyFill="1" applyBorder="1" applyAlignment="1">
      <alignment horizontal="center"/>
    </xf>
    <xf numFmtId="2" fontId="115" fillId="0" borderId="0" xfId="8782" applyNumberFormat="1" applyFont="1" applyFill="1" applyAlignment="1">
      <alignment horizontal="center"/>
    </xf>
    <xf numFmtId="0" fontId="39" fillId="0" borderId="0" xfId="0" applyNumberFormat="1" applyFont="1" applyFill="1" applyAlignment="1">
      <alignment horizontal="center"/>
    </xf>
    <xf numFmtId="0" fontId="115" fillId="0" borderId="0" xfId="0" applyNumberFormat="1" applyFont="1" applyFill="1" applyAlignment="1">
      <alignment horizontal="center"/>
    </xf>
    <xf numFmtId="2" fontId="39" fillId="0" borderId="0" xfId="9370" applyNumberFormat="1" applyFont="1" applyFill="1" applyBorder="1" applyAlignment="1">
      <alignment horizontal="center"/>
    </xf>
    <xf numFmtId="0" fontId="115" fillId="0" borderId="0" xfId="0" applyNumberFormat="1" applyFont="1" applyFill="1" applyBorder="1" applyAlignment="1">
      <alignment horizontal="left"/>
    </xf>
    <xf numFmtId="0" fontId="115" fillId="0" borderId="0" xfId="0" quotePrefix="1" applyNumberFormat="1" applyFont="1" applyFill="1" applyBorder="1" applyAlignment="1">
      <alignment horizontal="left"/>
    </xf>
    <xf numFmtId="0" fontId="39" fillId="0" borderId="0" xfId="0" applyNumberFormat="1" applyFont="1" applyFill="1" applyBorder="1" applyAlignment="1">
      <alignment horizontal="left"/>
    </xf>
    <xf numFmtId="2" fontId="39" fillId="0" borderId="0" xfId="8782" applyNumberFormat="1" applyFont="1" applyFill="1" applyAlignment="1">
      <alignment horizontal="center"/>
    </xf>
    <xf numFmtId="164" fontId="39" fillId="0" borderId="0" xfId="4495" applyFont="1" applyFill="1"/>
    <xf numFmtId="2" fontId="39" fillId="0" borderId="0" xfId="4475" applyNumberFormat="1" applyFont="1" applyFill="1" applyAlignment="1">
      <alignment horizontal="center"/>
    </xf>
    <xf numFmtId="2" fontId="39" fillId="0" borderId="5" xfId="4475" applyNumberFormat="1" applyFont="1" applyFill="1" applyBorder="1" applyAlignment="1">
      <alignment horizontal="center"/>
    </xf>
    <xf numFmtId="9" fontId="39" fillId="0" borderId="0" xfId="9370" applyNumberFormat="1" applyFont="1" applyFill="1" applyAlignment="1">
      <alignment horizontal="center"/>
    </xf>
    <xf numFmtId="2" fontId="39" fillId="0" borderId="6" xfId="4475" applyNumberFormat="1" applyFont="1" applyFill="1" applyBorder="1" applyAlignment="1">
      <alignment horizontal="center"/>
    </xf>
    <xf numFmtId="2" fontId="39" fillId="0" borderId="6" xfId="4475" quotePrefix="1" applyNumberFormat="1" applyFont="1" applyFill="1" applyBorder="1" applyAlignment="1">
      <alignment horizontal="center"/>
    </xf>
    <xf numFmtId="37" fontId="39" fillId="0" borderId="0" xfId="0" applyFont="1" applyFill="1" applyAlignment="1"/>
    <xf numFmtId="37" fontId="115" fillId="0" borderId="0" xfId="0" applyFont="1" applyFill="1" applyAlignment="1"/>
    <xf numFmtId="0" fontId="39" fillId="0" borderId="0" xfId="0" applyNumberFormat="1" applyFont="1" applyFill="1" applyAlignment="1"/>
    <xf numFmtId="37" fontId="115" fillId="0" borderId="0" xfId="0" quotePrefix="1" applyFont="1" applyFill="1" applyAlignment="1">
      <alignment horizontal="left"/>
    </xf>
    <xf numFmtId="2" fontId="39" fillId="0" borderId="6" xfId="9370" applyNumberFormat="1" applyFont="1" applyFill="1" applyBorder="1" applyAlignment="1">
      <alignment horizontal="center"/>
    </xf>
    <xf numFmtId="2" fontId="115" fillId="0" borderId="6" xfId="0" applyNumberFormat="1" applyFont="1" applyFill="1" applyBorder="1" applyAlignment="1">
      <alignment horizontal="center"/>
    </xf>
    <xf numFmtId="2" fontId="92" fillId="0" borderId="6" xfId="9370" applyNumberFormat="1" applyFont="1" applyFill="1" applyBorder="1" applyAlignment="1">
      <alignment horizontal="center"/>
    </xf>
    <xf numFmtId="2" fontId="39" fillId="0" borderId="6" xfId="9370" quotePrefix="1" applyNumberFormat="1" applyFont="1" applyFill="1" applyBorder="1" applyAlignment="1">
      <alignment horizontal="center"/>
    </xf>
    <xf numFmtId="173" fontId="87" fillId="0" borderId="0" xfId="8668" quotePrefix="1" applyNumberFormat="1" applyFont="1" applyFill="1" applyBorder="1" applyAlignment="1">
      <alignment horizontal="left" wrapText="1"/>
    </xf>
    <xf numFmtId="0" fontId="21" fillId="0" borderId="0" xfId="8667" applyFont="1" applyFill="1" applyBorder="1" applyAlignment="1">
      <alignment horizontal="center" vertical="top" wrapText="1"/>
    </xf>
    <xf numFmtId="0" fontId="21" fillId="0" borderId="0" xfId="8667" applyFont="1" applyFill="1" applyBorder="1" applyAlignment="1">
      <alignment horizontal="left" vertical="top" wrapText="1"/>
    </xf>
    <xf numFmtId="174" fontId="87" fillId="0" borderId="0" xfId="8667" applyNumberFormat="1" applyFont="1" applyFill="1" applyBorder="1" applyAlignment="1">
      <alignment horizontal="center" vertical="top" wrapText="1"/>
    </xf>
    <xf numFmtId="49" fontId="21" fillId="0" borderId="0" xfId="8667" applyNumberFormat="1" applyFont="1" applyFill="1" applyBorder="1" applyAlignment="1">
      <alignment horizontal="center"/>
    </xf>
    <xf numFmtId="181" fontId="21" fillId="0" borderId="5" xfId="8669" applyNumberFormat="1" applyFont="1" applyFill="1" applyBorder="1" applyAlignment="1">
      <alignment horizontal="right" wrapText="1"/>
    </xf>
    <xf numFmtId="173" fontId="87" fillId="0" borderId="27" xfId="8668" applyNumberFormat="1" applyFont="1" applyFill="1" applyBorder="1" applyAlignment="1">
      <alignment horizontal="right"/>
    </xf>
    <xf numFmtId="181" fontId="21" fillId="0" borderId="27" xfId="8669" applyNumberFormat="1" applyFont="1" applyFill="1" applyBorder="1" applyAlignment="1">
      <alignment horizontal="right" wrapText="1"/>
    </xf>
    <xf numFmtId="49" fontId="8" fillId="0" borderId="0" xfId="61970" applyNumberFormat="1" applyFont="1" applyFill="1" applyAlignment="1">
      <alignment horizontal="left" wrapText="1"/>
    </xf>
    <xf numFmtId="49" fontId="213" fillId="0" borderId="0" xfId="0" applyNumberFormat="1" applyFont="1" applyFill="1" applyAlignment="1">
      <alignment horizontal="right" wrapText="1"/>
    </xf>
    <xf numFmtId="49" fontId="8" fillId="0" borderId="0" xfId="61970" applyNumberFormat="1" applyFont="1" applyFill="1" applyAlignment="1">
      <alignment horizontal="right" wrapText="1"/>
    </xf>
    <xf numFmtId="185" fontId="18" fillId="0" borderId="0" xfId="61970" applyNumberFormat="1" applyFont="1" applyFill="1" applyAlignment="1">
      <alignment horizontal="left"/>
    </xf>
    <xf numFmtId="185" fontId="213" fillId="0" borderId="0" xfId="0" applyNumberFormat="1" applyFont="1" applyFill="1" applyAlignment="1">
      <alignment horizontal="right"/>
    </xf>
    <xf numFmtId="185" fontId="8" fillId="0" borderId="0" xfId="61970" applyNumberFormat="1" applyFont="1" applyFill="1" applyAlignment="1">
      <alignment horizontal="right"/>
    </xf>
    <xf numFmtId="185" fontId="212" fillId="0" borderId="0" xfId="0" applyNumberFormat="1" applyFont="1" applyFill="1" applyAlignment="1">
      <alignment horizontal="right"/>
    </xf>
    <xf numFmtId="185" fontId="137" fillId="0" borderId="0" xfId="1" applyNumberFormat="1" applyFont="1" applyFill="1" applyAlignment="1">
      <alignment horizontal="right"/>
    </xf>
    <xf numFmtId="185" fontId="2" fillId="0" borderId="0" xfId="61970" applyNumberFormat="1" applyFont="1" applyFill="1" applyAlignment="1">
      <alignment horizontal="right"/>
    </xf>
    <xf numFmtId="185" fontId="213" fillId="0" borderId="22" xfId="0" applyNumberFormat="1" applyFont="1" applyFill="1" applyBorder="1" applyAlignment="1">
      <alignment horizontal="right"/>
    </xf>
    <xf numFmtId="185" fontId="18" fillId="0" borderId="0" xfId="60088" applyNumberFormat="1" applyFont="1" applyFill="1" applyAlignment="1">
      <alignment horizontal="left"/>
    </xf>
    <xf numFmtId="185" fontId="18" fillId="0" borderId="22" xfId="0" applyNumberFormat="1" applyFont="1" applyFill="1" applyBorder="1" applyAlignment="1">
      <alignment horizontal="right"/>
    </xf>
    <xf numFmtId="185" fontId="18" fillId="0" borderId="0" xfId="0" applyNumberFormat="1" applyFont="1" applyFill="1" applyAlignment="1">
      <alignment horizontal="right"/>
    </xf>
    <xf numFmtId="185" fontId="8" fillId="0" borderId="0" xfId="61970" applyNumberFormat="1" applyFont="1" applyFill="1" applyAlignment="1">
      <alignment horizontal="left"/>
    </xf>
    <xf numFmtId="185" fontId="134" fillId="0" borderId="0" xfId="9290" applyNumberFormat="1" applyFont="1" applyFill="1" applyAlignment="1">
      <alignment horizontal="left"/>
    </xf>
    <xf numFmtId="185" fontId="134" fillId="0" borderId="0" xfId="9290" applyNumberFormat="1" applyFont="1" applyFill="1" applyAlignment="1">
      <alignment horizontal="center"/>
    </xf>
    <xf numFmtId="191" fontId="22" fillId="0" borderId="0" xfId="9290" applyNumberFormat="1" applyFont="1" applyFill="1" applyAlignment="1">
      <alignment horizontal="right"/>
    </xf>
    <xf numFmtId="185" fontId="23" fillId="0" borderId="0" xfId="9290" applyNumberFormat="1" applyFont="1" applyFill="1" applyAlignment="1">
      <alignment horizontal="left"/>
    </xf>
    <xf numFmtId="203" fontId="22" fillId="0" borderId="0" xfId="9290" applyNumberFormat="1" applyFont="1" applyFill="1" applyAlignment="1">
      <alignment horizontal="right"/>
    </xf>
    <xf numFmtId="44" fontId="21" fillId="0" borderId="7" xfId="3" applyFont="1" applyFill="1" applyBorder="1"/>
    <xf numFmtId="44" fontId="216" fillId="0" borderId="0" xfId="3" applyNumberFormat="1" applyFont="1" applyFill="1"/>
    <xf numFmtId="178" fontId="216" fillId="0" borderId="0" xfId="6291" applyNumberFormat="1" applyFont="1" applyFill="1"/>
    <xf numFmtId="0" fontId="21" fillId="0" borderId="0" xfId="61980" applyNumberFormat="1" applyFont="1" applyFill="1"/>
    <xf numFmtId="164" fontId="21" fillId="0" borderId="0" xfId="61980" applyFont="1" applyFill="1" applyAlignment="1">
      <alignment horizontal="left"/>
    </xf>
    <xf numFmtId="0" fontId="18" fillId="0" borderId="0" xfId="61978" applyFont="1" applyFill="1"/>
    <xf numFmtId="0" fontId="3" fillId="0" borderId="0" xfId="61978" applyFill="1"/>
    <xf numFmtId="49" fontId="23" fillId="0" borderId="0" xfId="10006" applyNumberFormat="1" applyFont="1" applyFill="1" applyAlignment="1">
      <alignment horizontal="left"/>
    </xf>
    <xf numFmtId="49" fontId="22" fillId="0" borderId="0" xfId="10006" applyNumberFormat="1" applyFont="1" applyFill="1" applyAlignment="1">
      <alignment horizontal="right" wrapText="1"/>
    </xf>
    <xf numFmtId="49" fontId="22" fillId="0" borderId="0" xfId="10006" applyNumberFormat="1" applyFont="1" applyFill="1" applyAlignment="1">
      <alignment horizontal="left"/>
    </xf>
    <xf numFmtId="49" fontId="22" fillId="0" borderId="0" xfId="10006" applyNumberFormat="1" applyFont="1" applyFill="1" applyAlignment="1">
      <alignment horizontal="left" wrapText="1"/>
    </xf>
    <xf numFmtId="185" fontId="23" fillId="0" borderId="0" xfId="10006" applyNumberFormat="1" applyFont="1" applyFill="1" applyAlignment="1">
      <alignment horizontal="left"/>
    </xf>
    <xf numFmtId="185" fontId="22" fillId="0" borderId="0" xfId="10006" applyNumberFormat="1" applyFont="1" applyFill="1" applyAlignment="1">
      <alignment horizontal="right"/>
    </xf>
    <xf numFmtId="185" fontId="3" fillId="0" borderId="0" xfId="61979" applyNumberFormat="1" applyFont="1" applyFill="1" applyAlignment="1">
      <alignment horizontal="left"/>
    </xf>
    <xf numFmtId="185" fontId="22" fillId="0" borderId="0" xfId="10006" applyNumberFormat="1" applyFont="1" applyFill="1" applyAlignment="1">
      <alignment horizontal="left"/>
    </xf>
    <xf numFmtId="49" fontId="22" fillId="0" borderId="0" xfId="9285" applyNumberFormat="1" applyFont="1" applyFill="1" applyAlignment="1">
      <alignment horizontal="left" wrapText="1"/>
    </xf>
    <xf numFmtId="49" fontId="22" fillId="0" borderId="0" xfId="9285" applyNumberFormat="1" applyFont="1" applyFill="1" applyAlignment="1">
      <alignment horizontal="right" wrapText="1"/>
    </xf>
    <xf numFmtId="185" fontId="23" fillId="0" borderId="0" xfId="9285" applyNumberFormat="1" applyFont="1" applyFill="1" applyAlignment="1">
      <alignment horizontal="left"/>
    </xf>
    <xf numFmtId="49" fontId="23" fillId="0" borderId="0" xfId="9285" applyNumberFormat="1" applyFont="1" applyFill="1" applyAlignment="1">
      <alignment horizontal="left" wrapText="1"/>
    </xf>
    <xf numFmtId="185" fontId="22" fillId="0" borderId="0" xfId="9285" applyNumberFormat="1" applyFont="1" applyFill="1" applyAlignment="1">
      <alignment horizontal="right"/>
    </xf>
    <xf numFmtId="191" fontId="22" fillId="0" borderId="0" xfId="9285" applyNumberFormat="1" applyFont="1" applyFill="1" applyAlignment="1">
      <alignment horizontal="right"/>
    </xf>
    <xf numFmtId="191" fontId="22" fillId="0" borderId="0" xfId="9285" applyNumberFormat="1" applyFont="1" applyFill="1" applyBorder="1" applyAlignment="1">
      <alignment horizontal="right"/>
    </xf>
    <xf numFmtId="191" fontId="22" fillId="0" borderId="28" xfId="9285" applyNumberFormat="1" applyFont="1" applyFill="1" applyBorder="1" applyAlignment="1">
      <alignment horizontal="right"/>
    </xf>
    <xf numFmtId="185" fontId="23" fillId="0" borderId="0" xfId="1" applyNumberFormat="1" applyFont="1" applyFill="1" applyAlignment="1">
      <alignment horizontal="left"/>
    </xf>
    <xf numFmtId="206" fontId="22" fillId="0" borderId="0" xfId="9285" applyNumberFormat="1" applyFont="1" applyFill="1" applyAlignment="1">
      <alignment horizontal="right"/>
    </xf>
    <xf numFmtId="185" fontId="22" fillId="0" borderId="0" xfId="9285" applyNumberFormat="1" applyFont="1" applyFill="1" applyAlignment="1">
      <alignment horizontal="left"/>
    </xf>
    <xf numFmtId="49" fontId="5" fillId="0" borderId="0" xfId="56126" applyNumberFormat="1" applyFont="1" applyFill="1" applyAlignment="1">
      <alignment horizontal="right" wrapText="1"/>
    </xf>
    <xf numFmtId="185" fontId="18" fillId="0" borderId="0" xfId="9372" applyNumberFormat="1" applyFont="1" applyFill="1" applyAlignment="1">
      <alignment horizontal="left"/>
    </xf>
    <xf numFmtId="43" fontId="11" fillId="0" borderId="0" xfId="56126" applyNumberFormat="1" applyFill="1"/>
    <xf numFmtId="43" fontId="0" fillId="0" borderId="0" xfId="9373" applyNumberFormat="1" applyFont="1" applyFill="1"/>
    <xf numFmtId="43" fontId="13" fillId="0" borderId="0" xfId="9372" applyNumberFormat="1" applyFill="1"/>
    <xf numFmtId="179" fontId="13" fillId="0" borderId="0" xfId="9372" applyNumberFormat="1" applyFill="1"/>
    <xf numFmtId="0" fontId="18" fillId="0" borderId="0" xfId="9372" applyFont="1" applyFill="1"/>
    <xf numFmtId="44" fontId="11" fillId="0" borderId="0" xfId="56124" applyNumberFormat="1" applyFill="1"/>
    <xf numFmtId="37" fontId="138" fillId="0" borderId="0" xfId="9290" applyFont="1" applyAlignment="1">
      <alignment horizontal="center"/>
    </xf>
    <xf numFmtId="37" fontId="92" fillId="0" borderId="0" xfId="9290" applyFont="1" applyAlignment="1">
      <alignment horizontal="center"/>
    </xf>
    <xf numFmtId="192" fontId="92" fillId="0" borderId="0" xfId="9290" applyNumberFormat="1" applyFont="1" applyAlignment="1">
      <alignment horizontal="center"/>
    </xf>
    <xf numFmtId="192" fontId="138" fillId="0" borderId="0" xfId="9290" applyNumberFormat="1" applyFont="1" applyAlignment="1">
      <alignment horizontal="center"/>
    </xf>
    <xf numFmtId="0" fontId="89" fillId="0" borderId="0" xfId="56076" applyFont="1" applyAlignment="1">
      <alignment horizontal="center"/>
    </xf>
    <xf numFmtId="0" fontId="21" fillId="0" borderId="0" xfId="8677" applyFont="1" applyAlignment="1" applyProtection="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87" fillId="0" borderId="28" xfId="8667" applyFont="1" applyFill="1" applyBorder="1" applyAlignment="1">
      <alignment horizontal="center"/>
    </xf>
    <xf numFmtId="0" fontId="21" fillId="0" borderId="0" xfId="8667" applyNumberFormat="1" applyFont="1" applyFill="1" applyBorder="1" applyAlignment="1">
      <alignment horizontal="center"/>
    </xf>
    <xf numFmtId="37" fontId="21" fillId="0" borderId="0" xfId="56122" applyNumberFormat="1" applyFont="1" applyFill="1" applyAlignment="1">
      <alignment horizontal="center"/>
    </xf>
    <xf numFmtId="49" fontId="21" fillId="0" borderId="0" xfId="61982" applyNumberFormat="1" applyFont="1" applyFill="1" applyAlignment="1">
      <alignment horizontal="center"/>
    </xf>
    <xf numFmtId="0" fontId="21" fillId="0" borderId="0" xfId="61982" applyFont="1" applyFill="1" applyAlignment="1">
      <alignment horizontal="center"/>
    </xf>
    <xf numFmtId="0" fontId="116" fillId="0" borderId="0" xfId="61982" applyFont="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164" fontId="214" fillId="0" borderId="0" xfId="0" quotePrefix="1" applyNumberFormat="1" applyFont="1" applyFill="1" applyAlignment="1">
      <alignment horizontal="center"/>
    </xf>
    <xf numFmtId="164" fontId="215" fillId="0" borderId="0" xfId="0" quotePrefix="1" applyNumberFormat="1" applyFont="1" applyFill="1" applyAlignment="1">
      <alignment horizontal="center"/>
    </xf>
    <xf numFmtId="0" fontId="92" fillId="0" borderId="0" xfId="9370" applyFont="1" applyFill="1" applyAlignment="1">
      <alignment horizontal="center"/>
    </xf>
    <xf numFmtId="0" fontId="92" fillId="0" borderId="5" xfId="9370" applyFont="1" applyFill="1" applyBorder="1" applyAlignment="1">
      <alignment horizontal="center"/>
    </xf>
    <xf numFmtId="37" fontId="92" fillId="0" borderId="0" xfId="0" applyFont="1" applyFill="1" applyAlignment="1">
      <alignment horizontal="center"/>
    </xf>
    <xf numFmtId="37" fontId="92" fillId="0" borderId="0" xfId="0" quotePrefix="1" applyFont="1" applyFill="1" applyAlignment="1">
      <alignment horizontal="center"/>
    </xf>
    <xf numFmtId="0" fontId="92" fillId="0" borderId="0" xfId="8767" applyFont="1" applyFill="1" applyAlignment="1">
      <alignment horizontal="center"/>
    </xf>
  </cellXfs>
  <cellStyles count="61985">
    <cellStyle name="_x0013_" xfId="10007"/>
    <cellStyle name="%" xfId="8678"/>
    <cellStyle name="_Ebill Paper Bill ARC Recovery" xfId="8679"/>
    <cellStyle name="_MTC Resource Unit Baseline by state 050920 v2" xfId="8680"/>
    <cellStyle name="_Row1" xfId="6"/>
    <cellStyle name="_Row1 2" xfId="7"/>
    <cellStyle name="_Row1 3" xfId="10008"/>
    <cellStyle name="_Term for Change of Control" xfId="8681"/>
    <cellStyle name="_Term for Convenience" xfId="8682"/>
    <cellStyle name="_Transformation Projects Cap vs Exp Master" xfId="8683"/>
    <cellStyle name="=C:\WINNT\SYSTEM32\COMMAND.COM" xfId="8208"/>
    <cellStyle name="=C:\WINNT\SYSTEM32\COMMAND.COM 2" xfId="8209"/>
    <cellStyle name="=C:\WINNT\SYSTEM32\COMMAND.COM 2 2" xfId="9376"/>
    <cellStyle name="=C:\WINNT\SYSTEM32\COMMAND.COM 3" xfId="9377"/>
    <cellStyle name="=C:\WINNT35\SYSTEM32\COMMAND.COM" xfId="9378"/>
    <cellStyle name="20% - Accent1 10" xfId="8"/>
    <cellStyle name="20% - Accent1 10 2" xfId="9"/>
    <cellStyle name="20% - Accent1 10 2 2" xfId="10"/>
    <cellStyle name="20% - Accent1 10 3" xfId="11"/>
    <cellStyle name="20% - Accent1 10 4" xfId="57818"/>
    <cellStyle name="20% - Accent1 11" xfId="12"/>
    <cellStyle name="20% - Accent1 11 2" xfId="13"/>
    <cellStyle name="20% - Accent1 11 2 2" xfId="14"/>
    <cellStyle name="20% - Accent1 11 3" xfId="15"/>
    <cellStyle name="20% - Accent1 11 4" xfId="57819"/>
    <cellStyle name="20% - Accent1 12" xfId="16"/>
    <cellStyle name="20% - Accent1 12 2" xfId="17"/>
    <cellStyle name="20% - Accent1 12 3" xfId="57820"/>
    <cellStyle name="20% - Accent1 13" xfId="18"/>
    <cellStyle name="20% - Accent1 13 2" xfId="57821"/>
    <cellStyle name="20% - Accent1 14" xfId="8783"/>
    <cellStyle name="20% - Accent1 15" xfId="9379"/>
    <cellStyle name="20% - Accent1 16" xfId="9380"/>
    <cellStyle name="20% - Accent1 17" xfId="9381"/>
    <cellStyle name="20% - Accent1 17 2" xfId="57822"/>
    <cellStyle name="20% - Accent1 18" xfId="57823"/>
    <cellStyle name="20% - Accent1 19" xfId="57824"/>
    <cellStyle name="20% - Accent1 2" xfId="19"/>
    <cellStyle name="20% - Accent1 2 2" xfId="20"/>
    <cellStyle name="20% - Accent1 2 2 2" xfId="21"/>
    <cellStyle name="20% - Accent1 2 2 2 2" xfId="22"/>
    <cellStyle name="20% - Accent1 2 2 2 2 2" xfId="23"/>
    <cellStyle name="20% - Accent1 2 2 2 2 2 2" xfId="24"/>
    <cellStyle name="20% - Accent1 2 2 2 2 2 2 2" xfId="25"/>
    <cellStyle name="20% - Accent1 2 2 2 2 2 3" xfId="26"/>
    <cellStyle name="20% - Accent1 2 2 2 2 3" xfId="27"/>
    <cellStyle name="20% - Accent1 2 2 2 2 3 2" xfId="28"/>
    <cellStyle name="20% - Accent1 2 2 2 2 4" xfId="29"/>
    <cellStyle name="20% - Accent1 2 2 2 2 5" xfId="57825"/>
    <cellStyle name="20% - Accent1 2 2 2 3" xfId="30"/>
    <cellStyle name="20% - Accent1 2 2 2 3 2" xfId="31"/>
    <cellStyle name="20% - Accent1 2 2 2 3 2 2" xfId="32"/>
    <cellStyle name="20% - Accent1 2 2 2 3 3" xfId="33"/>
    <cellStyle name="20% - Accent1 2 2 2 4" xfId="34"/>
    <cellStyle name="20% - Accent1 2 2 2 4 2" xfId="35"/>
    <cellStyle name="20% - Accent1 2 2 2 5" xfId="36"/>
    <cellStyle name="20% - Accent1 2 2 2 6" xfId="57826"/>
    <cellStyle name="20% - Accent1 2 2 3" xfId="37"/>
    <cellStyle name="20% - Accent1 2 2 3 2" xfId="38"/>
    <cellStyle name="20% - Accent1 2 2 3 2 2" xfId="39"/>
    <cellStyle name="20% - Accent1 2 2 3 2 2 2" xfId="40"/>
    <cellStyle name="20% - Accent1 2 2 3 2 3" xfId="41"/>
    <cellStyle name="20% - Accent1 2 2 3 3" xfId="42"/>
    <cellStyle name="20% - Accent1 2 2 3 3 2" xfId="43"/>
    <cellStyle name="20% - Accent1 2 2 3 4" xfId="44"/>
    <cellStyle name="20% - Accent1 2 2 3 5" xfId="57827"/>
    <cellStyle name="20% - Accent1 2 2 4" xfId="45"/>
    <cellStyle name="20% - Accent1 2 2 4 2" xfId="46"/>
    <cellStyle name="20% - Accent1 2 2 4 2 2" xfId="47"/>
    <cellStyle name="20% - Accent1 2 2 4 3" xfId="48"/>
    <cellStyle name="20% - Accent1 2 2 5" xfId="49"/>
    <cellStyle name="20% - Accent1 2 2 5 2" xfId="50"/>
    <cellStyle name="20% - Accent1 2 2 6" xfId="51"/>
    <cellStyle name="20% - Accent1 2 2 7" xfId="57828"/>
    <cellStyle name="20% - Accent1 2 3" xfId="52"/>
    <cellStyle name="20% - Accent1 2 3 2" xfId="53"/>
    <cellStyle name="20% - Accent1 2 3 2 2" xfId="54"/>
    <cellStyle name="20% - Accent1 2 3 2 2 2" xfId="55"/>
    <cellStyle name="20% - Accent1 2 3 2 2 2 2" xfId="56"/>
    <cellStyle name="20% - Accent1 2 3 2 2 3" xfId="57"/>
    <cellStyle name="20% - Accent1 2 3 2 3" xfId="58"/>
    <cellStyle name="20% - Accent1 2 3 2 3 2" xfId="59"/>
    <cellStyle name="20% - Accent1 2 3 2 4" xfId="60"/>
    <cellStyle name="20% - Accent1 2 3 3" xfId="61"/>
    <cellStyle name="20% - Accent1 2 3 3 2" xfId="62"/>
    <cellStyle name="20% - Accent1 2 3 3 2 2" xfId="63"/>
    <cellStyle name="20% - Accent1 2 3 3 3" xfId="64"/>
    <cellStyle name="20% - Accent1 2 3 4" xfId="65"/>
    <cellStyle name="20% - Accent1 2 3 4 2" xfId="66"/>
    <cellStyle name="20% - Accent1 2 3 5" xfId="67"/>
    <cellStyle name="20% - Accent1 2 3 6" xfId="57829"/>
    <cellStyle name="20% - Accent1 2 4" xfId="68"/>
    <cellStyle name="20% - Accent1 2 4 2" xfId="69"/>
    <cellStyle name="20% - Accent1 2 4 2 2" xfId="70"/>
    <cellStyle name="20% - Accent1 2 4 2 2 2" xfId="71"/>
    <cellStyle name="20% - Accent1 2 4 2 3" xfId="72"/>
    <cellStyle name="20% - Accent1 2 4 3" xfId="73"/>
    <cellStyle name="20% - Accent1 2 4 3 2" xfId="74"/>
    <cellStyle name="20% - Accent1 2 4 4" xfId="75"/>
    <cellStyle name="20% - Accent1 2 4 5" xfId="57830"/>
    <cellStyle name="20% - Accent1 2 5" xfId="76"/>
    <cellStyle name="20% - Accent1 2 5 2" xfId="77"/>
    <cellStyle name="20% - Accent1 2 5 2 2" xfId="78"/>
    <cellStyle name="20% - Accent1 2 5 3" xfId="79"/>
    <cellStyle name="20% - Accent1 2 5 4" xfId="57831"/>
    <cellStyle name="20% - Accent1 2 6" xfId="80"/>
    <cellStyle name="20% - Accent1 2 6 2" xfId="81"/>
    <cellStyle name="20% - Accent1 2 6 3" xfId="57832"/>
    <cellStyle name="20% - Accent1 2 7" xfId="82"/>
    <cellStyle name="20% - Accent1 2 8" xfId="83"/>
    <cellStyle name="20% - Accent1 2 9" xfId="57833"/>
    <cellStyle name="20% - Accent1 20" xfId="57834"/>
    <cellStyle name="20% - Accent1 21" xfId="57835"/>
    <cellStyle name="20% - Accent1 3" xfId="84"/>
    <cellStyle name="20% - Accent1 3 2" xfId="85"/>
    <cellStyle name="20% - Accent1 3 2 2" xfId="86"/>
    <cellStyle name="20% - Accent1 3 2 2 2" xfId="87"/>
    <cellStyle name="20% - Accent1 3 2 2 2 2" xfId="88"/>
    <cellStyle name="20% - Accent1 3 2 2 2 2 2" xfId="89"/>
    <cellStyle name="20% - Accent1 3 2 2 2 2 2 2" xfId="90"/>
    <cellStyle name="20% - Accent1 3 2 2 2 2 3" xfId="91"/>
    <cellStyle name="20% - Accent1 3 2 2 2 3" xfId="92"/>
    <cellStyle name="20% - Accent1 3 2 2 2 3 2" xfId="93"/>
    <cellStyle name="20% - Accent1 3 2 2 2 4" xfId="94"/>
    <cellStyle name="20% - Accent1 3 2 2 2 5" xfId="8784"/>
    <cellStyle name="20% - Accent1 3 2 2 3" xfId="95"/>
    <cellStyle name="20% - Accent1 3 2 2 3 2" xfId="96"/>
    <cellStyle name="20% - Accent1 3 2 2 3 2 2" xfId="97"/>
    <cellStyle name="20% - Accent1 3 2 2 3 3" xfId="98"/>
    <cellStyle name="20% - Accent1 3 2 2 4" xfId="99"/>
    <cellStyle name="20% - Accent1 3 2 2 4 2" xfId="100"/>
    <cellStyle name="20% - Accent1 3 2 2 5" xfId="101"/>
    <cellStyle name="20% - Accent1 3 2 2 6" xfId="8785"/>
    <cellStyle name="20% - Accent1 3 2 3" xfId="102"/>
    <cellStyle name="20% - Accent1 3 2 3 2" xfId="103"/>
    <cellStyle name="20% - Accent1 3 2 3 2 2" xfId="104"/>
    <cellStyle name="20% - Accent1 3 2 3 2 2 2" xfId="105"/>
    <cellStyle name="20% - Accent1 3 2 3 2 3" xfId="106"/>
    <cellStyle name="20% - Accent1 3 2 3 3" xfId="107"/>
    <cellStyle name="20% - Accent1 3 2 3 3 2" xfId="108"/>
    <cellStyle name="20% - Accent1 3 2 3 4" xfId="109"/>
    <cellStyle name="20% - Accent1 3 2 3 5" xfId="8786"/>
    <cellStyle name="20% - Accent1 3 2 4" xfId="110"/>
    <cellStyle name="20% - Accent1 3 2 4 2" xfId="111"/>
    <cellStyle name="20% - Accent1 3 2 4 2 2" xfId="112"/>
    <cellStyle name="20% - Accent1 3 2 4 3" xfId="113"/>
    <cellStyle name="20% - Accent1 3 2 5" xfId="114"/>
    <cellStyle name="20% - Accent1 3 2 5 2" xfId="115"/>
    <cellStyle name="20% - Accent1 3 2 6" xfId="116"/>
    <cellStyle name="20% - Accent1 3 2 7" xfId="8787"/>
    <cellStyle name="20% - Accent1 3 3" xfId="117"/>
    <cellStyle name="20% - Accent1 3 3 2" xfId="118"/>
    <cellStyle name="20% - Accent1 3 3 2 2" xfId="119"/>
    <cellStyle name="20% - Accent1 3 3 2 2 2" xfId="120"/>
    <cellStyle name="20% - Accent1 3 3 2 2 2 2" xfId="121"/>
    <cellStyle name="20% - Accent1 3 3 2 2 3" xfId="122"/>
    <cellStyle name="20% - Accent1 3 3 2 3" xfId="123"/>
    <cellStyle name="20% - Accent1 3 3 2 3 2" xfId="124"/>
    <cellStyle name="20% - Accent1 3 3 2 4" xfId="125"/>
    <cellStyle name="20% - Accent1 3 3 2 5" xfId="8788"/>
    <cellStyle name="20% - Accent1 3 3 3" xfId="126"/>
    <cellStyle name="20% - Accent1 3 3 3 2" xfId="127"/>
    <cellStyle name="20% - Accent1 3 3 3 2 2" xfId="128"/>
    <cellStyle name="20% - Accent1 3 3 3 3" xfId="129"/>
    <cellStyle name="20% - Accent1 3 3 4" xfId="130"/>
    <cellStyle name="20% - Accent1 3 3 4 2" xfId="131"/>
    <cellStyle name="20% - Accent1 3 3 5" xfId="132"/>
    <cellStyle name="20% - Accent1 3 3 6" xfId="8789"/>
    <cellStyle name="20% - Accent1 3 4" xfId="133"/>
    <cellStyle name="20% - Accent1 3 4 2" xfId="134"/>
    <cellStyle name="20% - Accent1 3 4 2 2" xfId="135"/>
    <cellStyle name="20% - Accent1 3 4 2 2 2" xfId="136"/>
    <cellStyle name="20% - Accent1 3 4 2 3" xfId="137"/>
    <cellStyle name="20% - Accent1 3 4 3" xfId="138"/>
    <cellStyle name="20% - Accent1 3 4 3 2" xfId="139"/>
    <cellStyle name="20% - Accent1 3 4 4" xfId="140"/>
    <cellStyle name="20% - Accent1 3 4 5" xfId="8790"/>
    <cellStyle name="20% - Accent1 3 5" xfId="141"/>
    <cellStyle name="20% - Accent1 3 5 2" xfId="142"/>
    <cellStyle name="20% - Accent1 3 5 2 2" xfId="143"/>
    <cellStyle name="20% - Accent1 3 5 3" xfId="144"/>
    <cellStyle name="20% - Accent1 3 6" xfId="145"/>
    <cellStyle name="20% - Accent1 3 6 2" xfId="146"/>
    <cellStyle name="20% - Accent1 3 7" xfId="147"/>
    <cellStyle name="20% - Accent1 3 8" xfId="148"/>
    <cellStyle name="20% - Accent1 3 9" xfId="8791"/>
    <cellStyle name="20% - Accent1 4" xfId="149"/>
    <cellStyle name="20% - Accent1 4 10" xfId="10009"/>
    <cellStyle name="20% - Accent1 4 10 2" xfId="10010"/>
    <cellStyle name="20% - Accent1 4 10 2 2" xfId="10011"/>
    <cellStyle name="20% - Accent1 4 10 2 3" xfId="10012"/>
    <cellStyle name="20% - Accent1 4 10 3" xfId="10013"/>
    <cellStyle name="20% - Accent1 4 10 3 2" xfId="10014"/>
    <cellStyle name="20% - Accent1 4 10 4" xfId="10015"/>
    <cellStyle name="20% - Accent1 4 10 5" xfId="10016"/>
    <cellStyle name="20% - Accent1 4 11" xfId="10017"/>
    <cellStyle name="20% - Accent1 4 11 2" xfId="10018"/>
    <cellStyle name="20% - Accent1 4 11 3" xfId="10019"/>
    <cellStyle name="20% - Accent1 4 12" xfId="10020"/>
    <cellStyle name="20% - Accent1 4 12 2" xfId="10021"/>
    <cellStyle name="20% - Accent1 4 12 3" xfId="10022"/>
    <cellStyle name="20% - Accent1 4 13" xfId="10023"/>
    <cellStyle name="20% - Accent1 4 13 2" xfId="10024"/>
    <cellStyle name="20% - Accent1 4 14" xfId="10025"/>
    <cellStyle name="20% - Accent1 4 15" xfId="10026"/>
    <cellStyle name="20% - Accent1 4 16" xfId="10027"/>
    <cellStyle name="20% - Accent1 4 2" xfId="150"/>
    <cellStyle name="20% - Accent1 4 2 10" xfId="10028"/>
    <cellStyle name="20% - Accent1 4 2 10 2" xfId="10029"/>
    <cellStyle name="20% - Accent1 4 2 10 3" xfId="10030"/>
    <cellStyle name="20% - Accent1 4 2 11" xfId="10031"/>
    <cellStyle name="20% - Accent1 4 2 11 2" xfId="10032"/>
    <cellStyle name="20% - Accent1 4 2 11 3" xfId="10033"/>
    <cellStyle name="20% - Accent1 4 2 12" xfId="10034"/>
    <cellStyle name="20% - Accent1 4 2 12 2" xfId="10035"/>
    <cellStyle name="20% - Accent1 4 2 13" xfId="10036"/>
    <cellStyle name="20% - Accent1 4 2 14" xfId="10037"/>
    <cellStyle name="20% - Accent1 4 2 15" xfId="10038"/>
    <cellStyle name="20% - Accent1 4 2 2" xfId="151"/>
    <cellStyle name="20% - Accent1 4 2 2 10" xfId="10039"/>
    <cellStyle name="20% - Accent1 4 2 2 10 2" xfId="10040"/>
    <cellStyle name="20% - Accent1 4 2 2 10 3" xfId="10041"/>
    <cellStyle name="20% - Accent1 4 2 2 11" xfId="10042"/>
    <cellStyle name="20% - Accent1 4 2 2 11 2" xfId="10043"/>
    <cellStyle name="20% - Accent1 4 2 2 12" xfId="10044"/>
    <cellStyle name="20% - Accent1 4 2 2 13" xfId="10045"/>
    <cellStyle name="20% - Accent1 4 2 2 2" xfId="152"/>
    <cellStyle name="20% - Accent1 4 2 2 2 10" xfId="10046"/>
    <cellStyle name="20% - Accent1 4 2 2 2 10 2" xfId="10047"/>
    <cellStyle name="20% - Accent1 4 2 2 2 11" xfId="10048"/>
    <cellStyle name="20% - Accent1 4 2 2 2 12" xfId="10049"/>
    <cellStyle name="20% - Accent1 4 2 2 2 2" xfId="153"/>
    <cellStyle name="20% - Accent1 4 2 2 2 2 10" xfId="10050"/>
    <cellStyle name="20% - Accent1 4 2 2 2 2 2" xfId="154"/>
    <cellStyle name="20% - Accent1 4 2 2 2 2 2 2" xfId="10051"/>
    <cellStyle name="20% - Accent1 4 2 2 2 2 2 2 2" xfId="10052"/>
    <cellStyle name="20% - Accent1 4 2 2 2 2 2 2 2 2" xfId="10053"/>
    <cellStyle name="20% - Accent1 4 2 2 2 2 2 2 2 3" xfId="10054"/>
    <cellStyle name="20% - Accent1 4 2 2 2 2 2 2 3" xfId="10055"/>
    <cellStyle name="20% - Accent1 4 2 2 2 2 2 2 3 2" xfId="10056"/>
    <cellStyle name="20% - Accent1 4 2 2 2 2 2 2 3 3" xfId="10057"/>
    <cellStyle name="20% - Accent1 4 2 2 2 2 2 2 4" xfId="10058"/>
    <cellStyle name="20% - Accent1 4 2 2 2 2 2 2 4 2" xfId="10059"/>
    <cellStyle name="20% - Accent1 4 2 2 2 2 2 2 5" xfId="10060"/>
    <cellStyle name="20% - Accent1 4 2 2 2 2 2 2 6" xfId="10061"/>
    <cellStyle name="20% - Accent1 4 2 2 2 2 2 3" xfId="10062"/>
    <cellStyle name="20% - Accent1 4 2 2 2 2 2 3 2" xfId="10063"/>
    <cellStyle name="20% - Accent1 4 2 2 2 2 2 3 2 2" xfId="10064"/>
    <cellStyle name="20% - Accent1 4 2 2 2 2 2 3 2 3" xfId="10065"/>
    <cellStyle name="20% - Accent1 4 2 2 2 2 2 3 3" xfId="10066"/>
    <cellStyle name="20% - Accent1 4 2 2 2 2 2 3 3 2" xfId="10067"/>
    <cellStyle name="20% - Accent1 4 2 2 2 2 2 3 3 3" xfId="10068"/>
    <cellStyle name="20% - Accent1 4 2 2 2 2 2 3 4" xfId="10069"/>
    <cellStyle name="20% - Accent1 4 2 2 2 2 2 3 4 2" xfId="10070"/>
    <cellStyle name="20% - Accent1 4 2 2 2 2 2 3 5" xfId="10071"/>
    <cellStyle name="20% - Accent1 4 2 2 2 2 2 3 6" xfId="10072"/>
    <cellStyle name="20% - Accent1 4 2 2 2 2 2 4" xfId="10073"/>
    <cellStyle name="20% - Accent1 4 2 2 2 2 2 4 2" xfId="10074"/>
    <cellStyle name="20% - Accent1 4 2 2 2 2 2 4 2 2" xfId="10075"/>
    <cellStyle name="20% - Accent1 4 2 2 2 2 2 4 2 3" xfId="10076"/>
    <cellStyle name="20% - Accent1 4 2 2 2 2 2 4 3" xfId="10077"/>
    <cellStyle name="20% - Accent1 4 2 2 2 2 2 4 3 2" xfId="10078"/>
    <cellStyle name="20% - Accent1 4 2 2 2 2 2 4 4" xfId="10079"/>
    <cellStyle name="20% - Accent1 4 2 2 2 2 2 4 5" xfId="10080"/>
    <cellStyle name="20% - Accent1 4 2 2 2 2 2 5" xfId="10081"/>
    <cellStyle name="20% - Accent1 4 2 2 2 2 2 5 2" xfId="10082"/>
    <cellStyle name="20% - Accent1 4 2 2 2 2 2 5 3" xfId="10083"/>
    <cellStyle name="20% - Accent1 4 2 2 2 2 2 6" xfId="10084"/>
    <cellStyle name="20% - Accent1 4 2 2 2 2 2 6 2" xfId="10085"/>
    <cellStyle name="20% - Accent1 4 2 2 2 2 2 6 3" xfId="10086"/>
    <cellStyle name="20% - Accent1 4 2 2 2 2 2 7" xfId="10087"/>
    <cellStyle name="20% - Accent1 4 2 2 2 2 2 7 2" xfId="10088"/>
    <cellStyle name="20% - Accent1 4 2 2 2 2 2 8" xfId="10089"/>
    <cellStyle name="20% - Accent1 4 2 2 2 2 2 9" xfId="10090"/>
    <cellStyle name="20% - Accent1 4 2 2 2 2 3" xfId="10091"/>
    <cellStyle name="20% - Accent1 4 2 2 2 2 3 2" xfId="10092"/>
    <cellStyle name="20% - Accent1 4 2 2 2 2 3 2 2" xfId="10093"/>
    <cellStyle name="20% - Accent1 4 2 2 2 2 3 2 3" xfId="10094"/>
    <cellStyle name="20% - Accent1 4 2 2 2 2 3 3" xfId="10095"/>
    <cellStyle name="20% - Accent1 4 2 2 2 2 3 3 2" xfId="10096"/>
    <cellStyle name="20% - Accent1 4 2 2 2 2 3 3 3" xfId="10097"/>
    <cellStyle name="20% - Accent1 4 2 2 2 2 3 4" xfId="10098"/>
    <cellStyle name="20% - Accent1 4 2 2 2 2 3 4 2" xfId="10099"/>
    <cellStyle name="20% - Accent1 4 2 2 2 2 3 5" xfId="10100"/>
    <cellStyle name="20% - Accent1 4 2 2 2 2 3 6" xfId="10101"/>
    <cellStyle name="20% - Accent1 4 2 2 2 2 4" xfId="10102"/>
    <cellStyle name="20% - Accent1 4 2 2 2 2 4 2" xfId="10103"/>
    <cellStyle name="20% - Accent1 4 2 2 2 2 4 2 2" xfId="10104"/>
    <cellStyle name="20% - Accent1 4 2 2 2 2 4 2 3" xfId="10105"/>
    <cellStyle name="20% - Accent1 4 2 2 2 2 4 3" xfId="10106"/>
    <cellStyle name="20% - Accent1 4 2 2 2 2 4 3 2" xfId="10107"/>
    <cellStyle name="20% - Accent1 4 2 2 2 2 4 3 3" xfId="10108"/>
    <cellStyle name="20% - Accent1 4 2 2 2 2 4 4" xfId="10109"/>
    <cellStyle name="20% - Accent1 4 2 2 2 2 4 4 2" xfId="10110"/>
    <cellStyle name="20% - Accent1 4 2 2 2 2 4 5" xfId="10111"/>
    <cellStyle name="20% - Accent1 4 2 2 2 2 4 6" xfId="10112"/>
    <cellStyle name="20% - Accent1 4 2 2 2 2 5" xfId="10113"/>
    <cellStyle name="20% - Accent1 4 2 2 2 2 5 2" xfId="10114"/>
    <cellStyle name="20% - Accent1 4 2 2 2 2 5 2 2" xfId="10115"/>
    <cellStyle name="20% - Accent1 4 2 2 2 2 5 2 3" xfId="10116"/>
    <cellStyle name="20% - Accent1 4 2 2 2 2 5 3" xfId="10117"/>
    <cellStyle name="20% - Accent1 4 2 2 2 2 5 3 2" xfId="10118"/>
    <cellStyle name="20% - Accent1 4 2 2 2 2 5 4" xfId="10119"/>
    <cellStyle name="20% - Accent1 4 2 2 2 2 5 5" xfId="10120"/>
    <cellStyle name="20% - Accent1 4 2 2 2 2 6" xfId="10121"/>
    <cellStyle name="20% - Accent1 4 2 2 2 2 6 2" xfId="10122"/>
    <cellStyle name="20% - Accent1 4 2 2 2 2 6 3" xfId="10123"/>
    <cellStyle name="20% - Accent1 4 2 2 2 2 7" xfId="10124"/>
    <cellStyle name="20% - Accent1 4 2 2 2 2 7 2" xfId="10125"/>
    <cellStyle name="20% - Accent1 4 2 2 2 2 7 3" xfId="10126"/>
    <cellStyle name="20% - Accent1 4 2 2 2 2 8" xfId="10127"/>
    <cellStyle name="20% - Accent1 4 2 2 2 2 8 2" xfId="10128"/>
    <cellStyle name="20% - Accent1 4 2 2 2 2 9" xfId="10129"/>
    <cellStyle name="20% - Accent1 4 2 2 2 3" xfId="155"/>
    <cellStyle name="20% - Accent1 4 2 2 2 3 2" xfId="10130"/>
    <cellStyle name="20% - Accent1 4 2 2 2 3 2 2" xfId="10131"/>
    <cellStyle name="20% - Accent1 4 2 2 2 3 2 2 2" xfId="10132"/>
    <cellStyle name="20% - Accent1 4 2 2 2 3 2 2 3" xfId="10133"/>
    <cellStyle name="20% - Accent1 4 2 2 2 3 2 3" xfId="10134"/>
    <cellStyle name="20% - Accent1 4 2 2 2 3 2 3 2" xfId="10135"/>
    <cellStyle name="20% - Accent1 4 2 2 2 3 2 3 3" xfId="10136"/>
    <cellStyle name="20% - Accent1 4 2 2 2 3 2 4" xfId="10137"/>
    <cellStyle name="20% - Accent1 4 2 2 2 3 2 4 2" xfId="10138"/>
    <cellStyle name="20% - Accent1 4 2 2 2 3 2 5" xfId="10139"/>
    <cellStyle name="20% - Accent1 4 2 2 2 3 2 6" xfId="10140"/>
    <cellStyle name="20% - Accent1 4 2 2 2 3 3" xfId="10141"/>
    <cellStyle name="20% - Accent1 4 2 2 2 3 3 2" xfId="10142"/>
    <cellStyle name="20% - Accent1 4 2 2 2 3 3 2 2" xfId="10143"/>
    <cellStyle name="20% - Accent1 4 2 2 2 3 3 2 3" xfId="10144"/>
    <cellStyle name="20% - Accent1 4 2 2 2 3 3 3" xfId="10145"/>
    <cellStyle name="20% - Accent1 4 2 2 2 3 3 3 2" xfId="10146"/>
    <cellStyle name="20% - Accent1 4 2 2 2 3 3 3 3" xfId="10147"/>
    <cellStyle name="20% - Accent1 4 2 2 2 3 3 4" xfId="10148"/>
    <cellStyle name="20% - Accent1 4 2 2 2 3 3 4 2" xfId="10149"/>
    <cellStyle name="20% - Accent1 4 2 2 2 3 3 5" xfId="10150"/>
    <cellStyle name="20% - Accent1 4 2 2 2 3 3 6" xfId="10151"/>
    <cellStyle name="20% - Accent1 4 2 2 2 3 4" xfId="10152"/>
    <cellStyle name="20% - Accent1 4 2 2 2 3 4 2" xfId="10153"/>
    <cellStyle name="20% - Accent1 4 2 2 2 3 4 2 2" xfId="10154"/>
    <cellStyle name="20% - Accent1 4 2 2 2 3 4 2 3" xfId="10155"/>
    <cellStyle name="20% - Accent1 4 2 2 2 3 4 3" xfId="10156"/>
    <cellStyle name="20% - Accent1 4 2 2 2 3 4 3 2" xfId="10157"/>
    <cellStyle name="20% - Accent1 4 2 2 2 3 4 4" xfId="10158"/>
    <cellStyle name="20% - Accent1 4 2 2 2 3 4 5" xfId="10159"/>
    <cellStyle name="20% - Accent1 4 2 2 2 3 5" xfId="10160"/>
    <cellStyle name="20% - Accent1 4 2 2 2 3 5 2" xfId="10161"/>
    <cellStyle name="20% - Accent1 4 2 2 2 3 5 3" xfId="10162"/>
    <cellStyle name="20% - Accent1 4 2 2 2 3 6" xfId="10163"/>
    <cellStyle name="20% - Accent1 4 2 2 2 3 6 2" xfId="10164"/>
    <cellStyle name="20% - Accent1 4 2 2 2 3 6 3" xfId="10165"/>
    <cellStyle name="20% - Accent1 4 2 2 2 3 7" xfId="10166"/>
    <cellStyle name="20% - Accent1 4 2 2 2 3 7 2" xfId="10167"/>
    <cellStyle name="20% - Accent1 4 2 2 2 3 8" xfId="10168"/>
    <cellStyle name="20% - Accent1 4 2 2 2 3 9" xfId="10169"/>
    <cellStyle name="20% - Accent1 4 2 2 2 4" xfId="10170"/>
    <cellStyle name="20% - Accent1 4 2 2 2 4 2" xfId="10171"/>
    <cellStyle name="20% - Accent1 4 2 2 2 4 2 2" xfId="10172"/>
    <cellStyle name="20% - Accent1 4 2 2 2 4 2 2 2" xfId="10173"/>
    <cellStyle name="20% - Accent1 4 2 2 2 4 2 2 3" xfId="10174"/>
    <cellStyle name="20% - Accent1 4 2 2 2 4 2 3" xfId="10175"/>
    <cellStyle name="20% - Accent1 4 2 2 2 4 2 3 2" xfId="10176"/>
    <cellStyle name="20% - Accent1 4 2 2 2 4 2 3 3" xfId="10177"/>
    <cellStyle name="20% - Accent1 4 2 2 2 4 2 4" xfId="10178"/>
    <cellStyle name="20% - Accent1 4 2 2 2 4 2 4 2" xfId="10179"/>
    <cellStyle name="20% - Accent1 4 2 2 2 4 2 5" xfId="10180"/>
    <cellStyle name="20% - Accent1 4 2 2 2 4 2 6" xfId="10181"/>
    <cellStyle name="20% - Accent1 4 2 2 2 4 3" xfId="10182"/>
    <cellStyle name="20% - Accent1 4 2 2 2 4 3 2" xfId="10183"/>
    <cellStyle name="20% - Accent1 4 2 2 2 4 3 2 2" xfId="10184"/>
    <cellStyle name="20% - Accent1 4 2 2 2 4 3 2 3" xfId="10185"/>
    <cellStyle name="20% - Accent1 4 2 2 2 4 3 3" xfId="10186"/>
    <cellStyle name="20% - Accent1 4 2 2 2 4 3 3 2" xfId="10187"/>
    <cellStyle name="20% - Accent1 4 2 2 2 4 3 3 3" xfId="10188"/>
    <cellStyle name="20% - Accent1 4 2 2 2 4 3 4" xfId="10189"/>
    <cellStyle name="20% - Accent1 4 2 2 2 4 3 4 2" xfId="10190"/>
    <cellStyle name="20% - Accent1 4 2 2 2 4 3 5" xfId="10191"/>
    <cellStyle name="20% - Accent1 4 2 2 2 4 3 6" xfId="10192"/>
    <cellStyle name="20% - Accent1 4 2 2 2 4 4" xfId="10193"/>
    <cellStyle name="20% - Accent1 4 2 2 2 4 4 2" xfId="10194"/>
    <cellStyle name="20% - Accent1 4 2 2 2 4 4 2 2" xfId="10195"/>
    <cellStyle name="20% - Accent1 4 2 2 2 4 4 2 3" xfId="10196"/>
    <cellStyle name="20% - Accent1 4 2 2 2 4 4 3" xfId="10197"/>
    <cellStyle name="20% - Accent1 4 2 2 2 4 4 3 2" xfId="10198"/>
    <cellStyle name="20% - Accent1 4 2 2 2 4 4 4" xfId="10199"/>
    <cellStyle name="20% - Accent1 4 2 2 2 4 4 5" xfId="10200"/>
    <cellStyle name="20% - Accent1 4 2 2 2 4 5" xfId="10201"/>
    <cellStyle name="20% - Accent1 4 2 2 2 4 5 2" xfId="10202"/>
    <cellStyle name="20% - Accent1 4 2 2 2 4 5 3" xfId="10203"/>
    <cellStyle name="20% - Accent1 4 2 2 2 4 6" xfId="10204"/>
    <cellStyle name="20% - Accent1 4 2 2 2 4 6 2" xfId="10205"/>
    <cellStyle name="20% - Accent1 4 2 2 2 4 6 3" xfId="10206"/>
    <cellStyle name="20% - Accent1 4 2 2 2 4 7" xfId="10207"/>
    <cellStyle name="20% - Accent1 4 2 2 2 4 7 2" xfId="10208"/>
    <cellStyle name="20% - Accent1 4 2 2 2 4 8" xfId="10209"/>
    <cellStyle name="20% - Accent1 4 2 2 2 4 9" xfId="10210"/>
    <cellStyle name="20% - Accent1 4 2 2 2 5" xfId="10211"/>
    <cellStyle name="20% - Accent1 4 2 2 2 5 2" xfId="10212"/>
    <cellStyle name="20% - Accent1 4 2 2 2 5 2 2" xfId="10213"/>
    <cellStyle name="20% - Accent1 4 2 2 2 5 2 3" xfId="10214"/>
    <cellStyle name="20% - Accent1 4 2 2 2 5 3" xfId="10215"/>
    <cellStyle name="20% - Accent1 4 2 2 2 5 3 2" xfId="10216"/>
    <cellStyle name="20% - Accent1 4 2 2 2 5 3 3" xfId="10217"/>
    <cellStyle name="20% - Accent1 4 2 2 2 5 4" xfId="10218"/>
    <cellStyle name="20% - Accent1 4 2 2 2 5 4 2" xfId="10219"/>
    <cellStyle name="20% - Accent1 4 2 2 2 5 5" xfId="10220"/>
    <cellStyle name="20% - Accent1 4 2 2 2 5 6" xfId="10221"/>
    <cellStyle name="20% - Accent1 4 2 2 2 6" xfId="10222"/>
    <cellStyle name="20% - Accent1 4 2 2 2 6 2" xfId="10223"/>
    <cellStyle name="20% - Accent1 4 2 2 2 6 2 2" xfId="10224"/>
    <cellStyle name="20% - Accent1 4 2 2 2 6 2 3" xfId="10225"/>
    <cellStyle name="20% - Accent1 4 2 2 2 6 3" xfId="10226"/>
    <cellStyle name="20% - Accent1 4 2 2 2 6 3 2" xfId="10227"/>
    <cellStyle name="20% - Accent1 4 2 2 2 6 3 3" xfId="10228"/>
    <cellStyle name="20% - Accent1 4 2 2 2 6 4" xfId="10229"/>
    <cellStyle name="20% - Accent1 4 2 2 2 6 4 2" xfId="10230"/>
    <cellStyle name="20% - Accent1 4 2 2 2 6 5" xfId="10231"/>
    <cellStyle name="20% - Accent1 4 2 2 2 6 6" xfId="10232"/>
    <cellStyle name="20% - Accent1 4 2 2 2 7" xfId="10233"/>
    <cellStyle name="20% - Accent1 4 2 2 2 7 2" xfId="10234"/>
    <cellStyle name="20% - Accent1 4 2 2 2 7 2 2" xfId="10235"/>
    <cellStyle name="20% - Accent1 4 2 2 2 7 2 3" xfId="10236"/>
    <cellStyle name="20% - Accent1 4 2 2 2 7 3" xfId="10237"/>
    <cellStyle name="20% - Accent1 4 2 2 2 7 3 2" xfId="10238"/>
    <cellStyle name="20% - Accent1 4 2 2 2 7 4" xfId="10239"/>
    <cellStyle name="20% - Accent1 4 2 2 2 7 5" xfId="10240"/>
    <cellStyle name="20% - Accent1 4 2 2 2 8" xfId="10241"/>
    <cellStyle name="20% - Accent1 4 2 2 2 8 2" xfId="10242"/>
    <cellStyle name="20% - Accent1 4 2 2 2 8 3" xfId="10243"/>
    <cellStyle name="20% - Accent1 4 2 2 2 9" xfId="10244"/>
    <cellStyle name="20% - Accent1 4 2 2 2 9 2" xfId="10245"/>
    <cellStyle name="20% - Accent1 4 2 2 2 9 3" xfId="10246"/>
    <cellStyle name="20% - Accent1 4 2 2 3" xfId="156"/>
    <cellStyle name="20% - Accent1 4 2 2 3 10" xfId="10247"/>
    <cellStyle name="20% - Accent1 4 2 2 3 2" xfId="157"/>
    <cellStyle name="20% - Accent1 4 2 2 3 2 2" xfId="10248"/>
    <cellStyle name="20% - Accent1 4 2 2 3 2 2 2" xfId="10249"/>
    <cellStyle name="20% - Accent1 4 2 2 3 2 2 2 2" xfId="10250"/>
    <cellStyle name="20% - Accent1 4 2 2 3 2 2 2 3" xfId="10251"/>
    <cellStyle name="20% - Accent1 4 2 2 3 2 2 3" xfId="10252"/>
    <cellStyle name="20% - Accent1 4 2 2 3 2 2 3 2" xfId="10253"/>
    <cellStyle name="20% - Accent1 4 2 2 3 2 2 3 3" xfId="10254"/>
    <cellStyle name="20% - Accent1 4 2 2 3 2 2 4" xfId="10255"/>
    <cellStyle name="20% - Accent1 4 2 2 3 2 2 4 2" xfId="10256"/>
    <cellStyle name="20% - Accent1 4 2 2 3 2 2 5" xfId="10257"/>
    <cellStyle name="20% - Accent1 4 2 2 3 2 2 6" xfId="10258"/>
    <cellStyle name="20% - Accent1 4 2 2 3 2 3" xfId="10259"/>
    <cellStyle name="20% - Accent1 4 2 2 3 2 3 2" xfId="10260"/>
    <cellStyle name="20% - Accent1 4 2 2 3 2 3 2 2" xfId="10261"/>
    <cellStyle name="20% - Accent1 4 2 2 3 2 3 2 3" xfId="10262"/>
    <cellStyle name="20% - Accent1 4 2 2 3 2 3 3" xfId="10263"/>
    <cellStyle name="20% - Accent1 4 2 2 3 2 3 3 2" xfId="10264"/>
    <cellStyle name="20% - Accent1 4 2 2 3 2 3 3 3" xfId="10265"/>
    <cellStyle name="20% - Accent1 4 2 2 3 2 3 4" xfId="10266"/>
    <cellStyle name="20% - Accent1 4 2 2 3 2 3 4 2" xfId="10267"/>
    <cellStyle name="20% - Accent1 4 2 2 3 2 3 5" xfId="10268"/>
    <cellStyle name="20% - Accent1 4 2 2 3 2 3 6" xfId="10269"/>
    <cellStyle name="20% - Accent1 4 2 2 3 2 4" xfId="10270"/>
    <cellStyle name="20% - Accent1 4 2 2 3 2 4 2" xfId="10271"/>
    <cellStyle name="20% - Accent1 4 2 2 3 2 4 2 2" xfId="10272"/>
    <cellStyle name="20% - Accent1 4 2 2 3 2 4 2 3" xfId="10273"/>
    <cellStyle name="20% - Accent1 4 2 2 3 2 4 3" xfId="10274"/>
    <cellStyle name="20% - Accent1 4 2 2 3 2 4 3 2" xfId="10275"/>
    <cellStyle name="20% - Accent1 4 2 2 3 2 4 4" xfId="10276"/>
    <cellStyle name="20% - Accent1 4 2 2 3 2 4 5" xfId="10277"/>
    <cellStyle name="20% - Accent1 4 2 2 3 2 5" xfId="10278"/>
    <cellStyle name="20% - Accent1 4 2 2 3 2 5 2" xfId="10279"/>
    <cellStyle name="20% - Accent1 4 2 2 3 2 5 3" xfId="10280"/>
    <cellStyle name="20% - Accent1 4 2 2 3 2 6" xfId="10281"/>
    <cellStyle name="20% - Accent1 4 2 2 3 2 6 2" xfId="10282"/>
    <cellStyle name="20% - Accent1 4 2 2 3 2 6 3" xfId="10283"/>
    <cellStyle name="20% - Accent1 4 2 2 3 2 7" xfId="10284"/>
    <cellStyle name="20% - Accent1 4 2 2 3 2 7 2" xfId="10285"/>
    <cellStyle name="20% - Accent1 4 2 2 3 2 8" xfId="10286"/>
    <cellStyle name="20% - Accent1 4 2 2 3 2 9" xfId="10287"/>
    <cellStyle name="20% - Accent1 4 2 2 3 3" xfId="10288"/>
    <cellStyle name="20% - Accent1 4 2 2 3 3 2" xfId="10289"/>
    <cellStyle name="20% - Accent1 4 2 2 3 3 2 2" xfId="10290"/>
    <cellStyle name="20% - Accent1 4 2 2 3 3 2 3" xfId="10291"/>
    <cellStyle name="20% - Accent1 4 2 2 3 3 3" xfId="10292"/>
    <cellStyle name="20% - Accent1 4 2 2 3 3 3 2" xfId="10293"/>
    <cellStyle name="20% - Accent1 4 2 2 3 3 3 3" xfId="10294"/>
    <cellStyle name="20% - Accent1 4 2 2 3 3 4" xfId="10295"/>
    <cellStyle name="20% - Accent1 4 2 2 3 3 4 2" xfId="10296"/>
    <cellStyle name="20% - Accent1 4 2 2 3 3 5" xfId="10297"/>
    <cellStyle name="20% - Accent1 4 2 2 3 3 6" xfId="10298"/>
    <cellStyle name="20% - Accent1 4 2 2 3 4" xfId="10299"/>
    <cellStyle name="20% - Accent1 4 2 2 3 4 2" xfId="10300"/>
    <cellStyle name="20% - Accent1 4 2 2 3 4 2 2" xfId="10301"/>
    <cellStyle name="20% - Accent1 4 2 2 3 4 2 3" xfId="10302"/>
    <cellStyle name="20% - Accent1 4 2 2 3 4 3" xfId="10303"/>
    <cellStyle name="20% - Accent1 4 2 2 3 4 3 2" xfId="10304"/>
    <cellStyle name="20% - Accent1 4 2 2 3 4 3 3" xfId="10305"/>
    <cellStyle name="20% - Accent1 4 2 2 3 4 4" xfId="10306"/>
    <cellStyle name="20% - Accent1 4 2 2 3 4 4 2" xfId="10307"/>
    <cellStyle name="20% - Accent1 4 2 2 3 4 5" xfId="10308"/>
    <cellStyle name="20% - Accent1 4 2 2 3 4 6" xfId="10309"/>
    <cellStyle name="20% - Accent1 4 2 2 3 5" xfId="10310"/>
    <cellStyle name="20% - Accent1 4 2 2 3 5 2" xfId="10311"/>
    <cellStyle name="20% - Accent1 4 2 2 3 5 2 2" xfId="10312"/>
    <cellStyle name="20% - Accent1 4 2 2 3 5 2 3" xfId="10313"/>
    <cellStyle name="20% - Accent1 4 2 2 3 5 3" xfId="10314"/>
    <cellStyle name="20% - Accent1 4 2 2 3 5 3 2" xfId="10315"/>
    <cellStyle name="20% - Accent1 4 2 2 3 5 4" xfId="10316"/>
    <cellStyle name="20% - Accent1 4 2 2 3 5 5" xfId="10317"/>
    <cellStyle name="20% - Accent1 4 2 2 3 6" xfId="10318"/>
    <cellStyle name="20% - Accent1 4 2 2 3 6 2" xfId="10319"/>
    <cellStyle name="20% - Accent1 4 2 2 3 6 3" xfId="10320"/>
    <cellStyle name="20% - Accent1 4 2 2 3 7" xfId="10321"/>
    <cellStyle name="20% - Accent1 4 2 2 3 7 2" xfId="10322"/>
    <cellStyle name="20% - Accent1 4 2 2 3 7 3" xfId="10323"/>
    <cellStyle name="20% - Accent1 4 2 2 3 8" xfId="10324"/>
    <cellStyle name="20% - Accent1 4 2 2 3 8 2" xfId="10325"/>
    <cellStyle name="20% - Accent1 4 2 2 3 9" xfId="10326"/>
    <cellStyle name="20% - Accent1 4 2 2 4" xfId="158"/>
    <cellStyle name="20% - Accent1 4 2 2 4 2" xfId="10327"/>
    <cellStyle name="20% - Accent1 4 2 2 4 2 2" xfId="10328"/>
    <cellStyle name="20% - Accent1 4 2 2 4 2 2 2" xfId="10329"/>
    <cellStyle name="20% - Accent1 4 2 2 4 2 2 3" xfId="10330"/>
    <cellStyle name="20% - Accent1 4 2 2 4 2 3" xfId="10331"/>
    <cellStyle name="20% - Accent1 4 2 2 4 2 3 2" xfId="10332"/>
    <cellStyle name="20% - Accent1 4 2 2 4 2 3 3" xfId="10333"/>
    <cellStyle name="20% - Accent1 4 2 2 4 2 4" xfId="10334"/>
    <cellStyle name="20% - Accent1 4 2 2 4 2 4 2" xfId="10335"/>
    <cellStyle name="20% - Accent1 4 2 2 4 2 5" xfId="10336"/>
    <cellStyle name="20% - Accent1 4 2 2 4 2 6" xfId="10337"/>
    <cellStyle name="20% - Accent1 4 2 2 4 3" xfId="10338"/>
    <cellStyle name="20% - Accent1 4 2 2 4 3 2" xfId="10339"/>
    <cellStyle name="20% - Accent1 4 2 2 4 3 2 2" xfId="10340"/>
    <cellStyle name="20% - Accent1 4 2 2 4 3 2 3" xfId="10341"/>
    <cellStyle name="20% - Accent1 4 2 2 4 3 3" xfId="10342"/>
    <cellStyle name="20% - Accent1 4 2 2 4 3 3 2" xfId="10343"/>
    <cellStyle name="20% - Accent1 4 2 2 4 3 3 3" xfId="10344"/>
    <cellStyle name="20% - Accent1 4 2 2 4 3 4" xfId="10345"/>
    <cellStyle name="20% - Accent1 4 2 2 4 3 4 2" xfId="10346"/>
    <cellStyle name="20% - Accent1 4 2 2 4 3 5" xfId="10347"/>
    <cellStyle name="20% - Accent1 4 2 2 4 3 6" xfId="10348"/>
    <cellStyle name="20% - Accent1 4 2 2 4 4" xfId="10349"/>
    <cellStyle name="20% - Accent1 4 2 2 4 4 2" xfId="10350"/>
    <cellStyle name="20% - Accent1 4 2 2 4 4 2 2" xfId="10351"/>
    <cellStyle name="20% - Accent1 4 2 2 4 4 2 3" xfId="10352"/>
    <cellStyle name="20% - Accent1 4 2 2 4 4 3" xfId="10353"/>
    <cellStyle name="20% - Accent1 4 2 2 4 4 3 2" xfId="10354"/>
    <cellStyle name="20% - Accent1 4 2 2 4 4 4" xfId="10355"/>
    <cellStyle name="20% - Accent1 4 2 2 4 4 5" xfId="10356"/>
    <cellStyle name="20% - Accent1 4 2 2 4 5" xfId="10357"/>
    <cellStyle name="20% - Accent1 4 2 2 4 5 2" xfId="10358"/>
    <cellStyle name="20% - Accent1 4 2 2 4 5 3" xfId="10359"/>
    <cellStyle name="20% - Accent1 4 2 2 4 6" xfId="10360"/>
    <cellStyle name="20% - Accent1 4 2 2 4 6 2" xfId="10361"/>
    <cellStyle name="20% - Accent1 4 2 2 4 6 3" xfId="10362"/>
    <cellStyle name="20% - Accent1 4 2 2 4 7" xfId="10363"/>
    <cellStyle name="20% - Accent1 4 2 2 4 7 2" xfId="10364"/>
    <cellStyle name="20% - Accent1 4 2 2 4 8" xfId="10365"/>
    <cellStyle name="20% - Accent1 4 2 2 4 9" xfId="10366"/>
    <cellStyle name="20% - Accent1 4 2 2 5" xfId="10367"/>
    <cellStyle name="20% - Accent1 4 2 2 5 2" xfId="10368"/>
    <cellStyle name="20% - Accent1 4 2 2 5 2 2" xfId="10369"/>
    <cellStyle name="20% - Accent1 4 2 2 5 2 2 2" xfId="10370"/>
    <cellStyle name="20% - Accent1 4 2 2 5 2 2 3" xfId="10371"/>
    <cellStyle name="20% - Accent1 4 2 2 5 2 3" xfId="10372"/>
    <cellStyle name="20% - Accent1 4 2 2 5 2 3 2" xfId="10373"/>
    <cellStyle name="20% - Accent1 4 2 2 5 2 3 3" xfId="10374"/>
    <cellStyle name="20% - Accent1 4 2 2 5 2 4" xfId="10375"/>
    <cellStyle name="20% - Accent1 4 2 2 5 2 4 2" xfId="10376"/>
    <cellStyle name="20% - Accent1 4 2 2 5 2 5" xfId="10377"/>
    <cellStyle name="20% - Accent1 4 2 2 5 2 6" xfId="10378"/>
    <cellStyle name="20% - Accent1 4 2 2 5 3" xfId="10379"/>
    <cellStyle name="20% - Accent1 4 2 2 5 3 2" xfId="10380"/>
    <cellStyle name="20% - Accent1 4 2 2 5 3 2 2" xfId="10381"/>
    <cellStyle name="20% - Accent1 4 2 2 5 3 2 3" xfId="10382"/>
    <cellStyle name="20% - Accent1 4 2 2 5 3 3" xfId="10383"/>
    <cellStyle name="20% - Accent1 4 2 2 5 3 3 2" xfId="10384"/>
    <cellStyle name="20% - Accent1 4 2 2 5 3 3 3" xfId="10385"/>
    <cellStyle name="20% - Accent1 4 2 2 5 3 4" xfId="10386"/>
    <cellStyle name="20% - Accent1 4 2 2 5 3 4 2" xfId="10387"/>
    <cellStyle name="20% - Accent1 4 2 2 5 3 5" xfId="10388"/>
    <cellStyle name="20% - Accent1 4 2 2 5 3 6" xfId="10389"/>
    <cellStyle name="20% - Accent1 4 2 2 5 4" xfId="10390"/>
    <cellStyle name="20% - Accent1 4 2 2 5 4 2" xfId="10391"/>
    <cellStyle name="20% - Accent1 4 2 2 5 4 2 2" xfId="10392"/>
    <cellStyle name="20% - Accent1 4 2 2 5 4 2 3" xfId="10393"/>
    <cellStyle name="20% - Accent1 4 2 2 5 4 3" xfId="10394"/>
    <cellStyle name="20% - Accent1 4 2 2 5 4 3 2" xfId="10395"/>
    <cellStyle name="20% - Accent1 4 2 2 5 4 4" xfId="10396"/>
    <cellStyle name="20% - Accent1 4 2 2 5 4 5" xfId="10397"/>
    <cellStyle name="20% - Accent1 4 2 2 5 5" xfId="10398"/>
    <cellStyle name="20% - Accent1 4 2 2 5 5 2" xfId="10399"/>
    <cellStyle name="20% - Accent1 4 2 2 5 5 3" xfId="10400"/>
    <cellStyle name="20% - Accent1 4 2 2 5 6" xfId="10401"/>
    <cellStyle name="20% - Accent1 4 2 2 5 6 2" xfId="10402"/>
    <cellStyle name="20% - Accent1 4 2 2 5 6 3" xfId="10403"/>
    <cellStyle name="20% - Accent1 4 2 2 5 7" xfId="10404"/>
    <cellStyle name="20% - Accent1 4 2 2 5 7 2" xfId="10405"/>
    <cellStyle name="20% - Accent1 4 2 2 5 8" xfId="10406"/>
    <cellStyle name="20% - Accent1 4 2 2 5 9" xfId="10407"/>
    <cellStyle name="20% - Accent1 4 2 2 6" xfId="10408"/>
    <cellStyle name="20% - Accent1 4 2 2 6 2" xfId="10409"/>
    <cellStyle name="20% - Accent1 4 2 2 6 2 2" xfId="10410"/>
    <cellStyle name="20% - Accent1 4 2 2 6 2 3" xfId="10411"/>
    <cellStyle name="20% - Accent1 4 2 2 6 3" xfId="10412"/>
    <cellStyle name="20% - Accent1 4 2 2 6 3 2" xfId="10413"/>
    <cellStyle name="20% - Accent1 4 2 2 6 3 3" xfId="10414"/>
    <cellStyle name="20% - Accent1 4 2 2 6 4" xfId="10415"/>
    <cellStyle name="20% - Accent1 4 2 2 6 4 2" xfId="10416"/>
    <cellStyle name="20% - Accent1 4 2 2 6 5" xfId="10417"/>
    <cellStyle name="20% - Accent1 4 2 2 6 6" xfId="10418"/>
    <cellStyle name="20% - Accent1 4 2 2 7" xfId="10419"/>
    <cellStyle name="20% - Accent1 4 2 2 7 2" xfId="10420"/>
    <cellStyle name="20% - Accent1 4 2 2 7 2 2" xfId="10421"/>
    <cellStyle name="20% - Accent1 4 2 2 7 2 3" xfId="10422"/>
    <cellStyle name="20% - Accent1 4 2 2 7 3" xfId="10423"/>
    <cellStyle name="20% - Accent1 4 2 2 7 3 2" xfId="10424"/>
    <cellStyle name="20% - Accent1 4 2 2 7 3 3" xfId="10425"/>
    <cellStyle name="20% - Accent1 4 2 2 7 4" xfId="10426"/>
    <cellStyle name="20% - Accent1 4 2 2 7 4 2" xfId="10427"/>
    <cellStyle name="20% - Accent1 4 2 2 7 5" xfId="10428"/>
    <cellStyle name="20% - Accent1 4 2 2 7 6" xfId="10429"/>
    <cellStyle name="20% - Accent1 4 2 2 8" xfId="10430"/>
    <cellStyle name="20% - Accent1 4 2 2 8 2" xfId="10431"/>
    <cellStyle name="20% - Accent1 4 2 2 8 2 2" xfId="10432"/>
    <cellStyle name="20% - Accent1 4 2 2 8 2 3" xfId="10433"/>
    <cellStyle name="20% - Accent1 4 2 2 8 3" xfId="10434"/>
    <cellStyle name="20% - Accent1 4 2 2 8 3 2" xfId="10435"/>
    <cellStyle name="20% - Accent1 4 2 2 8 4" xfId="10436"/>
    <cellStyle name="20% - Accent1 4 2 2 8 5" xfId="10437"/>
    <cellStyle name="20% - Accent1 4 2 2 9" xfId="10438"/>
    <cellStyle name="20% - Accent1 4 2 2 9 2" xfId="10439"/>
    <cellStyle name="20% - Accent1 4 2 2 9 3" xfId="10440"/>
    <cellStyle name="20% - Accent1 4 2 3" xfId="159"/>
    <cellStyle name="20% - Accent1 4 2 3 10" xfId="10441"/>
    <cellStyle name="20% - Accent1 4 2 3 10 2" xfId="10442"/>
    <cellStyle name="20% - Accent1 4 2 3 11" xfId="10443"/>
    <cellStyle name="20% - Accent1 4 2 3 12" xfId="10444"/>
    <cellStyle name="20% - Accent1 4 2 3 2" xfId="160"/>
    <cellStyle name="20% - Accent1 4 2 3 2 10" xfId="10445"/>
    <cellStyle name="20% - Accent1 4 2 3 2 2" xfId="161"/>
    <cellStyle name="20% - Accent1 4 2 3 2 2 2" xfId="10446"/>
    <cellStyle name="20% - Accent1 4 2 3 2 2 2 2" xfId="10447"/>
    <cellStyle name="20% - Accent1 4 2 3 2 2 2 2 2" xfId="10448"/>
    <cellStyle name="20% - Accent1 4 2 3 2 2 2 2 3" xfId="10449"/>
    <cellStyle name="20% - Accent1 4 2 3 2 2 2 3" xfId="10450"/>
    <cellStyle name="20% - Accent1 4 2 3 2 2 2 3 2" xfId="10451"/>
    <cellStyle name="20% - Accent1 4 2 3 2 2 2 3 3" xfId="10452"/>
    <cellStyle name="20% - Accent1 4 2 3 2 2 2 4" xfId="10453"/>
    <cellStyle name="20% - Accent1 4 2 3 2 2 2 4 2" xfId="10454"/>
    <cellStyle name="20% - Accent1 4 2 3 2 2 2 5" xfId="10455"/>
    <cellStyle name="20% - Accent1 4 2 3 2 2 2 6" xfId="10456"/>
    <cellStyle name="20% - Accent1 4 2 3 2 2 3" xfId="10457"/>
    <cellStyle name="20% - Accent1 4 2 3 2 2 3 2" xfId="10458"/>
    <cellStyle name="20% - Accent1 4 2 3 2 2 3 2 2" xfId="10459"/>
    <cellStyle name="20% - Accent1 4 2 3 2 2 3 2 3" xfId="10460"/>
    <cellStyle name="20% - Accent1 4 2 3 2 2 3 3" xfId="10461"/>
    <cellStyle name="20% - Accent1 4 2 3 2 2 3 3 2" xfId="10462"/>
    <cellStyle name="20% - Accent1 4 2 3 2 2 3 3 3" xfId="10463"/>
    <cellStyle name="20% - Accent1 4 2 3 2 2 3 4" xfId="10464"/>
    <cellStyle name="20% - Accent1 4 2 3 2 2 3 4 2" xfId="10465"/>
    <cellStyle name="20% - Accent1 4 2 3 2 2 3 5" xfId="10466"/>
    <cellStyle name="20% - Accent1 4 2 3 2 2 3 6" xfId="10467"/>
    <cellStyle name="20% - Accent1 4 2 3 2 2 4" xfId="10468"/>
    <cellStyle name="20% - Accent1 4 2 3 2 2 4 2" xfId="10469"/>
    <cellStyle name="20% - Accent1 4 2 3 2 2 4 2 2" xfId="10470"/>
    <cellStyle name="20% - Accent1 4 2 3 2 2 4 2 3" xfId="10471"/>
    <cellStyle name="20% - Accent1 4 2 3 2 2 4 3" xfId="10472"/>
    <cellStyle name="20% - Accent1 4 2 3 2 2 4 3 2" xfId="10473"/>
    <cellStyle name="20% - Accent1 4 2 3 2 2 4 4" xfId="10474"/>
    <cellStyle name="20% - Accent1 4 2 3 2 2 4 5" xfId="10475"/>
    <cellStyle name="20% - Accent1 4 2 3 2 2 5" xfId="10476"/>
    <cellStyle name="20% - Accent1 4 2 3 2 2 5 2" xfId="10477"/>
    <cellStyle name="20% - Accent1 4 2 3 2 2 5 3" xfId="10478"/>
    <cellStyle name="20% - Accent1 4 2 3 2 2 6" xfId="10479"/>
    <cellStyle name="20% - Accent1 4 2 3 2 2 6 2" xfId="10480"/>
    <cellStyle name="20% - Accent1 4 2 3 2 2 6 3" xfId="10481"/>
    <cellStyle name="20% - Accent1 4 2 3 2 2 7" xfId="10482"/>
    <cellStyle name="20% - Accent1 4 2 3 2 2 7 2" xfId="10483"/>
    <cellStyle name="20% - Accent1 4 2 3 2 2 8" xfId="10484"/>
    <cellStyle name="20% - Accent1 4 2 3 2 2 9" xfId="10485"/>
    <cellStyle name="20% - Accent1 4 2 3 2 3" xfId="10486"/>
    <cellStyle name="20% - Accent1 4 2 3 2 3 2" xfId="10487"/>
    <cellStyle name="20% - Accent1 4 2 3 2 3 2 2" xfId="10488"/>
    <cellStyle name="20% - Accent1 4 2 3 2 3 2 3" xfId="10489"/>
    <cellStyle name="20% - Accent1 4 2 3 2 3 3" xfId="10490"/>
    <cellStyle name="20% - Accent1 4 2 3 2 3 3 2" xfId="10491"/>
    <cellStyle name="20% - Accent1 4 2 3 2 3 3 3" xfId="10492"/>
    <cellStyle name="20% - Accent1 4 2 3 2 3 4" xfId="10493"/>
    <cellStyle name="20% - Accent1 4 2 3 2 3 4 2" xfId="10494"/>
    <cellStyle name="20% - Accent1 4 2 3 2 3 5" xfId="10495"/>
    <cellStyle name="20% - Accent1 4 2 3 2 3 6" xfId="10496"/>
    <cellStyle name="20% - Accent1 4 2 3 2 4" xfId="10497"/>
    <cellStyle name="20% - Accent1 4 2 3 2 4 2" xfId="10498"/>
    <cellStyle name="20% - Accent1 4 2 3 2 4 2 2" xfId="10499"/>
    <cellStyle name="20% - Accent1 4 2 3 2 4 2 3" xfId="10500"/>
    <cellStyle name="20% - Accent1 4 2 3 2 4 3" xfId="10501"/>
    <cellStyle name="20% - Accent1 4 2 3 2 4 3 2" xfId="10502"/>
    <cellStyle name="20% - Accent1 4 2 3 2 4 3 3" xfId="10503"/>
    <cellStyle name="20% - Accent1 4 2 3 2 4 4" xfId="10504"/>
    <cellStyle name="20% - Accent1 4 2 3 2 4 4 2" xfId="10505"/>
    <cellStyle name="20% - Accent1 4 2 3 2 4 5" xfId="10506"/>
    <cellStyle name="20% - Accent1 4 2 3 2 4 6" xfId="10507"/>
    <cellStyle name="20% - Accent1 4 2 3 2 5" xfId="10508"/>
    <cellStyle name="20% - Accent1 4 2 3 2 5 2" xfId="10509"/>
    <cellStyle name="20% - Accent1 4 2 3 2 5 2 2" xfId="10510"/>
    <cellStyle name="20% - Accent1 4 2 3 2 5 2 3" xfId="10511"/>
    <cellStyle name="20% - Accent1 4 2 3 2 5 3" xfId="10512"/>
    <cellStyle name="20% - Accent1 4 2 3 2 5 3 2" xfId="10513"/>
    <cellStyle name="20% - Accent1 4 2 3 2 5 4" xfId="10514"/>
    <cellStyle name="20% - Accent1 4 2 3 2 5 5" xfId="10515"/>
    <cellStyle name="20% - Accent1 4 2 3 2 6" xfId="10516"/>
    <cellStyle name="20% - Accent1 4 2 3 2 6 2" xfId="10517"/>
    <cellStyle name="20% - Accent1 4 2 3 2 6 3" xfId="10518"/>
    <cellStyle name="20% - Accent1 4 2 3 2 7" xfId="10519"/>
    <cellStyle name="20% - Accent1 4 2 3 2 7 2" xfId="10520"/>
    <cellStyle name="20% - Accent1 4 2 3 2 7 3" xfId="10521"/>
    <cellStyle name="20% - Accent1 4 2 3 2 8" xfId="10522"/>
    <cellStyle name="20% - Accent1 4 2 3 2 8 2" xfId="10523"/>
    <cellStyle name="20% - Accent1 4 2 3 2 9" xfId="10524"/>
    <cellStyle name="20% - Accent1 4 2 3 3" xfId="162"/>
    <cellStyle name="20% - Accent1 4 2 3 3 2" xfId="10525"/>
    <cellStyle name="20% - Accent1 4 2 3 3 2 2" xfId="10526"/>
    <cellStyle name="20% - Accent1 4 2 3 3 2 2 2" xfId="10527"/>
    <cellStyle name="20% - Accent1 4 2 3 3 2 2 3" xfId="10528"/>
    <cellStyle name="20% - Accent1 4 2 3 3 2 3" xfId="10529"/>
    <cellStyle name="20% - Accent1 4 2 3 3 2 3 2" xfId="10530"/>
    <cellStyle name="20% - Accent1 4 2 3 3 2 3 3" xfId="10531"/>
    <cellStyle name="20% - Accent1 4 2 3 3 2 4" xfId="10532"/>
    <cellStyle name="20% - Accent1 4 2 3 3 2 4 2" xfId="10533"/>
    <cellStyle name="20% - Accent1 4 2 3 3 2 5" xfId="10534"/>
    <cellStyle name="20% - Accent1 4 2 3 3 2 6" xfId="10535"/>
    <cellStyle name="20% - Accent1 4 2 3 3 3" xfId="10536"/>
    <cellStyle name="20% - Accent1 4 2 3 3 3 2" xfId="10537"/>
    <cellStyle name="20% - Accent1 4 2 3 3 3 2 2" xfId="10538"/>
    <cellStyle name="20% - Accent1 4 2 3 3 3 2 3" xfId="10539"/>
    <cellStyle name="20% - Accent1 4 2 3 3 3 3" xfId="10540"/>
    <cellStyle name="20% - Accent1 4 2 3 3 3 3 2" xfId="10541"/>
    <cellStyle name="20% - Accent1 4 2 3 3 3 3 3" xfId="10542"/>
    <cellStyle name="20% - Accent1 4 2 3 3 3 4" xfId="10543"/>
    <cellStyle name="20% - Accent1 4 2 3 3 3 4 2" xfId="10544"/>
    <cellStyle name="20% - Accent1 4 2 3 3 3 5" xfId="10545"/>
    <cellStyle name="20% - Accent1 4 2 3 3 3 6" xfId="10546"/>
    <cellStyle name="20% - Accent1 4 2 3 3 4" xfId="10547"/>
    <cellStyle name="20% - Accent1 4 2 3 3 4 2" xfId="10548"/>
    <cellStyle name="20% - Accent1 4 2 3 3 4 2 2" xfId="10549"/>
    <cellStyle name="20% - Accent1 4 2 3 3 4 2 3" xfId="10550"/>
    <cellStyle name="20% - Accent1 4 2 3 3 4 3" xfId="10551"/>
    <cellStyle name="20% - Accent1 4 2 3 3 4 3 2" xfId="10552"/>
    <cellStyle name="20% - Accent1 4 2 3 3 4 4" xfId="10553"/>
    <cellStyle name="20% - Accent1 4 2 3 3 4 5" xfId="10554"/>
    <cellStyle name="20% - Accent1 4 2 3 3 5" xfId="10555"/>
    <cellStyle name="20% - Accent1 4 2 3 3 5 2" xfId="10556"/>
    <cellStyle name="20% - Accent1 4 2 3 3 5 3" xfId="10557"/>
    <cellStyle name="20% - Accent1 4 2 3 3 6" xfId="10558"/>
    <cellStyle name="20% - Accent1 4 2 3 3 6 2" xfId="10559"/>
    <cellStyle name="20% - Accent1 4 2 3 3 6 3" xfId="10560"/>
    <cellStyle name="20% - Accent1 4 2 3 3 7" xfId="10561"/>
    <cellStyle name="20% - Accent1 4 2 3 3 7 2" xfId="10562"/>
    <cellStyle name="20% - Accent1 4 2 3 3 8" xfId="10563"/>
    <cellStyle name="20% - Accent1 4 2 3 3 9" xfId="10564"/>
    <cellStyle name="20% - Accent1 4 2 3 4" xfId="10565"/>
    <cellStyle name="20% - Accent1 4 2 3 4 2" xfId="10566"/>
    <cellStyle name="20% - Accent1 4 2 3 4 2 2" xfId="10567"/>
    <cellStyle name="20% - Accent1 4 2 3 4 2 2 2" xfId="10568"/>
    <cellStyle name="20% - Accent1 4 2 3 4 2 2 3" xfId="10569"/>
    <cellStyle name="20% - Accent1 4 2 3 4 2 3" xfId="10570"/>
    <cellStyle name="20% - Accent1 4 2 3 4 2 3 2" xfId="10571"/>
    <cellStyle name="20% - Accent1 4 2 3 4 2 3 3" xfId="10572"/>
    <cellStyle name="20% - Accent1 4 2 3 4 2 4" xfId="10573"/>
    <cellStyle name="20% - Accent1 4 2 3 4 2 4 2" xfId="10574"/>
    <cellStyle name="20% - Accent1 4 2 3 4 2 5" xfId="10575"/>
    <cellStyle name="20% - Accent1 4 2 3 4 2 6" xfId="10576"/>
    <cellStyle name="20% - Accent1 4 2 3 4 3" xfId="10577"/>
    <cellStyle name="20% - Accent1 4 2 3 4 3 2" xfId="10578"/>
    <cellStyle name="20% - Accent1 4 2 3 4 3 2 2" xfId="10579"/>
    <cellStyle name="20% - Accent1 4 2 3 4 3 2 3" xfId="10580"/>
    <cellStyle name="20% - Accent1 4 2 3 4 3 3" xfId="10581"/>
    <cellStyle name="20% - Accent1 4 2 3 4 3 3 2" xfId="10582"/>
    <cellStyle name="20% - Accent1 4 2 3 4 3 3 3" xfId="10583"/>
    <cellStyle name="20% - Accent1 4 2 3 4 3 4" xfId="10584"/>
    <cellStyle name="20% - Accent1 4 2 3 4 3 4 2" xfId="10585"/>
    <cellStyle name="20% - Accent1 4 2 3 4 3 5" xfId="10586"/>
    <cellStyle name="20% - Accent1 4 2 3 4 3 6" xfId="10587"/>
    <cellStyle name="20% - Accent1 4 2 3 4 4" xfId="10588"/>
    <cellStyle name="20% - Accent1 4 2 3 4 4 2" xfId="10589"/>
    <cellStyle name="20% - Accent1 4 2 3 4 4 2 2" xfId="10590"/>
    <cellStyle name="20% - Accent1 4 2 3 4 4 2 3" xfId="10591"/>
    <cellStyle name="20% - Accent1 4 2 3 4 4 3" xfId="10592"/>
    <cellStyle name="20% - Accent1 4 2 3 4 4 3 2" xfId="10593"/>
    <cellStyle name="20% - Accent1 4 2 3 4 4 4" xfId="10594"/>
    <cellStyle name="20% - Accent1 4 2 3 4 4 5" xfId="10595"/>
    <cellStyle name="20% - Accent1 4 2 3 4 5" xfId="10596"/>
    <cellStyle name="20% - Accent1 4 2 3 4 5 2" xfId="10597"/>
    <cellStyle name="20% - Accent1 4 2 3 4 5 3" xfId="10598"/>
    <cellStyle name="20% - Accent1 4 2 3 4 6" xfId="10599"/>
    <cellStyle name="20% - Accent1 4 2 3 4 6 2" xfId="10600"/>
    <cellStyle name="20% - Accent1 4 2 3 4 6 3" xfId="10601"/>
    <cellStyle name="20% - Accent1 4 2 3 4 7" xfId="10602"/>
    <cellStyle name="20% - Accent1 4 2 3 4 7 2" xfId="10603"/>
    <cellStyle name="20% - Accent1 4 2 3 4 8" xfId="10604"/>
    <cellStyle name="20% - Accent1 4 2 3 4 9" xfId="10605"/>
    <cellStyle name="20% - Accent1 4 2 3 5" xfId="10606"/>
    <cellStyle name="20% - Accent1 4 2 3 5 2" xfId="10607"/>
    <cellStyle name="20% - Accent1 4 2 3 5 2 2" xfId="10608"/>
    <cellStyle name="20% - Accent1 4 2 3 5 2 3" xfId="10609"/>
    <cellStyle name="20% - Accent1 4 2 3 5 3" xfId="10610"/>
    <cellStyle name="20% - Accent1 4 2 3 5 3 2" xfId="10611"/>
    <cellStyle name="20% - Accent1 4 2 3 5 3 3" xfId="10612"/>
    <cellStyle name="20% - Accent1 4 2 3 5 4" xfId="10613"/>
    <cellStyle name="20% - Accent1 4 2 3 5 4 2" xfId="10614"/>
    <cellStyle name="20% - Accent1 4 2 3 5 5" xfId="10615"/>
    <cellStyle name="20% - Accent1 4 2 3 5 6" xfId="10616"/>
    <cellStyle name="20% - Accent1 4 2 3 6" xfId="10617"/>
    <cellStyle name="20% - Accent1 4 2 3 6 2" xfId="10618"/>
    <cellStyle name="20% - Accent1 4 2 3 6 2 2" xfId="10619"/>
    <cellStyle name="20% - Accent1 4 2 3 6 2 3" xfId="10620"/>
    <cellStyle name="20% - Accent1 4 2 3 6 3" xfId="10621"/>
    <cellStyle name="20% - Accent1 4 2 3 6 3 2" xfId="10622"/>
    <cellStyle name="20% - Accent1 4 2 3 6 3 3" xfId="10623"/>
    <cellStyle name="20% - Accent1 4 2 3 6 4" xfId="10624"/>
    <cellStyle name="20% - Accent1 4 2 3 6 4 2" xfId="10625"/>
    <cellStyle name="20% - Accent1 4 2 3 6 5" xfId="10626"/>
    <cellStyle name="20% - Accent1 4 2 3 6 6" xfId="10627"/>
    <cellStyle name="20% - Accent1 4 2 3 7" xfId="10628"/>
    <cellStyle name="20% - Accent1 4 2 3 7 2" xfId="10629"/>
    <cellStyle name="20% - Accent1 4 2 3 7 2 2" xfId="10630"/>
    <cellStyle name="20% - Accent1 4 2 3 7 2 3" xfId="10631"/>
    <cellStyle name="20% - Accent1 4 2 3 7 3" xfId="10632"/>
    <cellStyle name="20% - Accent1 4 2 3 7 3 2" xfId="10633"/>
    <cellStyle name="20% - Accent1 4 2 3 7 4" xfId="10634"/>
    <cellStyle name="20% - Accent1 4 2 3 7 5" xfId="10635"/>
    <cellStyle name="20% - Accent1 4 2 3 8" xfId="10636"/>
    <cellStyle name="20% - Accent1 4 2 3 8 2" xfId="10637"/>
    <cellStyle name="20% - Accent1 4 2 3 8 3" xfId="10638"/>
    <cellStyle name="20% - Accent1 4 2 3 9" xfId="10639"/>
    <cellStyle name="20% - Accent1 4 2 3 9 2" xfId="10640"/>
    <cellStyle name="20% - Accent1 4 2 3 9 3" xfId="10641"/>
    <cellStyle name="20% - Accent1 4 2 4" xfId="163"/>
    <cellStyle name="20% - Accent1 4 2 4 10" xfId="10642"/>
    <cellStyle name="20% - Accent1 4 2 4 2" xfId="164"/>
    <cellStyle name="20% - Accent1 4 2 4 2 2" xfId="10643"/>
    <cellStyle name="20% - Accent1 4 2 4 2 2 2" xfId="10644"/>
    <cellStyle name="20% - Accent1 4 2 4 2 2 2 2" xfId="10645"/>
    <cellStyle name="20% - Accent1 4 2 4 2 2 2 3" xfId="10646"/>
    <cellStyle name="20% - Accent1 4 2 4 2 2 3" xfId="10647"/>
    <cellStyle name="20% - Accent1 4 2 4 2 2 3 2" xfId="10648"/>
    <cellStyle name="20% - Accent1 4 2 4 2 2 3 3" xfId="10649"/>
    <cellStyle name="20% - Accent1 4 2 4 2 2 4" xfId="10650"/>
    <cellStyle name="20% - Accent1 4 2 4 2 2 4 2" xfId="10651"/>
    <cellStyle name="20% - Accent1 4 2 4 2 2 5" xfId="10652"/>
    <cellStyle name="20% - Accent1 4 2 4 2 2 6" xfId="10653"/>
    <cellStyle name="20% - Accent1 4 2 4 2 3" xfId="10654"/>
    <cellStyle name="20% - Accent1 4 2 4 2 3 2" xfId="10655"/>
    <cellStyle name="20% - Accent1 4 2 4 2 3 2 2" xfId="10656"/>
    <cellStyle name="20% - Accent1 4 2 4 2 3 2 3" xfId="10657"/>
    <cellStyle name="20% - Accent1 4 2 4 2 3 3" xfId="10658"/>
    <cellStyle name="20% - Accent1 4 2 4 2 3 3 2" xfId="10659"/>
    <cellStyle name="20% - Accent1 4 2 4 2 3 3 3" xfId="10660"/>
    <cellStyle name="20% - Accent1 4 2 4 2 3 4" xfId="10661"/>
    <cellStyle name="20% - Accent1 4 2 4 2 3 4 2" xfId="10662"/>
    <cellStyle name="20% - Accent1 4 2 4 2 3 5" xfId="10663"/>
    <cellStyle name="20% - Accent1 4 2 4 2 3 6" xfId="10664"/>
    <cellStyle name="20% - Accent1 4 2 4 2 4" xfId="10665"/>
    <cellStyle name="20% - Accent1 4 2 4 2 4 2" xfId="10666"/>
    <cellStyle name="20% - Accent1 4 2 4 2 4 2 2" xfId="10667"/>
    <cellStyle name="20% - Accent1 4 2 4 2 4 2 3" xfId="10668"/>
    <cellStyle name="20% - Accent1 4 2 4 2 4 3" xfId="10669"/>
    <cellStyle name="20% - Accent1 4 2 4 2 4 3 2" xfId="10670"/>
    <cellStyle name="20% - Accent1 4 2 4 2 4 4" xfId="10671"/>
    <cellStyle name="20% - Accent1 4 2 4 2 4 5" xfId="10672"/>
    <cellStyle name="20% - Accent1 4 2 4 2 5" xfId="10673"/>
    <cellStyle name="20% - Accent1 4 2 4 2 5 2" xfId="10674"/>
    <cellStyle name="20% - Accent1 4 2 4 2 5 3" xfId="10675"/>
    <cellStyle name="20% - Accent1 4 2 4 2 6" xfId="10676"/>
    <cellStyle name="20% - Accent1 4 2 4 2 6 2" xfId="10677"/>
    <cellStyle name="20% - Accent1 4 2 4 2 6 3" xfId="10678"/>
    <cellStyle name="20% - Accent1 4 2 4 2 7" xfId="10679"/>
    <cellStyle name="20% - Accent1 4 2 4 2 7 2" xfId="10680"/>
    <cellStyle name="20% - Accent1 4 2 4 2 8" xfId="10681"/>
    <cellStyle name="20% - Accent1 4 2 4 2 9" xfId="10682"/>
    <cellStyle name="20% - Accent1 4 2 4 3" xfId="10683"/>
    <cellStyle name="20% - Accent1 4 2 4 3 2" xfId="10684"/>
    <cellStyle name="20% - Accent1 4 2 4 3 2 2" xfId="10685"/>
    <cellStyle name="20% - Accent1 4 2 4 3 2 3" xfId="10686"/>
    <cellStyle name="20% - Accent1 4 2 4 3 3" xfId="10687"/>
    <cellStyle name="20% - Accent1 4 2 4 3 3 2" xfId="10688"/>
    <cellStyle name="20% - Accent1 4 2 4 3 3 3" xfId="10689"/>
    <cellStyle name="20% - Accent1 4 2 4 3 4" xfId="10690"/>
    <cellStyle name="20% - Accent1 4 2 4 3 4 2" xfId="10691"/>
    <cellStyle name="20% - Accent1 4 2 4 3 5" xfId="10692"/>
    <cellStyle name="20% - Accent1 4 2 4 3 6" xfId="10693"/>
    <cellStyle name="20% - Accent1 4 2 4 4" xfId="10694"/>
    <cellStyle name="20% - Accent1 4 2 4 4 2" xfId="10695"/>
    <cellStyle name="20% - Accent1 4 2 4 4 2 2" xfId="10696"/>
    <cellStyle name="20% - Accent1 4 2 4 4 2 3" xfId="10697"/>
    <cellStyle name="20% - Accent1 4 2 4 4 3" xfId="10698"/>
    <cellStyle name="20% - Accent1 4 2 4 4 3 2" xfId="10699"/>
    <cellStyle name="20% - Accent1 4 2 4 4 3 3" xfId="10700"/>
    <cellStyle name="20% - Accent1 4 2 4 4 4" xfId="10701"/>
    <cellStyle name="20% - Accent1 4 2 4 4 4 2" xfId="10702"/>
    <cellStyle name="20% - Accent1 4 2 4 4 5" xfId="10703"/>
    <cellStyle name="20% - Accent1 4 2 4 4 6" xfId="10704"/>
    <cellStyle name="20% - Accent1 4 2 4 5" xfId="10705"/>
    <cellStyle name="20% - Accent1 4 2 4 5 2" xfId="10706"/>
    <cellStyle name="20% - Accent1 4 2 4 5 2 2" xfId="10707"/>
    <cellStyle name="20% - Accent1 4 2 4 5 2 3" xfId="10708"/>
    <cellStyle name="20% - Accent1 4 2 4 5 3" xfId="10709"/>
    <cellStyle name="20% - Accent1 4 2 4 5 3 2" xfId="10710"/>
    <cellStyle name="20% - Accent1 4 2 4 5 4" xfId="10711"/>
    <cellStyle name="20% - Accent1 4 2 4 5 5" xfId="10712"/>
    <cellStyle name="20% - Accent1 4 2 4 6" xfId="10713"/>
    <cellStyle name="20% - Accent1 4 2 4 6 2" xfId="10714"/>
    <cellStyle name="20% - Accent1 4 2 4 6 3" xfId="10715"/>
    <cellStyle name="20% - Accent1 4 2 4 7" xfId="10716"/>
    <cellStyle name="20% - Accent1 4 2 4 7 2" xfId="10717"/>
    <cellStyle name="20% - Accent1 4 2 4 7 3" xfId="10718"/>
    <cellStyle name="20% - Accent1 4 2 4 8" xfId="10719"/>
    <cellStyle name="20% - Accent1 4 2 4 8 2" xfId="10720"/>
    <cellStyle name="20% - Accent1 4 2 4 9" xfId="10721"/>
    <cellStyle name="20% - Accent1 4 2 5" xfId="165"/>
    <cellStyle name="20% - Accent1 4 2 5 2" xfId="10722"/>
    <cellStyle name="20% - Accent1 4 2 5 2 2" xfId="10723"/>
    <cellStyle name="20% - Accent1 4 2 5 2 2 2" xfId="10724"/>
    <cellStyle name="20% - Accent1 4 2 5 2 2 3" xfId="10725"/>
    <cellStyle name="20% - Accent1 4 2 5 2 3" xfId="10726"/>
    <cellStyle name="20% - Accent1 4 2 5 2 3 2" xfId="10727"/>
    <cellStyle name="20% - Accent1 4 2 5 2 3 3" xfId="10728"/>
    <cellStyle name="20% - Accent1 4 2 5 2 4" xfId="10729"/>
    <cellStyle name="20% - Accent1 4 2 5 2 4 2" xfId="10730"/>
    <cellStyle name="20% - Accent1 4 2 5 2 5" xfId="10731"/>
    <cellStyle name="20% - Accent1 4 2 5 2 6" xfId="10732"/>
    <cellStyle name="20% - Accent1 4 2 5 3" xfId="10733"/>
    <cellStyle name="20% - Accent1 4 2 5 3 2" xfId="10734"/>
    <cellStyle name="20% - Accent1 4 2 5 3 2 2" xfId="10735"/>
    <cellStyle name="20% - Accent1 4 2 5 3 2 3" xfId="10736"/>
    <cellStyle name="20% - Accent1 4 2 5 3 3" xfId="10737"/>
    <cellStyle name="20% - Accent1 4 2 5 3 3 2" xfId="10738"/>
    <cellStyle name="20% - Accent1 4 2 5 3 3 3" xfId="10739"/>
    <cellStyle name="20% - Accent1 4 2 5 3 4" xfId="10740"/>
    <cellStyle name="20% - Accent1 4 2 5 3 4 2" xfId="10741"/>
    <cellStyle name="20% - Accent1 4 2 5 3 5" xfId="10742"/>
    <cellStyle name="20% - Accent1 4 2 5 3 6" xfId="10743"/>
    <cellStyle name="20% - Accent1 4 2 5 4" xfId="10744"/>
    <cellStyle name="20% - Accent1 4 2 5 4 2" xfId="10745"/>
    <cellStyle name="20% - Accent1 4 2 5 4 2 2" xfId="10746"/>
    <cellStyle name="20% - Accent1 4 2 5 4 2 3" xfId="10747"/>
    <cellStyle name="20% - Accent1 4 2 5 4 3" xfId="10748"/>
    <cellStyle name="20% - Accent1 4 2 5 4 3 2" xfId="10749"/>
    <cellStyle name="20% - Accent1 4 2 5 4 4" xfId="10750"/>
    <cellStyle name="20% - Accent1 4 2 5 4 5" xfId="10751"/>
    <cellStyle name="20% - Accent1 4 2 5 5" xfId="10752"/>
    <cellStyle name="20% - Accent1 4 2 5 5 2" xfId="10753"/>
    <cellStyle name="20% - Accent1 4 2 5 5 3" xfId="10754"/>
    <cellStyle name="20% - Accent1 4 2 5 6" xfId="10755"/>
    <cellStyle name="20% - Accent1 4 2 5 6 2" xfId="10756"/>
    <cellStyle name="20% - Accent1 4 2 5 6 3" xfId="10757"/>
    <cellStyle name="20% - Accent1 4 2 5 7" xfId="10758"/>
    <cellStyle name="20% - Accent1 4 2 5 7 2" xfId="10759"/>
    <cellStyle name="20% - Accent1 4 2 5 8" xfId="10760"/>
    <cellStyle name="20% - Accent1 4 2 5 9" xfId="10761"/>
    <cellStyle name="20% - Accent1 4 2 6" xfId="10762"/>
    <cellStyle name="20% - Accent1 4 2 6 2" xfId="10763"/>
    <cellStyle name="20% - Accent1 4 2 6 2 2" xfId="10764"/>
    <cellStyle name="20% - Accent1 4 2 6 2 2 2" xfId="10765"/>
    <cellStyle name="20% - Accent1 4 2 6 2 2 3" xfId="10766"/>
    <cellStyle name="20% - Accent1 4 2 6 2 3" xfId="10767"/>
    <cellStyle name="20% - Accent1 4 2 6 2 3 2" xfId="10768"/>
    <cellStyle name="20% - Accent1 4 2 6 2 3 3" xfId="10769"/>
    <cellStyle name="20% - Accent1 4 2 6 2 4" xfId="10770"/>
    <cellStyle name="20% - Accent1 4 2 6 2 4 2" xfId="10771"/>
    <cellStyle name="20% - Accent1 4 2 6 2 5" xfId="10772"/>
    <cellStyle name="20% - Accent1 4 2 6 2 6" xfId="10773"/>
    <cellStyle name="20% - Accent1 4 2 6 3" xfId="10774"/>
    <cellStyle name="20% - Accent1 4 2 6 3 2" xfId="10775"/>
    <cellStyle name="20% - Accent1 4 2 6 3 2 2" xfId="10776"/>
    <cellStyle name="20% - Accent1 4 2 6 3 2 3" xfId="10777"/>
    <cellStyle name="20% - Accent1 4 2 6 3 3" xfId="10778"/>
    <cellStyle name="20% - Accent1 4 2 6 3 3 2" xfId="10779"/>
    <cellStyle name="20% - Accent1 4 2 6 3 3 3" xfId="10780"/>
    <cellStyle name="20% - Accent1 4 2 6 3 4" xfId="10781"/>
    <cellStyle name="20% - Accent1 4 2 6 3 4 2" xfId="10782"/>
    <cellStyle name="20% - Accent1 4 2 6 3 5" xfId="10783"/>
    <cellStyle name="20% - Accent1 4 2 6 3 6" xfId="10784"/>
    <cellStyle name="20% - Accent1 4 2 6 4" xfId="10785"/>
    <cellStyle name="20% - Accent1 4 2 6 4 2" xfId="10786"/>
    <cellStyle name="20% - Accent1 4 2 6 4 2 2" xfId="10787"/>
    <cellStyle name="20% - Accent1 4 2 6 4 2 3" xfId="10788"/>
    <cellStyle name="20% - Accent1 4 2 6 4 3" xfId="10789"/>
    <cellStyle name="20% - Accent1 4 2 6 4 3 2" xfId="10790"/>
    <cellStyle name="20% - Accent1 4 2 6 4 4" xfId="10791"/>
    <cellStyle name="20% - Accent1 4 2 6 4 5" xfId="10792"/>
    <cellStyle name="20% - Accent1 4 2 6 5" xfId="10793"/>
    <cellStyle name="20% - Accent1 4 2 6 5 2" xfId="10794"/>
    <cellStyle name="20% - Accent1 4 2 6 5 3" xfId="10795"/>
    <cellStyle name="20% - Accent1 4 2 6 6" xfId="10796"/>
    <cellStyle name="20% - Accent1 4 2 6 6 2" xfId="10797"/>
    <cellStyle name="20% - Accent1 4 2 6 6 3" xfId="10798"/>
    <cellStyle name="20% - Accent1 4 2 6 7" xfId="10799"/>
    <cellStyle name="20% - Accent1 4 2 6 7 2" xfId="10800"/>
    <cellStyle name="20% - Accent1 4 2 6 8" xfId="10801"/>
    <cellStyle name="20% - Accent1 4 2 6 9" xfId="10802"/>
    <cellStyle name="20% - Accent1 4 2 7" xfId="10803"/>
    <cellStyle name="20% - Accent1 4 2 7 2" xfId="10804"/>
    <cellStyle name="20% - Accent1 4 2 7 2 2" xfId="10805"/>
    <cellStyle name="20% - Accent1 4 2 7 2 3" xfId="10806"/>
    <cellStyle name="20% - Accent1 4 2 7 3" xfId="10807"/>
    <cellStyle name="20% - Accent1 4 2 7 3 2" xfId="10808"/>
    <cellStyle name="20% - Accent1 4 2 7 3 3" xfId="10809"/>
    <cellStyle name="20% - Accent1 4 2 7 4" xfId="10810"/>
    <cellStyle name="20% - Accent1 4 2 7 4 2" xfId="10811"/>
    <cellStyle name="20% - Accent1 4 2 7 5" xfId="10812"/>
    <cellStyle name="20% - Accent1 4 2 7 6" xfId="10813"/>
    <cellStyle name="20% - Accent1 4 2 8" xfId="10814"/>
    <cellStyle name="20% - Accent1 4 2 8 2" xfId="10815"/>
    <cellStyle name="20% - Accent1 4 2 8 2 2" xfId="10816"/>
    <cellStyle name="20% - Accent1 4 2 8 2 3" xfId="10817"/>
    <cellStyle name="20% - Accent1 4 2 8 3" xfId="10818"/>
    <cellStyle name="20% - Accent1 4 2 8 3 2" xfId="10819"/>
    <cellStyle name="20% - Accent1 4 2 8 3 3" xfId="10820"/>
    <cellStyle name="20% - Accent1 4 2 8 4" xfId="10821"/>
    <cellStyle name="20% - Accent1 4 2 8 4 2" xfId="10822"/>
    <cellStyle name="20% - Accent1 4 2 8 5" xfId="10823"/>
    <cellStyle name="20% - Accent1 4 2 8 6" xfId="10824"/>
    <cellStyle name="20% - Accent1 4 2 9" xfId="10825"/>
    <cellStyle name="20% - Accent1 4 2 9 2" xfId="10826"/>
    <cellStyle name="20% - Accent1 4 2 9 2 2" xfId="10827"/>
    <cellStyle name="20% - Accent1 4 2 9 2 3" xfId="10828"/>
    <cellStyle name="20% - Accent1 4 2 9 3" xfId="10829"/>
    <cellStyle name="20% - Accent1 4 2 9 3 2" xfId="10830"/>
    <cellStyle name="20% - Accent1 4 2 9 4" xfId="10831"/>
    <cellStyle name="20% - Accent1 4 2 9 5" xfId="10832"/>
    <cellStyle name="20% - Accent1 4 3" xfId="166"/>
    <cellStyle name="20% - Accent1 4 3 10" xfId="10833"/>
    <cellStyle name="20% - Accent1 4 3 10 2" xfId="10834"/>
    <cellStyle name="20% - Accent1 4 3 10 3" xfId="10835"/>
    <cellStyle name="20% - Accent1 4 3 11" xfId="10836"/>
    <cellStyle name="20% - Accent1 4 3 11 2" xfId="10837"/>
    <cellStyle name="20% - Accent1 4 3 12" xfId="10838"/>
    <cellStyle name="20% - Accent1 4 3 13" xfId="10839"/>
    <cellStyle name="20% - Accent1 4 3 14" xfId="10840"/>
    <cellStyle name="20% - Accent1 4 3 2" xfId="167"/>
    <cellStyle name="20% - Accent1 4 3 2 10" xfId="10841"/>
    <cellStyle name="20% - Accent1 4 3 2 10 2" xfId="10842"/>
    <cellStyle name="20% - Accent1 4 3 2 11" xfId="10843"/>
    <cellStyle name="20% - Accent1 4 3 2 12" xfId="10844"/>
    <cellStyle name="20% - Accent1 4 3 2 2" xfId="168"/>
    <cellStyle name="20% - Accent1 4 3 2 2 10" xfId="10845"/>
    <cellStyle name="20% - Accent1 4 3 2 2 2" xfId="169"/>
    <cellStyle name="20% - Accent1 4 3 2 2 2 2" xfId="10846"/>
    <cellStyle name="20% - Accent1 4 3 2 2 2 2 2" xfId="10847"/>
    <cellStyle name="20% - Accent1 4 3 2 2 2 2 2 2" xfId="10848"/>
    <cellStyle name="20% - Accent1 4 3 2 2 2 2 2 3" xfId="10849"/>
    <cellStyle name="20% - Accent1 4 3 2 2 2 2 3" xfId="10850"/>
    <cellStyle name="20% - Accent1 4 3 2 2 2 2 3 2" xfId="10851"/>
    <cellStyle name="20% - Accent1 4 3 2 2 2 2 3 3" xfId="10852"/>
    <cellStyle name="20% - Accent1 4 3 2 2 2 2 4" xfId="10853"/>
    <cellStyle name="20% - Accent1 4 3 2 2 2 2 4 2" xfId="10854"/>
    <cellStyle name="20% - Accent1 4 3 2 2 2 2 5" xfId="10855"/>
    <cellStyle name="20% - Accent1 4 3 2 2 2 2 6" xfId="10856"/>
    <cellStyle name="20% - Accent1 4 3 2 2 2 3" xfId="10857"/>
    <cellStyle name="20% - Accent1 4 3 2 2 2 3 2" xfId="10858"/>
    <cellStyle name="20% - Accent1 4 3 2 2 2 3 2 2" xfId="10859"/>
    <cellStyle name="20% - Accent1 4 3 2 2 2 3 2 3" xfId="10860"/>
    <cellStyle name="20% - Accent1 4 3 2 2 2 3 3" xfId="10861"/>
    <cellStyle name="20% - Accent1 4 3 2 2 2 3 3 2" xfId="10862"/>
    <cellStyle name="20% - Accent1 4 3 2 2 2 3 3 3" xfId="10863"/>
    <cellStyle name="20% - Accent1 4 3 2 2 2 3 4" xfId="10864"/>
    <cellStyle name="20% - Accent1 4 3 2 2 2 3 4 2" xfId="10865"/>
    <cellStyle name="20% - Accent1 4 3 2 2 2 3 5" xfId="10866"/>
    <cellStyle name="20% - Accent1 4 3 2 2 2 3 6" xfId="10867"/>
    <cellStyle name="20% - Accent1 4 3 2 2 2 4" xfId="10868"/>
    <cellStyle name="20% - Accent1 4 3 2 2 2 4 2" xfId="10869"/>
    <cellStyle name="20% - Accent1 4 3 2 2 2 4 2 2" xfId="10870"/>
    <cellStyle name="20% - Accent1 4 3 2 2 2 4 2 3" xfId="10871"/>
    <cellStyle name="20% - Accent1 4 3 2 2 2 4 3" xfId="10872"/>
    <cellStyle name="20% - Accent1 4 3 2 2 2 4 3 2" xfId="10873"/>
    <cellStyle name="20% - Accent1 4 3 2 2 2 4 4" xfId="10874"/>
    <cellStyle name="20% - Accent1 4 3 2 2 2 4 5" xfId="10875"/>
    <cellStyle name="20% - Accent1 4 3 2 2 2 5" xfId="10876"/>
    <cellStyle name="20% - Accent1 4 3 2 2 2 5 2" xfId="10877"/>
    <cellStyle name="20% - Accent1 4 3 2 2 2 5 3" xfId="10878"/>
    <cellStyle name="20% - Accent1 4 3 2 2 2 6" xfId="10879"/>
    <cellStyle name="20% - Accent1 4 3 2 2 2 6 2" xfId="10880"/>
    <cellStyle name="20% - Accent1 4 3 2 2 2 6 3" xfId="10881"/>
    <cellStyle name="20% - Accent1 4 3 2 2 2 7" xfId="10882"/>
    <cellStyle name="20% - Accent1 4 3 2 2 2 7 2" xfId="10883"/>
    <cellStyle name="20% - Accent1 4 3 2 2 2 8" xfId="10884"/>
    <cellStyle name="20% - Accent1 4 3 2 2 2 9" xfId="10885"/>
    <cellStyle name="20% - Accent1 4 3 2 2 3" xfId="10886"/>
    <cellStyle name="20% - Accent1 4 3 2 2 3 2" xfId="10887"/>
    <cellStyle name="20% - Accent1 4 3 2 2 3 2 2" xfId="10888"/>
    <cellStyle name="20% - Accent1 4 3 2 2 3 2 3" xfId="10889"/>
    <cellStyle name="20% - Accent1 4 3 2 2 3 3" xfId="10890"/>
    <cellStyle name="20% - Accent1 4 3 2 2 3 3 2" xfId="10891"/>
    <cellStyle name="20% - Accent1 4 3 2 2 3 3 3" xfId="10892"/>
    <cellStyle name="20% - Accent1 4 3 2 2 3 4" xfId="10893"/>
    <cellStyle name="20% - Accent1 4 3 2 2 3 4 2" xfId="10894"/>
    <cellStyle name="20% - Accent1 4 3 2 2 3 5" xfId="10895"/>
    <cellStyle name="20% - Accent1 4 3 2 2 3 6" xfId="10896"/>
    <cellStyle name="20% - Accent1 4 3 2 2 4" xfId="10897"/>
    <cellStyle name="20% - Accent1 4 3 2 2 4 2" xfId="10898"/>
    <cellStyle name="20% - Accent1 4 3 2 2 4 2 2" xfId="10899"/>
    <cellStyle name="20% - Accent1 4 3 2 2 4 2 3" xfId="10900"/>
    <cellStyle name="20% - Accent1 4 3 2 2 4 3" xfId="10901"/>
    <cellStyle name="20% - Accent1 4 3 2 2 4 3 2" xfId="10902"/>
    <cellStyle name="20% - Accent1 4 3 2 2 4 3 3" xfId="10903"/>
    <cellStyle name="20% - Accent1 4 3 2 2 4 4" xfId="10904"/>
    <cellStyle name="20% - Accent1 4 3 2 2 4 4 2" xfId="10905"/>
    <cellStyle name="20% - Accent1 4 3 2 2 4 5" xfId="10906"/>
    <cellStyle name="20% - Accent1 4 3 2 2 4 6" xfId="10907"/>
    <cellStyle name="20% - Accent1 4 3 2 2 5" xfId="10908"/>
    <cellStyle name="20% - Accent1 4 3 2 2 5 2" xfId="10909"/>
    <cellStyle name="20% - Accent1 4 3 2 2 5 2 2" xfId="10910"/>
    <cellStyle name="20% - Accent1 4 3 2 2 5 2 3" xfId="10911"/>
    <cellStyle name="20% - Accent1 4 3 2 2 5 3" xfId="10912"/>
    <cellStyle name="20% - Accent1 4 3 2 2 5 3 2" xfId="10913"/>
    <cellStyle name="20% - Accent1 4 3 2 2 5 4" xfId="10914"/>
    <cellStyle name="20% - Accent1 4 3 2 2 5 5" xfId="10915"/>
    <cellStyle name="20% - Accent1 4 3 2 2 6" xfId="10916"/>
    <cellStyle name="20% - Accent1 4 3 2 2 6 2" xfId="10917"/>
    <cellStyle name="20% - Accent1 4 3 2 2 6 3" xfId="10918"/>
    <cellStyle name="20% - Accent1 4 3 2 2 7" xfId="10919"/>
    <cellStyle name="20% - Accent1 4 3 2 2 7 2" xfId="10920"/>
    <cellStyle name="20% - Accent1 4 3 2 2 7 3" xfId="10921"/>
    <cellStyle name="20% - Accent1 4 3 2 2 8" xfId="10922"/>
    <cellStyle name="20% - Accent1 4 3 2 2 8 2" xfId="10923"/>
    <cellStyle name="20% - Accent1 4 3 2 2 9" xfId="10924"/>
    <cellStyle name="20% - Accent1 4 3 2 3" xfId="170"/>
    <cellStyle name="20% - Accent1 4 3 2 3 2" xfId="10925"/>
    <cellStyle name="20% - Accent1 4 3 2 3 2 2" xfId="10926"/>
    <cellStyle name="20% - Accent1 4 3 2 3 2 2 2" xfId="10927"/>
    <cellStyle name="20% - Accent1 4 3 2 3 2 2 3" xfId="10928"/>
    <cellStyle name="20% - Accent1 4 3 2 3 2 3" xfId="10929"/>
    <cellStyle name="20% - Accent1 4 3 2 3 2 3 2" xfId="10930"/>
    <cellStyle name="20% - Accent1 4 3 2 3 2 3 3" xfId="10931"/>
    <cellStyle name="20% - Accent1 4 3 2 3 2 4" xfId="10932"/>
    <cellStyle name="20% - Accent1 4 3 2 3 2 4 2" xfId="10933"/>
    <cellStyle name="20% - Accent1 4 3 2 3 2 5" xfId="10934"/>
    <cellStyle name="20% - Accent1 4 3 2 3 2 6" xfId="10935"/>
    <cellStyle name="20% - Accent1 4 3 2 3 3" xfId="10936"/>
    <cellStyle name="20% - Accent1 4 3 2 3 3 2" xfId="10937"/>
    <cellStyle name="20% - Accent1 4 3 2 3 3 2 2" xfId="10938"/>
    <cellStyle name="20% - Accent1 4 3 2 3 3 2 3" xfId="10939"/>
    <cellStyle name="20% - Accent1 4 3 2 3 3 3" xfId="10940"/>
    <cellStyle name="20% - Accent1 4 3 2 3 3 3 2" xfId="10941"/>
    <cellStyle name="20% - Accent1 4 3 2 3 3 3 3" xfId="10942"/>
    <cellStyle name="20% - Accent1 4 3 2 3 3 4" xfId="10943"/>
    <cellStyle name="20% - Accent1 4 3 2 3 3 4 2" xfId="10944"/>
    <cellStyle name="20% - Accent1 4 3 2 3 3 5" xfId="10945"/>
    <cellStyle name="20% - Accent1 4 3 2 3 3 6" xfId="10946"/>
    <cellStyle name="20% - Accent1 4 3 2 3 4" xfId="10947"/>
    <cellStyle name="20% - Accent1 4 3 2 3 4 2" xfId="10948"/>
    <cellStyle name="20% - Accent1 4 3 2 3 4 2 2" xfId="10949"/>
    <cellStyle name="20% - Accent1 4 3 2 3 4 2 3" xfId="10950"/>
    <cellStyle name="20% - Accent1 4 3 2 3 4 3" xfId="10951"/>
    <cellStyle name="20% - Accent1 4 3 2 3 4 3 2" xfId="10952"/>
    <cellStyle name="20% - Accent1 4 3 2 3 4 4" xfId="10953"/>
    <cellStyle name="20% - Accent1 4 3 2 3 4 5" xfId="10954"/>
    <cellStyle name="20% - Accent1 4 3 2 3 5" xfId="10955"/>
    <cellStyle name="20% - Accent1 4 3 2 3 5 2" xfId="10956"/>
    <cellStyle name="20% - Accent1 4 3 2 3 5 3" xfId="10957"/>
    <cellStyle name="20% - Accent1 4 3 2 3 6" xfId="10958"/>
    <cellStyle name="20% - Accent1 4 3 2 3 6 2" xfId="10959"/>
    <cellStyle name="20% - Accent1 4 3 2 3 6 3" xfId="10960"/>
    <cellStyle name="20% - Accent1 4 3 2 3 7" xfId="10961"/>
    <cellStyle name="20% - Accent1 4 3 2 3 7 2" xfId="10962"/>
    <cellStyle name="20% - Accent1 4 3 2 3 8" xfId="10963"/>
    <cellStyle name="20% - Accent1 4 3 2 3 9" xfId="10964"/>
    <cellStyle name="20% - Accent1 4 3 2 4" xfId="10965"/>
    <cellStyle name="20% - Accent1 4 3 2 4 2" xfId="10966"/>
    <cellStyle name="20% - Accent1 4 3 2 4 2 2" xfId="10967"/>
    <cellStyle name="20% - Accent1 4 3 2 4 2 2 2" xfId="10968"/>
    <cellStyle name="20% - Accent1 4 3 2 4 2 2 3" xfId="10969"/>
    <cellStyle name="20% - Accent1 4 3 2 4 2 3" xfId="10970"/>
    <cellStyle name="20% - Accent1 4 3 2 4 2 3 2" xfId="10971"/>
    <cellStyle name="20% - Accent1 4 3 2 4 2 3 3" xfId="10972"/>
    <cellStyle name="20% - Accent1 4 3 2 4 2 4" xfId="10973"/>
    <cellStyle name="20% - Accent1 4 3 2 4 2 4 2" xfId="10974"/>
    <cellStyle name="20% - Accent1 4 3 2 4 2 5" xfId="10975"/>
    <cellStyle name="20% - Accent1 4 3 2 4 2 6" xfId="10976"/>
    <cellStyle name="20% - Accent1 4 3 2 4 3" xfId="10977"/>
    <cellStyle name="20% - Accent1 4 3 2 4 3 2" xfId="10978"/>
    <cellStyle name="20% - Accent1 4 3 2 4 3 2 2" xfId="10979"/>
    <cellStyle name="20% - Accent1 4 3 2 4 3 2 3" xfId="10980"/>
    <cellStyle name="20% - Accent1 4 3 2 4 3 3" xfId="10981"/>
    <cellStyle name="20% - Accent1 4 3 2 4 3 3 2" xfId="10982"/>
    <cellStyle name="20% - Accent1 4 3 2 4 3 3 3" xfId="10983"/>
    <cellStyle name="20% - Accent1 4 3 2 4 3 4" xfId="10984"/>
    <cellStyle name="20% - Accent1 4 3 2 4 3 4 2" xfId="10985"/>
    <cellStyle name="20% - Accent1 4 3 2 4 3 5" xfId="10986"/>
    <cellStyle name="20% - Accent1 4 3 2 4 3 6" xfId="10987"/>
    <cellStyle name="20% - Accent1 4 3 2 4 4" xfId="10988"/>
    <cellStyle name="20% - Accent1 4 3 2 4 4 2" xfId="10989"/>
    <cellStyle name="20% - Accent1 4 3 2 4 4 2 2" xfId="10990"/>
    <cellStyle name="20% - Accent1 4 3 2 4 4 2 3" xfId="10991"/>
    <cellStyle name="20% - Accent1 4 3 2 4 4 3" xfId="10992"/>
    <cellStyle name="20% - Accent1 4 3 2 4 4 3 2" xfId="10993"/>
    <cellStyle name="20% - Accent1 4 3 2 4 4 4" xfId="10994"/>
    <cellStyle name="20% - Accent1 4 3 2 4 4 5" xfId="10995"/>
    <cellStyle name="20% - Accent1 4 3 2 4 5" xfId="10996"/>
    <cellStyle name="20% - Accent1 4 3 2 4 5 2" xfId="10997"/>
    <cellStyle name="20% - Accent1 4 3 2 4 5 3" xfId="10998"/>
    <cellStyle name="20% - Accent1 4 3 2 4 6" xfId="10999"/>
    <cellStyle name="20% - Accent1 4 3 2 4 6 2" xfId="11000"/>
    <cellStyle name="20% - Accent1 4 3 2 4 6 3" xfId="11001"/>
    <cellStyle name="20% - Accent1 4 3 2 4 7" xfId="11002"/>
    <cellStyle name="20% - Accent1 4 3 2 4 7 2" xfId="11003"/>
    <cellStyle name="20% - Accent1 4 3 2 4 8" xfId="11004"/>
    <cellStyle name="20% - Accent1 4 3 2 4 9" xfId="11005"/>
    <cellStyle name="20% - Accent1 4 3 2 5" xfId="11006"/>
    <cellStyle name="20% - Accent1 4 3 2 5 2" xfId="11007"/>
    <cellStyle name="20% - Accent1 4 3 2 5 2 2" xfId="11008"/>
    <cellStyle name="20% - Accent1 4 3 2 5 2 3" xfId="11009"/>
    <cellStyle name="20% - Accent1 4 3 2 5 3" xfId="11010"/>
    <cellStyle name="20% - Accent1 4 3 2 5 3 2" xfId="11011"/>
    <cellStyle name="20% - Accent1 4 3 2 5 3 3" xfId="11012"/>
    <cellStyle name="20% - Accent1 4 3 2 5 4" xfId="11013"/>
    <cellStyle name="20% - Accent1 4 3 2 5 4 2" xfId="11014"/>
    <cellStyle name="20% - Accent1 4 3 2 5 5" xfId="11015"/>
    <cellStyle name="20% - Accent1 4 3 2 5 6" xfId="11016"/>
    <cellStyle name="20% - Accent1 4 3 2 6" xfId="11017"/>
    <cellStyle name="20% - Accent1 4 3 2 6 2" xfId="11018"/>
    <cellStyle name="20% - Accent1 4 3 2 6 2 2" xfId="11019"/>
    <cellStyle name="20% - Accent1 4 3 2 6 2 3" xfId="11020"/>
    <cellStyle name="20% - Accent1 4 3 2 6 3" xfId="11021"/>
    <cellStyle name="20% - Accent1 4 3 2 6 3 2" xfId="11022"/>
    <cellStyle name="20% - Accent1 4 3 2 6 3 3" xfId="11023"/>
    <cellStyle name="20% - Accent1 4 3 2 6 4" xfId="11024"/>
    <cellStyle name="20% - Accent1 4 3 2 6 4 2" xfId="11025"/>
    <cellStyle name="20% - Accent1 4 3 2 6 5" xfId="11026"/>
    <cellStyle name="20% - Accent1 4 3 2 6 6" xfId="11027"/>
    <cellStyle name="20% - Accent1 4 3 2 7" xfId="11028"/>
    <cellStyle name="20% - Accent1 4 3 2 7 2" xfId="11029"/>
    <cellStyle name="20% - Accent1 4 3 2 7 2 2" xfId="11030"/>
    <cellStyle name="20% - Accent1 4 3 2 7 2 3" xfId="11031"/>
    <cellStyle name="20% - Accent1 4 3 2 7 3" xfId="11032"/>
    <cellStyle name="20% - Accent1 4 3 2 7 3 2" xfId="11033"/>
    <cellStyle name="20% - Accent1 4 3 2 7 4" xfId="11034"/>
    <cellStyle name="20% - Accent1 4 3 2 7 5" xfId="11035"/>
    <cellStyle name="20% - Accent1 4 3 2 8" xfId="11036"/>
    <cellStyle name="20% - Accent1 4 3 2 8 2" xfId="11037"/>
    <cellStyle name="20% - Accent1 4 3 2 8 3" xfId="11038"/>
    <cellStyle name="20% - Accent1 4 3 2 9" xfId="11039"/>
    <cellStyle name="20% - Accent1 4 3 2 9 2" xfId="11040"/>
    <cellStyle name="20% - Accent1 4 3 2 9 3" xfId="11041"/>
    <cellStyle name="20% - Accent1 4 3 3" xfId="171"/>
    <cellStyle name="20% - Accent1 4 3 3 10" xfId="11042"/>
    <cellStyle name="20% - Accent1 4 3 3 2" xfId="172"/>
    <cellStyle name="20% - Accent1 4 3 3 2 2" xfId="11043"/>
    <cellStyle name="20% - Accent1 4 3 3 2 2 2" xfId="11044"/>
    <cellStyle name="20% - Accent1 4 3 3 2 2 2 2" xfId="11045"/>
    <cellStyle name="20% - Accent1 4 3 3 2 2 2 3" xfId="11046"/>
    <cellStyle name="20% - Accent1 4 3 3 2 2 3" xfId="11047"/>
    <cellStyle name="20% - Accent1 4 3 3 2 2 3 2" xfId="11048"/>
    <cellStyle name="20% - Accent1 4 3 3 2 2 3 3" xfId="11049"/>
    <cellStyle name="20% - Accent1 4 3 3 2 2 4" xfId="11050"/>
    <cellStyle name="20% - Accent1 4 3 3 2 2 4 2" xfId="11051"/>
    <cellStyle name="20% - Accent1 4 3 3 2 2 5" xfId="11052"/>
    <cellStyle name="20% - Accent1 4 3 3 2 2 6" xfId="11053"/>
    <cellStyle name="20% - Accent1 4 3 3 2 3" xfId="11054"/>
    <cellStyle name="20% - Accent1 4 3 3 2 3 2" xfId="11055"/>
    <cellStyle name="20% - Accent1 4 3 3 2 3 2 2" xfId="11056"/>
    <cellStyle name="20% - Accent1 4 3 3 2 3 2 3" xfId="11057"/>
    <cellStyle name="20% - Accent1 4 3 3 2 3 3" xfId="11058"/>
    <cellStyle name="20% - Accent1 4 3 3 2 3 3 2" xfId="11059"/>
    <cellStyle name="20% - Accent1 4 3 3 2 3 3 3" xfId="11060"/>
    <cellStyle name="20% - Accent1 4 3 3 2 3 4" xfId="11061"/>
    <cellStyle name="20% - Accent1 4 3 3 2 3 4 2" xfId="11062"/>
    <cellStyle name="20% - Accent1 4 3 3 2 3 5" xfId="11063"/>
    <cellStyle name="20% - Accent1 4 3 3 2 3 6" xfId="11064"/>
    <cellStyle name="20% - Accent1 4 3 3 2 4" xfId="11065"/>
    <cellStyle name="20% - Accent1 4 3 3 2 4 2" xfId="11066"/>
    <cellStyle name="20% - Accent1 4 3 3 2 4 2 2" xfId="11067"/>
    <cellStyle name="20% - Accent1 4 3 3 2 4 2 3" xfId="11068"/>
    <cellStyle name="20% - Accent1 4 3 3 2 4 3" xfId="11069"/>
    <cellStyle name="20% - Accent1 4 3 3 2 4 3 2" xfId="11070"/>
    <cellStyle name="20% - Accent1 4 3 3 2 4 4" xfId="11071"/>
    <cellStyle name="20% - Accent1 4 3 3 2 4 5" xfId="11072"/>
    <cellStyle name="20% - Accent1 4 3 3 2 5" xfId="11073"/>
    <cellStyle name="20% - Accent1 4 3 3 2 5 2" xfId="11074"/>
    <cellStyle name="20% - Accent1 4 3 3 2 5 3" xfId="11075"/>
    <cellStyle name="20% - Accent1 4 3 3 2 6" xfId="11076"/>
    <cellStyle name="20% - Accent1 4 3 3 2 6 2" xfId="11077"/>
    <cellStyle name="20% - Accent1 4 3 3 2 6 3" xfId="11078"/>
    <cellStyle name="20% - Accent1 4 3 3 2 7" xfId="11079"/>
    <cellStyle name="20% - Accent1 4 3 3 2 7 2" xfId="11080"/>
    <cellStyle name="20% - Accent1 4 3 3 2 8" xfId="11081"/>
    <cellStyle name="20% - Accent1 4 3 3 2 9" xfId="11082"/>
    <cellStyle name="20% - Accent1 4 3 3 3" xfId="11083"/>
    <cellStyle name="20% - Accent1 4 3 3 3 2" xfId="11084"/>
    <cellStyle name="20% - Accent1 4 3 3 3 2 2" xfId="11085"/>
    <cellStyle name="20% - Accent1 4 3 3 3 2 3" xfId="11086"/>
    <cellStyle name="20% - Accent1 4 3 3 3 3" xfId="11087"/>
    <cellStyle name="20% - Accent1 4 3 3 3 3 2" xfId="11088"/>
    <cellStyle name="20% - Accent1 4 3 3 3 3 3" xfId="11089"/>
    <cellStyle name="20% - Accent1 4 3 3 3 4" xfId="11090"/>
    <cellStyle name="20% - Accent1 4 3 3 3 4 2" xfId="11091"/>
    <cellStyle name="20% - Accent1 4 3 3 3 5" xfId="11092"/>
    <cellStyle name="20% - Accent1 4 3 3 3 6" xfId="11093"/>
    <cellStyle name="20% - Accent1 4 3 3 4" xfId="11094"/>
    <cellStyle name="20% - Accent1 4 3 3 4 2" xfId="11095"/>
    <cellStyle name="20% - Accent1 4 3 3 4 2 2" xfId="11096"/>
    <cellStyle name="20% - Accent1 4 3 3 4 2 3" xfId="11097"/>
    <cellStyle name="20% - Accent1 4 3 3 4 3" xfId="11098"/>
    <cellStyle name="20% - Accent1 4 3 3 4 3 2" xfId="11099"/>
    <cellStyle name="20% - Accent1 4 3 3 4 3 3" xfId="11100"/>
    <cellStyle name="20% - Accent1 4 3 3 4 4" xfId="11101"/>
    <cellStyle name="20% - Accent1 4 3 3 4 4 2" xfId="11102"/>
    <cellStyle name="20% - Accent1 4 3 3 4 5" xfId="11103"/>
    <cellStyle name="20% - Accent1 4 3 3 4 6" xfId="11104"/>
    <cellStyle name="20% - Accent1 4 3 3 5" xfId="11105"/>
    <cellStyle name="20% - Accent1 4 3 3 5 2" xfId="11106"/>
    <cellStyle name="20% - Accent1 4 3 3 5 2 2" xfId="11107"/>
    <cellStyle name="20% - Accent1 4 3 3 5 2 3" xfId="11108"/>
    <cellStyle name="20% - Accent1 4 3 3 5 3" xfId="11109"/>
    <cellStyle name="20% - Accent1 4 3 3 5 3 2" xfId="11110"/>
    <cellStyle name="20% - Accent1 4 3 3 5 4" xfId="11111"/>
    <cellStyle name="20% - Accent1 4 3 3 5 5" xfId="11112"/>
    <cellStyle name="20% - Accent1 4 3 3 6" xfId="11113"/>
    <cellStyle name="20% - Accent1 4 3 3 6 2" xfId="11114"/>
    <cellStyle name="20% - Accent1 4 3 3 6 3" xfId="11115"/>
    <cellStyle name="20% - Accent1 4 3 3 7" xfId="11116"/>
    <cellStyle name="20% - Accent1 4 3 3 7 2" xfId="11117"/>
    <cellStyle name="20% - Accent1 4 3 3 7 3" xfId="11118"/>
    <cellStyle name="20% - Accent1 4 3 3 8" xfId="11119"/>
    <cellStyle name="20% - Accent1 4 3 3 8 2" xfId="11120"/>
    <cellStyle name="20% - Accent1 4 3 3 9" xfId="11121"/>
    <cellStyle name="20% - Accent1 4 3 4" xfId="173"/>
    <cellStyle name="20% - Accent1 4 3 4 2" xfId="11122"/>
    <cellStyle name="20% - Accent1 4 3 4 2 2" xfId="11123"/>
    <cellStyle name="20% - Accent1 4 3 4 2 2 2" xfId="11124"/>
    <cellStyle name="20% - Accent1 4 3 4 2 2 3" xfId="11125"/>
    <cellStyle name="20% - Accent1 4 3 4 2 3" xfId="11126"/>
    <cellStyle name="20% - Accent1 4 3 4 2 3 2" xfId="11127"/>
    <cellStyle name="20% - Accent1 4 3 4 2 3 3" xfId="11128"/>
    <cellStyle name="20% - Accent1 4 3 4 2 4" xfId="11129"/>
    <cellStyle name="20% - Accent1 4 3 4 2 4 2" xfId="11130"/>
    <cellStyle name="20% - Accent1 4 3 4 2 5" xfId="11131"/>
    <cellStyle name="20% - Accent1 4 3 4 2 6" xfId="11132"/>
    <cellStyle name="20% - Accent1 4 3 4 3" xfId="11133"/>
    <cellStyle name="20% - Accent1 4 3 4 3 2" xfId="11134"/>
    <cellStyle name="20% - Accent1 4 3 4 3 2 2" xfId="11135"/>
    <cellStyle name="20% - Accent1 4 3 4 3 2 3" xfId="11136"/>
    <cellStyle name="20% - Accent1 4 3 4 3 3" xfId="11137"/>
    <cellStyle name="20% - Accent1 4 3 4 3 3 2" xfId="11138"/>
    <cellStyle name="20% - Accent1 4 3 4 3 3 3" xfId="11139"/>
    <cellStyle name="20% - Accent1 4 3 4 3 4" xfId="11140"/>
    <cellStyle name="20% - Accent1 4 3 4 3 4 2" xfId="11141"/>
    <cellStyle name="20% - Accent1 4 3 4 3 5" xfId="11142"/>
    <cellStyle name="20% - Accent1 4 3 4 3 6" xfId="11143"/>
    <cellStyle name="20% - Accent1 4 3 4 4" xfId="11144"/>
    <cellStyle name="20% - Accent1 4 3 4 4 2" xfId="11145"/>
    <cellStyle name="20% - Accent1 4 3 4 4 2 2" xfId="11146"/>
    <cellStyle name="20% - Accent1 4 3 4 4 2 3" xfId="11147"/>
    <cellStyle name="20% - Accent1 4 3 4 4 3" xfId="11148"/>
    <cellStyle name="20% - Accent1 4 3 4 4 3 2" xfId="11149"/>
    <cellStyle name="20% - Accent1 4 3 4 4 4" xfId="11150"/>
    <cellStyle name="20% - Accent1 4 3 4 4 5" xfId="11151"/>
    <cellStyle name="20% - Accent1 4 3 4 5" xfId="11152"/>
    <cellStyle name="20% - Accent1 4 3 4 5 2" xfId="11153"/>
    <cellStyle name="20% - Accent1 4 3 4 5 3" xfId="11154"/>
    <cellStyle name="20% - Accent1 4 3 4 6" xfId="11155"/>
    <cellStyle name="20% - Accent1 4 3 4 6 2" xfId="11156"/>
    <cellStyle name="20% - Accent1 4 3 4 6 3" xfId="11157"/>
    <cellStyle name="20% - Accent1 4 3 4 7" xfId="11158"/>
    <cellStyle name="20% - Accent1 4 3 4 7 2" xfId="11159"/>
    <cellStyle name="20% - Accent1 4 3 4 8" xfId="11160"/>
    <cellStyle name="20% - Accent1 4 3 4 9" xfId="11161"/>
    <cellStyle name="20% - Accent1 4 3 5" xfId="11162"/>
    <cellStyle name="20% - Accent1 4 3 5 2" xfId="11163"/>
    <cellStyle name="20% - Accent1 4 3 5 2 2" xfId="11164"/>
    <cellStyle name="20% - Accent1 4 3 5 2 2 2" xfId="11165"/>
    <cellStyle name="20% - Accent1 4 3 5 2 2 3" xfId="11166"/>
    <cellStyle name="20% - Accent1 4 3 5 2 3" xfId="11167"/>
    <cellStyle name="20% - Accent1 4 3 5 2 3 2" xfId="11168"/>
    <cellStyle name="20% - Accent1 4 3 5 2 3 3" xfId="11169"/>
    <cellStyle name="20% - Accent1 4 3 5 2 4" xfId="11170"/>
    <cellStyle name="20% - Accent1 4 3 5 2 4 2" xfId="11171"/>
    <cellStyle name="20% - Accent1 4 3 5 2 5" xfId="11172"/>
    <cellStyle name="20% - Accent1 4 3 5 2 6" xfId="11173"/>
    <cellStyle name="20% - Accent1 4 3 5 3" xfId="11174"/>
    <cellStyle name="20% - Accent1 4 3 5 3 2" xfId="11175"/>
    <cellStyle name="20% - Accent1 4 3 5 3 2 2" xfId="11176"/>
    <cellStyle name="20% - Accent1 4 3 5 3 2 3" xfId="11177"/>
    <cellStyle name="20% - Accent1 4 3 5 3 3" xfId="11178"/>
    <cellStyle name="20% - Accent1 4 3 5 3 3 2" xfId="11179"/>
    <cellStyle name="20% - Accent1 4 3 5 3 3 3" xfId="11180"/>
    <cellStyle name="20% - Accent1 4 3 5 3 4" xfId="11181"/>
    <cellStyle name="20% - Accent1 4 3 5 3 4 2" xfId="11182"/>
    <cellStyle name="20% - Accent1 4 3 5 3 5" xfId="11183"/>
    <cellStyle name="20% - Accent1 4 3 5 3 6" xfId="11184"/>
    <cellStyle name="20% - Accent1 4 3 5 4" xfId="11185"/>
    <cellStyle name="20% - Accent1 4 3 5 4 2" xfId="11186"/>
    <cellStyle name="20% - Accent1 4 3 5 4 2 2" xfId="11187"/>
    <cellStyle name="20% - Accent1 4 3 5 4 2 3" xfId="11188"/>
    <cellStyle name="20% - Accent1 4 3 5 4 3" xfId="11189"/>
    <cellStyle name="20% - Accent1 4 3 5 4 3 2" xfId="11190"/>
    <cellStyle name="20% - Accent1 4 3 5 4 4" xfId="11191"/>
    <cellStyle name="20% - Accent1 4 3 5 4 5" xfId="11192"/>
    <cellStyle name="20% - Accent1 4 3 5 5" xfId="11193"/>
    <cellStyle name="20% - Accent1 4 3 5 5 2" xfId="11194"/>
    <cellStyle name="20% - Accent1 4 3 5 5 3" xfId="11195"/>
    <cellStyle name="20% - Accent1 4 3 5 6" xfId="11196"/>
    <cellStyle name="20% - Accent1 4 3 5 6 2" xfId="11197"/>
    <cellStyle name="20% - Accent1 4 3 5 6 3" xfId="11198"/>
    <cellStyle name="20% - Accent1 4 3 5 7" xfId="11199"/>
    <cellStyle name="20% - Accent1 4 3 5 7 2" xfId="11200"/>
    <cellStyle name="20% - Accent1 4 3 5 8" xfId="11201"/>
    <cellStyle name="20% - Accent1 4 3 5 9" xfId="11202"/>
    <cellStyle name="20% - Accent1 4 3 6" xfId="11203"/>
    <cellStyle name="20% - Accent1 4 3 6 2" xfId="11204"/>
    <cellStyle name="20% - Accent1 4 3 6 2 2" xfId="11205"/>
    <cellStyle name="20% - Accent1 4 3 6 2 3" xfId="11206"/>
    <cellStyle name="20% - Accent1 4 3 6 3" xfId="11207"/>
    <cellStyle name="20% - Accent1 4 3 6 3 2" xfId="11208"/>
    <cellStyle name="20% - Accent1 4 3 6 3 3" xfId="11209"/>
    <cellStyle name="20% - Accent1 4 3 6 4" xfId="11210"/>
    <cellStyle name="20% - Accent1 4 3 6 4 2" xfId="11211"/>
    <cellStyle name="20% - Accent1 4 3 6 5" xfId="11212"/>
    <cellStyle name="20% - Accent1 4 3 6 6" xfId="11213"/>
    <cellStyle name="20% - Accent1 4 3 7" xfId="11214"/>
    <cellStyle name="20% - Accent1 4 3 7 2" xfId="11215"/>
    <cellStyle name="20% - Accent1 4 3 7 2 2" xfId="11216"/>
    <cellStyle name="20% - Accent1 4 3 7 2 3" xfId="11217"/>
    <cellStyle name="20% - Accent1 4 3 7 3" xfId="11218"/>
    <cellStyle name="20% - Accent1 4 3 7 3 2" xfId="11219"/>
    <cellStyle name="20% - Accent1 4 3 7 3 3" xfId="11220"/>
    <cellStyle name="20% - Accent1 4 3 7 4" xfId="11221"/>
    <cellStyle name="20% - Accent1 4 3 7 4 2" xfId="11222"/>
    <cellStyle name="20% - Accent1 4 3 7 5" xfId="11223"/>
    <cellStyle name="20% - Accent1 4 3 7 6" xfId="11224"/>
    <cellStyle name="20% - Accent1 4 3 8" xfId="11225"/>
    <cellStyle name="20% - Accent1 4 3 8 2" xfId="11226"/>
    <cellStyle name="20% - Accent1 4 3 8 2 2" xfId="11227"/>
    <cellStyle name="20% - Accent1 4 3 8 2 3" xfId="11228"/>
    <cellStyle name="20% - Accent1 4 3 8 3" xfId="11229"/>
    <cellStyle name="20% - Accent1 4 3 8 3 2" xfId="11230"/>
    <cellStyle name="20% - Accent1 4 3 8 4" xfId="11231"/>
    <cellStyle name="20% - Accent1 4 3 8 5" xfId="11232"/>
    <cellStyle name="20% - Accent1 4 3 9" xfId="11233"/>
    <cellStyle name="20% - Accent1 4 3 9 2" xfId="11234"/>
    <cellStyle name="20% - Accent1 4 3 9 3" xfId="11235"/>
    <cellStyle name="20% - Accent1 4 4" xfId="174"/>
    <cellStyle name="20% - Accent1 4 4 10" xfId="11236"/>
    <cellStyle name="20% - Accent1 4 4 10 2" xfId="11237"/>
    <cellStyle name="20% - Accent1 4 4 11" xfId="11238"/>
    <cellStyle name="20% - Accent1 4 4 12" xfId="11239"/>
    <cellStyle name="20% - Accent1 4 4 2" xfId="175"/>
    <cellStyle name="20% - Accent1 4 4 2 10" xfId="11240"/>
    <cellStyle name="20% - Accent1 4 4 2 2" xfId="176"/>
    <cellStyle name="20% - Accent1 4 4 2 2 2" xfId="11241"/>
    <cellStyle name="20% - Accent1 4 4 2 2 2 2" xfId="11242"/>
    <cellStyle name="20% - Accent1 4 4 2 2 2 2 2" xfId="11243"/>
    <cellStyle name="20% - Accent1 4 4 2 2 2 2 3" xfId="11244"/>
    <cellStyle name="20% - Accent1 4 4 2 2 2 3" xfId="11245"/>
    <cellStyle name="20% - Accent1 4 4 2 2 2 3 2" xfId="11246"/>
    <cellStyle name="20% - Accent1 4 4 2 2 2 3 3" xfId="11247"/>
    <cellStyle name="20% - Accent1 4 4 2 2 2 4" xfId="11248"/>
    <cellStyle name="20% - Accent1 4 4 2 2 2 4 2" xfId="11249"/>
    <cellStyle name="20% - Accent1 4 4 2 2 2 5" xfId="11250"/>
    <cellStyle name="20% - Accent1 4 4 2 2 2 6" xfId="11251"/>
    <cellStyle name="20% - Accent1 4 4 2 2 3" xfId="11252"/>
    <cellStyle name="20% - Accent1 4 4 2 2 3 2" xfId="11253"/>
    <cellStyle name="20% - Accent1 4 4 2 2 3 2 2" xfId="11254"/>
    <cellStyle name="20% - Accent1 4 4 2 2 3 2 3" xfId="11255"/>
    <cellStyle name="20% - Accent1 4 4 2 2 3 3" xfId="11256"/>
    <cellStyle name="20% - Accent1 4 4 2 2 3 3 2" xfId="11257"/>
    <cellStyle name="20% - Accent1 4 4 2 2 3 3 3" xfId="11258"/>
    <cellStyle name="20% - Accent1 4 4 2 2 3 4" xfId="11259"/>
    <cellStyle name="20% - Accent1 4 4 2 2 3 4 2" xfId="11260"/>
    <cellStyle name="20% - Accent1 4 4 2 2 3 5" xfId="11261"/>
    <cellStyle name="20% - Accent1 4 4 2 2 3 6" xfId="11262"/>
    <cellStyle name="20% - Accent1 4 4 2 2 4" xfId="11263"/>
    <cellStyle name="20% - Accent1 4 4 2 2 4 2" xfId="11264"/>
    <cellStyle name="20% - Accent1 4 4 2 2 4 2 2" xfId="11265"/>
    <cellStyle name="20% - Accent1 4 4 2 2 4 2 3" xfId="11266"/>
    <cellStyle name="20% - Accent1 4 4 2 2 4 3" xfId="11267"/>
    <cellStyle name="20% - Accent1 4 4 2 2 4 3 2" xfId="11268"/>
    <cellStyle name="20% - Accent1 4 4 2 2 4 4" xfId="11269"/>
    <cellStyle name="20% - Accent1 4 4 2 2 4 5" xfId="11270"/>
    <cellStyle name="20% - Accent1 4 4 2 2 5" xfId="11271"/>
    <cellStyle name="20% - Accent1 4 4 2 2 5 2" xfId="11272"/>
    <cellStyle name="20% - Accent1 4 4 2 2 5 3" xfId="11273"/>
    <cellStyle name="20% - Accent1 4 4 2 2 6" xfId="11274"/>
    <cellStyle name="20% - Accent1 4 4 2 2 6 2" xfId="11275"/>
    <cellStyle name="20% - Accent1 4 4 2 2 6 3" xfId="11276"/>
    <cellStyle name="20% - Accent1 4 4 2 2 7" xfId="11277"/>
    <cellStyle name="20% - Accent1 4 4 2 2 7 2" xfId="11278"/>
    <cellStyle name="20% - Accent1 4 4 2 2 8" xfId="11279"/>
    <cellStyle name="20% - Accent1 4 4 2 2 9" xfId="11280"/>
    <cellStyle name="20% - Accent1 4 4 2 3" xfId="11281"/>
    <cellStyle name="20% - Accent1 4 4 2 3 2" xfId="11282"/>
    <cellStyle name="20% - Accent1 4 4 2 3 2 2" xfId="11283"/>
    <cellStyle name="20% - Accent1 4 4 2 3 2 3" xfId="11284"/>
    <cellStyle name="20% - Accent1 4 4 2 3 3" xfId="11285"/>
    <cellStyle name="20% - Accent1 4 4 2 3 3 2" xfId="11286"/>
    <cellStyle name="20% - Accent1 4 4 2 3 3 3" xfId="11287"/>
    <cellStyle name="20% - Accent1 4 4 2 3 4" xfId="11288"/>
    <cellStyle name="20% - Accent1 4 4 2 3 4 2" xfId="11289"/>
    <cellStyle name="20% - Accent1 4 4 2 3 5" xfId="11290"/>
    <cellStyle name="20% - Accent1 4 4 2 3 6" xfId="11291"/>
    <cellStyle name="20% - Accent1 4 4 2 4" xfId="11292"/>
    <cellStyle name="20% - Accent1 4 4 2 4 2" xfId="11293"/>
    <cellStyle name="20% - Accent1 4 4 2 4 2 2" xfId="11294"/>
    <cellStyle name="20% - Accent1 4 4 2 4 2 3" xfId="11295"/>
    <cellStyle name="20% - Accent1 4 4 2 4 3" xfId="11296"/>
    <cellStyle name="20% - Accent1 4 4 2 4 3 2" xfId="11297"/>
    <cellStyle name="20% - Accent1 4 4 2 4 3 3" xfId="11298"/>
    <cellStyle name="20% - Accent1 4 4 2 4 4" xfId="11299"/>
    <cellStyle name="20% - Accent1 4 4 2 4 4 2" xfId="11300"/>
    <cellStyle name="20% - Accent1 4 4 2 4 5" xfId="11301"/>
    <cellStyle name="20% - Accent1 4 4 2 4 6" xfId="11302"/>
    <cellStyle name="20% - Accent1 4 4 2 5" xfId="11303"/>
    <cellStyle name="20% - Accent1 4 4 2 5 2" xfId="11304"/>
    <cellStyle name="20% - Accent1 4 4 2 5 2 2" xfId="11305"/>
    <cellStyle name="20% - Accent1 4 4 2 5 2 3" xfId="11306"/>
    <cellStyle name="20% - Accent1 4 4 2 5 3" xfId="11307"/>
    <cellStyle name="20% - Accent1 4 4 2 5 3 2" xfId="11308"/>
    <cellStyle name="20% - Accent1 4 4 2 5 4" xfId="11309"/>
    <cellStyle name="20% - Accent1 4 4 2 5 5" xfId="11310"/>
    <cellStyle name="20% - Accent1 4 4 2 6" xfId="11311"/>
    <cellStyle name="20% - Accent1 4 4 2 6 2" xfId="11312"/>
    <cellStyle name="20% - Accent1 4 4 2 6 3" xfId="11313"/>
    <cellStyle name="20% - Accent1 4 4 2 7" xfId="11314"/>
    <cellStyle name="20% - Accent1 4 4 2 7 2" xfId="11315"/>
    <cellStyle name="20% - Accent1 4 4 2 7 3" xfId="11316"/>
    <cellStyle name="20% - Accent1 4 4 2 8" xfId="11317"/>
    <cellStyle name="20% - Accent1 4 4 2 8 2" xfId="11318"/>
    <cellStyle name="20% - Accent1 4 4 2 9" xfId="11319"/>
    <cellStyle name="20% - Accent1 4 4 3" xfId="177"/>
    <cellStyle name="20% - Accent1 4 4 3 2" xfId="11320"/>
    <cellStyle name="20% - Accent1 4 4 3 2 2" xfId="11321"/>
    <cellStyle name="20% - Accent1 4 4 3 2 2 2" xfId="11322"/>
    <cellStyle name="20% - Accent1 4 4 3 2 2 3" xfId="11323"/>
    <cellStyle name="20% - Accent1 4 4 3 2 3" xfId="11324"/>
    <cellStyle name="20% - Accent1 4 4 3 2 3 2" xfId="11325"/>
    <cellStyle name="20% - Accent1 4 4 3 2 3 3" xfId="11326"/>
    <cellStyle name="20% - Accent1 4 4 3 2 4" xfId="11327"/>
    <cellStyle name="20% - Accent1 4 4 3 2 4 2" xfId="11328"/>
    <cellStyle name="20% - Accent1 4 4 3 2 5" xfId="11329"/>
    <cellStyle name="20% - Accent1 4 4 3 2 6" xfId="11330"/>
    <cellStyle name="20% - Accent1 4 4 3 3" xfId="11331"/>
    <cellStyle name="20% - Accent1 4 4 3 3 2" xfId="11332"/>
    <cellStyle name="20% - Accent1 4 4 3 3 2 2" xfId="11333"/>
    <cellStyle name="20% - Accent1 4 4 3 3 2 3" xfId="11334"/>
    <cellStyle name="20% - Accent1 4 4 3 3 3" xfId="11335"/>
    <cellStyle name="20% - Accent1 4 4 3 3 3 2" xfId="11336"/>
    <cellStyle name="20% - Accent1 4 4 3 3 3 3" xfId="11337"/>
    <cellStyle name="20% - Accent1 4 4 3 3 4" xfId="11338"/>
    <cellStyle name="20% - Accent1 4 4 3 3 4 2" xfId="11339"/>
    <cellStyle name="20% - Accent1 4 4 3 3 5" xfId="11340"/>
    <cellStyle name="20% - Accent1 4 4 3 3 6" xfId="11341"/>
    <cellStyle name="20% - Accent1 4 4 3 4" xfId="11342"/>
    <cellStyle name="20% - Accent1 4 4 3 4 2" xfId="11343"/>
    <cellStyle name="20% - Accent1 4 4 3 4 2 2" xfId="11344"/>
    <cellStyle name="20% - Accent1 4 4 3 4 2 3" xfId="11345"/>
    <cellStyle name="20% - Accent1 4 4 3 4 3" xfId="11346"/>
    <cellStyle name="20% - Accent1 4 4 3 4 3 2" xfId="11347"/>
    <cellStyle name="20% - Accent1 4 4 3 4 4" xfId="11348"/>
    <cellStyle name="20% - Accent1 4 4 3 4 5" xfId="11349"/>
    <cellStyle name="20% - Accent1 4 4 3 5" xfId="11350"/>
    <cellStyle name="20% - Accent1 4 4 3 5 2" xfId="11351"/>
    <cellStyle name="20% - Accent1 4 4 3 5 3" xfId="11352"/>
    <cellStyle name="20% - Accent1 4 4 3 6" xfId="11353"/>
    <cellStyle name="20% - Accent1 4 4 3 6 2" xfId="11354"/>
    <cellStyle name="20% - Accent1 4 4 3 6 3" xfId="11355"/>
    <cellStyle name="20% - Accent1 4 4 3 7" xfId="11356"/>
    <cellStyle name="20% - Accent1 4 4 3 7 2" xfId="11357"/>
    <cellStyle name="20% - Accent1 4 4 3 8" xfId="11358"/>
    <cellStyle name="20% - Accent1 4 4 3 9" xfId="11359"/>
    <cellStyle name="20% - Accent1 4 4 4" xfId="11360"/>
    <cellStyle name="20% - Accent1 4 4 4 2" xfId="11361"/>
    <cellStyle name="20% - Accent1 4 4 4 2 2" xfId="11362"/>
    <cellStyle name="20% - Accent1 4 4 4 2 2 2" xfId="11363"/>
    <cellStyle name="20% - Accent1 4 4 4 2 2 3" xfId="11364"/>
    <cellStyle name="20% - Accent1 4 4 4 2 3" xfId="11365"/>
    <cellStyle name="20% - Accent1 4 4 4 2 3 2" xfId="11366"/>
    <cellStyle name="20% - Accent1 4 4 4 2 3 3" xfId="11367"/>
    <cellStyle name="20% - Accent1 4 4 4 2 4" xfId="11368"/>
    <cellStyle name="20% - Accent1 4 4 4 2 4 2" xfId="11369"/>
    <cellStyle name="20% - Accent1 4 4 4 2 5" xfId="11370"/>
    <cellStyle name="20% - Accent1 4 4 4 2 6" xfId="11371"/>
    <cellStyle name="20% - Accent1 4 4 4 3" xfId="11372"/>
    <cellStyle name="20% - Accent1 4 4 4 3 2" xfId="11373"/>
    <cellStyle name="20% - Accent1 4 4 4 3 2 2" xfId="11374"/>
    <cellStyle name="20% - Accent1 4 4 4 3 2 3" xfId="11375"/>
    <cellStyle name="20% - Accent1 4 4 4 3 3" xfId="11376"/>
    <cellStyle name="20% - Accent1 4 4 4 3 3 2" xfId="11377"/>
    <cellStyle name="20% - Accent1 4 4 4 3 3 3" xfId="11378"/>
    <cellStyle name="20% - Accent1 4 4 4 3 4" xfId="11379"/>
    <cellStyle name="20% - Accent1 4 4 4 3 4 2" xfId="11380"/>
    <cellStyle name="20% - Accent1 4 4 4 3 5" xfId="11381"/>
    <cellStyle name="20% - Accent1 4 4 4 3 6" xfId="11382"/>
    <cellStyle name="20% - Accent1 4 4 4 4" xfId="11383"/>
    <cellStyle name="20% - Accent1 4 4 4 4 2" xfId="11384"/>
    <cellStyle name="20% - Accent1 4 4 4 4 2 2" xfId="11385"/>
    <cellStyle name="20% - Accent1 4 4 4 4 2 3" xfId="11386"/>
    <cellStyle name="20% - Accent1 4 4 4 4 3" xfId="11387"/>
    <cellStyle name="20% - Accent1 4 4 4 4 3 2" xfId="11388"/>
    <cellStyle name="20% - Accent1 4 4 4 4 4" xfId="11389"/>
    <cellStyle name="20% - Accent1 4 4 4 4 5" xfId="11390"/>
    <cellStyle name="20% - Accent1 4 4 4 5" xfId="11391"/>
    <cellStyle name="20% - Accent1 4 4 4 5 2" xfId="11392"/>
    <cellStyle name="20% - Accent1 4 4 4 5 3" xfId="11393"/>
    <cellStyle name="20% - Accent1 4 4 4 6" xfId="11394"/>
    <cellStyle name="20% - Accent1 4 4 4 6 2" xfId="11395"/>
    <cellStyle name="20% - Accent1 4 4 4 6 3" xfId="11396"/>
    <cellStyle name="20% - Accent1 4 4 4 7" xfId="11397"/>
    <cellStyle name="20% - Accent1 4 4 4 7 2" xfId="11398"/>
    <cellStyle name="20% - Accent1 4 4 4 8" xfId="11399"/>
    <cellStyle name="20% - Accent1 4 4 4 9" xfId="11400"/>
    <cellStyle name="20% - Accent1 4 4 5" xfId="11401"/>
    <cellStyle name="20% - Accent1 4 4 5 2" xfId="11402"/>
    <cellStyle name="20% - Accent1 4 4 5 2 2" xfId="11403"/>
    <cellStyle name="20% - Accent1 4 4 5 2 3" xfId="11404"/>
    <cellStyle name="20% - Accent1 4 4 5 3" xfId="11405"/>
    <cellStyle name="20% - Accent1 4 4 5 3 2" xfId="11406"/>
    <cellStyle name="20% - Accent1 4 4 5 3 3" xfId="11407"/>
    <cellStyle name="20% - Accent1 4 4 5 4" xfId="11408"/>
    <cellStyle name="20% - Accent1 4 4 5 4 2" xfId="11409"/>
    <cellStyle name="20% - Accent1 4 4 5 5" xfId="11410"/>
    <cellStyle name="20% - Accent1 4 4 5 6" xfId="11411"/>
    <cellStyle name="20% - Accent1 4 4 6" xfId="11412"/>
    <cellStyle name="20% - Accent1 4 4 6 2" xfId="11413"/>
    <cellStyle name="20% - Accent1 4 4 6 2 2" xfId="11414"/>
    <cellStyle name="20% - Accent1 4 4 6 2 3" xfId="11415"/>
    <cellStyle name="20% - Accent1 4 4 6 3" xfId="11416"/>
    <cellStyle name="20% - Accent1 4 4 6 3 2" xfId="11417"/>
    <cellStyle name="20% - Accent1 4 4 6 3 3" xfId="11418"/>
    <cellStyle name="20% - Accent1 4 4 6 4" xfId="11419"/>
    <cellStyle name="20% - Accent1 4 4 6 4 2" xfId="11420"/>
    <cellStyle name="20% - Accent1 4 4 6 5" xfId="11421"/>
    <cellStyle name="20% - Accent1 4 4 6 6" xfId="11422"/>
    <cellStyle name="20% - Accent1 4 4 7" xfId="11423"/>
    <cellStyle name="20% - Accent1 4 4 7 2" xfId="11424"/>
    <cellStyle name="20% - Accent1 4 4 7 2 2" xfId="11425"/>
    <cellStyle name="20% - Accent1 4 4 7 2 3" xfId="11426"/>
    <cellStyle name="20% - Accent1 4 4 7 3" xfId="11427"/>
    <cellStyle name="20% - Accent1 4 4 7 3 2" xfId="11428"/>
    <cellStyle name="20% - Accent1 4 4 7 4" xfId="11429"/>
    <cellStyle name="20% - Accent1 4 4 7 5" xfId="11430"/>
    <cellStyle name="20% - Accent1 4 4 8" xfId="11431"/>
    <cellStyle name="20% - Accent1 4 4 8 2" xfId="11432"/>
    <cellStyle name="20% - Accent1 4 4 8 3" xfId="11433"/>
    <cellStyle name="20% - Accent1 4 4 9" xfId="11434"/>
    <cellStyle name="20% - Accent1 4 4 9 2" xfId="11435"/>
    <cellStyle name="20% - Accent1 4 4 9 3" xfId="11436"/>
    <cellStyle name="20% - Accent1 4 5" xfId="178"/>
    <cellStyle name="20% - Accent1 4 5 10" xfId="11437"/>
    <cellStyle name="20% - Accent1 4 5 2" xfId="179"/>
    <cellStyle name="20% - Accent1 4 5 2 2" xfId="11438"/>
    <cellStyle name="20% - Accent1 4 5 2 2 2" xfId="11439"/>
    <cellStyle name="20% - Accent1 4 5 2 2 2 2" xfId="11440"/>
    <cellStyle name="20% - Accent1 4 5 2 2 2 3" xfId="11441"/>
    <cellStyle name="20% - Accent1 4 5 2 2 3" xfId="11442"/>
    <cellStyle name="20% - Accent1 4 5 2 2 3 2" xfId="11443"/>
    <cellStyle name="20% - Accent1 4 5 2 2 3 3" xfId="11444"/>
    <cellStyle name="20% - Accent1 4 5 2 2 4" xfId="11445"/>
    <cellStyle name="20% - Accent1 4 5 2 2 4 2" xfId="11446"/>
    <cellStyle name="20% - Accent1 4 5 2 2 5" xfId="11447"/>
    <cellStyle name="20% - Accent1 4 5 2 2 6" xfId="11448"/>
    <cellStyle name="20% - Accent1 4 5 2 3" xfId="11449"/>
    <cellStyle name="20% - Accent1 4 5 2 3 2" xfId="11450"/>
    <cellStyle name="20% - Accent1 4 5 2 3 2 2" xfId="11451"/>
    <cellStyle name="20% - Accent1 4 5 2 3 2 3" xfId="11452"/>
    <cellStyle name="20% - Accent1 4 5 2 3 3" xfId="11453"/>
    <cellStyle name="20% - Accent1 4 5 2 3 3 2" xfId="11454"/>
    <cellStyle name="20% - Accent1 4 5 2 3 3 3" xfId="11455"/>
    <cellStyle name="20% - Accent1 4 5 2 3 4" xfId="11456"/>
    <cellStyle name="20% - Accent1 4 5 2 3 4 2" xfId="11457"/>
    <cellStyle name="20% - Accent1 4 5 2 3 5" xfId="11458"/>
    <cellStyle name="20% - Accent1 4 5 2 3 6" xfId="11459"/>
    <cellStyle name="20% - Accent1 4 5 2 4" xfId="11460"/>
    <cellStyle name="20% - Accent1 4 5 2 4 2" xfId="11461"/>
    <cellStyle name="20% - Accent1 4 5 2 4 2 2" xfId="11462"/>
    <cellStyle name="20% - Accent1 4 5 2 4 2 3" xfId="11463"/>
    <cellStyle name="20% - Accent1 4 5 2 4 3" xfId="11464"/>
    <cellStyle name="20% - Accent1 4 5 2 4 3 2" xfId="11465"/>
    <cellStyle name="20% - Accent1 4 5 2 4 4" xfId="11466"/>
    <cellStyle name="20% - Accent1 4 5 2 4 5" xfId="11467"/>
    <cellStyle name="20% - Accent1 4 5 2 5" xfId="11468"/>
    <cellStyle name="20% - Accent1 4 5 2 5 2" xfId="11469"/>
    <cellStyle name="20% - Accent1 4 5 2 5 3" xfId="11470"/>
    <cellStyle name="20% - Accent1 4 5 2 6" xfId="11471"/>
    <cellStyle name="20% - Accent1 4 5 2 6 2" xfId="11472"/>
    <cellStyle name="20% - Accent1 4 5 2 6 3" xfId="11473"/>
    <cellStyle name="20% - Accent1 4 5 2 7" xfId="11474"/>
    <cellStyle name="20% - Accent1 4 5 2 7 2" xfId="11475"/>
    <cellStyle name="20% - Accent1 4 5 2 8" xfId="11476"/>
    <cellStyle name="20% - Accent1 4 5 2 9" xfId="11477"/>
    <cellStyle name="20% - Accent1 4 5 3" xfId="11478"/>
    <cellStyle name="20% - Accent1 4 5 3 2" xfId="11479"/>
    <cellStyle name="20% - Accent1 4 5 3 2 2" xfId="11480"/>
    <cellStyle name="20% - Accent1 4 5 3 2 3" xfId="11481"/>
    <cellStyle name="20% - Accent1 4 5 3 3" xfId="11482"/>
    <cellStyle name="20% - Accent1 4 5 3 3 2" xfId="11483"/>
    <cellStyle name="20% - Accent1 4 5 3 3 3" xfId="11484"/>
    <cellStyle name="20% - Accent1 4 5 3 4" xfId="11485"/>
    <cellStyle name="20% - Accent1 4 5 3 4 2" xfId="11486"/>
    <cellStyle name="20% - Accent1 4 5 3 5" xfId="11487"/>
    <cellStyle name="20% - Accent1 4 5 3 6" xfId="11488"/>
    <cellStyle name="20% - Accent1 4 5 4" xfId="11489"/>
    <cellStyle name="20% - Accent1 4 5 4 2" xfId="11490"/>
    <cellStyle name="20% - Accent1 4 5 4 2 2" xfId="11491"/>
    <cellStyle name="20% - Accent1 4 5 4 2 3" xfId="11492"/>
    <cellStyle name="20% - Accent1 4 5 4 3" xfId="11493"/>
    <cellStyle name="20% - Accent1 4 5 4 3 2" xfId="11494"/>
    <cellStyle name="20% - Accent1 4 5 4 3 3" xfId="11495"/>
    <cellStyle name="20% - Accent1 4 5 4 4" xfId="11496"/>
    <cellStyle name="20% - Accent1 4 5 4 4 2" xfId="11497"/>
    <cellStyle name="20% - Accent1 4 5 4 5" xfId="11498"/>
    <cellStyle name="20% - Accent1 4 5 4 6" xfId="11499"/>
    <cellStyle name="20% - Accent1 4 5 5" xfId="11500"/>
    <cellStyle name="20% - Accent1 4 5 5 2" xfId="11501"/>
    <cellStyle name="20% - Accent1 4 5 5 2 2" xfId="11502"/>
    <cellStyle name="20% - Accent1 4 5 5 2 3" xfId="11503"/>
    <cellStyle name="20% - Accent1 4 5 5 3" xfId="11504"/>
    <cellStyle name="20% - Accent1 4 5 5 3 2" xfId="11505"/>
    <cellStyle name="20% - Accent1 4 5 5 4" xfId="11506"/>
    <cellStyle name="20% - Accent1 4 5 5 5" xfId="11507"/>
    <cellStyle name="20% - Accent1 4 5 6" xfId="11508"/>
    <cellStyle name="20% - Accent1 4 5 6 2" xfId="11509"/>
    <cellStyle name="20% - Accent1 4 5 6 3" xfId="11510"/>
    <cellStyle name="20% - Accent1 4 5 7" xfId="11511"/>
    <cellStyle name="20% - Accent1 4 5 7 2" xfId="11512"/>
    <cellStyle name="20% - Accent1 4 5 7 3" xfId="11513"/>
    <cellStyle name="20% - Accent1 4 5 8" xfId="11514"/>
    <cellStyle name="20% - Accent1 4 5 8 2" xfId="11515"/>
    <cellStyle name="20% - Accent1 4 5 9" xfId="11516"/>
    <cellStyle name="20% - Accent1 4 6" xfId="180"/>
    <cellStyle name="20% - Accent1 4 6 2" xfId="11517"/>
    <cellStyle name="20% - Accent1 4 6 2 2" xfId="11518"/>
    <cellStyle name="20% - Accent1 4 6 2 2 2" xfId="11519"/>
    <cellStyle name="20% - Accent1 4 6 2 2 3" xfId="11520"/>
    <cellStyle name="20% - Accent1 4 6 2 3" xfId="11521"/>
    <cellStyle name="20% - Accent1 4 6 2 3 2" xfId="11522"/>
    <cellStyle name="20% - Accent1 4 6 2 3 3" xfId="11523"/>
    <cellStyle name="20% - Accent1 4 6 2 4" xfId="11524"/>
    <cellStyle name="20% - Accent1 4 6 2 4 2" xfId="11525"/>
    <cellStyle name="20% - Accent1 4 6 2 5" xfId="11526"/>
    <cellStyle name="20% - Accent1 4 6 2 6" xfId="11527"/>
    <cellStyle name="20% - Accent1 4 6 3" xfId="11528"/>
    <cellStyle name="20% - Accent1 4 6 3 2" xfId="11529"/>
    <cellStyle name="20% - Accent1 4 6 3 2 2" xfId="11530"/>
    <cellStyle name="20% - Accent1 4 6 3 2 3" xfId="11531"/>
    <cellStyle name="20% - Accent1 4 6 3 3" xfId="11532"/>
    <cellStyle name="20% - Accent1 4 6 3 3 2" xfId="11533"/>
    <cellStyle name="20% - Accent1 4 6 3 3 3" xfId="11534"/>
    <cellStyle name="20% - Accent1 4 6 3 4" xfId="11535"/>
    <cellStyle name="20% - Accent1 4 6 3 4 2" xfId="11536"/>
    <cellStyle name="20% - Accent1 4 6 3 5" xfId="11537"/>
    <cellStyle name="20% - Accent1 4 6 3 6" xfId="11538"/>
    <cellStyle name="20% - Accent1 4 6 4" xfId="11539"/>
    <cellStyle name="20% - Accent1 4 6 4 2" xfId="11540"/>
    <cellStyle name="20% - Accent1 4 6 4 2 2" xfId="11541"/>
    <cellStyle name="20% - Accent1 4 6 4 2 3" xfId="11542"/>
    <cellStyle name="20% - Accent1 4 6 4 3" xfId="11543"/>
    <cellStyle name="20% - Accent1 4 6 4 3 2" xfId="11544"/>
    <cellStyle name="20% - Accent1 4 6 4 4" xfId="11545"/>
    <cellStyle name="20% - Accent1 4 6 4 5" xfId="11546"/>
    <cellStyle name="20% - Accent1 4 6 5" xfId="11547"/>
    <cellStyle name="20% - Accent1 4 6 5 2" xfId="11548"/>
    <cellStyle name="20% - Accent1 4 6 5 3" xfId="11549"/>
    <cellStyle name="20% - Accent1 4 6 6" xfId="11550"/>
    <cellStyle name="20% - Accent1 4 6 6 2" xfId="11551"/>
    <cellStyle name="20% - Accent1 4 6 6 3" xfId="11552"/>
    <cellStyle name="20% - Accent1 4 6 7" xfId="11553"/>
    <cellStyle name="20% - Accent1 4 6 7 2" xfId="11554"/>
    <cellStyle name="20% - Accent1 4 6 8" xfId="11555"/>
    <cellStyle name="20% - Accent1 4 6 9" xfId="11556"/>
    <cellStyle name="20% - Accent1 4 7" xfId="8792"/>
    <cellStyle name="20% - Accent1 4 7 2" xfId="11557"/>
    <cellStyle name="20% - Accent1 4 7 2 2" xfId="11558"/>
    <cellStyle name="20% - Accent1 4 7 2 2 2" xfId="11559"/>
    <cellStyle name="20% - Accent1 4 7 2 2 3" xfId="11560"/>
    <cellStyle name="20% - Accent1 4 7 2 3" xfId="11561"/>
    <cellStyle name="20% - Accent1 4 7 2 3 2" xfId="11562"/>
    <cellStyle name="20% - Accent1 4 7 2 3 3" xfId="11563"/>
    <cellStyle name="20% - Accent1 4 7 2 4" xfId="11564"/>
    <cellStyle name="20% - Accent1 4 7 2 4 2" xfId="11565"/>
    <cellStyle name="20% - Accent1 4 7 2 5" xfId="11566"/>
    <cellStyle name="20% - Accent1 4 7 2 6" xfId="11567"/>
    <cellStyle name="20% - Accent1 4 7 3" xfId="11568"/>
    <cellStyle name="20% - Accent1 4 7 3 2" xfId="11569"/>
    <cellStyle name="20% - Accent1 4 7 3 2 2" xfId="11570"/>
    <cellStyle name="20% - Accent1 4 7 3 2 3" xfId="11571"/>
    <cellStyle name="20% - Accent1 4 7 3 3" xfId="11572"/>
    <cellStyle name="20% - Accent1 4 7 3 3 2" xfId="11573"/>
    <cellStyle name="20% - Accent1 4 7 3 3 3" xfId="11574"/>
    <cellStyle name="20% - Accent1 4 7 3 4" xfId="11575"/>
    <cellStyle name="20% - Accent1 4 7 3 4 2" xfId="11576"/>
    <cellStyle name="20% - Accent1 4 7 3 5" xfId="11577"/>
    <cellStyle name="20% - Accent1 4 7 3 6" xfId="11578"/>
    <cellStyle name="20% - Accent1 4 7 4" xfId="11579"/>
    <cellStyle name="20% - Accent1 4 7 4 2" xfId="11580"/>
    <cellStyle name="20% - Accent1 4 7 4 2 2" xfId="11581"/>
    <cellStyle name="20% - Accent1 4 7 4 2 3" xfId="11582"/>
    <cellStyle name="20% - Accent1 4 7 4 3" xfId="11583"/>
    <cellStyle name="20% - Accent1 4 7 4 3 2" xfId="11584"/>
    <cellStyle name="20% - Accent1 4 7 4 4" xfId="11585"/>
    <cellStyle name="20% - Accent1 4 7 4 5" xfId="11586"/>
    <cellStyle name="20% - Accent1 4 7 5" xfId="11587"/>
    <cellStyle name="20% - Accent1 4 7 5 2" xfId="11588"/>
    <cellStyle name="20% - Accent1 4 7 5 3" xfId="11589"/>
    <cellStyle name="20% - Accent1 4 7 6" xfId="11590"/>
    <cellStyle name="20% - Accent1 4 7 6 2" xfId="11591"/>
    <cellStyle name="20% - Accent1 4 7 6 3" xfId="11592"/>
    <cellStyle name="20% - Accent1 4 7 7" xfId="11593"/>
    <cellStyle name="20% - Accent1 4 7 7 2" xfId="11594"/>
    <cellStyle name="20% - Accent1 4 7 8" xfId="11595"/>
    <cellStyle name="20% - Accent1 4 7 9" xfId="11596"/>
    <cellStyle name="20% - Accent1 4 8" xfId="11597"/>
    <cellStyle name="20% - Accent1 4 8 2" xfId="11598"/>
    <cellStyle name="20% - Accent1 4 8 2 2" xfId="11599"/>
    <cellStyle name="20% - Accent1 4 8 2 3" xfId="11600"/>
    <cellStyle name="20% - Accent1 4 8 3" xfId="11601"/>
    <cellStyle name="20% - Accent1 4 8 3 2" xfId="11602"/>
    <cellStyle name="20% - Accent1 4 8 3 3" xfId="11603"/>
    <cellStyle name="20% - Accent1 4 8 4" xfId="11604"/>
    <cellStyle name="20% - Accent1 4 8 4 2" xfId="11605"/>
    <cellStyle name="20% - Accent1 4 8 5" xfId="11606"/>
    <cellStyle name="20% - Accent1 4 8 6" xfId="11607"/>
    <cellStyle name="20% - Accent1 4 9" xfId="11608"/>
    <cellStyle name="20% - Accent1 4 9 2" xfId="11609"/>
    <cellStyle name="20% - Accent1 4 9 2 2" xfId="11610"/>
    <cellStyle name="20% - Accent1 4 9 2 3" xfId="11611"/>
    <cellStyle name="20% - Accent1 4 9 3" xfId="11612"/>
    <cellStyle name="20% - Accent1 4 9 3 2" xfId="11613"/>
    <cellStyle name="20% - Accent1 4 9 3 3" xfId="11614"/>
    <cellStyle name="20% - Accent1 4 9 4" xfId="11615"/>
    <cellStyle name="20% - Accent1 4 9 4 2" xfId="11616"/>
    <cellStyle name="20% - Accent1 4 9 5" xfId="11617"/>
    <cellStyle name="20% - Accent1 4 9 6" xfId="11618"/>
    <cellStyle name="20% - Accent1 5" xfId="181"/>
    <cellStyle name="20% - Accent1 5 2" xfId="182"/>
    <cellStyle name="20% - Accent1 5 2 2" xfId="183"/>
    <cellStyle name="20% - Accent1 5 2 2 2" xfId="184"/>
    <cellStyle name="20% - Accent1 5 2 2 2 2" xfId="185"/>
    <cellStyle name="20% - Accent1 5 2 2 3" xfId="186"/>
    <cellStyle name="20% - Accent1 5 2 3" xfId="187"/>
    <cellStyle name="20% - Accent1 5 2 3 2" xfId="188"/>
    <cellStyle name="20% - Accent1 5 2 4" xfId="189"/>
    <cellStyle name="20% - Accent1 5 2 5" xfId="57836"/>
    <cellStyle name="20% - Accent1 5 3" xfId="190"/>
    <cellStyle name="20% - Accent1 5 3 2" xfId="191"/>
    <cellStyle name="20% - Accent1 5 3 2 2" xfId="192"/>
    <cellStyle name="20% - Accent1 5 3 3" xfId="193"/>
    <cellStyle name="20% - Accent1 5 4" xfId="194"/>
    <cellStyle name="20% - Accent1 5 4 2" xfId="195"/>
    <cellStyle name="20% - Accent1 5 5" xfId="196"/>
    <cellStyle name="20% - Accent1 5 6" xfId="8793"/>
    <cellStyle name="20% - Accent1 6" xfId="197"/>
    <cellStyle name="20% - Accent1 6 2" xfId="198"/>
    <cellStyle name="20% - Accent1 6 2 2" xfId="199"/>
    <cellStyle name="20% - Accent1 6 2 2 2" xfId="200"/>
    <cellStyle name="20% - Accent1 6 2 3" xfId="201"/>
    <cellStyle name="20% - Accent1 6 2 4" xfId="57837"/>
    <cellStyle name="20% - Accent1 6 2 5" xfId="57838"/>
    <cellStyle name="20% - Accent1 6 3" xfId="202"/>
    <cellStyle name="20% - Accent1 6 3 2" xfId="203"/>
    <cellStyle name="20% - Accent1 6 4" xfId="204"/>
    <cellStyle name="20% - Accent1 6 5" xfId="57839"/>
    <cellStyle name="20% - Accent1 7" xfId="205"/>
    <cellStyle name="20% - Accent1 7 2" xfId="206"/>
    <cellStyle name="20% - Accent1 7 2 2" xfId="207"/>
    <cellStyle name="20% - Accent1 7 2 2 2" xfId="208"/>
    <cellStyle name="20% - Accent1 7 2 3" xfId="209"/>
    <cellStyle name="20% - Accent1 7 3" xfId="210"/>
    <cellStyle name="20% - Accent1 7 3 2" xfId="211"/>
    <cellStyle name="20% - Accent1 7 4" xfId="212"/>
    <cellStyle name="20% - Accent1 7 5" xfId="57840"/>
    <cellStyle name="20% - Accent1 8" xfId="213"/>
    <cellStyle name="20% - Accent1 8 2" xfId="214"/>
    <cellStyle name="20% - Accent1 8 2 2" xfId="215"/>
    <cellStyle name="20% - Accent1 8 2 2 2" xfId="216"/>
    <cellStyle name="20% - Accent1 8 2 3" xfId="217"/>
    <cellStyle name="20% - Accent1 8 3" xfId="218"/>
    <cellStyle name="20% - Accent1 8 3 2" xfId="219"/>
    <cellStyle name="20% - Accent1 8 4" xfId="220"/>
    <cellStyle name="20% - Accent1 8 5" xfId="57841"/>
    <cellStyle name="20% - Accent1 9" xfId="221"/>
    <cellStyle name="20% - Accent1 9 2" xfId="222"/>
    <cellStyle name="20% - Accent1 9 2 2" xfId="223"/>
    <cellStyle name="20% - Accent1 9 3" xfId="224"/>
    <cellStyle name="20% - Accent1 9 4" xfId="57842"/>
    <cellStyle name="20% - Accent2 10" xfId="225"/>
    <cellStyle name="20% - Accent2 10 2" xfId="226"/>
    <cellStyle name="20% - Accent2 10 2 2" xfId="227"/>
    <cellStyle name="20% - Accent2 10 3" xfId="228"/>
    <cellStyle name="20% - Accent2 10 4" xfId="57843"/>
    <cellStyle name="20% - Accent2 11" xfId="229"/>
    <cellStyle name="20% - Accent2 11 2" xfId="230"/>
    <cellStyle name="20% - Accent2 11 2 2" xfId="231"/>
    <cellStyle name="20% - Accent2 11 3" xfId="232"/>
    <cellStyle name="20% - Accent2 11 4" xfId="57844"/>
    <cellStyle name="20% - Accent2 12" xfId="233"/>
    <cellStyle name="20% - Accent2 12 2" xfId="234"/>
    <cellStyle name="20% - Accent2 12 3" xfId="57845"/>
    <cellStyle name="20% - Accent2 13" xfId="235"/>
    <cellStyle name="20% - Accent2 13 2" xfId="57846"/>
    <cellStyle name="20% - Accent2 14" xfId="8794"/>
    <cellStyle name="20% - Accent2 15" xfId="9382"/>
    <cellStyle name="20% - Accent2 16" xfId="9383"/>
    <cellStyle name="20% - Accent2 17" xfId="9384"/>
    <cellStyle name="20% - Accent2 17 2" xfId="57847"/>
    <cellStyle name="20% - Accent2 18" xfId="57848"/>
    <cellStyle name="20% - Accent2 19" xfId="57849"/>
    <cellStyle name="20% - Accent2 2" xfId="236"/>
    <cellStyle name="20% - Accent2 2 2" xfId="237"/>
    <cellStyle name="20% - Accent2 2 2 2" xfId="238"/>
    <cellStyle name="20% - Accent2 2 2 2 2" xfId="239"/>
    <cellStyle name="20% - Accent2 2 2 2 2 2" xfId="240"/>
    <cellStyle name="20% - Accent2 2 2 2 2 2 2" xfId="241"/>
    <cellStyle name="20% - Accent2 2 2 2 2 2 2 2" xfId="242"/>
    <cellStyle name="20% - Accent2 2 2 2 2 2 3" xfId="243"/>
    <cellStyle name="20% - Accent2 2 2 2 2 3" xfId="244"/>
    <cellStyle name="20% - Accent2 2 2 2 2 3 2" xfId="245"/>
    <cellStyle name="20% - Accent2 2 2 2 2 4" xfId="246"/>
    <cellStyle name="20% - Accent2 2 2 2 2 5" xfId="57850"/>
    <cellStyle name="20% - Accent2 2 2 2 3" xfId="247"/>
    <cellStyle name="20% - Accent2 2 2 2 3 2" xfId="248"/>
    <cellStyle name="20% - Accent2 2 2 2 3 2 2" xfId="249"/>
    <cellStyle name="20% - Accent2 2 2 2 3 3" xfId="250"/>
    <cellStyle name="20% - Accent2 2 2 2 4" xfId="251"/>
    <cellStyle name="20% - Accent2 2 2 2 4 2" xfId="252"/>
    <cellStyle name="20% - Accent2 2 2 2 5" xfId="253"/>
    <cellStyle name="20% - Accent2 2 2 2 6" xfId="57851"/>
    <cellStyle name="20% - Accent2 2 2 3" xfId="254"/>
    <cellStyle name="20% - Accent2 2 2 3 2" xfId="255"/>
    <cellStyle name="20% - Accent2 2 2 3 2 2" xfId="256"/>
    <cellStyle name="20% - Accent2 2 2 3 2 2 2" xfId="257"/>
    <cellStyle name="20% - Accent2 2 2 3 2 3" xfId="258"/>
    <cellStyle name="20% - Accent2 2 2 3 3" xfId="259"/>
    <cellStyle name="20% - Accent2 2 2 3 3 2" xfId="260"/>
    <cellStyle name="20% - Accent2 2 2 3 4" xfId="261"/>
    <cellStyle name="20% - Accent2 2 2 3 5" xfId="57852"/>
    <cellStyle name="20% - Accent2 2 2 4" xfId="262"/>
    <cellStyle name="20% - Accent2 2 2 4 2" xfId="263"/>
    <cellStyle name="20% - Accent2 2 2 4 2 2" xfId="264"/>
    <cellStyle name="20% - Accent2 2 2 4 3" xfId="265"/>
    <cellStyle name="20% - Accent2 2 2 5" xfId="266"/>
    <cellStyle name="20% - Accent2 2 2 5 2" xfId="267"/>
    <cellStyle name="20% - Accent2 2 2 6" xfId="268"/>
    <cellStyle name="20% - Accent2 2 2 7" xfId="57853"/>
    <cellStyle name="20% - Accent2 2 3" xfId="269"/>
    <cellStyle name="20% - Accent2 2 3 2" xfId="270"/>
    <cellStyle name="20% - Accent2 2 3 2 2" xfId="271"/>
    <cellStyle name="20% - Accent2 2 3 2 2 2" xfId="272"/>
    <cellStyle name="20% - Accent2 2 3 2 2 2 2" xfId="273"/>
    <cellStyle name="20% - Accent2 2 3 2 2 3" xfId="274"/>
    <cellStyle name="20% - Accent2 2 3 2 3" xfId="275"/>
    <cellStyle name="20% - Accent2 2 3 2 3 2" xfId="276"/>
    <cellStyle name="20% - Accent2 2 3 2 4" xfId="277"/>
    <cellStyle name="20% - Accent2 2 3 3" xfId="278"/>
    <cellStyle name="20% - Accent2 2 3 3 2" xfId="279"/>
    <cellStyle name="20% - Accent2 2 3 3 2 2" xfId="280"/>
    <cellStyle name="20% - Accent2 2 3 3 3" xfId="281"/>
    <cellStyle name="20% - Accent2 2 3 4" xfId="282"/>
    <cellStyle name="20% - Accent2 2 3 4 2" xfId="283"/>
    <cellStyle name="20% - Accent2 2 3 5" xfId="284"/>
    <cellStyle name="20% - Accent2 2 3 6" xfId="57854"/>
    <cellStyle name="20% - Accent2 2 4" xfId="285"/>
    <cellStyle name="20% - Accent2 2 4 2" xfId="286"/>
    <cellStyle name="20% - Accent2 2 4 2 2" xfId="287"/>
    <cellStyle name="20% - Accent2 2 4 2 2 2" xfId="288"/>
    <cellStyle name="20% - Accent2 2 4 2 3" xfId="289"/>
    <cellStyle name="20% - Accent2 2 4 3" xfId="290"/>
    <cellStyle name="20% - Accent2 2 4 3 2" xfId="291"/>
    <cellStyle name="20% - Accent2 2 4 4" xfId="292"/>
    <cellStyle name="20% - Accent2 2 4 5" xfId="57855"/>
    <cellStyle name="20% - Accent2 2 5" xfId="293"/>
    <cellStyle name="20% - Accent2 2 5 2" xfId="294"/>
    <cellStyle name="20% - Accent2 2 5 2 2" xfId="295"/>
    <cellStyle name="20% - Accent2 2 5 3" xfId="296"/>
    <cellStyle name="20% - Accent2 2 5 4" xfId="57856"/>
    <cellStyle name="20% - Accent2 2 6" xfId="297"/>
    <cellStyle name="20% - Accent2 2 6 2" xfId="298"/>
    <cellStyle name="20% - Accent2 2 6 3" xfId="57857"/>
    <cellStyle name="20% - Accent2 2 7" xfId="299"/>
    <cellStyle name="20% - Accent2 2 8" xfId="300"/>
    <cellStyle name="20% - Accent2 2 9" xfId="57858"/>
    <cellStyle name="20% - Accent2 20" xfId="57859"/>
    <cellStyle name="20% - Accent2 21" xfId="57860"/>
    <cellStyle name="20% - Accent2 3" xfId="301"/>
    <cellStyle name="20% - Accent2 3 2" xfId="302"/>
    <cellStyle name="20% - Accent2 3 2 2" xfId="303"/>
    <cellStyle name="20% - Accent2 3 2 2 2" xfId="304"/>
    <cellStyle name="20% - Accent2 3 2 2 2 2" xfId="305"/>
    <cellStyle name="20% - Accent2 3 2 2 2 2 2" xfId="306"/>
    <cellStyle name="20% - Accent2 3 2 2 2 2 2 2" xfId="307"/>
    <cellStyle name="20% - Accent2 3 2 2 2 2 3" xfId="308"/>
    <cellStyle name="20% - Accent2 3 2 2 2 3" xfId="309"/>
    <cellStyle name="20% - Accent2 3 2 2 2 3 2" xfId="310"/>
    <cellStyle name="20% - Accent2 3 2 2 2 4" xfId="311"/>
    <cellStyle name="20% - Accent2 3 2 2 2 5" xfId="8795"/>
    <cellStyle name="20% - Accent2 3 2 2 3" xfId="312"/>
    <cellStyle name="20% - Accent2 3 2 2 3 2" xfId="313"/>
    <cellStyle name="20% - Accent2 3 2 2 3 2 2" xfId="314"/>
    <cellStyle name="20% - Accent2 3 2 2 3 3" xfId="315"/>
    <cellStyle name="20% - Accent2 3 2 2 4" xfId="316"/>
    <cellStyle name="20% - Accent2 3 2 2 4 2" xfId="317"/>
    <cellStyle name="20% - Accent2 3 2 2 5" xfId="318"/>
    <cellStyle name="20% - Accent2 3 2 2 6" xfId="8796"/>
    <cellStyle name="20% - Accent2 3 2 3" xfId="319"/>
    <cellStyle name="20% - Accent2 3 2 3 2" xfId="320"/>
    <cellStyle name="20% - Accent2 3 2 3 2 2" xfId="321"/>
    <cellStyle name="20% - Accent2 3 2 3 2 2 2" xfId="322"/>
    <cellStyle name="20% - Accent2 3 2 3 2 3" xfId="323"/>
    <cellStyle name="20% - Accent2 3 2 3 3" xfId="324"/>
    <cellStyle name="20% - Accent2 3 2 3 3 2" xfId="325"/>
    <cellStyle name="20% - Accent2 3 2 3 4" xfId="326"/>
    <cellStyle name="20% - Accent2 3 2 3 5" xfId="8797"/>
    <cellStyle name="20% - Accent2 3 2 4" xfId="327"/>
    <cellStyle name="20% - Accent2 3 2 4 2" xfId="328"/>
    <cellStyle name="20% - Accent2 3 2 4 2 2" xfId="329"/>
    <cellStyle name="20% - Accent2 3 2 4 3" xfId="330"/>
    <cellStyle name="20% - Accent2 3 2 5" xfId="331"/>
    <cellStyle name="20% - Accent2 3 2 5 2" xfId="332"/>
    <cellStyle name="20% - Accent2 3 2 6" xfId="333"/>
    <cellStyle name="20% - Accent2 3 2 7" xfId="8798"/>
    <cellStyle name="20% - Accent2 3 3" xfId="334"/>
    <cellStyle name="20% - Accent2 3 3 2" xfId="335"/>
    <cellStyle name="20% - Accent2 3 3 2 2" xfId="336"/>
    <cellStyle name="20% - Accent2 3 3 2 2 2" xfId="337"/>
    <cellStyle name="20% - Accent2 3 3 2 2 2 2" xfId="338"/>
    <cellStyle name="20% - Accent2 3 3 2 2 3" xfId="339"/>
    <cellStyle name="20% - Accent2 3 3 2 3" xfId="340"/>
    <cellStyle name="20% - Accent2 3 3 2 3 2" xfId="341"/>
    <cellStyle name="20% - Accent2 3 3 2 4" xfId="342"/>
    <cellStyle name="20% - Accent2 3 3 2 5" xfId="8799"/>
    <cellStyle name="20% - Accent2 3 3 3" xfId="343"/>
    <cellStyle name="20% - Accent2 3 3 3 2" xfId="344"/>
    <cellStyle name="20% - Accent2 3 3 3 2 2" xfId="345"/>
    <cellStyle name="20% - Accent2 3 3 3 3" xfId="346"/>
    <cellStyle name="20% - Accent2 3 3 4" xfId="347"/>
    <cellStyle name="20% - Accent2 3 3 4 2" xfId="348"/>
    <cellStyle name="20% - Accent2 3 3 5" xfId="349"/>
    <cellStyle name="20% - Accent2 3 3 6" xfId="8800"/>
    <cellStyle name="20% - Accent2 3 4" xfId="350"/>
    <cellStyle name="20% - Accent2 3 4 2" xfId="351"/>
    <cellStyle name="20% - Accent2 3 4 2 2" xfId="352"/>
    <cellStyle name="20% - Accent2 3 4 2 2 2" xfId="353"/>
    <cellStyle name="20% - Accent2 3 4 2 3" xfId="354"/>
    <cellStyle name="20% - Accent2 3 4 3" xfId="355"/>
    <cellStyle name="20% - Accent2 3 4 3 2" xfId="356"/>
    <cellStyle name="20% - Accent2 3 4 4" xfId="357"/>
    <cellStyle name="20% - Accent2 3 4 5" xfId="8801"/>
    <cellStyle name="20% - Accent2 3 5" xfId="358"/>
    <cellStyle name="20% - Accent2 3 5 2" xfId="359"/>
    <cellStyle name="20% - Accent2 3 5 2 2" xfId="360"/>
    <cellStyle name="20% - Accent2 3 5 3" xfId="361"/>
    <cellStyle name="20% - Accent2 3 6" xfId="362"/>
    <cellStyle name="20% - Accent2 3 6 2" xfId="363"/>
    <cellStyle name="20% - Accent2 3 7" xfId="364"/>
    <cellStyle name="20% - Accent2 3 8" xfId="365"/>
    <cellStyle name="20% - Accent2 3 9" xfId="8802"/>
    <cellStyle name="20% - Accent2 4" xfId="366"/>
    <cellStyle name="20% - Accent2 4 10" xfId="11619"/>
    <cellStyle name="20% - Accent2 4 10 2" xfId="11620"/>
    <cellStyle name="20% - Accent2 4 10 2 2" xfId="11621"/>
    <cellStyle name="20% - Accent2 4 10 2 3" xfId="11622"/>
    <cellStyle name="20% - Accent2 4 10 3" xfId="11623"/>
    <cellStyle name="20% - Accent2 4 10 3 2" xfId="11624"/>
    <cellStyle name="20% - Accent2 4 10 4" xfId="11625"/>
    <cellStyle name="20% - Accent2 4 10 5" xfId="11626"/>
    <cellStyle name="20% - Accent2 4 11" xfId="11627"/>
    <cellStyle name="20% - Accent2 4 11 2" xfId="11628"/>
    <cellStyle name="20% - Accent2 4 11 3" xfId="11629"/>
    <cellStyle name="20% - Accent2 4 12" xfId="11630"/>
    <cellStyle name="20% - Accent2 4 12 2" xfId="11631"/>
    <cellStyle name="20% - Accent2 4 12 3" xfId="11632"/>
    <cellStyle name="20% - Accent2 4 13" xfId="11633"/>
    <cellStyle name="20% - Accent2 4 13 2" xfId="11634"/>
    <cellStyle name="20% - Accent2 4 14" xfId="11635"/>
    <cellStyle name="20% - Accent2 4 15" xfId="11636"/>
    <cellStyle name="20% - Accent2 4 16" xfId="11637"/>
    <cellStyle name="20% - Accent2 4 2" xfId="367"/>
    <cellStyle name="20% - Accent2 4 2 10" xfId="11638"/>
    <cellStyle name="20% - Accent2 4 2 10 2" xfId="11639"/>
    <cellStyle name="20% - Accent2 4 2 10 3" xfId="11640"/>
    <cellStyle name="20% - Accent2 4 2 11" xfId="11641"/>
    <cellStyle name="20% - Accent2 4 2 11 2" xfId="11642"/>
    <cellStyle name="20% - Accent2 4 2 11 3" xfId="11643"/>
    <cellStyle name="20% - Accent2 4 2 12" xfId="11644"/>
    <cellStyle name="20% - Accent2 4 2 12 2" xfId="11645"/>
    <cellStyle name="20% - Accent2 4 2 13" xfId="11646"/>
    <cellStyle name="20% - Accent2 4 2 14" xfId="11647"/>
    <cellStyle name="20% - Accent2 4 2 15" xfId="11648"/>
    <cellStyle name="20% - Accent2 4 2 2" xfId="368"/>
    <cellStyle name="20% - Accent2 4 2 2 10" xfId="11649"/>
    <cellStyle name="20% - Accent2 4 2 2 10 2" xfId="11650"/>
    <cellStyle name="20% - Accent2 4 2 2 10 3" xfId="11651"/>
    <cellStyle name="20% - Accent2 4 2 2 11" xfId="11652"/>
    <cellStyle name="20% - Accent2 4 2 2 11 2" xfId="11653"/>
    <cellStyle name="20% - Accent2 4 2 2 12" xfId="11654"/>
    <cellStyle name="20% - Accent2 4 2 2 13" xfId="11655"/>
    <cellStyle name="20% - Accent2 4 2 2 2" xfId="369"/>
    <cellStyle name="20% - Accent2 4 2 2 2 10" xfId="11656"/>
    <cellStyle name="20% - Accent2 4 2 2 2 10 2" xfId="11657"/>
    <cellStyle name="20% - Accent2 4 2 2 2 11" xfId="11658"/>
    <cellStyle name="20% - Accent2 4 2 2 2 12" xfId="11659"/>
    <cellStyle name="20% - Accent2 4 2 2 2 2" xfId="370"/>
    <cellStyle name="20% - Accent2 4 2 2 2 2 10" xfId="11660"/>
    <cellStyle name="20% - Accent2 4 2 2 2 2 2" xfId="371"/>
    <cellStyle name="20% - Accent2 4 2 2 2 2 2 2" xfId="11661"/>
    <cellStyle name="20% - Accent2 4 2 2 2 2 2 2 2" xfId="11662"/>
    <cellStyle name="20% - Accent2 4 2 2 2 2 2 2 2 2" xfId="11663"/>
    <cellStyle name="20% - Accent2 4 2 2 2 2 2 2 2 3" xfId="11664"/>
    <cellStyle name="20% - Accent2 4 2 2 2 2 2 2 3" xfId="11665"/>
    <cellStyle name="20% - Accent2 4 2 2 2 2 2 2 3 2" xfId="11666"/>
    <cellStyle name="20% - Accent2 4 2 2 2 2 2 2 3 3" xfId="11667"/>
    <cellStyle name="20% - Accent2 4 2 2 2 2 2 2 4" xfId="11668"/>
    <cellStyle name="20% - Accent2 4 2 2 2 2 2 2 4 2" xfId="11669"/>
    <cellStyle name="20% - Accent2 4 2 2 2 2 2 2 5" xfId="11670"/>
    <cellStyle name="20% - Accent2 4 2 2 2 2 2 2 6" xfId="11671"/>
    <cellStyle name="20% - Accent2 4 2 2 2 2 2 3" xfId="11672"/>
    <cellStyle name="20% - Accent2 4 2 2 2 2 2 3 2" xfId="11673"/>
    <cellStyle name="20% - Accent2 4 2 2 2 2 2 3 2 2" xfId="11674"/>
    <cellStyle name="20% - Accent2 4 2 2 2 2 2 3 2 3" xfId="11675"/>
    <cellStyle name="20% - Accent2 4 2 2 2 2 2 3 3" xfId="11676"/>
    <cellStyle name="20% - Accent2 4 2 2 2 2 2 3 3 2" xfId="11677"/>
    <cellStyle name="20% - Accent2 4 2 2 2 2 2 3 3 3" xfId="11678"/>
    <cellStyle name="20% - Accent2 4 2 2 2 2 2 3 4" xfId="11679"/>
    <cellStyle name="20% - Accent2 4 2 2 2 2 2 3 4 2" xfId="11680"/>
    <cellStyle name="20% - Accent2 4 2 2 2 2 2 3 5" xfId="11681"/>
    <cellStyle name="20% - Accent2 4 2 2 2 2 2 3 6" xfId="11682"/>
    <cellStyle name="20% - Accent2 4 2 2 2 2 2 4" xfId="11683"/>
    <cellStyle name="20% - Accent2 4 2 2 2 2 2 4 2" xfId="11684"/>
    <cellStyle name="20% - Accent2 4 2 2 2 2 2 4 2 2" xfId="11685"/>
    <cellStyle name="20% - Accent2 4 2 2 2 2 2 4 2 3" xfId="11686"/>
    <cellStyle name="20% - Accent2 4 2 2 2 2 2 4 3" xfId="11687"/>
    <cellStyle name="20% - Accent2 4 2 2 2 2 2 4 3 2" xfId="11688"/>
    <cellStyle name="20% - Accent2 4 2 2 2 2 2 4 4" xfId="11689"/>
    <cellStyle name="20% - Accent2 4 2 2 2 2 2 4 5" xfId="11690"/>
    <cellStyle name="20% - Accent2 4 2 2 2 2 2 5" xfId="11691"/>
    <cellStyle name="20% - Accent2 4 2 2 2 2 2 5 2" xfId="11692"/>
    <cellStyle name="20% - Accent2 4 2 2 2 2 2 5 3" xfId="11693"/>
    <cellStyle name="20% - Accent2 4 2 2 2 2 2 6" xfId="11694"/>
    <cellStyle name="20% - Accent2 4 2 2 2 2 2 6 2" xfId="11695"/>
    <cellStyle name="20% - Accent2 4 2 2 2 2 2 6 3" xfId="11696"/>
    <cellStyle name="20% - Accent2 4 2 2 2 2 2 7" xfId="11697"/>
    <cellStyle name="20% - Accent2 4 2 2 2 2 2 7 2" xfId="11698"/>
    <cellStyle name="20% - Accent2 4 2 2 2 2 2 8" xfId="11699"/>
    <cellStyle name="20% - Accent2 4 2 2 2 2 2 9" xfId="11700"/>
    <cellStyle name="20% - Accent2 4 2 2 2 2 3" xfId="11701"/>
    <cellStyle name="20% - Accent2 4 2 2 2 2 3 2" xfId="11702"/>
    <cellStyle name="20% - Accent2 4 2 2 2 2 3 2 2" xfId="11703"/>
    <cellStyle name="20% - Accent2 4 2 2 2 2 3 2 3" xfId="11704"/>
    <cellStyle name="20% - Accent2 4 2 2 2 2 3 3" xfId="11705"/>
    <cellStyle name="20% - Accent2 4 2 2 2 2 3 3 2" xfId="11706"/>
    <cellStyle name="20% - Accent2 4 2 2 2 2 3 3 3" xfId="11707"/>
    <cellStyle name="20% - Accent2 4 2 2 2 2 3 4" xfId="11708"/>
    <cellStyle name="20% - Accent2 4 2 2 2 2 3 4 2" xfId="11709"/>
    <cellStyle name="20% - Accent2 4 2 2 2 2 3 5" xfId="11710"/>
    <cellStyle name="20% - Accent2 4 2 2 2 2 3 6" xfId="11711"/>
    <cellStyle name="20% - Accent2 4 2 2 2 2 4" xfId="11712"/>
    <cellStyle name="20% - Accent2 4 2 2 2 2 4 2" xfId="11713"/>
    <cellStyle name="20% - Accent2 4 2 2 2 2 4 2 2" xfId="11714"/>
    <cellStyle name="20% - Accent2 4 2 2 2 2 4 2 3" xfId="11715"/>
    <cellStyle name="20% - Accent2 4 2 2 2 2 4 3" xfId="11716"/>
    <cellStyle name="20% - Accent2 4 2 2 2 2 4 3 2" xfId="11717"/>
    <cellStyle name="20% - Accent2 4 2 2 2 2 4 3 3" xfId="11718"/>
    <cellStyle name="20% - Accent2 4 2 2 2 2 4 4" xfId="11719"/>
    <cellStyle name="20% - Accent2 4 2 2 2 2 4 4 2" xfId="11720"/>
    <cellStyle name="20% - Accent2 4 2 2 2 2 4 5" xfId="11721"/>
    <cellStyle name="20% - Accent2 4 2 2 2 2 4 6" xfId="11722"/>
    <cellStyle name="20% - Accent2 4 2 2 2 2 5" xfId="11723"/>
    <cellStyle name="20% - Accent2 4 2 2 2 2 5 2" xfId="11724"/>
    <cellStyle name="20% - Accent2 4 2 2 2 2 5 2 2" xfId="11725"/>
    <cellStyle name="20% - Accent2 4 2 2 2 2 5 2 3" xfId="11726"/>
    <cellStyle name="20% - Accent2 4 2 2 2 2 5 3" xfId="11727"/>
    <cellStyle name="20% - Accent2 4 2 2 2 2 5 3 2" xfId="11728"/>
    <cellStyle name="20% - Accent2 4 2 2 2 2 5 4" xfId="11729"/>
    <cellStyle name="20% - Accent2 4 2 2 2 2 5 5" xfId="11730"/>
    <cellStyle name="20% - Accent2 4 2 2 2 2 6" xfId="11731"/>
    <cellStyle name="20% - Accent2 4 2 2 2 2 6 2" xfId="11732"/>
    <cellStyle name="20% - Accent2 4 2 2 2 2 6 3" xfId="11733"/>
    <cellStyle name="20% - Accent2 4 2 2 2 2 7" xfId="11734"/>
    <cellStyle name="20% - Accent2 4 2 2 2 2 7 2" xfId="11735"/>
    <cellStyle name="20% - Accent2 4 2 2 2 2 7 3" xfId="11736"/>
    <cellStyle name="20% - Accent2 4 2 2 2 2 8" xfId="11737"/>
    <cellStyle name="20% - Accent2 4 2 2 2 2 8 2" xfId="11738"/>
    <cellStyle name="20% - Accent2 4 2 2 2 2 9" xfId="11739"/>
    <cellStyle name="20% - Accent2 4 2 2 2 3" xfId="372"/>
    <cellStyle name="20% - Accent2 4 2 2 2 3 2" xfId="11740"/>
    <cellStyle name="20% - Accent2 4 2 2 2 3 2 2" xfId="11741"/>
    <cellStyle name="20% - Accent2 4 2 2 2 3 2 2 2" xfId="11742"/>
    <cellStyle name="20% - Accent2 4 2 2 2 3 2 2 3" xfId="11743"/>
    <cellStyle name="20% - Accent2 4 2 2 2 3 2 3" xfId="11744"/>
    <cellStyle name="20% - Accent2 4 2 2 2 3 2 3 2" xfId="11745"/>
    <cellStyle name="20% - Accent2 4 2 2 2 3 2 3 3" xfId="11746"/>
    <cellStyle name="20% - Accent2 4 2 2 2 3 2 4" xfId="11747"/>
    <cellStyle name="20% - Accent2 4 2 2 2 3 2 4 2" xfId="11748"/>
    <cellStyle name="20% - Accent2 4 2 2 2 3 2 5" xfId="11749"/>
    <cellStyle name="20% - Accent2 4 2 2 2 3 2 6" xfId="11750"/>
    <cellStyle name="20% - Accent2 4 2 2 2 3 3" xfId="11751"/>
    <cellStyle name="20% - Accent2 4 2 2 2 3 3 2" xfId="11752"/>
    <cellStyle name="20% - Accent2 4 2 2 2 3 3 2 2" xfId="11753"/>
    <cellStyle name="20% - Accent2 4 2 2 2 3 3 2 3" xfId="11754"/>
    <cellStyle name="20% - Accent2 4 2 2 2 3 3 3" xfId="11755"/>
    <cellStyle name="20% - Accent2 4 2 2 2 3 3 3 2" xfId="11756"/>
    <cellStyle name="20% - Accent2 4 2 2 2 3 3 3 3" xfId="11757"/>
    <cellStyle name="20% - Accent2 4 2 2 2 3 3 4" xfId="11758"/>
    <cellStyle name="20% - Accent2 4 2 2 2 3 3 4 2" xfId="11759"/>
    <cellStyle name="20% - Accent2 4 2 2 2 3 3 5" xfId="11760"/>
    <cellStyle name="20% - Accent2 4 2 2 2 3 3 6" xfId="11761"/>
    <cellStyle name="20% - Accent2 4 2 2 2 3 4" xfId="11762"/>
    <cellStyle name="20% - Accent2 4 2 2 2 3 4 2" xfId="11763"/>
    <cellStyle name="20% - Accent2 4 2 2 2 3 4 2 2" xfId="11764"/>
    <cellStyle name="20% - Accent2 4 2 2 2 3 4 2 3" xfId="11765"/>
    <cellStyle name="20% - Accent2 4 2 2 2 3 4 3" xfId="11766"/>
    <cellStyle name="20% - Accent2 4 2 2 2 3 4 3 2" xfId="11767"/>
    <cellStyle name="20% - Accent2 4 2 2 2 3 4 4" xfId="11768"/>
    <cellStyle name="20% - Accent2 4 2 2 2 3 4 5" xfId="11769"/>
    <cellStyle name="20% - Accent2 4 2 2 2 3 5" xfId="11770"/>
    <cellStyle name="20% - Accent2 4 2 2 2 3 5 2" xfId="11771"/>
    <cellStyle name="20% - Accent2 4 2 2 2 3 5 3" xfId="11772"/>
    <cellStyle name="20% - Accent2 4 2 2 2 3 6" xfId="11773"/>
    <cellStyle name="20% - Accent2 4 2 2 2 3 6 2" xfId="11774"/>
    <cellStyle name="20% - Accent2 4 2 2 2 3 6 3" xfId="11775"/>
    <cellStyle name="20% - Accent2 4 2 2 2 3 7" xfId="11776"/>
    <cellStyle name="20% - Accent2 4 2 2 2 3 7 2" xfId="11777"/>
    <cellStyle name="20% - Accent2 4 2 2 2 3 8" xfId="11778"/>
    <cellStyle name="20% - Accent2 4 2 2 2 3 9" xfId="11779"/>
    <cellStyle name="20% - Accent2 4 2 2 2 4" xfId="11780"/>
    <cellStyle name="20% - Accent2 4 2 2 2 4 2" xfId="11781"/>
    <cellStyle name="20% - Accent2 4 2 2 2 4 2 2" xfId="11782"/>
    <cellStyle name="20% - Accent2 4 2 2 2 4 2 2 2" xfId="11783"/>
    <cellStyle name="20% - Accent2 4 2 2 2 4 2 2 3" xfId="11784"/>
    <cellStyle name="20% - Accent2 4 2 2 2 4 2 3" xfId="11785"/>
    <cellStyle name="20% - Accent2 4 2 2 2 4 2 3 2" xfId="11786"/>
    <cellStyle name="20% - Accent2 4 2 2 2 4 2 3 3" xfId="11787"/>
    <cellStyle name="20% - Accent2 4 2 2 2 4 2 4" xfId="11788"/>
    <cellStyle name="20% - Accent2 4 2 2 2 4 2 4 2" xfId="11789"/>
    <cellStyle name="20% - Accent2 4 2 2 2 4 2 5" xfId="11790"/>
    <cellStyle name="20% - Accent2 4 2 2 2 4 2 6" xfId="11791"/>
    <cellStyle name="20% - Accent2 4 2 2 2 4 3" xfId="11792"/>
    <cellStyle name="20% - Accent2 4 2 2 2 4 3 2" xfId="11793"/>
    <cellStyle name="20% - Accent2 4 2 2 2 4 3 2 2" xfId="11794"/>
    <cellStyle name="20% - Accent2 4 2 2 2 4 3 2 3" xfId="11795"/>
    <cellStyle name="20% - Accent2 4 2 2 2 4 3 3" xfId="11796"/>
    <cellStyle name="20% - Accent2 4 2 2 2 4 3 3 2" xfId="11797"/>
    <cellStyle name="20% - Accent2 4 2 2 2 4 3 3 3" xfId="11798"/>
    <cellStyle name="20% - Accent2 4 2 2 2 4 3 4" xfId="11799"/>
    <cellStyle name="20% - Accent2 4 2 2 2 4 3 4 2" xfId="11800"/>
    <cellStyle name="20% - Accent2 4 2 2 2 4 3 5" xfId="11801"/>
    <cellStyle name="20% - Accent2 4 2 2 2 4 3 6" xfId="11802"/>
    <cellStyle name="20% - Accent2 4 2 2 2 4 4" xfId="11803"/>
    <cellStyle name="20% - Accent2 4 2 2 2 4 4 2" xfId="11804"/>
    <cellStyle name="20% - Accent2 4 2 2 2 4 4 2 2" xfId="11805"/>
    <cellStyle name="20% - Accent2 4 2 2 2 4 4 2 3" xfId="11806"/>
    <cellStyle name="20% - Accent2 4 2 2 2 4 4 3" xfId="11807"/>
    <cellStyle name="20% - Accent2 4 2 2 2 4 4 3 2" xfId="11808"/>
    <cellStyle name="20% - Accent2 4 2 2 2 4 4 4" xfId="11809"/>
    <cellStyle name="20% - Accent2 4 2 2 2 4 4 5" xfId="11810"/>
    <cellStyle name="20% - Accent2 4 2 2 2 4 5" xfId="11811"/>
    <cellStyle name="20% - Accent2 4 2 2 2 4 5 2" xfId="11812"/>
    <cellStyle name="20% - Accent2 4 2 2 2 4 5 3" xfId="11813"/>
    <cellStyle name="20% - Accent2 4 2 2 2 4 6" xfId="11814"/>
    <cellStyle name="20% - Accent2 4 2 2 2 4 6 2" xfId="11815"/>
    <cellStyle name="20% - Accent2 4 2 2 2 4 6 3" xfId="11816"/>
    <cellStyle name="20% - Accent2 4 2 2 2 4 7" xfId="11817"/>
    <cellStyle name="20% - Accent2 4 2 2 2 4 7 2" xfId="11818"/>
    <cellStyle name="20% - Accent2 4 2 2 2 4 8" xfId="11819"/>
    <cellStyle name="20% - Accent2 4 2 2 2 4 9" xfId="11820"/>
    <cellStyle name="20% - Accent2 4 2 2 2 5" xfId="11821"/>
    <cellStyle name="20% - Accent2 4 2 2 2 5 2" xfId="11822"/>
    <cellStyle name="20% - Accent2 4 2 2 2 5 2 2" xfId="11823"/>
    <cellStyle name="20% - Accent2 4 2 2 2 5 2 3" xfId="11824"/>
    <cellStyle name="20% - Accent2 4 2 2 2 5 3" xfId="11825"/>
    <cellStyle name="20% - Accent2 4 2 2 2 5 3 2" xfId="11826"/>
    <cellStyle name="20% - Accent2 4 2 2 2 5 3 3" xfId="11827"/>
    <cellStyle name="20% - Accent2 4 2 2 2 5 4" xfId="11828"/>
    <cellStyle name="20% - Accent2 4 2 2 2 5 4 2" xfId="11829"/>
    <cellStyle name="20% - Accent2 4 2 2 2 5 5" xfId="11830"/>
    <cellStyle name="20% - Accent2 4 2 2 2 5 6" xfId="11831"/>
    <cellStyle name="20% - Accent2 4 2 2 2 6" xfId="11832"/>
    <cellStyle name="20% - Accent2 4 2 2 2 6 2" xfId="11833"/>
    <cellStyle name="20% - Accent2 4 2 2 2 6 2 2" xfId="11834"/>
    <cellStyle name="20% - Accent2 4 2 2 2 6 2 3" xfId="11835"/>
    <cellStyle name="20% - Accent2 4 2 2 2 6 3" xfId="11836"/>
    <cellStyle name="20% - Accent2 4 2 2 2 6 3 2" xfId="11837"/>
    <cellStyle name="20% - Accent2 4 2 2 2 6 3 3" xfId="11838"/>
    <cellStyle name="20% - Accent2 4 2 2 2 6 4" xfId="11839"/>
    <cellStyle name="20% - Accent2 4 2 2 2 6 4 2" xfId="11840"/>
    <cellStyle name="20% - Accent2 4 2 2 2 6 5" xfId="11841"/>
    <cellStyle name="20% - Accent2 4 2 2 2 6 6" xfId="11842"/>
    <cellStyle name="20% - Accent2 4 2 2 2 7" xfId="11843"/>
    <cellStyle name="20% - Accent2 4 2 2 2 7 2" xfId="11844"/>
    <cellStyle name="20% - Accent2 4 2 2 2 7 2 2" xfId="11845"/>
    <cellStyle name="20% - Accent2 4 2 2 2 7 2 3" xfId="11846"/>
    <cellStyle name="20% - Accent2 4 2 2 2 7 3" xfId="11847"/>
    <cellStyle name="20% - Accent2 4 2 2 2 7 3 2" xfId="11848"/>
    <cellStyle name="20% - Accent2 4 2 2 2 7 4" xfId="11849"/>
    <cellStyle name="20% - Accent2 4 2 2 2 7 5" xfId="11850"/>
    <cellStyle name="20% - Accent2 4 2 2 2 8" xfId="11851"/>
    <cellStyle name="20% - Accent2 4 2 2 2 8 2" xfId="11852"/>
    <cellStyle name="20% - Accent2 4 2 2 2 8 3" xfId="11853"/>
    <cellStyle name="20% - Accent2 4 2 2 2 9" xfId="11854"/>
    <cellStyle name="20% - Accent2 4 2 2 2 9 2" xfId="11855"/>
    <cellStyle name="20% - Accent2 4 2 2 2 9 3" xfId="11856"/>
    <cellStyle name="20% - Accent2 4 2 2 3" xfId="373"/>
    <cellStyle name="20% - Accent2 4 2 2 3 10" xfId="11857"/>
    <cellStyle name="20% - Accent2 4 2 2 3 2" xfId="374"/>
    <cellStyle name="20% - Accent2 4 2 2 3 2 2" xfId="11858"/>
    <cellStyle name="20% - Accent2 4 2 2 3 2 2 2" xfId="11859"/>
    <cellStyle name="20% - Accent2 4 2 2 3 2 2 2 2" xfId="11860"/>
    <cellStyle name="20% - Accent2 4 2 2 3 2 2 2 3" xfId="11861"/>
    <cellStyle name="20% - Accent2 4 2 2 3 2 2 3" xfId="11862"/>
    <cellStyle name="20% - Accent2 4 2 2 3 2 2 3 2" xfId="11863"/>
    <cellStyle name="20% - Accent2 4 2 2 3 2 2 3 3" xfId="11864"/>
    <cellStyle name="20% - Accent2 4 2 2 3 2 2 4" xfId="11865"/>
    <cellStyle name="20% - Accent2 4 2 2 3 2 2 4 2" xfId="11866"/>
    <cellStyle name="20% - Accent2 4 2 2 3 2 2 5" xfId="11867"/>
    <cellStyle name="20% - Accent2 4 2 2 3 2 2 6" xfId="11868"/>
    <cellStyle name="20% - Accent2 4 2 2 3 2 3" xfId="11869"/>
    <cellStyle name="20% - Accent2 4 2 2 3 2 3 2" xfId="11870"/>
    <cellStyle name="20% - Accent2 4 2 2 3 2 3 2 2" xfId="11871"/>
    <cellStyle name="20% - Accent2 4 2 2 3 2 3 2 3" xfId="11872"/>
    <cellStyle name="20% - Accent2 4 2 2 3 2 3 3" xfId="11873"/>
    <cellStyle name="20% - Accent2 4 2 2 3 2 3 3 2" xfId="11874"/>
    <cellStyle name="20% - Accent2 4 2 2 3 2 3 3 3" xfId="11875"/>
    <cellStyle name="20% - Accent2 4 2 2 3 2 3 4" xfId="11876"/>
    <cellStyle name="20% - Accent2 4 2 2 3 2 3 4 2" xfId="11877"/>
    <cellStyle name="20% - Accent2 4 2 2 3 2 3 5" xfId="11878"/>
    <cellStyle name="20% - Accent2 4 2 2 3 2 3 6" xfId="11879"/>
    <cellStyle name="20% - Accent2 4 2 2 3 2 4" xfId="11880"/>
    <cellStyle name="20% - Accent2 4 2 2 3 2 4 2" xfId="11881"/>
    <cellStyle name="20% - Accent2 4 2 2 3 2 4 2 2" xfId="11882"/>
    <cellStyle name="20% - Accent2 4 2 2 3 2 4 2 3" xfId="11883"/>
    <cellStyle name="20% - Accent2 4 2 2 3 2 4 3" xfId="11884"/>
    <cellStyle name="20% - Accent2 4 2 2 3 2 4 3 2" xfId="11885"/>
    <cellStyle name="20% - Accent2 4 2 2 3 2 4 4" xfId="11886"/>
    <cellStyle name="20% - Accent2 4 2 2 3 2 4 5" xfId="11887"/>
    <cellStyle name="20% - Accent2 4 2 2 3 2 5" xfId="11888"/>
    <cellStyle name="20% - Accent2 4 2 2 3 2 5 2" xfId="11889"/>
    <cellStyle name="20% - Accent2 4 2 2 3 2 5 3" xfId="11890"/>
    <cellStyle name="20% - Accent2 4 2 2 3 2 6" xfId="11891"/>
    <cellStyle name="20% - Accent2 4 2 2 3 2 6 2" xfId="11892"/>
    <cellStyle name="20% - Accent2 4 2 2 3 2 6 3" xfId="11893"/>
    <cellStyle name="20% - Accent2 4 2 2 3 2 7" xfId="11894"/>
    <cellStyle name="20% - Accent2 4 2 2 3 2 7 2" xfId="11895"/>
    <cellStyle name="20% - Accent2 4 2 2 3 2 8" xfId="11896"/>
    <cellStyle name="20% - Accent2 4 2 2 3 2 9" xfId="11897"/>
    <cellStyle name="20% - Accent2 4 2 2 3 3" xfId="11898"/>
    <cellStyle name="20% - Accent2 4 2 2 3 3 2" xfId="11899"/>
    <cellStyle name="20% - Accent2 4 2 2 3 3 2 2" xfId="11900"/>
    <cellStyle name="20% - Accent2 4 2 2 3 3 2 3" xfId="11901"/>
    <cellStyle name="20% - Accent2 4 2 2 3 3 3" xfId="11902"/>
    <cellStyle name="20% - Accent2 4 2 2 3 3 3 2" xfId="11903"/>
    <cellStyle name="20% - Accent2 4 2 2 3 3 3 3" xfId="11904"/>
    <cellStyle name="20% - Accent2 4 2 2 3 3 4" xfId="11905"/>
    <cellStyle name="20% - Accent2 4 2 2 3 3 4 2" xfId="11906"/>
    <cellStyle name="20% - Accent2 4 2 2 3 3 5" xfId="11907"/>
    <cellStyle name="20% - Accent2 4 2 2 3 3 6" xfId="11908"/>
    <cellStyle name="20% - Accent2 4 2 2 3 4" xfId="11909"/>
    <cellStyle name="20% - Accent2 4 2 2 3 4 2" xfId="11910"/>
    <cellStyle name="20% - Accent2 4 2 2 3 4 2 2" xfId="11911"/>
    <cellStyle name="20% - Accent2 4 2 2 3 4 2 3" xfId="11912"/>
    <cellStyle name="20% - Accent2 4 2 2 3 4 3" xfId="11913"/>
    <cellStyle name="20% - Accent2 4 2 2 3 4 3 2" xfId="11914"/>
    <cellStyle name="20% - Accent2 4 2 2 3 4 3 3" xfId="11915"/>
    <cellStyle name="20% - Accent2 4 2 2 3 4 4" xfId="11916"/>
    <cellStyle name="20% - Accent2 4 2 2 3 4 4 2" xfId="11917"/>
    <cellStyle name="20% - Accent2 4 2 2 3 4 5" xfId="11918"/>
    <cellStyle name="20% - Accent2 4 2 2 3 4 6" xfId="11919"/>
    <cellStyle name="20% - Accent2 4 2 2 3 5" xfId="11920"/>
    <cellStyle name="20% - Accent2 4 2 2 3 5 2" xfId="11921"/>
    <cellStyle name="20% - Accent2 4 2 2 3 5 2 2" xfId="11922"/>
    <cellStyle name="20% - Accent2 4 2 2 3 5 2 3" xfId="11923"/>
    <cellStyle name="20% - Accent2 4 2 2 3 5 3" xfId="11924"/>
    <cellStyle name="20% - Accent2 4 2 2 3 5 3 2" xfId="11925"/>
    <cellStyle name="20% - Accent2 4 2 2 3 5 4" xfId="11926"/>
    <cellStyle name="20% - Accent2 4 2 2 3 5 5" xfId="11927"/>
    <cellStyle name="20% - Accent2 4 2 2 3 6" xfId="11928"/>
    <cellStyle name="20% - Accent2 4 2 2 3 6 2" xfId="11929"/>
    <cellStyle name="20% - Accent2 4 2 2 3 6 3" xfId="11930"/>
    <cellStyle name="20% - Accent2 4 2 2 3 7" xfId="11931"/>
    <cellStyle name="20% - Accent2 4 2 2 3 7 2" xfId="11932"/>
    <cellStyle name="20% - Accent2 4 2 2 3 7 3" xfId="11933"/>
    <cellStyle name="20% - Accent2 4 2 2 3 8" xfId="11934"/>
    <cellStyle name="20% - Accent2 4 2 2 3 8 2" xfId="11935"/>
    <cellStyle name="20% - Accent2 4 2 2 3 9" xfId="11936"/>
    <cellStyle name="20% - Accent2 4 2 2 4" xfId="375"/>
    <cellStyle name="20% - Accent2 4 2 2 4 2" xfId="11937"/>
    <cellStyle name="20% - Accent2 4 2 2 4 2 2" xfId="11938"/>
    <cellStyle name="20% - Accent2 4 2 2 4 2 2 2" xfId="11939"/>
    <cellStyle name="20% - Accent2 4 2 2 4 2 2 3" xfId="11940"/>
    <cellStyle name="20% - Accent2 4 2 2 4 2 3" xfId="11941"/>
    <cellStyle name="20% - Accent2 4 2 2 4 2 3 2" xfId="11942"/>
    <cellStyle name="20% - Accent2 4 2 2 4 2 3 3" xfId="11943"/>
    <cellStyle name="20% - Accent2 4 2 2 4 2 4" xfId="11944"/>
    <cellStyle name="20% - Accent2 4 2 2 4 2 4 2" xfId="11945"/>
    <cellStyle name="20% - Accent2 4 2 2 4 2 5" xfId="11946"/>
    <cellStyle name="20% - Accent2 4 2 2 4 2 6" xfId="11947"/>
    <cellStyle name="20% - Accent2 4 2 2 4 3" xfId="11948"/>
    <cellStyle name="20% - Accent2 4 2 2 4 3 2" xfId="11949"/>
    <cellStyle name="20% - Accent2 4 2 2 4 3 2 2" xfId="11950"/>
    <cellStyle name="20% - Accent2 4 2 2 4 3 2 3" xfId="11951"/>
    <cellStyle name="20% - Accent2 4 2 2 4 3 3" xfId="11952"/>
    <cellStyle name="20% - Accent2 4 2 2 4 3 3 2" xfId="11953"/>
    <cellStyle name="20% - Accent2 4 2 2 4 3 3 3" xfId="11954"/>
    <cellStyle name="20% - Accent2 4 2 2 4 3 4" xfId="11955"/>
    <cellStyle name="20% - Accent2 4 2 2 4 3 4 2" xfId="11956"/>
    <cellStyle name="20% - Accent2 4 2 2 4 3 5" xfId="11957"/>
    <cellStyle name="20% - Accent2 4 2 2 4 3 6" xfId="11958"/>
    <cellStyle name="20% - Accent2 4 2 2 4 4" xfId="11959"/>
    <cellStyle name="20% - Accent2 4 2 2 4 4 2" xfId="11960"/>
    <cellStyle name="20% - Accent2 4 2 2 4 4 2 2" xfId="11961"/>
    <cellStyle name="20% - Accent2 4 2 2 4 4 2 3" xfId="11962"/>
    <cellStyle name="20% - Accent2 4 2 2 4 4 3" xfId="11963"/>
    <cellStyle name="20% - Accent2 4 2 2 4 4 3 2" xfId="11964"/>
    <cellStyle name="20% - Accent2 4 2 2 4 4 4" xfId="11965"/>
    <cellStyle name="20% - Accent2 4 2 2 4 4 5" xfId="11966"/>
    <cellStyle name="20% - Accent2 4 2 2 4 5" xfId="11967"/>
    <cellStyle name="20% - Accent2 4 2 2 4 5 2" xfId="11968"/>
    <cellStyle name="20% - Accent2 4 2 2 4 5 3" xfId="11969"/>
    <cellStyle name="20% - Accent2 4 2 2 4 6" xfId="11970"/>
    <cellStyle name="20% - Accent2 4 2 2 4 6 2" xfId="11971"/>
    <cellStyle name="20% - Accent2 4 2 2 4 6 3" xfId="11972"/>
    <cellStyle name="20% - Accent2 4 2 2 4 7" xfId="11973"/>
    <cellStyle name="20% - Accent2 4 2 2 4 7 2" xfId="11974"/>
    <cellStyle name="20% - Accent2 4 2 2 4 8" xfId="11975"/>
    <cellStyle name="20% - Accent2 4 2 2 4 9" xfId="11976"/>
    <cellStyle name="20% - Accent2 4 2 2 5" xfId="11977"/>
    <cellStyle name="20% - Accent2 4 2 2 5 2" xfId="11978"/>
    <cellStyle name="20% - Accent2 4 2 2 5 2 2" xfId="11979"/>
    <cellStyle name="20% - Accent2 4 2 2 5 2 2 2" xfId="11980"/>
    <cellStyle name="20% - Accent2 4 2 2 5 2 2 3" xfId="11981"/>
    <cellStyle name="20% - Accent2 4 2 2 5 2 3" xfId="11982"/>
    <cellStyle name="20% - Accent2 4 2 2 5 2 3 2" xfId="11983"/>
    <cellStyle name="20% - Accent2 4 2 2 5 2 3 3" xfId="11984"/>
    <cellStyle name="20% - Accent2 4 2 2 5 2 4" xfId="11985"/>
    <cellStyle name="20% - Accent2 4 2 2 5 2 4 2" xfId="11986"/>
    <cellStyle name="20% - Accent2 4 2 2 5 2 5" xfId="11987"/>
    <cellStyle name="20% - Accent2 4 2 2 5 2 6" xfId="11988"/>
    <cellStyle name="20% - Accent2 4 2 2 5 3" xfId="11989"/>
    <cellStyle name="20% - Accent2 4 2 2 5 3 2" xfId="11990"/>
    <cellStyle name="20% - Accent2 4 2 2 5 3 2 2" xfId="11991"/>
    <cellStyle name="20% - Accent2 4 2 2 5 3 2 3" xfId="11992"/>
    <cellStyle name="20% - Accent2 4 2 2 5 3 3" xfId="11993"/>
    <cellStyle name="20% - Accent2 4 2 2 5 3 3 2" xfId="11994"/>
    <cellStyle name="20% - Accent2 4 2 2 5 3 3 3" xfId="11995"/>
    <cellStyle name="20% - Accent2 4 2 2 5 3 4" xfId="11996"/>
    <cellStyle name="20% - Accent2 4 2 2 5 3 4 2" xfId="11997"/>
    <cellStyle name="20% - Accent2 4 2 2 5 3 5" xfId="11998"/>
    <cellStyle name="20% - Accent2 4 2 2 5 3 6" xfId="11999"/>
    <cellStyle name="20% - Accent2 4 2 2 5 4" xfId="12000"/>
    <cellStyle name="20% - Accent2 4 2 2 5 4 2" xfId="12001"/>
    <cellStyle name="20% - Accent2 4 2 2 5 4 2 2" xfId="12002"/>
    <cellStyle name="20% - Accent2 4 2 2 5 4 2 3" xfId="12003"/>
    <cellStyle name="20% - Accent2 4 2 2 5 4 3" xfId="12004"/>
    <cellStyle name="20% - Accent2 4 2 2 5 4 3 2" xfId="12005"/>
    <cellStyle name="20% - Accent2 4 2 2 5 4 4" xfId="12006"/>
    <cellStyle name="20% - Accent2 4 2 2 5 4 5" xfId="12007"/>
    <cellStyle name="20% - Accent2 4 2 2 5 5" xfId="12008"/>
    <cellStyle name="20% - Accent2 4 2 2 5 5 2" xfId="12009"/>
    <cellStyle name="20% - Accent2 4 2 2 5 5 3" xfId="12010"/>
    <cellStyle name="20% - Accent2 4 2 2 5 6" xfId="12011"/>
    <cellStyle name="20% - Accent2 4 2 2 5 6 2" xfId="12012"/>
    <cellStyle name="20% - Accent2 4 2 2 5 6 3" xfId="12013"/>
    <cellStyle name="20% - Accent2 4 2 2 5 7" xfId="12014"/>
    <cellStyle name="20% - Accent2 4 2 2 5 7 2" xfId="12015"/>
    <cellStyle name="20% - Accent2 4 2 2 5 8" xfId="12016"/>
    <cellStyle name="20% - Accent2 4 2 2 5 9" xfId="12017"/>
    <cellStyle name="20% - Accent2 4 2 2 6" xfId="12018"/>
    <cellStyle name="20% - Accent2 4 2 2 6 2" xfId="12019"/>
    <cellStyle name="20% - Accent2 4 2 2 6 2 2" xfId="12020"/>
    <cellStyle name="20% - Accent2 4 2 2 6 2 3" xfId="12021"/>
    <cellStyle name="20% - Accent2 4 2 2 6 3" xfId="12022"/>
    <cellStyle name="20% - Accent2 4 2 2 6 3 2" xfId="12023"/>
    <cellStyle name="20% - Accent2 4 2 2 6 3 3" xfId="12024"/>
    <cellStyle name="20% - Accent2 4 2 2 6 4" xfId="12025"/>
    <cellStyle name="20% - Accent2 4 2 2 6 4 2" xfId="12026"/>
    <cellStyle name="20% - Accent2 4 2 2 6 5" xfId="12027"/>
    <cellStyle name="20% - Accent2 4 2 2 6 6" xfId="12028"/>
    <cellStyle name="20% - Accent2 4 2 2 7" xfId="12029"/>
    <cellStyle name="20% - Accent2 4 2 2 7 2" xfId="12030"/>
    <cellStyle name="20% - Accent2 4 2 2 7 2 2" xfId="12031"/>
    <cellStyle name="20% - Accent2 4 2 2 7 2 3" xfId="12032"/>
    <cellStyle name="20% - Accent2 4 2 2 7 3" xfId="12033"/>
    <cellStyle name="20% - Accent2 4 2 2 7 3 2" xfId="12034"/>
    <cellStyle name="20% - Accent2 4 2 2 7 3 3" xfId="12035"/>
    <cellStyle name="20% - Accent2 4 2 2 7 4" xfId="12036"/>
    <cellStyle name="20% - Accent2 4 2 2 7 4 2" xfId="12037"/>
    <cellStyle name="20% - Accent2 4 2 2 7 5" xfId="12038"/>
    <cellStyle name="20% - Accent2 4 2 2 7 6" xfId="12039"/>
    <cellStyle name="20% - Accent2 4 2 2 8" xfId="12040"/>
    <cellStyle name="20% - Accent2 4 2 2 8 2" xfId="12041"/>
    <cellStyle name="20% - Accent2 4 2 2 8 2 2" xfId="12042"/>
    <cellStyle name="20% - Accent2 4 2 2 8 2 3" xfId="12043"/>
    <cellStyle name="20% - Accent2 4 2 2 8 3" xfId="12044"/>
    <cellStyle name="20% - Accent2 4 2 2 8 3 2" xfId="12045"/>
    <cellStyle name="20% - Accent2 4 2 2 8 4" xfId="12046"/>
    <cellStyle name="20% - Accent2 4 2 2 8 5" xfId="12047"/>
    <cellStyle name="20% - Accent2 4 2 2 9" xfId="12048"/>
    <cellStyle name="20% - Accent2 4 2 2 9 2" xfId="12049"/>
    <cellStyle name="20% - Accent2 4 2 2 9 3" xfId="12050"/>
    <cellStyle name="20% - Accent2 4 2 3" xfId="376"/>
    <cellStyle name="20% - Accent2 4 2 3 10" xfId="12051"/>
    <cellStyle name="20% - Accent2 4 2 3 10 2" xfId="12052"/>
    <cellStyle name="20% - Accent2 4 2 3 11" xfId="12053"/>
    <cellStyle name="20% - Accent2 4 2 3 12" xfId="12054"/>
    <cellStyle name="20% - Accent2 4 2 3 2" xfId="377"/>
    <cellStyle name="20% - Accent2 4 2 3 2 10" xfId="12055"/>
    <cellStyle name="20% - Accent2 4 2 3 2 2" xfId="378"/>
    <cellStyle name="20% - Accent2 4 2 3 2 2 2" xfId="12056"/>
    <cellStyle name="20% - Accent2 4 2 3 2 2 2 2" xfId="12057"/>
    <cellStyle name="20% - Accent2 4 2 3 2 2 2 2 2" xfId="12058"/>
    <cellStyle name="20% - Accent2 4 2 3 2 2 2 2 3" xfId="12059"/>
    <cellStyle name="20% - Accent2 4 2 3 2 2 2 3" xfId="12060"/>
    <cellStyle name="20% - Accent2 4 2 3 2 2 2 3 2" xfId="12061"/>
    <cellStyle name="20% - Accent2 4 2 3 2 2 2 3 3" xfId="12062"/>
    <cellStyle name="20% - Accent2 4 2 3 2 2 2 4" xfId="12063"/>
    <cellStyle name="20% - Accent2 4 2 3 2 2 2 4 2" xfId="12064"/>
    <cellStyle name="20% - Accent2 4 2 3 2 2 2 5" xfId="12065"/>
    <cellStyle name="20% - Accent2 4 2 3 2 2 2 6" xfId="12066"/>
    <cellStyle name="20% - Accent2 4 2 3 2 2 3" xfId="12067"/>
    <cellStyle name="20% - Accent2 4 2 3 2 2 3 2" xfId="12068"/>
    <cellStyle name="20% - Accent2 4 2 3 2 2 3 2 2" xfId="12069"/>
    <cellStyle name="20% - Accent2 4 2 3 2 2 3 2 3" xfId="12070"/>
    <cellStyle name="20% - Accent2 4 2 3 2 2 3 3" xfId="12071"/>
    <cellStyle name="20% - Accent2 4 2 3 2 2 3 3 2" xfId="12072"/>
    <cellStyle name="20% - Accent2 4 2 3 2 2 3 3 3" xfId="12073"/>
    <cellStyle name="20% - Accent2 4 2 3 2 2 3 4" xfId="12074"/>
    <cellStyle name="20% - Accent2 4 2 3 2 2 3 4 2" xfId="12075"/>
    <cellStyle name="20% - Accent2 4 2 3 2 2 3 5" xfId="12076"/>
    <cellStyle name="20% - Accent2 4 2 3 2 2 3 6" xfId="12077"/>
    <cellStyle name="20% - Accent2 4 2 3 2 2 4" xfId="12078"/>
    <cellStyle name="20% - Accent2 4 2 3 2 2 4 2" xfId="12079"/>
    <cellStyle name="20% - Accent2 4 2 3 2 2 4 2 2" xfId="12080"/>
    <cellStyle name="20% - Accent2 4 2 3 2 2 4 2 3" xfId="12081"/>
    <cellStyle name="20% - Accent2 4 2 3 2 2 4 3" xfId="12082"/>
    <cellStyle name="20% - Accent2 4 2 3 2 2 4 3 2" xfId="12083"/>
    <cellStyle name="20% - Accent2 4 2 3 2 2 4 4" xfId="12084"/>
    <cellStyle name="20% - Accent2 4 2 3 2 2 4 5" xfId="12085"/>
    <cellStyle name="20% - Accent2 4 2 3 2 2 5" xfId="12086"/>
    <cellStyle name="20% - Accent2 4 2 3 2 2 5 2" xfId="12087"/>
    <cellStyle name="20% - Accent2 4 2 3 2 2 5 3" xfId="12088"/>
    <cellStyle name="20% - Accent2 4 2 3 2 2 6" xfId="12089"/>
    <cellStyle name="20% - Accent2 4 2 3 2 2 6 2" xfId="12090"/>
    <cellStyle name="20% - Accent2 4 2 3 2 2 6 3" xfId="12091"/>
    <cellStyle name="20% - Accent2 4 2 3 2 2 7" xfId="12092"/>
    <cellStyle name="20% - Accent2 4 2 3 2 2 7 2" xfId="12093"/>
    <cellStyle name="20% - Accent2 4 2 3 2 2 8" xfId="12094"/>
    <cellStyle name="20% - Accent2 4 2 3 2 2 9" xfId="12095"/>
    <cellStyle name="20% - Accent2 4 2 3 2 3" xfId="12096"/>
    <cellStyle name="20% - Accent2 4 2 3 2 3 2" xfId="12097"/>
    <cellStyle name="20% - Accent2 4 2 3 2 3 2 2" xfId="12098"/>
    <cellStyle name="20% - Accent2 4 2 3 2 3 2 3" xfId="12099"/>
    <cellStyle name="20% - Accent2 4 2 3 2 3 3" xfId="12100"/>
    <cellStyle name="20% - Accent2 4 2 3 2 3 3 2" xfId="12101"/>
    <cellStyle name="20% - Accent2 4 2 3 2 3 3 3" xfId="12102"/>
    <cellStyle name="20% - Accent2 4 2 3 2 3 4" xfId="12103"/>
    <cellStyle name="20% - Accent2 4 2 3 2 3 4 2" xfId="12104"/>
    <cellStyle name="20% - Accent2 4 2 3 2 3 5" xfId="12105"/>
    <cellStyle name="20% - Accent2 4 2 3 2 3 6" xfId="12106"/>
    <cellStyle name="20% - Accent2 4 2 3 2 4" xfId="12107"/>
    <cellStyle name="20% - Accent2 4 2 3 2 4 2" xfId="12108"/>
    <cellStyle name="20% - Accent2 4 2 3 2 4 2 2" xfId="12109"/>
    <cellStyle name="20% - Accent2 4 2 3 2 4 2 3" xfId="12110"/>
    <cellStyle name="20% - Accent2 4 2 3 2 4 3" xfId="12111"/>
    <cellStyle name="20% - Accent2 4 2 3 2 4 3 2" xfId="12112"/>
    <cellStyle name="20% - Accent2 4 2 3 2 4 3 3" xfId="12113"/>
    <cellStyle name="20% - Accent2 4 2 3 2 4 4" xfId="12114"/>
    <cellStyle name="20% - Accent2 4 2 3 2 4 4 2" xfId="12115"/>
    <cellStyle name="20% - Accent2 4 2 3 2 4 5" xfId="12116"/>
    <cellStyle name="20% - Accent2 4 2 3 2 4 6" xfId="12117"/>
    <cellStyle name="20% - Accent2 4 2 3 2 5" xfId="12118"/>
    <cellStyle name="20% - Accent2 4 2 3 2 5 2" xfId="12119"/>
    <cellStyle name="20% - Accent2 4 2 3 2 5 2 2" xfId="12120"/>
    <cellStyle name="20% - Accent2 4 2 3 2 5 2 3" xfId="12121"/>
    <cellStyle name="20% - Accent2 4 2 3 2 5 3" xfId="12122"/>
    <cellStyle name="20% - Accent2 4 2 3 2 5 3 2" xfId="12123"/>
    <cellStyle name="20% - Accent2 4 2 3 2 5 4" xfId="12124"/>
    <cellStyle name="20% - Accent2 4 2 3 2 5 5" xfId="12125"/>
    <cellStyle name="20% - Accent2 4 2 3 2 6" xfId="12126"/>
    <cellStyle name="20% - Accent2 4 2 3 2 6 2" xfId="12127"/>
    <cellStyle name="20% - Accent2 4 2 3 2 6 3" xfId="12128"/>
    <cellStyle name="20% - Accent2 4 2 3 2 7" xfId="12129"/>
    <cellStyle name="20% - Accent2 4 2 3 2 7 2" xfId="12130"/>
    <cellStyle name="20% - Accent2 4 2 3 2 7 3" xfId="12131"/>
    <cellStyle name="20% - Accent2 4 2 3 2 8" xfId="12132"/>
    <cellStyle name="20% - Accent2 4 2 3 2 8 2" xfId="12133"/>
    <cellStyle name="20% - Accent2 4 2 3 2 9" xfId="12134"/>
    <cellStyle name="20% - Accent2 4 2 3 3" xfId="379"/>
    <cellStyle name="20% - Accent2 4 2 3 3 2" xfId="12135"/>
    <cellStyle name="20% - Accent2 4 2 3 3 2 2" xfId="12136"/>
    <cellStyle name="20% - Accent2 4 2 3 3 2 2 2" xfId="12137"/>
    <cellStyle name="20% - Accent2 4 2 3 3 2 2 3" xfId="12138"/>
    <cellStyle name="20% - Accent2 4 2 3 3 2 3" xfId="12139"/>
    <cellStyle name="20% - Accent2 4 2 3 3 2 3 2" xfId="12140"/>
    <cellStyle name="20% - Accent2 4 2 3 3 2 3 3" xfId="12141"/>
    <cellStyle name="20% - Accent2 4 2 3 3 2 4" xfId="12142"/>
    <cellStyle name="20% - Accent2 4 2 3 3 2 4 2" xfId="12143"/>
    <cellStyle name="20% - Accent2 4 2 3 3 2 5" xfId="12144"/>
    <cellStyle name="20% - Accent2 4 2 3 3 2 6" xfId="12145"/>
    <cellStyle name="20% - Accent2 4 2 3 3 3" xfId="12146"/>
    <cellStyle name="20% - Accent2 4 2 3 3 3 2" xfId="12147"/>
    <cellStyle name="20% - Accent2 4 2 3 3 3 2 2" xfId="12148"/>
    <cellStyle name="20% - Accent2 4 2 3 3 3 2 3" xfId="12149"/>
    <cellStyle name="20% - Accent2 4 2 3 3 3 3" xfId="12150"/>
    <cellStyle name="20% - Accent2 4 2 3 3 3 3 2" xfId="12151"/>
    <cellStyle name="20% - Accent2 4 2 3 3 3 3 3" xfId="12152"/>
    <cellStyle name="20% - Accent2 4 2 3 3 3 4" xfId="12153"/>
    <cellStyle name="20% - Accent2 4 2 3 3 3 4 2" xfId="12154"/>
    <cellStyle name="20% - Accent2 4 2 3 3 3 5" xfId="12155"/>
    <cellStyle name="20% - Accent2 4 2 3 3 3 6" xfId="12156"/>
    <cellStyle name="20% - Accent2 4 2 3 3 4" xfId="12157"/>
    <cellStyle name="20% - Accent2 4 2 3 3 4 2" xfId="12158"/>
    <cellStyle name="20% - Accent2 4 2 3 3 4 2 2" xfId="12159"/>
    <cellStyle name="20% - Accent2 4 2 3 3 4 2 3" xfId="12160"/>
    <cellStyle name="20% - Accent2 4 2 3 3 4 3" xfId="12161"/>
    <cellStyle name="20% - Accent2 4 2 3 3 4 3 2" xfId="12162"/>
    <cellStyle name="20% - Accent2 4 2 3 3 4 4" xfId="12163"/>
    <cellStyle name="20% - Accent2 4 2 3 3 4 5" xfId="12164"/>
    <cellStyle name="20% - Accent2 4 2 3 3 5" xfId="12165"/>
    <cellStyle name="20% - Accent2 4 2 3 3 5 2" xfId="12166"/>
    <cellStyle name="20% - Accent2 4 2 3 3 5 3" xfId="12167"/>
    <cellStyle name="20% - Accent2 4 2 3 3 6" xfId="12168"/>
    <cellStyle name="20% - Accent2 4 2 3 3 6 2" xfId="12169"/>
    <cellStyle name="20% - Accent2 4 2 3 3 6 3" xfId="12170"/>
    <cellStyle name="20% - Accent2 4 2 3 3 7" xfId="12171"/>
    <cellStyle name="20% - Accent2 4 2 3 3 7 2" xfId="12172"/>
    <cellStyle name="20% - Accent2 4 2 3 3 8" xfId="12173"/>
    <cellStyle name="20% - Accent2 4 2 3 3 9" xfId="12174"/>
    <cellStyle name="20% - Accent2 4 2 3 4" xfId="12175"/>
    <cellStyle name="20% - Accent2 4 2 3 4 2" xfId="12176"/>
    <cellStyle name="20% - Accent2 4 2 3 4 2 2" xfId="12177"/>
    <cellStyle name="20% - Accent2 4 2 3 4 2 2 2" xfId="12178"/>
    <cellStyle name="20% - Accent2 4 2 3 4 2 2 3" xfId="12179"/>
    <cellStyle name="20% - Accent2 4 2 3 4 2 3" xfId="12180"/>
    <cellStyle name="20% - Accent2 4 2 3 4 2 3 2" xfId="12181"/>
    <cellStyle name="20% - Accent2 4 2 3 4 2 3 3" xfId="12182"/>
    <cellStyle name="20% - Accent2 4 2 3 4 2 4" xfId="12183"/>
    <cellStyle name="20% - Accent2 4 2 3 4 2 4 2" xfId="12184"/>
    <cellStyle name="20% - Accent2 4 2 3 4 2 5" xfId="12185"/>
    <cellStyle name="20% - Accent2 4 2 3 4 2 6" xfId="12186"/>
    <cellStyle name="20% - Accent2 4 2 3 4 3" xfId="12187"/>
    <cellStyle name="20% - Accent2 4 2 3 4 3 2" xfId="12188"/>
    <cellStyle name="20% - Accent2 4 2 3 4 3 2 2" xfId="12189"/>
    <cellStyle name="20% - Accent2 4 2 3 4 3 2 3" xfId="12190"/>
    <cellStyle name="20% - Accent2 4 2 3 4 3 3" xfId="12191"/>
    <cellStyle name="20% - Accent2 4 2 3 4 3 3 2" xfId="12192"/>
    <cellStyle name="20% - Accent2 4 2 3 4 3 3 3" xfId="12193"/>
    <cellStyle name="20% - Accent2 4 2 3 4 3 4" xfId="12194"/>
    <cellStyle name="20% - Accent2 4 2 3 4 3 4 2" xfId="12195"/>
    <cellStyle name="20% - Accent2 4 2 3 4 3 5" xfId="12196"/>
    <cellStyle name="20% - Accent2 4 2 3 4 3 6" xfId="12197"/>
    <cellStyle name="20% - Accent2 4 2 3 4 4" xfId="12198"/>
    <cellStyle name="20% - Accent2 4 2 3 4 4 2" xfId="12199"/>
    <cellStyle name="20% - Accent2 4 2 3 4 4 2 2" xfId="12200"/>
    <cellStyle name="20% - Accent2 4 2 3 4 4 2 3" xfId="12201"/>
    <cellStyle name="20% - Accent2 4 2 3 4 4 3" xfId="12202"/>
    <cellStyle name="20% - Accent2 4 2 3 4 4 3 2" xfId="12203"/>
    <cellStyle name="20% - Accent2 4 2 3 4 4 4" xfId="12204"/>
    <cellStyle name="20% - Accent2 4 2 3 4 4 5" xfId="12205"/>
    <cellStyle name="20% - Accent2 4 2 3 4 5" xfId="12206"/>
    <cellStyle name="20% - Accent2 4 2 3 4 5 2" xfId="12207"/>
    <cellStyle name="20% - Accent2 4 2 3 4 5 3" xfId="12208"/>
    <cellStyle name="20% - Accent2 4 2 3 4 6" xfId="12209"/>
    <cellStyle name="20% - Accent2 4 2 3 4 6 2" xfId="12210"/>
    <cellStyle name="20% - Accent2 4 2 3 4 6 3" xfId="12211"/>
    <cellStyle name="20% - Accent2 4 2 3 4 7" xfId="12212"/>
    <cellStyle name="20% - Accent2 4 2 3 4 7 2" xfId="12213"/>
    <cellStyle name="20% - Accent2 4 2 3 4 8" xfId="12214"/>
    <cellStyle name="20% - Accent2 4 2 3 4 9" xfId="12215"/>
    <cellStyle name="20% - Accent2 4 2 3 5" xfId="12216"/>
    <cellStyle name="20% - Accent2 4 2 3 5 2" xfId="12217"/>
    <cellStyle name="20% - Accent2 4 2 3 5 2 2" xfId="12218"/>
    <cellStyle name="20% - Accent2 4 2 3 5 2 3" xfId="12219"/>
    <cellStyle name="20% - Accent2 4 2 3 5 3" xfId="12220"/>
    <cellStyle name="20% - Accent2 4 2 3 5 3 2" xfId="12221"/>
    <cellStyle name="20% - Accent2 4 2 3 5 3 3" xfId="12222"/>
    <cellStyle name="20% - Accent2 4 2 3 5 4" xfId="12223"/>
    <cellStyle name="20% - Accent2 4 2 3 5 4 2" xfId="12224"/>
    <cellStyle name="20% - Accent2 4 2 3 5 5" xfId="12225"/>
    <cellStyle name="20% - Accent2 4 2 3 5 6" xfId="12226"/>
    <cellStyle name="20% - Accent2 4 2 3 6" xfId="12227"/>
    <cellStyle name="20% - Accent2 4 2 3 6 2" xfId="12228"/>
    <cellStyle name="20% - Accent2 4 2 3 6 2 2" xfId="12229"/>
    <cellStyle name="20% - Accent2 4 2 3 6 2 3" xfId="12230"/>
    <cellStyle name="20% - Accent2 4 2 3 6 3" xfId="12231"/>
    <cellStyle name="20% - Accent2 4 2 3 6 3 2" xfId="12232"/>
    <cellStyle name="20% - Accent2 4 2 3 6 3 3" xfId="12233"/>
    <cellStyle name="20% - Accent2 4 2 3 6 4" xfId="12234"/>
    <cellStyle name="20% - Accent2 4 2 3 6 4 2" xfId="12235"/>
    <cellStyle name="20% - Accent2 4 2 3 6 5" xfId="12236"/>
    <cellStyle name="20% - Accent2 4 2 3 6 6" xfId="12237"/>
    <cellStyle name="20% - Accent2 4 2 3 7" xfId="12238"/>
    <cellStyle name="20% - Accent2 4 2 3 7 2" xfId="12239"/>
    <cellStyle name="20% - Accent2 4 2 3 7 2 2" xfId="12240"/>
    <cellStyle name="20% - Accent2 4 2 3 7 2 3" xfId="12241"/>
    <cellStyle name="20% - Accent2 4 2 3 7 3" xfId="12242"/>
    <cellStyle name="20% - Accent2 4 2 3 7 3 2" xfId="12243"/>
    <cellStyle name="20% - Accent2 4 2 3 7 4" xfId="12244"/>
    <cellStyle name="20% - Accent2 4 2 3 7 5" xfId="12245"/>
    <cellStyle name="20% - Accent2 4 2 3 8" xfId="12246"/>
    <cellStyle name="20% - Accent2 4 2 3 8 2" xfId="12247"/>
    <cellStyle name="20% - Accent2 4 2 3 8 3" xfId="12248"/>
    <cellStyle name="20% - Accent2 4 2 3 9" xfId="12249"/>
    <cellStyle name="20% - Accent2 4 2 3 9 2" xfId="12250"/>
    <cellStyle name="20% - Accent2 4 2 3 9 3" xfId="12251"/>
    <cellStyle name="20% - Accent2 4 2 4" xfId="380"/>
    <cellStyle name="20% - Accent2 4 2 4 10" xfId="12252"/>
    <cellStyle name="20% - Accent2 4 2 4 2" xfId="381"/>
    <cellStyle name="20% - Accent2 4 2 4 2 2" xfId="12253"/>
    <cellStyle name="20% - Accent2 4 2 4 2 2 2" xfId="12254"/>
    <cellStyle name="20% - Accent2 4 2 4 2 2 2 2" xfId="12255"/>
    <cellStyle name="20% - Accent2 4 2 4 2 2 2 3" xfId="12256"/>
    <cellStyle name="20% - Accent2 4 2 4 2 2 3" xfId="12257"/>
    <cellStyle name="20% - Accent2 4 2 4 2 2 3 2" xfId="12258"/>
    <cellStyle name="20% - Accent2 4 2 4 2 2 3 3" xfId="12259"/>
    <cellStyle name="20% - Accent2 4 2 4 2 2 4" xfId="12260"/>
    <cellStyle name="20% - Accent2 4 2 4 2 2 4 2" xfId="12261"/>
    <cellStyle name="20% - Accent2 4 2 4 2 2 5" xfId="12262"/>
    <cellStyle name="20% - Accent2 4 2 4 2 2 6" xfId="12263"/>
    <cellStyle name="20% - Accent2 4 2 4 2 3" xfId="12264"/>
    <cellStyle name="20% - Accent2 4 2 4 2 3 2" xfId="12265"/>
    <cellStyle name="20% - Accent2 4 2 4 2 3 2 2" xfId="12266"/>
    <cellStyle name="20% - Accent2 4 2 4 2 3 2 3" xfId="12267"/>
    <cellStyle name="20% - Accent2 4 2 4 2 3 3" xfId="12268"/>
    <cellStyle name="20% - Accent2 4 2 4 2 3 3 2" xfId="12269"/>
    <cellStyle name="20% - Accent2 4 2 4 2 3 3 3" xfId="12270"/>
    <cellStyle name="20% - Accent2 4 2 4 2 3 4" xfId="12271"/>
    <cellStyle name="20% - Accent2 4 2 4 2 3 4 2" xfId="12272"/>
    <cellStyle name="20% - Accent2 4 2 4 2 3 5" xfId="12273"/>
    <cellStyle name="20% - Accent2 4 2 4 2 3 6" xfId="12274"/>
    <cellStyle name="20% - Accent2 4 2 4 2 4" xfId="12275"/>
    <cellStyle name="20% - Accent2 4 2 4 2 4 2" xfId="12276"/>
    <cellStyle name="20% - Accent2 4 2 4 2 4 2 2" xfId="12277"/>
    <cellStyle name="20% - Accent2 4 2 4 2 4 2 3" xfId="12278"/>
    <cellStyle name="20% - Accent2 4 2 4 2 4 3" xfId="12279"/>
    <cellStyle name="20% - Accent2 4 2 4 2 4 3 2" xfId="12280"/>
    <cellStyle name="20% - Accent2 4 2 4 2 4 4" xfId="12281"/>
    <cellStyle name="20% - Accent2 4 2 4 2 4 5" xfId="12282"/>
    <cellStyle name="20% - Accent2 4 2 4 2 5" xfId="12283"/>
    <cellStyle name="20% - Accent2 4 2 4 2 5 2" xfId="12284"/>
    <cellStyle name="20% - Accent2 4 2 4 2 5 3" xfId="12285"/>
    <cellStyle name="20% - Accent2 4 2 4 2 6" xfId="12286"/>
    <cellStyle name="20% - Accent2 4 2 4 2 6 2" xfId="12287"/>
    <cellStyle name="20% - Accent2 4 2 4 2 6 3" xfId="12288"/>
    <cellStyle name="20% - Accent2 4 2 4 2 7" xfId="12289"/>
    <cellStyle name="20% - Accent2 4 2 4 2 7 2" xfId="12290"/>
    <cellStyle name="20% - Accent2 4 2 4 2 8" xfId="12291"/>
    <cellStyle name="20% - Accent2 4 2 4 2 9" xfId="12292"/>
    <cellStyle name="20% - Accent2 4 2 4 3" xfId="12293"/>
    <cellStyle name="20% - Accent2 4 2 4 3 2" xfId="12294"/>
    <cellStyle name="20% - Accent2 4 2 4 3 2 2" xfId="12295"/>
    <cellStyle name="20% - Accent2 4 2 4 3 2 3" xfId="12296"/>
    <cellStyle name="20% - Accent2 4 2 4 3 3" xfId="12297"/>
    <cellStyle name="20% - Accent2 4 2 4 3 3 2" xfId="12298"/>
    <cellStyle name="20% - Accent2 4 2 4 3 3 3" xfId="12299"/>
    <cellStyle name="20% - Accent2 4 2 4 3 4" xfId="12300"/>
    <cellStyle name="20% - Accent2 4 2 4 3 4 2" xfId="12301"/>
    <cellStyle name="20% - Accent2 4 2 4 3 5" xfId="12302"/>
    <cellStyle name="20% - Accent2 4 2 4 3 6" xfId="12303"/>
    <cellStyle name="20% - Accent2 4 2 4 4" xfId="12304"/>
    <cellStyle name="20% - Accent2 4 2 4 4 2" xfId="12305"/>
    <cellStyle name="20% - Accent2 4 2 4 4 2 2" xfId="12306"/>
    <cellStyle name="20% - Accent2 4 2 4 4 2 3" xfId="12307"/>
    <cellStyle name="20% - Accent2 4 2 4 4 3" xfId="12308"/>
    <cellStyle name="20% - Accent2 4 2 4 4 3 2" xfId="12309"/>
    <cellStyle name="20% - Accent2 4 2 4 4 3 3" xfId="12310"/>
    <cellStyle name="20% - Accent2 4 2 4 4 4" xfId="12311"/>
    <cellStyle name="20% - Accent2 4 2 4 4 4 2" xfId="12312"/>
    <cellStyle name="20% - Accent2 4 2 4 4 5" xfId="12313"/>
    <cellStyle name="20% - Accent2 4 2 4 4 6" xfId="12314"/>
    <cellStyle name="20% - Accent2 4 2 4 5" xfId="12315"/>
    <cellStyle name="20% - Accent2 4 2 4 5 2" xfId="12316"/>
    <cellStyle name="20% - Accent2 4 2 4 5 2 2" xfId="12317"/>
    <cellStyle name="20% - Accent2 4 2 4 5 2 3" xfId="12318"/>
    <cellStyle name="20% - Accent2 4 2 4 5 3" xfId="12319"/>
    <cellStyle name="20% - Accent2 4 2 4 5 3 2" xfId="12320"/>
    <cellStyle name="20% - Accent2 4 2 4 5 4" xfId="12321"/>
    <cellStyle name="20% - Accent2 4 2 4 5 5" xfId="12322"/>
    <cellStyle name="20% - Accent2 4 2 4 6" xfId="12323"/>
    <cellStyle name="20% - Accent2 4 2 4 6 2" xfId="12324"/>
    <cellStyle name="20% - Accent2 4 2 4 6 3" xfId="12325"/>
    <cellStyle name="20% - Accent2 4 2 4 7" xfId="12326"/>
    <cellStyle name="20% - Accent2 4 2 4 7 2" xfId="12327"/>
    <cellStyle name="20% - Accent2 4 2 4 7 3" xfId="12328"/>
    <cellStyle name="20% - Accent2 4 2 4 8" xfId="12329"/>
    <cellStyle name="20% - Accent2 4 2 4 8 2" xfId="12330"/>
    <cellStyle name="20% - Accent2 4 2 4 9" xfId="12331"/>
    <cellStyle name="20% - Accent2 4 2 5" xfId="382"/>
    <cellStyle name="20% - Accent2 4 2 5 2" xfId="12332"/>
    <cellStyle name="20% - Accent2 4 2 5 2 2" xfId="12333"/>
    <cellStyle name="20% - Accent2 4 2 5 2 2 2" xfId="12334"/>
    <cellStyle name="20% - Accent2 4 2 5 2 2 3" xfId="12335"/>
    <cellStyle name="20% - Accent2 4 2 5 2 3" xfId="12336"/>
    <cellStyle name="20% - Accent2 4 2 5 2 3 2" xfId="12337"/>
    <cellStyle name="20% - Accent2 4 2 5 2 3 3" xfId="12338"/>
    <cellStyle name="20% - Accent2 4 2 5 2 4" xfId="12339"/>
    <cellStyle name="20% - Accent2 4 2 5 2 4 2" xfId="12340"/>
    <cellStyle name="20% - Accent2 4 2 5 2 5" xfId="12341"/>
    <cellStyle name="20% - Accent2 4 2 5 2 6" xfId="12342"/>
    <cellStyle name="20% - Accent2 4 2 5 3" xfId="12343"/>
    <cellStyle name="20% - Accent2 4 2 5 3 2" xfId="12344"/>
    <cellStyle name="20% - Accent2 4 2 5 3 2 2" xfId="12345"/>
    <cellStyle name="20% - Accent2 4 2 5 3 2 3" xfId="12346"/>
    <cellStyle name="20% - Accent2 4 2 5 3 3" xfId="12347"/>
    <cellStyle name="20% - Accent2 4 2 5 3 3 2" xfId="12348"/>
    <cellStyle name="20% - Accent2 4 2 5 3 3 3" xfId="12349"/>
    <cellStyle name="20% - Accent2 4 2 5 3 4" xfId="12350"/>
    <cellStyle name="20% - Accent2 4 2 5 3 4 2" xfId="12351"/>
    <cellStyle name="20% - Accent2 4 2 5 3 5" xfId="12352"/>
    <cellStyle name="20% - Accent2 4 2 5 3 6" xfId="12353"/>
    <cellStyle name="20% - Accent2 4 2 5 4" xfId="12354"/>
    <cellStyle name="20% - Accent2 4 2 5 4 2" xfId="12355"/>
    <cellStyle name="20% - Accent2 4 2 5 4 2 2" xfId="12356"/>
    <cellStyle name="20% - Accent2 4 2 5 4 2 3" xfId="12357"/>
    <cellStyle name="20% - Accent2 4 2 5 4 3" xfId="12358"/>
    <cellStyle name="20% - Accent2 4 2 5 4 3 2" xfId="12359"/>
    <cellStyle name="20% - Accent2 4 2 5 4 4" xfId="12360"/>
    <cellStyle name="20% - Accent2 4 2 5 4 5" xfId="12361"/>
    <cellStyle name="20% - Accent2 4 2 5 5" xfId="12362"/>
    <cellStyle name="20% - Accent2 4 2 5 5 2" xfId="12363"/>
    <cellStyle name="20% - Accent2 4 2 5 5 3" xfId="12364"/>
    <cellStyle name="20% - Accent2 4 2 5 6" xfId="12365"/>
    <cellStyle name="20% - Accent2 4 2 5 6 2" xfId="12366"/>
    <cellStyle name="20% - Accent2 4 2 5 6 3" xfId="12367"/>
    <cellStyle name="20% - Accent2 4 2 5 7" xfId="12368"/>
    <cellStyle name="20% - Accent2 4 2 5 7 2" xfId="12369"/>
    <cellStyle name="20% - Accent2 4 2 5 8" xfId="12370"/>
    <cellStyle name="20% - Accent2 4 2 5 9" xfId="12371"/>
    <cellStyle name="20% - Accent2 4 2 6" xfId="12372"/>
    <cellStyle name="20% - Accent2 4 2 6 2" xfId="12373"/>
    <cellStyle name="20% - Accent2 4 2 6 2 2" xfId="12374"/>
    <cellStyle name="20% - Accent2 4 2 6 2 2 2" xfId="12375"/>
    <cellStyle name="20% - Accent2 4 2 6 2 2 3" xfId="12376"/>
    <cellStyle name="20% - Accent2 4 2 6 2 3" xfId="12377"/>
    <cellStyle name="20% - Accent2 4 2 6 2 3 2" xfId="12378"/>
    <cellStyle name="20% - Accent2 4 2 6 2 3 3" xfId="12379"/>
    <cellStyle name="20% - Accent2 4 2 6 2 4" xfId="12380"/>
    <cellStyle name="20% - Accent2 4 2 6 2 4 2" xfId="12381"/>
    <cellStyle name="20% - Accent2 4 2 6 2 5" xfId="12382"/>
    <cellStyle name="20% - Accent2 4 2 6 2 6" xfId="12383"/>
    <cellStyle name="20% - Accent2 4 2 6 3" xfId="12384"/>
    <cellStyle name="20% - Accent2 4 2 6 3 2" xfId="12385"/>
    <cellStyle name="20% - Accent2 4 2 6 3 2 2" xfId="12386"/>
    <cellStyle name="20% - Accent2 4 2 6 3 2 3" xfId="12387"/>
    <cellStyle name="20% - Accent2 4 2 6 3 3" xfId="12388"/>
    <cellStyle name="20% - Accent2 4 2 6 3 3 2" xfId="12389"/>
    <cellStyle name="20% - Accent2 4 2 6 3 3 3" xfId="12390"/>
    <cellStyle name="20% - Accent2 4 2 6 3 4" xfId="12391"/>
    <cellStyle name="20% - Accent2 4 2 6 3 4 2" xfId="12392"/>
    <cellStyle name="20% - Accent2 4 2 6 3 5" xfId="12393"/>
    <cellStyle name="20% - Accent2 4 2 6 3 6" xfId="12394"/>
    <cellStyle name="20% - Accent2 4 2 6 4" xfId="12395"/>
    <cellStyle name="20% - Accent2 4 2 6 4 2" xfId="12396"/>
    <cellStyle name="20% - Accent2 4 2 6 4 2 2" xfId="12397"/>
    <cellStyle name="20% - Accent2 4 2 6 4 2 3" xfId="12398"/>
    <cellStyle name="20% - Accent2 4 2 6 4 3" xfId="12399"/>
    <cellStyle name="20% - Accent2 4 2 6 4 3 2" xfId="12400"/>
    <cellStyle name="20% - Accent2 4 2 6 4 4" xfId="12401"/>
    <cellStyle name="20% - Accent2 4 2 6 4 5" xfId="12402"/>
    <cellStyle name="20% - Accent2 4 2 6 5" xfId="12403"/>
    <cellStyle name="20% - Accent2 4 2 6 5 2" xfId="12404"/>
    <cellStyle name="20% - Accent2 4 2 6 5 3" xfId="12405"/>
    <cellStyle name="20% - Accent2 4 2 6 6" xfId="12406"/>
    <cellStyle name="20% - Accent2 4 2 6 6 2" xfId="12407"/>
    <cellStyle name="20% - Accent2 4 2 6 6 3" xfId="12408"/>
    <cellStyle name="20% - Accent2 4 2 6 7" xfId="12409"/>
    <cellStyle name="20% - Accent2 4 2 6 7 2" xfId="12410"/>
    <cellStyle name="20% - Accent2 4 2 6 8" xfId="12411"/>
    <cellStyle name="20% - Accent2 4 2 6 9" xfId="12412"/>
    <cellStyle name="20% - Accent2 4 2 7" xfId="12413"/>
    <cellStyle name="20% - Accent2 4 2 7 2" xfId="12414"/>
    <cellStyle name="20% - Accent2 4 2 7 2 2" xfId="12415"/>
    <cellStyle name="20% - Accent2 4 2 7 2 3" xfId="12416"/>
    <cellStyle name="20% - Accent2 4 2 7 3" xfId="12417"/>
    <cellStyle name="20% - Accent2 4 2 7 3 2" xfId="12418"/>
    <cellStyle name="20% - Accent2 4 2 7 3 3" xfId="12419"/>
    <cellStyle name="20% - Accent2 4 2 7 4" xfId="12420"/>
    <cellStyle name="20% - Accent2 4 2 7 4 2" xfId="12421"/>
    <cellStyle name="20% - Accent2 4 2 7 5" xfId="12422"/>
    <cellStyle name="20% - Accent2 4 2 7 6" xfId="12423"/>
    <cellStyle name="20% - Accent2 4 2 8" xfId="12424"/>
    <cellStyle name="20% - Accent2 4 2 8 2" xfId="12425"/>
    <cellStyle name="20% - Accent2 4 2 8 2 2" xfId="12426"/>
    <cellStyle name="20% - Accent2 4 2 8 2 3" xfId="12427"/>
    <cellStyle name="20% - Accent2 4 2 8 3" xfId="12428"/>
    <cellStyle name="20% - Accent2 4 2 8 3 2" xfId="12429"/>
    <cellStyle name="20% - Accent2 4 2 8 3 3" xfId="12430"/>
    <cellStyle name="20% - Accent2 4 2 8 4" xfId="12431"/>
    <cellStyle name="20% - Accent2 4 2 8 4 2" xfId="12432"/>
    <cellStyle name="20% - Accent2 4 2 8 5" xfId="12433"/>
    <cellStyle name="20% - Accent2 4 2 8 6" xfId="12434"/>
    <cellStyle name="20% - Accent2 4 2 9" xfId="12435"/>
    <cellStyle name="20% - Accent2 4 2 9 2" xfId="12436"/>
    <cellStyle name="20% - Accent2 4 2 9 2 2" xfId="12437"/>
    <cellStyle name="20% - Accent2 4 2 9 2 3" xfId="12438"/>
    <cellStyle name="20% - Accent2 4 2 9 3" xfId="12439"/>
    <cellStyle name="20% - Accent2 4 2 9 3 2" xfId="12440"/>
    <cellStyle name="20% - Accent2 4 2 9 4" xfId="12441"/>
    <cellStyle name="20% - Accent2 4 2 9 5" xfId="12442"/>
    <cellStyle name="20% - Accent2 4 3" xfId="383"/>
    <cellStyle name="20% - Accent2 4 3 10" xfId="12443"/>
    <cellStyle name="20% - Accent2 4 3 10 2" xfId="12444"/>
    <cellStyle name="20% - Accent2 4 3 10 3" xfId="12445"/>
    <cellStyle name="20% - Accent2 4 3 11" xfId="12446"/>
    <cellStyle name="20% - Accent2 4 3 11 2" xfId="12447"/>
    <cellStyle name="20% - Accent2 4 3 12" xfId="12448"/>
    <cellStyle name="20% - Accent2 4 3 13" xfId="12449"/>
    <cellStyle name="20% - Accent2 4 3 14" xfId="12450"/>
    <cellStyle name="20% - Accent2 4 3 2" xfId="384"/>
    <cellStyle name="20% - Accent2 4 3 2 10" xfId="12451"/>
    <cellStyle name="20% - Accent2 4 3 2 10 2" xfId="12452"/>
    <cellStyle name="20% - Accent2 4 3 2 11" xfId="12453"/>
    <cellStyle name="20% - Accent2 4 3 2 12" xfId="12454"/>
    <cellStyle name="20% - Accent2 4 3 2 2" xfId="385"/>
    <cellStyle name="20% - Accent2 4 3 2 2 10" xfId="12455"/>
    <cellStyle name="20% - Accent2 4 3 2 2 2" xfId="386"/>
    <cellStyle name="20% - Accent2 4 3 2 2 2 2" xfId="12456"/>
    <cellStyle name="20% - Accent2 4 3 2 2 2 2 2" xfId="12457"/>
    <cellStyle name="20% - Accent2 4 3 2 2 2 2 2 2" xfId="12458"/>
    <cellStyle name="20% - Accent2 4 3 2 2 2 2 2 3" xfId="12459"/>
    <cellStyle name="20% - Accent2 4 3 2 2 2 2 3" xfId="12460"/>
    <cellStyle name="20% - Accent2 4 3 2 2 2 2 3 2" xfId="12461"/>
    <cellStyle name="20% - Accent2 4 3 2 2 2 2 3 3" xfId="12462"/>
    <cellStyle name="20% - Accent2 4 3 2 2 2 2 4" xfId="12463"/>
    <cellStyle name="20% - Accent2 4 3 2 2 2 2 4 2" xfId="12464"/>
    <cellStyle name="20% - Accent2 4 3 2 2 2 2 5" xfId="12465"/>
    <cellStyle name="20% - Accent2 4 3 2 2 2 2 6" xfId="12466"/>
    <cellStyle name="20% - Accent2 4 3 2 2 2 3" xfId="12467"/>
    <cellStyle name="20% - Accent2 4 3 2 2 2 3 2" xfId="12468"/>
    <cellStyle name="20% - Accent2 4 3 2 2 2 3 2 2" xfId="12469"/>
    <cellStyle name="20% - Accent2 4 3 2 2 2 3 2 3" xfId="12470"/>
    <cellStyle name="20% - Accent2 4 3 2 2 2 3 3" xfId="12471"/>
    <cellStyle name="20% - Accent2 4 3 2 2 2 3 3 2" xfId="12472"/>
    <cellStyle name="20% - Accent2 4 3 2 2 2 3 3 3" xfId="12473"/>
    <cellStyle name="20% - Accent2 4 3 2 2 2 3 4" xfId="12474"/>
    <cellStyle name="20% - Accent2 4 3 2 2 2 3 4 2" xfId="12475"/>
    <cellStyle name="20% - Accent2 4 3 2 2 2 3 5" xfId="12476"/>
    <cellStyle name="20% - Accent2 4 3 2 2 2 3 6" xfId="12477"/>
    <cellStyle name="20% - Accent2 4 3 2 2 2 4" xfId="12478"/>
    <cellStyle name="20% - Accent2 4 3 2 2 2 4 2" xfId="12479"/>
    <cellStyle name="20% - Accent2 4 3 2 2 2 4 2 2" xfId="12480"/>
    <cellStyle name="20% - Accent2 4 3 2 2 2 4 2 3" xfId="12481"/>
    <cellStyle name="20% - Accent2 4 3 2 2 2 4 3" xfId="12482"/>
    <cellStyle name="20% - Accent2 4 3 2 2 2 4 3 2" xfId="12483"/>
    <cellStyle name="20% - Accent2 4 3 2 2 2 4 4" xfId="12484"/>
    <cellStyle name="20% - Accent2 4 3 2 2 2 4 5" xfId="12485"/>
    <cellStyle name="20% - Accent2 4 3 2 2 2 5" xfId="12486"/>
    <cellStyle name="20% - Accent2 4 3 2 2 2 5 2" xfId="12487"/>
    <cellStyle name="20% - Accent2 4 3 2 2 2 5 3" xfId="12488"/>
    <cellStyle name="20% - Accent2 4 3 2 2 2 6" xfId="12489"/>
    <cellStyle name="20% - Accent2 4 3 2 2 2 6 2" xfId="12490"/>
    <cellStyle name="20% - Accent2 4 3 2 2 2 6 3" xfId="12491"/>
    <cellStyle name="20% - Accent2 4 3 2 2 2 7" xfId="12492"/>
    <cellStyle name="20% - Accent2 4 3 2 2 2 7 2" xfId="12493"/>
    <cellStyle name="20% - Accent2 4 3 2 2 2 8" xfId="12494"/>
    <cellStyle name="20% - Accent2 4 3 2 2 2 9" xfId="12495"/>
    <cellStyle name="20% - Accent2 4 3 2 2 3" xfId="12496"/>
    <cellStyle name="20% - Accent2 4 3 2 2 3 2" xfId="12497"/>
    <cellStyle name="20% - Accent2 4 3 2 2 3 2 2" xfId="12498"/>
    <cellStyle name="20% - Accent2 4 3 2 2 3 2 3" xfId="12499"/>
    <cellStyle name="20% - Accent2 4 3 2 2 3 3" xfId="12500"/>
    <cellStyle name="20% - Accent2 4 3 2 2 3 3 2" xfId="12501"/>
    <cellStyle name="20% - Accent2 4 3 2 2 3 3 3" xfId="12502"/>
    <cellStyle name="20% - Accent2 4 3 2 2 3 4" xfId="12503"/>
    <cellStyle name="20% - Accent2 4 3 2 2 3 4 2" xfId="12504"/>
    <cellStyle name="20% - Accent2 4 3 2 2 3 5" xfId="12505"/>
    <cellStyle name="20% - Accent2 4 3 2 2 3 6" xfId="12506"/>
    <cellStyle name="20% - Accent2 4 3 2 2 4" xfId="12507"/>
    <cellStyle name="20% - Accent2 4 3 2 2 4 2" xfId="12508"/>
    <cellStyle name="20% - Accent2 4 3 2 2 4 2 2" xfId="12509"/>
    <cellStyle name="20% - Accent2 4 3 2 2 4 2 3" xfId="12510"/>
    <cellStyle name="20% - Accent2 4 3 2 2 4 3" xfId="12511"/>
    <cellStyle name="20% - Accent2 4 3 2 2 4 3 2" xfId="12512"/>
    <cellStyle name="20% - Accent2 4 3 2 2 4 3 3" xfId="12513"/>
    <cellStyle name="20% - Accent2 4 3 2 2 4 4" xfId="12514"/>
    <cellStyle name="20% - Accent2 4 3 2 2 4 4 2" xfId="12515"/>
    <cellStyle name="20% - Accent2 4 3 2 2 4 5" xfId="12516"/>
    <cellStyle name="20% - Accent2 4 3 2 2 4 6" xfId="12517"/>
    <cellStyle name="20% - Accent2 4 3 2 2 5" xfId="12518"/>
    <cellStyle name="20% - Accent2 4 3 2 2 5 2" xfId="12519"/>
    <cellStyle name="20% - Accent2 4 3 2 2 5 2 2" xfId="12520"/>
    <cellStyle name="20% - Accent2 4 3 2 2 5 2 3" xfId="12521"/>
    <cellStyle name="20% - Accent2 4 3 2 2 5 3" xfId="12522"/>
    <cellStyle name="20% - Accent2 4 3 2 2 5 3 2" xfId="12523"/>
    <cellStyle name="20% - Accent2 4 3 2 2 5 4" xfId="12524"/>
    <cellStyle name="20% - Accent2 4 3 2 2 5 5" xfId="12525"/>
    <cellStyle name="20% - Accent2 4 3 2 2 6" xfId="12526"/>
    <cellStyle name="20% - Accent2 4 3 2 2 6 2" xfId="12527"/>
    <cellStyle name="20% - Accent2 4 3 2 2 6 3" xfId="12528"/>
    <cellStyle name="20% - Accent2 4 3 2 2 7" xfId="12529"/>
    <cellStyle name="20% - Accent2 4 3 2 2 7 2" xfId="12530"/>
    <cellStyle name="20% - Accent2 4 3 2 2 7 3" xfId="12531"/>
    <cellStyle name="20% - Accent2 4 3 2 2 8" xfId="12532"/>
    <cellStyle name="20% - Accent2 4 3 2 2 8 2" xfId="12533"/>
    <cellStyle name="20% - Accent2 4 3 2 2 9" xfId="12534"/>
    <cellStyle name="20% - Accent2 4 3 2 3" xfId="387"/>
    <cellStyle name="20% - Accent2 4 3 2 3 2" xfId="12535"/>
    <cellStyle name="20% - Accent2 4 3 2 3 2 2" xfId="12536"/>
    <cellStyle name="20% - Accent2 4 3 2 3 2 2 2" xfId="12537"/>
    <cellStyle name="20% - Accent2 4 3 2 3 2 2 3" xfId="12538"/>
    <cellStyle name="20% - Accent2 4 3 2 3 2 3" xfId="12539"/>
    <cellStyle name="20% - Accent2 4 3 2 3 2 3 2" xfId="12540"/>
    <cellStyle name="20% - Accent2 4 3 2 3 2 3 3" xfId="12541"/>
    <cellStyle name="20% - Accent2 4 3 2 3 2 4" xfId="12542"/>
    <cellStyle name="20% - Accent2 4 3 2 3 2 4 2" xfId="12543"/>
    <cellStyle name="20% - Accent2 4 3 2 3 2 5" xfId="12544"/>
    <cellStyle name="20% - Accent2 4 3 2 3 2 6" xfId="12545"/>
    <cellStyle name="20% - Accent2 4 3 2 3 3" xfId="12546"/>
    <cellStyle name="20% - Accent2 4 3 2 3 3 2" xfId="12547"/>
    <cellStyle name="20% - Accent2 4 3 2 3 3 2 2" xfId="12548"/>
    <cellStyle name="20% - Accent2 4 3 2 3 3 2 3" xfId="12549"/>
    <cellStyle name="20% - Accent2 4 3 2 3 3 3" xfId="12550"/>
    <cellStyle name="20% - Accent2 4 3 2 3 3 3 2" xfId="12551"/>
    <cellStyle name="20% - Accent2 4 3 2 3 3 3 3" xfId="12552"/>
    <cellStyle name="20% - Accent2 4 3 2 3 3 4" xfId="12553"/>
    <cellStyle name="20% - Accent2 4 3 2 3 3 4 2" xfId="12554"/>
    <cellStyle name="20% - Accent2 4 3 2 3 3 5" xfId="12555"/>
    <cellStyle name="20% - Accent2 4 3 2 3 3 6" xfId="12556"/>
    <cellStyle name="20% - Accent2 4 3 2 3 4" xfId="12557"/>
    <cellStyle name="20% - Accent2 4 3 2 3 4 2" xfId="12558"/>
    <cellStyle name="20% - Accent2 4 3 2 3 4 2 2" xfId="12559"/>
    <cellStyle name="20% - Accent2 4 3 2 3 4 2 3" xfId="12560"/>
    <cellStyle name="20% - Accent2 4 3 2 3 4 3" xfId="12561"/>
    <cellStyle name="20% - Accent2 4 3 2 3 4 3 2" xfId="12562"/>
    <cellStyle name="20% - Accent2 4 3 2 3 4 4" xfId="12563"/>
    <cellStyle name="20% - Accent2 4 3 2 3 4 5" xfId="12564"/>
    <cellStyle name="20% - Accent2 4 3 2 3 5" xfId="12565"/>
    <cellStyle name="20% - Accent2 4 3 2 3 5 2" xfId="12566"/>
    <cellStyle name="20% - Accent2 4 3 2 3 5 3" xfId="12567"/>
    <cellStyle name="20% - Accent2 4 3 2 3 6" xfId="12568"/>
    <cellStyle name="20% - Accent2 4 3 2 3 6 2" xfId="12569"/>
    <cellStyle name="20% - Accent2 4 3 2 3 6 3" xfId="12570"/>
    <cellStyle name="20% - Accent2 4 3 2 3 7" xfId="12571"/>
    <cellStyle name="20% - Accent2 4 3 2 3 7 2" xfId="12572"/>
    <cellStyle name="20% - Accent2 4 3 2 3 8" xfId="12573"/>
    <cellStyle name="20% - Accent2 4 3 2 3 9" xfId="12574"/>
    <cellStyle name="20% - Accent2 4 3 2 4" xfId="12575"/>
    <cellStyle name="20% - Accent2 4 3 2 4 2" xfId="12576"/>
    <cellStyle name="20% - Accent2 4 3 2 4 2 2" xfId="12577"/>
    <cellStyle name="20% - Accent2 4 3 2 4 2 2 2" xfId="12578"/>
    <cellStyle name="20% - Accent2 4 3 2 4 2 2 3" xfId="12579"/>
    <cellStyle name="20% - Accent2 4 3 2 4 2 3" xfId="12580"/>
    <cellStyle name="20% - Accent2 4 3 2 4 2 3 2" xfId="12581"/>
    <cellStyle name="20% - Accent2 4 3 2 4 2 3 3" xfId="12582"/>
    <cellStyle name="20% - Accent2 4 3 2 4 2 4" xfId="12583"/>
    <cellStyle name="20% - Accent2 4 3 2 4 2 4 2" xfId="12584"/>
    <cellStyle name="20% - Accent2 4 3 2 4 2 5" xfId="12585"/>
    <cellStyle name="20% - Accent2 4 3 2 4 2 6" xfId="12586"/>
    <cellStyle name="20% - Accent2 4 3 2 4 3" xfId="12587"/>
    <cellStyle name="20% - Accent2 4 3 2 4 3 2" xfId="12588"/>
    <cellStyle name="20% - Accent2 4 3 2 4 3 2 2" xfId="12589"/>
    <cellStyle name="20% - Accent2 4 3 2 4 3 2 3" xfId="12590"/>
    <cellStyle name="20% - Accent2 4 3 2 4 3 3" xfId="12591"/>
    <cellStyle name="20% - Accent2 4 3 2 4 3 3 2" xfId="12592"/>
    <cellStyle name="20% - Accent2 4 3 2 4 3 3 3" xfId="12593"/>
    <cellStyle name="20% - Accent2 4 3 2 4 3 4" xfId="12594"/>
    <cellStyle name="20% - Accent2 4 3 2 4 3 4 2" xfId="12595"/>
    <cellStyle name="20% - Accent2 4 3 2 4 3 5" xfId="12596"/>
    <cellStyle name="20% - Accent2 4 3 2 4 3 6" xfId="12597"/>
    <cellStyle name="20% - Accent2 4 3 2 4 4" xfId="12598"/>
    <cellStyle name="20% - Accent2 4 3 2 4 4 2" xfId="12599"/>
    <cellStyle name="20% - Accent2 4 3 2 4 4 2 2" xfId="12600"/>
    <cellStyle name="20% - Accent2 4 3 2 4 4 2 3" xfId="12601"/>
    <cellStyle name="20% - Accent2 4 3 2 4 4 3" xfId="12602"/>
    <cellStyle name="20% - Accent2 4 3 2 4 4 3 2" xfId="12603"/>
    <cellStyle name="20% - Accent2 4 3 2 4 4 4" xfId="12604"/>
    <cellStyle name="20% - Accent2 4 3 2 4 4 5" xfId="12605"/>
    <cellStyle name="20% - Accent2 4 3 2 4 5" xfId="12606"/>
    <cellStyle name="20% - Accent2 4 3 2 4 5 2" xfId="12607"/>
    <cellStyle name="20% - Accent2 4 3 2 4 5 3" xfId="12608"/>
    <cellStyle name="20% - Accent2 4 3 2 4 6" xfId="12609"/>
    <cellStyle name="20% - Accent2 4 3 2 4 6 2" xfId="12610"/>
    <cellStyle name="20% - Accent2 4 3 2 4 6 3" xfId="12611"/>
    <cellStyle name="20% - Accent2 4 3 2 4 7" xfId="12612"/>
    <cellStyle name="20% - Accent2 4 3 2 4 7 2" xfId="12613"/>
    <cellStyle name="20% - Accent2 4 3 2 4 8" xfId="12614"/>
    <cellStyle name="20% - Accent2 4 3 2 4 9" xfId="12615"/>
    <cellStyle name="20% - Accent2 4 3 2 5" xfId="12616"/>
    <cellStyle name="20% - Accent2 4 3 2 5 2" xfId="12617"/>
    <cellStyle name="20% - Accent2 4 3 2 5 2 2" xfId="12618"/>
    <cellStyle name="20% - Accent2 4 3 2 5 2 3" xfId="12619"/>
    <cellStyle name="20% - Accent2 4 3 2 5 3" xfId="12620"/>
    <cellStyle name="20% - Accent2 4 3 2 5 3 2" xfId="12621"/>
    <cellStyle name="20% - Accent2 4 3 2 5 3 3" xfId="12622"/>
    <cellStyle name="20% - Accent2 4 3 2 5 4" xfId="12623"/>
    <cellStyle name="20% - Accent2 4 3 2 5 4 2" xfId="12624"/>
    <cellStyle name="20% - Accent2 4 3 2 5 5" xfId="12625"/>
    <cellStyle name="20% - Accent2 4 3 2 5 6" xfId="12626"/>
    <cellStyle name="20% - Accent2 4 3 2 6" xfId="12627"/>
    <cellStyle name="20% - Accent2 4 3 2 6 2" xfId="12628"/>
    <cellStyle name="20% - Accent2 4 3 2 6 2 2" xfId="12629"/>
    <cellStyle name="20% - Accent2 4 3 2 6 2 3" xfId="12630"/>
    <cellStyle name="20% - Accent2 4 3 2 6 3" xfId="12631"/>
    <cellStyle name="20% - Accent2 4 3 2 6 3 2" xfId="12632"/>
    <cellStyle name="20% - Accent2 4 3 2 6 3 3" xfId="12633"/>
    <cellStyle name="20% - Accent2 4 3 2 6 4" xfId="12634"/>
    <cellStyle name="20% - Accent2 4 3 2 6 4 2" xfId="12635"/>
    <cellStyle name="20% - Accent2 4 3 2 6 5" xfId="12636"/>
    <cellStyle name="20% - Accent2 4 3 2 6 6" xfId="12637"/>
    <cellStyle name="20% - Accent2 4 3 2 7" xfId="12638"/>
    <cellStyle name="20% - Accent2 4 3 2 7 2" xfId="12639"/>
    <cellStyle name="20% - Accent2 4 3 2 7 2 2" xfId="12640"/>
    <cellStyle name="20% - Accent2 4 3 2 7 2 3" xfId="12641"/>
    <cellStyle name="20% - Accent2 4 3 2 7 3" xfId="12642"/>
    <cellStyle name="20% - Accent2 4 3 2 7 3 2" xfId="12643"/>
    <cellStyle name="20% - Accent2 4 3 2 7 4" xfId="12644"/>
    <cellStyle name="20% - Accent2 4 3 2 7 5" xfId="12645"/>
    <cellStyle name="20% - Accent2 4 3 2 8" xfId="12646"/>
    <cellStyle name="20% - Accent2 4 3 2 8 2" xfId="12647"/>
    <cellStyle name="20% - Accent2 4 3 2 8 3" xfId="12648"/>
    <cellStyle name="20% - Accent2 4 3 2 9" xfId="12649"/>
    <cellStyle name="20% - Accent2 4 3 2 9 2" xfId="12650"/>
    <cellStyle name="20% - Accent2 4 3 2 9 3" xfId="12651"/>
    <cellStyle name="20% - Accent2 4 3 3" xfId="388"/>
    <cellStyle name="20% - Accent2 4 3 3 10" xfId="12652"/>
    <cellStyle name="20% - Accent2 4 3 3 2" xfId="389"/>
    <cellStyle name="20% - Accent2 4 3 3 2 2" xfId="12653"/>
    <cellStyle name="20% - Accent2 4 3 3 2 2 2" xfId="12654"/>
    <cellStyle name="20% - Accent2 4 3 3 2 2 2 2" xfId="12655"/>
    <cellStyle name="20% - Accent2 4 3 3 2 2 2 3" xfId="12656"/>
    <cellStyle name="20% - Accent2 4 3 3 2 2 3" xfId="12657"/>
    <cellStyle name="20% - Accent2 4 3 3 2 2 3 2" xfId="12658"/>
    <cellStyle name="20% - Accent2 4 3 3 2 2 3 3" xfId="12659"/>
    <cellStyle name="20% - Accent2 4 3 3 2 2 4" xfId="12660"/>
    <cellStyle name="20% - Accent2 4 3 3 2 2 4 2" xfId="12661"/>
    <cellStyle name="20% - Accent2 4 3 3 2 2 5" xfId="12662"/>
    <cellStyle name="20% - Accent2 4 3 3 2 2 6" xfId="12663"/>
    <cellStyle name="20% - Accent2 4 3 3 2 3" xfId="12664"/>
    <cellStyle name="20% - Accent2 4 3 3 2 3 2" xfId="12665"/>
    <cellStyle name="20% - Accent2 4 3 3 2 3 2 2" xfId="12666"/>
    <cellStyle name="20% - Accent2 4 3 3 2 3 2 3" xfId="12667"/>
    <cellStyle name="20% - Accent2 4 3 3 2 3 3" xfId="12668"/>
    <cellStyle name="20% - Accent2 4 3 3 2 3 3 2" xfId="12669"/>
    <cellStyle name="20% - Accent2 4 3 3 2 3 3 3" xfId="12670"/>
    <cellStyle name="20% - Accent2 4 3 3 2 3 4" xfId="12671"/>
    <cellStyle name="20% - Accent2 4 3 3 2 3 4 2" xfId="12672"/>
    <cellStyle name="20% - Accent2 4 3 3 2 3 5" xfId="12673"/>
    <cellStyle name="20% - Accent2 4 3 3 2 3 6" xfId="12674"/>
    <cellStyle name="20% - Accent2 4 3 3 2 4" xfId="12675"/>
    <cellStyle name="20% - Accent2 4 3 3 2 4 2" xfId="12676"/>
    <cellStyle name="20% - Accent2 4 3 3 2 4 2 2" xfId="12677"/>
    <cellStyle name="20% - Accent2 4 3 3 2 4 2 3" xfId="12678"/>
    <cellStyle name="20% - Accent2 4 3 3 2 4 3" xfId="12679"/>
    <cellStyle name="20% - Accent2 4 3 3 2 4 3 2" xfId="12680"/>
    <cellStyle name="20% - Accent2 4 3 3 2 4 4" xfId="12681"/>
    <cellStyle name="20% - Accent2 4 3 3 2 4 5" xfId="12682"/>
    <cellStyle name="20% - Accent2 4 3 3 2 5" xfId="12683"/>
    <cellStyle name="20% - Accent2 4 3 3 2 5 2" xfId="12684"/>
    <cellStyle name="20% - Accent2 4 3 3 2 5 3" xfId="12685"/>
    <cellStyle name="20% - Accent2 4 3 3 2 6" xfId="12686"/>
    <cellStyle name="20% - Accent2 4 3 3 2 6 2" xfId="12687"/>
    <cellStyle name="20% - Accent2 4 3 3 2 6 3" xfId="12688"/>
    <cellStyle name="20% - Accent2 4 3 3 2 7" xfId="12689"/>
    <cellStyle name="20% - Accent2 4 3 3 2 7 2" xfId="12690"/>
    <cellStyle name="20% - Accent2 4 3 3 2 8" xfId="12691"/>
    <cellStyle name="20% - Accent2 4 3 3 2 9" xfId="12692"/>
    <cellStyle name="20% - Accent2 4 3 3 3" xfId="12693"/>
    <cellStyle name="20% - Accent2 4 3 3 3 2" xfId="12694"/>
    <cellStyle name="20% - Accent2 4 3 3 3 2 2" xfId="12695"/>
    <cellStyle name="20% - Accent2 4 3 3 3 2 3" xfId="12696"/>
    <cellStyle name="20% - Accent2 4 3 3 3 3" xfId="12697"/>
    <cellStyle name="20% - Accent2 4 3 3 3 3 2" xfId="12698"/>
    <cellStyle name="20% - Accent2 4 3 3 3 3 3" xfId="12699"/>
    <cellStyle name="20% - Accent2 4 3 3 3 4" xfId="12700"/>
    <cellStyle name="20% - Accent2 4 3 3 3 4 2" xfId="12701"/>
    <cellStyle name="20% - Accent2 4 3 3 3 5" xfId="12702"/>
    <cellStyle name="20% - Accent2 4 3 3 3 6" xfId="12703"/>
    <cellStyle name="20% - Accent2 4 3 3 4" xfId="12704"/>
    <cellStyle name="20% - Accent2 4 3 3 4 2" xfId="12705"/>
    <cellStyle name="20% - Accent2 4 3 3 4 2 2" xfId="12706"/>
    <cellStyle name="20% - Accent2 4 3 3 4 2 3" xfId="12707"/>
    <cellStyle name="20% - Accent2 4 3 3 4 3" xfId="12708"/>
    <cellStyle name="20% - Accent2 4 3 3 4 3 2" xfId="12709"/>
    <cellStyle name="20% - Accent2 4 3 3 4 3 3" xfId="12710"/>
    <cellStyle name="20% - Accent2 4 3 3 4 4" xfId="12711"/>
    <cellStyle name="20% - Accent2 4 3 3 4 4 2" xfId="12712"/>
    <cellStyle name="20% - Accent2 4 3 3 4 5" xfId="12713"/>
    <cellStyle name="20% - Accent2 4 3 3 4 6" xfId="12714"/>
    <cellStyle name="20% - Accent2 4 3 3 5" xfId="12715"/>
    <cellStyle name="20% - Accent2 4 3 3 5 2" xfId="12716"/>
    <cellStyle name="20% - Accent2 4 3 3 5 2 2" xfId="12717"/>
    <cellStyle name="20% - Accent2 4 3 3 5 2 3" xfId="12718"/>
    <cellStyle name="20% - Accent2 4 3 3 5 3" xfId="12719"/>
    <cellStyle name="20% - Accent2 4 3 3 5 3 2" xfId="12720"/>
    <cellStyle name="20% - Accent2 4 3 3 5 4" xfId="12721"/>
    <cellStyle name="20% - Accent2 4 3 3 5 5" xfId="12722"/>
    <cellStyle name="20% - Accent2 4 3 3 6" xfId="12723"/>
    <cellStyle name="20% - Accent2 4 3 3 6 2" xfId="12724"/>
    <cellStyle name="20% - Accent2 4 3 3 6 3" xfId="12725"/>
    <cellStyle name="20% - Accent2 4 3 3 7" xfId="12726"/>
    <cellStyle name="20% - Accent2 4 3 3 7 2" xfId="12727"/>
    <cellStyle name="20% - Accent2 4 3 3 7 3" xfId="12728"/>
    <cellStyle name="20% - Accent2 4 3 3 8" xfId="12729"/>
    <cellStyle name="20% - Accent2 4 3 3 8 2" xfId="12730"/>
    <cellStyle name="20% - Accent2 4 3 3 9" xfId="12731"/>
    <cellStyle name="20% - Accent2 4 3 4" xfId="390"/>
    <cellStyle name="20% - Accent2 4 3 4 2" xfId="12732"/>
    <cellStyle name="20% - Accent2 4 3 4 2 2" xfId="12733"/>
    <cellStyle name="20% - Accent2 4 3 4 2 2 2" xfId="12734"/>
    <cellStyle name="20% - Accent2 4 3 4 2 2 3" xfId="12735"/>
    <cellStyle name="20% - Accent2 4 3 4 2 3" xfId="12736"/>
    <cellStyle name="20% - Accent2 4 3 4 2 3 2" xfId="12737"/>
    <cellStyle name="20% - Accent2 4 3 4 2 3 3" xfId="12738"/>
    <cellStyle name="20% - Accent2 4 3 4 2 4" xfId="12739"/>
    <cellStyle name="20% - Accent2 4 3 4 2 4 2" xfId="12740"/>
    <cellStyle name="20% - Accent2 4 3 4 2 5" xfId="12741"/>
    <cellStyle name="20% - Accent2 4 3 4 2 6" xfId="12742"/>
    <cellStyle name="20% - Accent2 4 3 4 3" xfId="12743"/>
    <cellStyle name="20% - Accent2 4 3 4 3 2" xfId="12744"/>
    <cellStyle name="20% - Accent2 4 3 4 3 2 2" xfId="12745"/>
    <cellStyle name="20% - Accent2 4 3 4 3 2 3" xfId="12746"/>
    <cellStyle name="20% - Accent2 4 3 4 3 3" xfId="12747"/>
    <cellStyle name="20% - Accent2 4 3 4 3 3 2" xfId="12748"/>
    <cellStyle name="20% - Accent2 4 3 4 3 3 3" xfId="12749"/>
    <cellStyle name="20% - Accent2 4 3 4 3 4" xfId="12750"/>
    <cellStyle name="20% - Accent2 4 3 4 3 4 2" xfId="12751"/>
    <cellStyle name="20% - Accent2 4 3 4 3 5" xfId="12752"/>
    <cellStyle name="20% - Accent2 4 3 4 3 6" xfId="12753"/>
    <cellStyle name="20% - Accent2 4 3 4 4" xfId="12754"/>
    <cellStyle name="20% - Accent2 4 3 4 4 2" xfId="12755"/>
    <cellStyle name="20% - Accent2 4 3 4 4 2 2" xfId="12756"/>
    <cellStyle name="20% - Accent2 4 3 4 4 2 3" xfId="12757"/>
    <cellStyle name="20% - Accent2 4 3 4 4 3" xfId="12758"/>
    <cellStyle name="20% - Accent2 4 3 4 4 3 2" xfId="12759"/>
    <cellStyle name="20% - Accent2 4 3 4 4 4" xfId="12760"/>
    <cellStyle name="20% - Accent2 4 3 4 4 5" xfId="12761"/>
    <cellStyle name="20% - Accent2 4 3 4 5" xfId="12762"/>
    <cellStyle name="20% - Accent2 4 3 4 5 2" xfId="12763"/>
    <cellStyle name="20% - Accent2 4 3 4 5 3" xfId="12764"/>
    <cellStyle name="20% - Accent2 4 3 4 6" xfId="12765"/>
    <cellStyle name="20% - Accent2 4 3 4 6 2" xfId="12766"/>
    <cellStyle name="20% - Accent2 4 3 4 6 3" xfId="12767"/>
    <cellStyle name="20% - Accent2 4 3 4 7" xfId="12768"/>
    <cellStyle name="20% - Accent2 4 3 4 7 2" xfId="12769"/>
    <cellStyle name="20% - Accent2 4 3 4 8" xfId="12770"/>
    <cellStyle name="20% - Accent2 4 3 4 9" xfId="12771"/>
    <cellStyle name="20% - Accent2 4 3 5" xfId="12772"/>
    <cellStyle name="20% - Accent2 4 3 5 2" xfId="12773"/>
    <cellStyle name="20% - Accent2 4 3 5 2 2" xfId="12774"/>
    <cellStyle name="20% - Accent2 4 3 5 2 2 2" xfId="12775"/>
    <cellStyle name="20% - Accent2 4 3 5 2 2 3" xfId="12776"/>
    <cellStyle name="20% - Accent2 4 3 5 2 3" xfId="12777"/>
    <cellStyle name="20% - Accent2 4 3 5 2 3 2" xfId="12778"/>
    <cellStyle name="20% - Accent2 4 3 5 2 3 3" xfId="12779"/>
    <cellStyle name="20% - Accent2 4 3 5 2 4" xfId="12780"/>
    <cellStyle name="20% - Accent2 4 3 5 2 4 2" xfId="12781"/>
    <cellStyle name="20% - Accent2 4 3 5 2 5" xfId="12782"/>
    <cellStyle name="20% - Accent2 4 3 5 2 6" xfId="12783"/>
    <cellStyle name="20% - Accent2 4 3 5 3" xfId="12784"/>
    <cellStyle name="20% - Accent2 4 3 5 3 2" xfId="12785"/>
    <cellStyle name="20% - Accent2 4 3 5 3 2 2" xfId="12786"/>
    <cellStyle name="20% - Accent2 4 3 5 3 2 3" xfId="12787"/>
    <cellStyle name="20% - Accent2 4 3 5 3 3" xfId="12788"/>
    <cellStyle name="20% - Accent2 4 3 5 3 3 2" xfId="12789"/>
    <cellStyle name="20% - Accent2 4 3 5 3 3 3" xfId="12790"/>
    <cellStyle name="20% - Accent2 4 3 5 3 4" xfId="12791"/>
    <cellStyle name="20% - Accent2 4 3 5 3 4 2" xfId="12792"/>
    <cellStyle name="20% - Accent2 4 3 5 3 5" xfId="12793"/>
    <cellStyle name="20% - Accent2 4 3 5 3 6" xfId="12794"/>
    <cellStyle name="20% - Accent2 4 3 5 4" xfId="12795"/>
    <cellStyle name="20% - Accent2 4 3 5 4 2" xfId="12796"/>
    <cellStyle name="20% - Accent2 4 3 5 4 2 2" xfId="12797"/>
    <cellStyle name="20% - Accent2 4 3 5 4 2 3" xfId="12798"/>
    <cellStyle name="20% - Accent2 4 3 5 4 3" xfId="12799"/>
    <cellStyle name="20% - Accent2 4 3 5 4 3 2" xfId="12800"/>
    <cellStyle name="20% - Accent2 4 3 5 4 4" xfId="12801"/>
    <cellStyle name="20% - Accent2 4 3 5 4 5" xfId="12802"/>
    <cellStyle name="20% - Accent2 4 3 5 5" xfId="12803"/>
    <cellStyle name="20% - Accent2 4 3 5 5 2" xfId="12804"/>
    <cellStyle name="20% - Accent2 4 3 5 5 3" xfId="12805"/>
    <cellStyle name="20% - Accent2 4 3 5 6" xfId="12806"/>
    <cellStyle name="20% - Accent2 4 3 5 6 2" xfId="12807"/>
    <cellStyle name="20% - Accent2 4 3 5 6 3" xfId="12808"/>
    <cellStyle name="20% - Accent2 4 3 5 7" xfId="12809"/>
    <cellStyle name="20% - Accent2 4 3 5 7 2" xfId="12810"/>
    <cellStyle name="20% - Accent2 4 3 5 8" xfId="12811"/>
    <cellStyle name="20% - Accent2 4 3 5 9" xfId="12812"/>
    <cellStyle name="20% - Accent2 4 3 6" xfId="12813"/>
    <cellStyle name="20% - Accent2 4 3 6 2" xfId="12814"/>
    <cellStyle name="20% - Accent2 4 3 6 2 2" xfId="12815"/>
    <cellStyle name="20% - Accent2 4 3 6 2 3" xfId="12816"/>
    <cellStyle name="20% - Accent2 4 3 6 3" xfId="12817"/>
    <cellStyle name="20% - Accent2 4 3 6 3 2" xfId="12818"/>
    <cellStyle name="20% - Accent2 4 3 6 3 3" xfId="12819"/>
    <cellStyle name="20% - Accent2 4 3 6 4" xfId="12820"/>
    <cellStyle name="20% - Accent2 4 3 6 4 2" xfId="12821"/>
    <cellStyle name="20% - Accent2 4 3 6 5" xfId="12822"/>
    <cellStyle name="20% - Accent2 4 3 6 6" xfId="12823"/>
    <cellStyle name="20% - Accent2 4 3 7" xfId="12824"/>
    <cellStyle name="20% - Accent2 4 3 7 2" xfId="12825"/>
    <cellStyle name="20% - Accent2 4 3 7 2 2" xfId="12826"/>
    <cellStyle name="20% - Accent2 4 3 7 2 3" xfId="12827"/>
    <cellStyle name="20% - Accent2 4 3 7 3" xfId="12828"/>
    <cellStyle name="20% - Accent2 4 3 7 3 2" xfId="12829"/>
    <cellStyle name="20% - Accent2 4 3 7 3 3" xfId="12830"/>
    <cellStyle name="20% - Accent2 4 3 7 4" xfId="12831"/>
    <cellStyle name="20% - Accent2 4 3 7 4 2" xfId="12832"/>
    <cellStyle name="20% - Accent2 4 3 7 5" xfId="12833"/>
    <cellStyle name="20% - Accent2 4 3 7 6" xfId="12834"/>
    <cellStyle name="20% - Accent2 4 3 8" xfId="12835"/>
    <cellStyle name="20% - Accent2 4 3 8 2" xfId="12836"/>
    <cellStyle name="20% - Accent2 4 3 8 2 2" xfId="12837"/>
    <cellStyle name="20% - Accent2 4 3 8 2 3" xfId="12838"/>
    <cellStyle name="20% - Accent2 4 3 8 3" xfId="12839"/>
    <cellStyle name="20% - Accent2 4 3 8 3 2" xfId="12840"/>
    <cellStyle name="20% - Accent2 4 3 8 4" xfId="12841"/>
    <cellStyle name="20% - Accent2 4 3 8 5" xfId="12842"/>
    <cellStyle name="20% - Accent2 4 3 9" xfId="12843"/>
    <cellStyle name="20% - Accent2 4 3 9 2" xfId="12844"/>
    <cellStyle name="20% - Accent2 4 3 9 3" xfId="12845"/>
    <cellStyle name="20% - Accent2 4 4" xfId="391"/>
    <cellStyle name="20% - Accent2 4 4 10" xfId="12846"/>
    <cellStyle name="20% - Accent2 4 4 10 2" xfId="12847"/>
    <cellStyle name="20% - Accent2 4 4 11" xfId="12848"/>
    <cellStyle name="20% - Accent2 4 4 12" xfId="12849"/>
    <cellStyle name="20% - Accent2 4 4 2" xfId="392"/>
    <cellStyle name="20% - Accent2 4 4 2 10" xfId="12850"/>
    <cellStyle name="20% - Accent2 4 4 2 2" xfId="393"/>
    <cellStyle name="20% - Accent2 4 4 2 2 2" xfId="12851"/>
    <cellStyle name="20% - Accent2 4 4 2 2 2 2" xfId="12852"/>
    <cellStyle name="20% - Accent2 4 4 2 2 2 2 2" xfId="12853"/>
    <cellStyle name="20% - Accent2 4 4 2 2 2 2 3" xfId="12854"/>
    <cellStyle name="20% - Accent2 4 4 2 2 2 3" xfId="12855"/>
    <cellStyle name="20% - Accent2 4 4 2 2 2 3 2" xfId="12856"/>
    <cellStyle name="20% - Accent2 4 4 2 2 2 3 3" xfId="12857"/>
    <cellStyle name="20% - Accent2 4 4 2 2 2 4" xfId="12858"/>
    <cellStyle name="20% - Accent2 4 4 2 2 2 4 2" xfId="12859"/>
    <cellStyle name="20% - Accent2 4 4 2 2 2 5" xfId="12860"/>
    <cellStyle name="20% - Accent2 4 4 2 2 2 6" xfId="12861"/>
    <cellStyle name="20% - Accent2 4 4 2 2 3" xfId="12862"/>
    <cellStyle name="20% - Accent2 4 4 2 2 3 2" xfId="12863"/>
    <cellStyle name="20% - Accent2 4 4 2 2 3 2 2" xfId="12864"/>
    <cellStyle name="20% - Accent2 4 4 2 2 3 2 3" xfId="12865"/>
    <cellStyle name="20% - Accent2 4 4 2 2 3 3" xfId="12866"/>
    <cellStyle name="20% - Accent2 4 4 2 2 3 3 2" xfId="12867"/>
    <cellStyle name="20% - Accent2 4 4 2 2 3 3 3" xfId="12868"/>
    <cellStyle name="20% - Accent2 4 4 2 2 3 4" xfId="12869"/>
    <cellStyle name="20% - Accent2 4 4 2 2 3 4 2" xfId="12870"/>
    <cellStyle name="20% - Accent2 4 4 2 2 3 5" xfId="12871"/>
    <cellStyle name="20% - Accent2 4 4 2 2 3 6" xfId="12872"/>
    <cellStyle name="20% - Accent2 4 4 2 2 4" xfId="12873"/>
    <cellStyle name="20% - Accent2 4 4 2 2 4 2" xfId="12874"/>
    <cellStyle name="20% - Accent2 4 4 2 2 4 2 2" xfId="12875"/>
    <cellStyle name="20% - Accent2 4 4 2 2 4 2 3" xfId="12876"/>
    <cellStyle name="20% - Accent2 4 4 2 2 4 3" xfId="12877"/>
    <cellStyle name="20% - Accent2 4 4 2 2 4 3 2" xfId="12878"/>
    <cellStyle name="20% - Accent2 4 4 2 2 4 4" xfId="12879"/>
    <cellStyle name="20% - Accent2 4 4 2 2 4 5" xfId="12880"/>
    <cellStyle name="20% - Accent2 4 4 2 2 5" xfId="12881"/>
    <cellStyle name="20% - Accent2 4 4 2 2 5 2" xfId="12882"/>
    <cellStyle name="20% - Accent2 4 4 2 2 5 3" xfId="12883"/>
    <cellStyle name="20% - Accent2 4 4 2 2 6" xfId="12884"/>
    <cellStyle name="20% - Accent2 4 4 2 2 6 2" xfId="12885"/>
    <cellStyle name="20% - Accent2 4 4 2 2 6 3" xfId="12886"/>
    <cellStyle name="20% - Accent2 4 4 2 2 7" xfId="12887"/>
    <cellStyle name="20% - Accent2 4 4 2 2 7 2" xfId="12888"/>
    <cellStyle name="20% - Accent2 4 4 2 2 8" xfId="12889"/>
    <cellStyle name="20% - Accent2 4 4 2 2 9" xfId="12890"/>
    <cellStyle name="20% - Accent2 4 4 2 3" xfId="12891"/>
    <cellStyle name="20% - Accent2 4 4 2 3 2" xfId="12892"/>
    <cellStyle name="20% - Accent2 4 4 2 3 2 2" xfId="12893"/>
    <cellStyle name="20% - Accent2 4 4 2 3 2 3" xfId="12894"/>
    <cellStyle name="20% - Accent2 4 4 2 3 3" xfId="12895"/>
    <cellStyle name="20% - Accent2 4 4 2 3 3 2" xfId="12896"/>
    <cellStyle name="20% - Accent2 4 4 2 3 3 3" xfId="12897"/>
    <cellStyle name="20% - Accent2 4 4 2 3 4" xfId="12898"/>
    <cellStyle name="20% - Accent2 4 4 2 3 4 2" xfId="12899"/>
    <cellStyle name="20% - Accent2 4 4 2 3 5" xfId="12900"/>
    <cellStyle name="20% - Accent2 4 4 2 3 6" xfId="12901"/>
    <cellStyle name="20% - Accent2 4 4 2 4" xfId="12902"/>
    <cellStyle name="20% - Accent2 4 4 2 4 2" xfId="12903"/>
    <cellStyle name="20% - Accent2 4 4 2 4 2 2" xfId="12904"/>
    <cellStyle name="20% - Accent2 4 4 2 4 2 3" xfId="12905"/>
    <cellStyle name="20% - Accent2 4 4 2 4 3" xfId="12906"/>
    <cellStyle name="20% - Accent2 4 4 2 4 3 2" xfId="12907"/>
    <cellStyle name="20% - Accent2 4 4 2 4 3 3" xfId="12908"/>
    <cellStyle name="20% - Accent2 4 4 2 4 4" xfId="12909"/>
    <cellStyle name="20% - Accent2 4 4 2 4 4 2" xfId="12910"/>
    <cellStyle name="20% - Accent2 4 4 2 4 5" xfId="12911"/>
    <cellStyle name="20% - Accent2 4 4 2 4 6" xfId="12912"/>
    <cellStyle name="20% - Accent2 4 4 2 5" xfId="12913"/>
    <cellStyle name="20% - Accent2 4 4 2 5 2" xfId="12914"/>
    <cellStyle name="20% - Accent2 4 4 2 5 2 2" xfId="12915"/>
    <cellStyle name="20% - Accent2 4 4 2 5 2 3" xfId="12916"/>
    <cellStyle name="20% - Accent2 4 4 2 5 3" xfId="12917"/>
    <cellStyle name="20% - Accent2 4 4 2 5 3 2" xfId="12918"/>
    <cellStyle name="20% - Accent2 4 4 2 5 4" xfId="12919"/>
    <cellStyle name="20% - Accent2 4 4 2 5 5" xfId="12920"/>
    <cellStyle name="20% - Accent2 4 4 2 6" xfId="12921"/>
    <cellStyle name="20% - Accent2 4 4 2 6 2" xfId="12922"/>
    <cellStyle name="20% - Accent2 4 4 2 6 3" xfId="12923"/>
    <cellStyle name="20% - Accent2 4 4 2 7" xfId="12924"/>
    <cellStyle name="20% - Accent2 4 4 2 7 2" xfId="12925"/>
    <cellStyle name="20% - Accent2 4 4 2 7 3" xfId="12926"/>
    <cellStyle name="20% - Accent2 4 4 2 8" xfId="12927"/>
    <cellStyle name="20% - Accent2 4 4 2 8 2" xfId="12928"/>
    <cellStyle name="20% - Accent2 4 4 2 9" xfId="12929"/>
    <cellStyle name="20% - Accent2 4 4 3" xfId="394"/>
    <cellStyle name="20% - Accent2 4 4 3 2" xfId="12930"/>
    <cellStyle name="20% - Accent2 4 4 3 2 2" xfId="12931"/>
    <cellStyle name="20% - Accent2 4 4 3 2 2 2" xfId="12932"/>
    <cellStyle name="20% - Accent2 4 4 3 2 2 3" xfId="12933"/>
    <cellStyle name="20% - Accent2 4 4 3 2 3" xfId="12934"/>
    <cellStyle name="20% - Accent2 4 4 3 2 3 2" xfId="12935"/>
    <cellStyle name="20% - Accent2 4 4 3 2 3 3" xfId="12936"/>
    <cellStyle name="20% - Accent2 4 4 3 2 4" xfId="12937"/>
    <cellStyle name="20% - Accent2 4 4 3 2 4 2" xfId="12938"/>
    <cellStyle name="20% - Accent2 4 4 3 2 5" xfId="12939"/>
    <cellStyle name="20% - Accent2 4 4 3 2 6" xfId="12940"/>
    <cellStyle name="20% - Accent2 4 4 3 3" xfId="12941"/>
    <cellStyle name="20% - Accent2 4 4 3 3 2" xfId="12942"/>
    <cellStyle name="20% - Accent2 4 4 3 3 2 2" xfId="12943"/>
    <cellStyle name="20% - Accent2 4 4 3 3 2 3" xfId="12944"/>
    <cellStyle name="20% - Accent2 4 4 3 3 3" xfId="12945"/>
    <cellStyle name="20% - Accent2 4 4 3 3 3 2" xfId="12946"/>
    <cellStyle name="20% - Accent2 4 4 3 3 3 3" xfId="12947"/>
    <cellStyle name="20% - Accent2 4 4 3 3 4" xfId="12948"/>
    <cellStyle name="20% - Accent2 4 4 3 3 4 2" xfId="12949"/>
    <cellStyle name="20% - Accent2 4 4 3 3 5" xfId="12950"/>
    <cellStyle name="20% - Accent2 4 4 3 3 6" xfId="12951"/>
    <cellStyle name="20% - Accent2 4 4 3 4" xfId="12952"/>
    <cellStyle name="20% - Accent2 4 4 3 4 2" xfId="12953"/>
    <cellStyle name="20% - Accent2 4 4 3 4 2 2" xfId="12954"/>
    <cellStyle name="20% - Accent2 4 4 3 4 2 3" xfId="12955"/>
    <cellStyle name="20% - Accent2 4 4 3 4 3" xfId="12956"/>
    <cellStyle name="20% - Accent2 4 4 3 4 3 2" xfId="12957"/>
    <cellStyle name="20% - Accent2 4 4 3 4 4" xfId="12958"/>
    <cellStyle name="20% - Accent2 4 4 3 4 5" xfId="12959"/>
    <cellStyle name="20% - Accent2 4 4 3 5" xfId="12960"/>
    <cellStyle name="20% - Accent2 4 4 3 5 2" xfId="12961"/>
    <cellStyle name="20% - Accent2 4 4 3 5 3" xfId="12962"/>
    <cellStyle name="20% - Accent2 4 4 3 6" xfId="12963"/>
    <cellStyle name="20% - Accent2 4 4 3 6 2" xfId="12964"/>
    <cellStyle name="20% - Accent2 4 4 3 6 3" xfId="12965"/>
    <cellStyle name="20% - Accent2 4 4 3 7" xfId="12966"/>
    <cellStyle name="20% - Accent2 4 4 3 7 2" xfId="12967"/>
    <cellStyle name="20% - Accent2 4 4 3 8" xfId="12968"/>
    <cellStyle name="20% - Accent2 4 4 3 9" xfId="12969"/>
    <cellStyle name="20% - Accent2 4 4 4" xfId="12970"/>
    <cellStyle name="20% - Accent2 4 4 4 2" xfId="12971"/>
    <cellStyle name="20% - Accent2 4 4 4 2 2" xfId="12972"/>
    <cellStyle name="20% - Accent2 4 4 4 2 2 2" xfId="12973"/>
    <cellStyle name="20% - Accent2 4 4 4 2 2 3" xfId="12974"/>
    <cellStyle name="20% - Accent2 4 4 4 2 3" xfId="12975"/>
    <cellStyle name="20% - Accent2 4 4 4 2 3 2" xfId="12976"/>
    <cellStyle name="20% - Accent2 4 4 4 2 3 3" xfId="12977"/>
    <cellStyle name="20% - Accent2 4 4 4 2 4" xfId="12978"/>
    <cellStyle name="20% - Accent2 4 4 4 2 4 2" xfId="12979"/>
    <cellStyle name="20% - Accent2 4 4 4 2 5" xfId="12980"/>
    <cellStyle name="20% - Accent2 4 4 4 2 6" xfId="12981"/>
    <cellStyle name="20% - Accent2 4 4 4 3" xfId="12982"/>
    <cellStyle name="20% - Accent2 4 4 4 3 2" xfId="12983"/>
    <cellStyle name="20% - Accent2 4 4 4 3 2 2" xfId="12984"/>
    <cellStyle name="20% - Accent2 4 4 4 3 2 3" xfId="12985"/>
    <cellStyle name="20% - Accent2 4 4 4 3 3" xfId="12986"/>
    <cellStyle name="20% - Accent2 4 4 4 3 3 2" xfId="12987"/>
    <cellStyle name="20% - Accent2 4 4 4 3 3 3" xfId="12988"/>
    <cellStyle name="20% - Accent2 4 4 4 3 4" xfId="12989"/>
    <cellStyle name="20% - Accent2 4 4 4 3 4 2" xfId="12990"/>
    <cellStyle name="20% - Accent2 4 4 4 3 5" xfId="12991"/>
    <cellStyle name="20% - Accent2 4 4 4 3 6" xfId="12992"/>
    <cellStyle name="20% - Accent2 4 4 4 4" xfId="12993"/>
    <cellStyle name="20% - Accent2 4 4 4 4 2" xfId="12994"/>
    <cellStyle name="20% - Accent2 4 4 4 4 2 2" xfId="12995"/>
    <cellStyle name="20% - Accent2 4 4 4 4 2 3" xfId="12996"/>
    <cellStyle name="20% - Accent2 4 4 4 4 3" xfId="12997"/>
    <cellStyle name="20% - Accent2 4 4 4 4 3 2" xfId="12998"/>
    <cellStyle name="20% - Accent2 4 4 4 4 4" xfId="12999"/>
    <cellStyle name="20% - Accent2 4 4 4 4 5" xfId="13000"/>
    <cellStyle name="20% - Accent2 4 4 4 5" xfId="13001"/>
    <cellStyle name="20% - Accent2 4 4 4 5 2" xfId="13002"/>
    <cellStyle name="20% - Accent2 4 4 4 5 3" xfId="13003"/>
    <cellStyle name="20% - Accent2 4 4 4 6" xfId="13004"/>
    <cellStyle name="20% - Accent2 4 4 4 6 2" xfId="13005"/>
    <cellStyle name="20% - Accent2 4 4 4 6 3" xfId="13006"/>
    <cellStyle name="20% - Accent2 4 4 4 7" xfId="13007"/>
    <cellStyle name="20% - Accent2 4 4 4 7 2" xfId="13008"/>
    <cellStyle name="20% - Accent2 4 4 4 8" xfId="13009"/>
    <cellStyle name="20% - Accent2 4 4 4 9" xfId="13010"/>
    <cellStyle name="20% - Accent2 4 4 5" xfId="13011"/>
    <cellStyle name="20% - Accent2 4 4 5 2" xfId="13012"/>
    <cellStyle name="20% - Accent2 4 4 5 2 2" xfId="13013"/>
    <cellStyle name="20% - Accent2 4 4 5 2 3" xfId="13014"/>
    <cellStyle name="20% - Accent2 4 4 5 3" xfId="13015"/>
    <cellStyle name="20% - Accent2 4 4 5 3 2" xfId="13016"/>
    <cellStyle name="20% - Accent2 4 4 5 3 3" xfId="13017"/>
    <cellStyle name="20% - Accent2 4 4 5 4" xfId="13018"/>
    <cellStyle name="20% - Accent2 4 4 5 4 2" xfId="13019"/>
    <cellStyle name="20% - Accent2 4 4 5 5" xfId="13020"/>
    <cellStyle name="20% - Accent2 4 4 5 6" xfId="13021"/>
    <cellStyle name="20% - Accent2 4 4 6" xfId="13022"/>
    <cellStyle name="20% - Accent2 4 4 6 2" xfId="13023"/>
    <cellStyle name="20% - Accent2 4 4 6 2 2" xfId="13024"/>
    <cellStyle name="20% - Accent2 4 4 6 2 3" xfId="13025"/>
    <cellStyle name="20% - Accent2 4 4 6 3" xfId="13026"/>
    <cellStyle name="20% - Accent2 4 4 6 3 2" xfId="13027"/>
    <cellStyle name="20% - Accent2 4 4 6 3 3" xfId="13028"/>
    <cellStyle name="20% - Accent2 4 4 6 4" xfId="13029"/>
    <cellStyle name="20% - Accent2 4 4 6 4 2" xfId="13030"/>
    <cellStyle name="20% - Accent2 4 4 6 5" xfId="13031"/>
    <cellStyle name="20% - Accent2 4 4 6 6" xfId="13032"/>
    <cellStyle name="20% - Accent2 4 4 7" xfId="13033"/>
    <cellStyle name="20% - Accent2 4 4 7 2" xfId="13034"/>
    <cellStyle name="20% - Accent2 4 4 7 2 2" xfId="13035"/>
    <cellStyle name="20% - Accent2 4 4 7 2 3" xfId="13036"/>
    <cellStyle name="20% - Accent2 4 4 7 3" xfId="13037"/>
    <cellStyle name="20% - Accent2 4 4 7 3 2" xfId="13038"/>
    <cellStyle name="20% - Accent2 4 4 7 4" xfId="13039"/>
    <cellStyle name="20% - Accent2 4 4 7 5" xfId="13040"/>
    <cellStyle name="20% - Accent2 4 4 8" xfId="13041"/>
    <cellStyle name="20% - Accent2 4 4 8 2" xfId="13042"/>
    <cellStyle name="20% - Accent2 4 4 8 3" xfId="13043"/>
    <cellStyle name="20% - Accent2 4 4 9" xfId="13044"/>
    <cellStyle name="20% - Accent2 4 4 9 2" xfId="13045"/>
    <cellStyle name="20% - Accent2 4 4 9 3" xfId="13046"/>
    <cellStyle name="20% - Accent2 4 5" xfId="395"/>
    <cellStyle name="20% - Accent2 4 5 10" xfId="13047"/>
    <cellStyle name="20% - Accent2 4 5 2" xfId="396"/>
    <cellStyle name="20% - Accent2 4 5 2 2" xfId="13048"/>
    <cellStyle name="20% - Accent2 4 5 2 2 2" xfId="13049"/>
    <cellStyle name="20% - Accent2 4 5 2 2 2 2" xfId="13050"/>
    <cellStyle name="20% - Accent2 4 5 2 2 2 3" xfId="13051"/>
    <cellStyle name="20% - Accent2 4 5 2 2 3" xfId="13052"/>
    <cellStyle name="20% - Accent2 4 5 2 2 3 2" xfId="13053"/>
    <cellStyle name="20% - Accent2 4 5 2 2 3 3" xfId="13054"/>
    <cellStyle name="20% - Accent2 4 5 2 2 4" xfId="13055"/>
    <cellStyle name="20% - Accent2 4 5 2 2 4 2" xfId="13056"/>
    <cellStyle name="20% - Accent2 4 5 2 2 5" xfId="13057"/>
    <cellStyle name="20% - Accent2 4 5 2 2 6" xfId="13058"/>
    <cellStyle name="20% - Accent2 4 5 2 3" xfId="13059"/>
    <cellStyle name="20% - Accent2 4 5 2 3 2" xfId="13060"/>
    <cellStyle name="20% - Accent2 4 5 2 3 2 2" xfId="13061"/>
    <cellStyle name="20% - Accent2 4 5 2 3 2 3" xfId="13062"/>
    <cellStyle name="20% - Accent2 4 5 2 3 3" xfId="13063"/>
    <cellStyle name="20% - Accent2 4 5 2 3 3 2" xfId="13064"/>
    <cellStyle name="20% - Accent2 4 5 2 3 3 3" xfId="13065"/>
    <cellStyle name="20% - Accent2 4 5 2 3 4" xfId="13066"/>
    <cellStyle name="20% - Accent2 4 5 2 3 4 2" xfId="13067"/>
    <cellStyle name="20% - Accent2 4 5 2 3 5" xfId="13068"/>
    <cellStyle name="20% - Accent2 4 5 2 3 6" xfId="13069"/>
    <cellStyle name="20% - Accent2 4 5 2 4" xfId="13070"/>
    <cellStyle name="20% - Accent2 4 5 2 4 2" xfId="13071"/>
    <cellStyle name="20% - Accent2 4 5 2 4 2 2" xfId="13072"/>
    <cellStyle name="20% - Accent2 4 5 2 4 2 3" xfId="13073"/>
    <cellStyle name="20% - Accent2 4 5 2 4 3" xfId="13074"/>
    <cellStyle name="20% - Accent2 4 5 2 4 3 2" xfId="13075"/>
    <cellStyle name="20% - Accent2 4 5 2 4 4" xfId="13076"/>
    <cellStyle name="20% - Accent2 4 5 2 4 5" xfId="13077"/>
    <cellStyle name="20% - Accent2 4 5 2 5" xfId="13078"/>
    <cellStyle name="20% - Accent2 4 5 2 5 2" xfId="13079"/>
    <cellStyle name="20% - Accent2 4 5 2 5 3" xfId="13080"/>
    <cellStyle name="20% - Accent2 4 5 2 6" xfId="13081"/>
    <cellStyle name="20% - Accent2 4 5 2 6 2" xfId="13082"/>
    <cellStyle name="20% - Accent2 4 5 2 6 3" xfId="13083"/>
    <cellStyle name="20% - Accent2 4 5 2 7" xfId="13084"/>
    <cellStyle name="20% - Accent2 4 5 2 7 2" xfId="13085"/>
    <cellStyle name="20% - Accent2 4 5 2 8" xfId="13086"/>
    <cellStyle name="20% - Accent2 4 5 2 9" xfId="13087"/>
    <cellStyle name="20% - Accent2 4 5 3" xfId="13088"/>
    <cellStyle name="20% - Accent2 4 5 3 2" xfId="13089"/>
    <cellStyle name="20% - Accent2 4 5 3 2 2" xfId="13090"/>
    <cellStyle name="20% - Accent2 4 5 3 2 3" xfId="13091"/>
    <cellStyle name="20% - Accent2 4 5 3 3" xfId="13092"/>
    <cellStyle name="20% - Accent2 4 5 3 3 2" xfId="13093"/>
    <cellStyle name="20% - Accent2 4 5 3 3 3" xfId="13094"/>
    <cellStyle name="20% - Accent2 4 5 3 4" xfId="13095"/>
    <cellStyle name="20% - Accent2 4 5 3 4 2" xfId="13096"/>
    <cellStyle name="20% - Accent2 4 5 3 5" xfId="13097"/>
    <cellStyle name="20% - Accent2 4 5 3 6" xfId="13098"/>
    <cellStyle name="20% - Accent2 4 5 4" xfId="13099"/>
    <cellStyle name="20% - Accent2 4 5 4 2" xfId="13100"/>
    <cellStyle name="20% - Accent2 4 5 4 2 2" xfId="13101"/>
    <cellStyle name="20% - Accent2 4 5 4 2 3" xfId="13102"/>
    <cellStyle name="20% - Accent2 4 5 4 3" xfId="13103"/>
    <cellStyle name="20% - Accent2 4 5 4 3 2" xfId="13104"/>
    <cellStyle name="20% - Accent2 4 5 4 3 3" xfId="13105"/>
    <cellStyle name="20% - Accent2 4 5 4 4" xfId="13106"/>
    <cellStyle name="20% - Accent2 4 5 4 4 2" xfId="13107"/>
    <cellStyle name="20% - Accent2 4 5 4 5" xfId="13108"/>
    <cellStyle name="20% - Accent2 4 5 4 6" xfId="13109"/>
    <cellStyle name="20% - Accent2 4 5 5" xfId="13110"/>
    <cellStyle name="20% - Accent2 4 5 5 2" xfId="13111"/>
    <cellStyle name="20% - Accent2 4 5 5 2 2" xfId="13112"/>
    <cellStyle name="20% - Accent2 4 5 5 2 3" xfId="13113"/>
    <cellStyle name="20% - Accent2 4 5 5 3" xfId="13114"/>
    <cellStyle name="20% - Accent2 4 5 5 3 2" xfId="13115"/>
    <cellStyle name="20% - Accent2 4 5 5 4" xfId="13116"/>
    <cellStyle name="20% - Accent2 4 5 5 5" xfId="13117"/>
    <cellStyle name="20% - Accent2 4 5 6" xfId="13118"/>
    <cellStyle name="20% - Accent2 4 5 6 2" xfId="13119"/>
    <cellStyle name="20% - Accent2 4 5 6 3" xfId="13120"/>
    <cellStyle name="20% - Accent2 4 5 7" xfId="13121"/>
    <cellStyle name="20% - Accent2 4 5 7 2" xfId="13122"/>
    <cellStyle name="20% - Accent2 4 5 7 3" xfId="13123"/>
    <cellStyle name="20% - Accent2 4 5 8" xfId="13124"/>
    <cellStyle name="20% - Accent2 4 5 8 2" xfId="13125"/>
    <cellStyle name="20% - Accent2 4 5 9" xfId="13126"/>
    <cellStyle name="20% - Accent2 4 6" xfId="397"/>
    <cellStyle name="20% - Accent2 4 6 2" xfId="13127"/>
    <cellStyle name="20% - Accent2 4 6 2 2" xfId="13128"/>
    <cellStyle name="20% - Accent2 4 6 2 2 2" xfId="13129"/>
    <cellStyle name="20% - Accent2 4 6 2 2 3" xfId="13130"/>
    <cellStyle name="20% - Accent2 4 6 2 3" xfId="13131"/>
    <cellStyle name="20% - Accent2 4 6 2 3 2" xfId="13132"/>
    <cellStyle name="20% - Accent2 4 6 2 3 3" xfId="13133"/>
    <cellStyle name="20% - Accent2 4 6 2 4" xfId="13134"/>
    <cellStyle name="20% - Accent2 4 6 2 4 2" xfId="13135"/>
    <cellStyle name="20% - Accent2 4 6 2 5" xfId="13136"/>
    <cellStyle name="20% - Accent2 4 6 2 6" xfId="13137"/>
    <cellStyle name="20% - Accent2 4 6 3" xfId="13138"/>
    <cellStyle name="20% - Accent2 4 6 3 2" xfId="13139"/>
    <cellStyle name="20% - Accent2 4 6 3 2 2" xfId="13140"/>
    <cellStyle name="20% - Accent2 4 6 3 2 3" xfId="13141"/>
    <cellStyle name="20% - Accent2 4 6 3 3" xfId="13142"/>
    <cellStyle name="20% - Accent2 4 6 3 3 2" xfId="13143"/>
    <cellStyle name="20% - Accent2 4 6 3 3 3" xfId="13144"/>
    <cellStyle name="20% - Accent2 4 6 3 4" xfId="13145"/>
    <cellStyle name="20% - Accent2 4 6 3 4 2" xfId="13146"/>
    <cellStyle name="20% - Accent2 4 6 3 5" xfId="13147"/>
    <cellStyle name="20% - Accent2 4 6 3 6" xfId="13148"/>
    <cellStyle name="20% - Accent2 4 6 4" xfId="13149"/>
    <cellStyle name="20% - Accent2 4 6 4 2" xfId="13150"/>
    <cellStyle name="20% - Accent2 4 6 4 2 2" xfId="13151"/>
    <cellStyle name="20% - Accent2 4 6 4 2 3" xfId="13152"/>
    <cellStyle name="20% - Accent2 4 6 4 3" xfId="13153"/>
    <cellStyle name="20% - Accent2 4 6 4 3 2" xfId="13154"/>
    <cellStyle name="20% - Accent2 4 6 4 4" xfId="13155"/>
    <cellStyle name="20% - Accent2 4 6 4 5" xfId="13156"/>
    <cellStyle name="20% - Accent2 4 6 5" xfId="13157"/>
    <cellStyle name="20% - Accent2 4 6 5 2" xfId="13158"/>
    <cellStyle name="20% - Accent2 4 6 5 3" xfId="13159"/>
    <cellStyle name="20% - Accent2 4 6 6" xfId="13160"/>
    <cellStyle name="20% - Accent2 4 6 6 2" xfId="13161"/>
    <cellStyle name="20% - Accent2 4 6 6 3" xfId="13162"/>
    <cellStyle name="20% - Accent2 4 6 7" xfId="13163"/>
    <cellStyle name="20% - Accent2 4 6 7 2" xfId="13164"/>
    <cellStyle name="20% - Accent2 4 6 8" xfId="13165"/>
    <cellStyle name="20% - Accent2 4 6 9" xfId="13166"/>
    <cellStyle name="20% - Accent2 4 7" xfId="8803"/>
    <cellStyle name="20% - Accent2 4 7 2" xfId="13167"/>
    <cellStyle name="20% - Accent2 4 7 2 2" xfId="13168"/>
    <cellStyle name="20% - Accent2 4 7 2 2 2" xfId="13169"/>
    <cellStyle name="20% - Accent2 4 7 2 2 3" xfId="13170"/>
    <cellStyle name="20% - Accent2 4 7 2 3" xfId="13171"/>
    <cellStyle name="20% - Accent2 4 7 2 3 2" xfId="13172"/>
    <cellStyle name="20% - Accent2 4 7 2 3 3" xfId="13173"/>
    <cellStyle name="20% - Accent2 4 7 2 4" xfId="13174"/>
    <cellStyle name="20% - Accent2 4 7 2 4 2" xfId="13175"/>
    <cellStyle name="20% - Accent2 4 7 2 5" xfId="13176"/>
    <cellStyle name="20% - Accent2 4 7 2 6" xfId="13177"/>
    <cellStyle name="20% - Accent2 4 7 3" xfId="13178"/>
    <cellStyle name="20% - Accent2 4 7 3 2" xfId="13179"/>
    <cellStyle name="20% - Accent2 4 7 3 2 2" xfId="13180"/>
    <cellStyle name="20% - Accent2 4 7 3 2 3" xfId="13181"/>
    <cellStyle name="20% - Accent2 4 7 3 3" xfId="13182"/>
    <cellStyle name="20% - Accent2 4 7 3 3 2" xfId="13183"/>
    <cellStyle name="20% - Accent2 4 7 3 3 3" xfId="13184"/>
    <cellStyle name="20% - Accent2 4 7 3 4" xfId="13185"/>
    <cellStyle name="20% - Accent2 4 7 3 4 2" xfId="13186"/>
    <cellStyle name="20% - Accent2 4 7 3 5" xfId="13187"/>
    <cellStyle name="20% - Accent2 4 7 3 6" xfId="13188"/>
    <cellStyle name="20% - Accent2 4 7 4" xfId="13189"/>
    <cellStyle name="20% - Accent2 4 7 4 2" xfId="13190"/>
    <cellStyle name="20% - Accent2 4 7 4 2 2" xfId="13191"/>
    <cellStyle name="20% - Accent2 4 7 4 2 3" xfId="13192"/>
    <cellStyle name="20% - Accent2 4 7 4 3" xfId="13193"/>
    <cellStyle name="20% - Accent2 4 7 4 3 2" xfId="13194"/>
    <cellStyle name="20% - Accent2 4 7 4 4" xfId="13195"/>
    <cellStyle name="20% - Accent2 4 7 4 5" xfId="13196"/>
    <cellStyle name="20% - Accent2 4 7 5" xfId="13197"/>
    <cellStyle name="20% - Accent2 4 7 5 2" xfId="13198"/>
    <cellStyle name="20% - Accent2 4 7 5 3" xfId="13199"/>
    <cellStyle name="20% - Accent2 4 7 6" xfId="13200"/>
    <cellStyle name="20% - Accent2 4 7 6 2" xfId="13201"/>
    <cellStyle name="20% - Accent2 4 7 6 3" xfId="13202"/>
    <cellStyle name="20% - Accent2 4 7 7" xfId="13203"/>
    <cellStyle name="20% - Accent2 4 7 7 2" xfId="13204"/>
    <cellStyle name="20% - Accent2 4 7 8" xfId="13205"/>
    <cellStyle name="20% - Accent2 4 7 9" xfId="13206"/>
    <cellStyle name="20% - Accent2 4 8" xfId="13207"/>
    <cellStyle name="20% - Accent2 4 8 2" xfId="13208"/>
    <cellStyle name="20% - Accent2 4 8 2 2" xfId="13209"/>
    <cellStyle name="20% - Accent2 4 8 2 3" xfId="13210"/>
    <cellStyle name="20% - Accent2 4 8 3" xfId="13211"/>
    <cellStyle name="20% - Accent2 4 8 3 2" xfId="13212"/>
    <cellStyle name="20% - Accent2 4 8 3 3" xfId="13213"/>
    <cellStyle name="20% - Accent2 4 8 4" xfId="13214"/>
    <cellStyle name="20% - Accent2 4 8 4 2" xfId="13215"/>
    <cellStyle name="20% - Accent2 4 8 5" xfId="13216"/>
    <cellStyle name="20% - Accent2 4 8 6" xfId="13217"/>
    <cellStyle name="20% - Accent2 4 9" xfId="13218"/>
    <cellStyle name="20% - Accent2 4 9 2" xfId="13219"/>
    <cellStyle name="20% - Accent2 4 9 2 2" xfId="13220"/>
    <cellStyle name="20% - Accent2 4 9 2 3" xfId="13221"/>
    <cellStyle name="20% - Accent2 4 9 3" xfId="13222"/>
    <cellStyle name="20% - Accent2 4 9 3 2" xfId="13223"/>
    <cellStyle name="20% - Accent2 4 9 3 3" xfId="13224"/>
    <cellStyle name="20% - Accent2 4 9 4" xfId="13225"/>
    <cellStyle name="20% - Accent2 4 9 4 2" xfId="13226"/>
    <cellStyle name="20% - Accent2 4 9 5" xfId="13227"/>
    <cellStyle name="20% - Accent2 4 9 6" xfId="13228"/>
    <cellStyle name="20% - Accent2 5" xfId="398"/>
    <cellStyle name="20% - Accent2 5 2" xfId="399"/>
    <cellStyle name="20% - Accent2 5 2 2" xfId="400"/>
    <cellStyle name="20% - Accent2 5 2 2 2" xfId="401"/>
    <cellStyle name="20% - Accent2 5 2 2 2 2" xfId="402"/>
    <cellStyle name="20% - Accent2 5 2 2 3" xfId="403"/>
    <cellStyle name="20% - Accent2 5 2 3" xfId="404"/>
    <cellStyle name="20% - Accent2 5 2 3 2" xfId="405"/>
    <cellStyle name="20% - Accent2 5 2 4" xfId="406"/>
    <cellStyle name="20% - Accent2 5 2 5" xfId="57861"/>
    <cellStyle name="20% - Accent2 5 3" xfId="407"/>
    <cellStyle name="20% - Accent2 5 3 2" xfId="408"/>
    <cellStyle name="20% - Accent2 5 3 2 2" xfId="409"/>
    <cellStyle name="20% - Accent2 5 3 3" xfId="410"/>
    <cellStyle name="20% - Accent2 5 4" xfId="411"/>
    <cellStyle name="20% - Accent2 5 4 2" xfId="412"/>
    <cellStyle name="20% - Accent2 5 5" xfId="413"/>
    <cellStyle name="20% - Accent2 5 6" xfId="8804"/>
    <cellStyle name="20% - Accent2 6" xfId="414"/>
    <cellStyle name="20% - Accent2 6 2" xfId="415"/>
    <cellStyle name="20% - Accent2 6 2 2" xfId="416"/>
    <cellStyle name="20% - Accent2 6 2 2 2" xfId="417"/>
    <cellStyle name="20% - Accent2 6 2 3" xfId="418"/>
    <cellStyle name="20% - Accent2 6 2 4" xfId="57862"/>
    <cellStyle name="20% - Accent2 6 2 5" xfId="57863"/>
    <cellStyle name="20% - Accent2 6 3" xfId="419"/>
    <cellStyle name="20% - Accent2 6 3 2" xfId="420"/>
    <cellStyle name="20% - Accent2 6 4" xfId="421"/>
    <cellStyle name="20% - Accent2 6 5" xfId="57864"/>
    <cellStyle name="20% - Accent2 7" xfId="422"/>
    <cellStyle name="20% - Accent2 7 2" xfId="423"/>
    <cellStyle name="20% - Accent2 7 2 2" xfId="424"/>
    <cellStyle name="20% - Accent2 7 2 2 2" xfId="425"/>
    <cellStyle name="20% - Accent2 7 2 3" xfId="426"/>
    <cellStyle name="20% - Accent2 7 3" xfId="427"/>
    <cellStyle name="20% - Accent2 7 3 2" xfId="428"/>
    <cellStyle name="20% - Accent2 7 4" xfId="429"/>
    <cellStyle name="20% - Accent2 7 5" xfId="57865"/>
    <cellStyle name="20% - Accent2 8" xfId="430"/>
    <cellStyle name="20% - Accent2 8 2" xfId="431"/>
    <cellStyle name="20% - Accent2 8 2 2" xfId="432"/>
    <cellStyle name="20% - Accent2 8 2 2 2" xfId="433"/>
    <cellStyle name="20% - Accent2 8 2 3" xfId="434"/>
    <cellStyle name="20% - Accent2 8 3" xfId="435"/>
    <cellStyle name="20% - Accent2 8 3 2" xfId="436"/>
    <cellStyle name="20% - Accent2 8 4" xfId="437"/>
    <cellStyle name="20% - Accent2 8 5" xfId="57866"/>
    <cellStyle name="20% - Accent2 9" xfId="438"/>
    <cellStyle name="20% - Accent2 9 2" xfId="439"/>
    <cellStyle name="20% - Accent2 9 2 2" xfId="440"/>
    <cellStyle name="20% - Accent2 9 3" xfId="441"/>
    <cellStyle name="20% - Accent2 9 4" xfId="57867"/>
    <cellStyle name="20% - Accent3 10" xfId="442"/>
    <cellStyle name="20% - Accent3 10 2" xfId="443"/>
    <cellStyle name="20% - Accent3 10 2 2" xfId="444"/>
    <cellStyle name="20% - Accent3 10 3" xfId="445"/>
    <cellStyle name="20% - Accent3 10 4" xfId="57868"/>
    <cellStyle name="20% - Accent3 11" xfId="446"/>
    <cellStyle name="20% - Accent3 11 2" xfId="447"/>
    <cellStyle name="20% - Accent3 11 2 2" xfId="448"/>
    <cellStyle name="20% - Accent3 11 3" xfId="449"/>
    <cellStyle name="20% - Accent3 11 4" xfId="57869"/>
    <cellStyle name="20% - Accent3 12" xfId="450"/>
    <cellStyle name="20% - Accent3 12 2" xfId="451"/>
    <cellStyle name="20% - Accent3 12 3" xfId="57870"/>
    <cellStyle name="20% - Accent3 13" xfId="452"/>
    <cellStyle name="20% - Accent3 13 2" xfId="57871"/>
    <cellStyle name="20% - Accent3 14" xfId="8805"/>
    <cellStyle name="20% - Accent3 15" xfId="9385"/>
    <cellStyle name="20% - Accent3 16" xfId="9386"/>
    <cellStyle name="20% - Accent3 17" xfId="9387"/>
    <cellStyle name="20% - Accent3 17 2" xfId="57872"/>
    <cellStyle name="20% - Accent3 18" xfId="57873"/>
    <cellStyle name="20% - Accent3 19" xfId="57874"/>
    <cellStyle name="20% - Accent3 2" xfId="453"/>
    <cellStyle name="20% - Accent3 2 2" xfId="454"/>
    <cellStyle name="20% - Accent3 2 2 2" xfId="455"/>
    <cellStyle name="20% - Accent3 2 2 2 2" xfId="456"/>
    <cellStyle name="20% - Accent3 2 2 2 2 2" xfId="457"/>
    <cellStyle name="20% - Accent3 2 2 2 2 2 2" xfId="458"/>
    <cellStyle name="20% - Accent3 2 2 2 2 2 2 2" xfId="459"/>
    <cellStyle name="20% - Accent3 2 2 2 2 2 3" xfId="460"/>
    <cellStyle name="20% - Accent3 2 2 2 2 3" xfId="461"/>
    <cellStyle name="20% - Accent3 2 2 2 2 3 2" xfId="462"/>
    <cellStyle name="20% - Accent3 2 2 2 2 4" xfId="463"/>
    <cellStyle name="20% - Accent3 2 2 2 2 5" xfId="57875"/>
    <cellStyle name="20% - Accent3 2 2 2 3" xfId="464"/>
    <cellStyle name="20% - Accent3 2 2 2 3 2" xfId="465"/>
    <cellStyle name="20% - Accent3 2 2 2 3 2 2" xfId="466"/>
    <cellStyle name="20% - Accent3 2 2 2 3 3" xfId="467"/>
    <cellStyle name="20% - Accent3 2 2 2 4" xfId="468"/>
    <cellStyle name="20% - Accent3 2 2 2 4 2" xfId="469"/>
    <cellStyle name="20% - Accent3 2 2 2 5" xfId="470"/>
    <cellStyle name="20% - Accent3 2 2 2 6" xfId="57876"/>
    <cellStyle name="20% - Accent3 2 2 3" xfId="471"/>
    <cellStyle name="20% - Accent3 2 2 3 2" xfId="472"/>
    <cellStyle name="20% - Accent3 2 2 3 2 2" xfId="473"/>
    <cellStyle name="20% - Accent3 2 2 3 2 2 2" xfId="474"/>
    <cellStyle name="20% - Accent3 2 2 3 2 3" xfId="475"/>
    <cellStyle name="20% - Accent3 2 2 3 3" xfId="476"/>
    <cellStyle name="20% - Accent3 2 2 3 3 2" xfId="477"/>
    <cellStyle name="20% - Accent3 2 2 3 4" xfId="478"/>
    <cellStyle name="20% - Accent3 2 2 3 5" xfId="57877"/>
    <cellStyle name="20% - Accent3 2 2 4" xfId="479"/>
    <cellStyle name="20% - Accent3 2 2 4 2" xfId="480"/>
    <cellStyle name="20% - Accent3 2 2 4 2 2" xfId="481"/>
    <cellStyle name="20% - Accent3 2 2 4 3" xfId="482"/>
    <cellStyle name="20% - Accent3 2 2 5" xfId="483"/>
    <cellStyle name="20% - Accent3 2 2 5 2" xfId="484"/>
    <cellStyle name="20% - Accent3 2 2 6" xfId="485"/>
    <cellStyle name="20% - Accent3 2 2 7" xfId="57878"/>
    <cellStyle name="20% - Accent3 2 3" xfId="486"/>
    <cellStyle name="20% - Accent3 2 3 2" xfId="487"/>
    <cellStyle name="20% - Accent3 2 3 2 2" xfId="488"/>
    <cellStyle name="20% - Accent3 2 3 2 2 2" xfId="489"/>
    <cellStyle name="20% - Accent3 2 3 2 2 2 2" xfId="490"/>
    <cellStyle name="20% - Accent3 2 3 2 2 3" xfId="491"/>
    <cellStyle name="20% - Accent3 2 3 2 3" xfId="492"/>
    <cellStyle name="20% - Accent3 2 3 2 3 2" xfId="493"/>
    <cellStyle name="20% - Accent3 2 3 2 4" xfId="494"/>
    <cellStyle name="20% - Accent3 2 3 3" xfId="495"/>
    <cellStyle name="20% - Accent3 2 3 3 2" xfId="496"/>
    <cellStyle name="20% - Accent3 2 3 3 2 2" xfId="497"/>
    <cellStyle name="20% - Accent3 2 3 3 3" xfId="498"/>
    <cellStyle name="20% - Accent3 2 3 4" xfId="499"/>
    <cellStyle name="20% - Accent3 2 3 4 2" xfId="500"/>
    <cellStyle name="20% - Accent3 2 3 5" xfId="501"/>
    <cellStyle name="20% - Accent3 2 3 6" xfId="57879"/>
    <cellStyle name="20% - Accent3 2 4" xfId="502"/>
    <cellStyle name="20% - Accent3 2 4 2" xfId="503"/>
    <cellStyle name="20% - Accent3 2 4 2 2" xfId="504"/>
    <cellStyle name="20% - Accent3 2 4 2 2 2" xfId="505"/>
    <cellStyle name="20% - Accent3 2 4 2 3" xfId="506"/>
    <cellStyle name="20% - Accent3 2 4 3" xfId="507"/>
    <cellStyle name="20% - Accent3 2 4 3 2" xfId="508"/>
    <cellStyle name="20% - Accent3 2 4 4" xfId="509"/>
    <cellStyle name="20% - Accent3 2 4 5" xfId="57880"/>
    <cellStyle name="20% - Accent3 2 5" xfId="510"/>
    <cellStyle name="20% - Accent3 2 5 2" xfId="511"/>
    <cellStyle name="20% - Accent3 2 5 2 2" xfId="512"/>
    <cellStyle name="20% - Accent3 2 5 3" xfId="513"/>
    <cellStyle name="20% - Accent3 2 5 4" xfId="57881"/>
    <cellStyle name="20% - Accent3 2 6" xfId="514"/>
    <cellStyle name="20% - Accent3 2 6 2" xfId="515"/>
    <cellStyle name="20% - Accent3 2 6 3" xfId="57882"/>
    <cellStyle name="20% - Accent3 2 7" xfId="516"/>
    <cellStyle name="20% - Accent3 2 8" xfId="517"/>
    <cellStyle name="20% - Accent3 2 9" xfId="57883"/>
    <cellStyle name="20% - Accent3 20" xfId="57884"/>
    <cellStyle name="20% - Accent3 21" xfId="57885"/>
    <cellStyle name="20% - Accent3 3" xfId="518"/>
    <cellStyle name="20% - Accent3 3 2" xfId="519"/>
    <cellStyle name="20% - Accent3 3 2 2" xfId="520"/>
    <cellStyle name="20% - Accent3 3 2 2 2" xfId="521"/>
    <cellStyle name="20% - Accent3 3 2 2 2 2" xfId="522"/>
    <cellStyle name="20% - Accent3 3 2 2 2 2 2" xfId="523"/>
    <cellStyle name="20% - Accent3 3 2 2 2 2 2 2" xfId="524"/>
    <cellStyle name="20% - Accent3 3 2 2 2 2 3" xfId="525"/>
    <cellStyle name="20% - Accent3 3 2 2 2 3" xfId="526"/>
    <cellStyle name="20% - Accent3 3 2 2 2 3 2" xfId="527"/>
    <cellStyle name="20% - Accent3 3 2 2 2 4" xfId="528"/>
    <cellStyle name="20% - Accent3 3 2 2 2 5" xfId="8806"/>
    <cellStyle name="20% - Accent3 3 2 2 3" xfId="529"/>
    <cellStyle name="20% - Accent3 3 2 2 3 2" xfId="530"/>
    <cellStyle name="20% - Accent3 3 2 2 3 2 2" xfId="531"/>
    <cellStyle name="20% - Accent3 3 2 2 3 3" xfId="532"/>
    <cellStyle name="20% - Accent3 3 2 2 4" xfId="533"/>
    <cellStyle name="20% - Accent3 3 2 2 4 2" xfId="534"/>
    <cellStyle name="20% - Accent3 3 2 2 5" xfId="535"/>
    <cellStyle name="20% - Accent3 3 2 2 6" xfId="8807"/>
    <cellStyle name="20% - Accent3 3 2 3" xfId="536"/>
    <cellStyle name="20% - Accent3 3 2 3 2" xfId="537"/>
    <cellStyle name="20% - Accent3 3 2 3 2 2" xfId="538"/>
    <cellStyle name="20% - Accent3 3 2 3 2 2 2" xfId="539"/>
    <cellStyle name="20% - Accent3 3 2 3 2 3" xfId="540"/>
    <cellStyle name="20% - Accent3 3 2 3 3" xfId="541"/>
    <cellStyle name="20% - Accent3 3 2 3 3 2" xfId="542"/>
    <cellStyle name="20% - Accent3 3 2 3 4" xfId="543"/>
    <cellStyle name="20% - Accent3 3 2 3 5" xfId="8808"/>
    <cellStyle name="20% - Accent3 3 2 4" xfId="544"/>
    <cellStyle name="20% - Accent3 3 2 4 2" xfId="545"/>
    <cellStyle name="20% - Accent3 3 2 4 2 2" xfId="546"/>
    <cellStyle name="20% - Accent3 3 2 4 3" xfId="547"/>
    <cellStyle name="20% - Accent3 3 2 5" xfId="548"/>
    <cellStyle name="20% - Accent3 3 2 5 2" xfId="549"/>
    <cellStyle name="20% - Accent3 3 2 6" xfId="550"/>
    <cellStyle name="20% - Accent3 3 2 7" xfId="8809"/>
    <cellStyle name="20% - Accent3 3 3" xfId="551"/>
    <cellStyle name="20% - Accent3 3 3 2" xfId="552"/>
    <cellStyle name="20% - Accent3 3 3 2 2" xfId="553"/>
    <cellStyle name="20% - Accent3 3 3 2 2 2" xfId="554"/>
    <cellStyle name="20% - Accent3 3 3 2 2 2 2" xfId="555"/>
    <cellStyle name="20% - Accent3 3 3 2 2 3" xfId="556"/>
    <cellStyle name="20% - Accent3 3 3 2 3" xfId="557"/>
    <cellStyle name="20% - Accent3 3 3 2 3 2" xfId="558"/>
    <cellStyle name="20% - Accent3 3 3 2 4" xfId="559"/>
    <cellStyle name="20% - Accent3 3 3 2 5" xfId="8810"/>
    <cellStyle name="20% - Accent3 3 3 3" xfId="560"/>
    <cellStyle name="20% - Accent3 3 3 3 2" xfId="561"/>
    <cellStyle name="20% - Accent3 3 3 3 2 2" xfId="562"/>
    <cellStyle name="20% - Accent3 3 3 3 3" xfId="563"/>
    <cellStyle name="20% - Accent3 3 3 4" xfId="564"/>
    <cellStyle name="20% - Accent3 3 3 4 2" xfId="565"/>
    <cellStyle name="20% - Accent3 3 3 5" xfId="566"/>
    <cellStyle name="20% - Accent3 3 3 6" xfId="8811"/>
    <cellStyle name="20% - Accent3 3 4" xfId="567"/>
    <cellStyle name="20% - Accent3 3 4 2" xfId="568"/>
    <cellStyle name="20% - Accent3 3 4 2 2" xfId="569"/>
    <cellStyle name="20% - Accent3 3 4 2 2 2" xfId="570"/>
    <cellStyle name="20% - Accent3 3 4 2 3" xfId="571"/>
    <cellStyle name="20% - Accent3 3 4 3" xfId="572"/>
    <cellStyle name="20% - Accent3 3 4 3 2" xfId="573"/>
    <cellStyle name="20% - Accent3 3 4 4" xfId="574"/>
    <cellStyle name="20% - Accent3 3 4 5" xfId="8812"/>
    <cellStyle name="20% - Accent3 3 5" xfId="575"/>
    <cellStyle name="20% - Accent3 3 5 2" xfId="576"/>
    <cellStyle name="20% - Accent3 3 5 2 2" xfId="577"/>
    <cellStyle name="20% - Accent3 3 5 3" xfId="578"/>
    <cellStyle name="20% - Accent3 3 6" xfId="579"/>
    <cellStyle name="20% - Accent3 3 6 2" xfId="580"/>
    <cellStyle name="20% - Accent3 3 7" xfId="581"/>
    <cellStyle name="20% - Accent3 3 8" xfId="582"/>
    <cellStyle name="20% - Accent3 3 9" xfId="8813"/>
    <cellStyle name="20% - Accent3 4" xfId="583"/>
    <cellStyle name="20% - Accent3 4 10" xfId="13229"/>
    <cellStyle name="20% - Accent3 4 10 2" xfId="13230"/>
    <cellStyle name="20% - Accent3 4 10 2 2" xfId="13231"/>
    <cellStyle name="20% - Accent3 4 10 2 3" xfId="13232"/>
    <cellStyle name="20% - Accent3 4 10 3" xfId="13233"/>
    <cellStyle name="20% - Accent3 4 10 3 2" xfId="13234"/>
    <cellStyle name="20% - Accent3 4 10 4" xfId="13235"/>
    <cellStyle name="20% - Accent3 4 10 5" xfId="13236"/>
    <cellStyle name="20% - Accent3 4 11" xfId="13237"/>
    <cellStyle name="20% - Accent3 4 11 2" xfId="13238"/>
    <cellStyle name="20% - Accent3 4 11 3" xfId="13239"/>
    <cellStyle name="20% - Accent3 4 12" xfId="13240"/>
    <cellStyle name="20% - Accent3 4 12 2" xfId="13241"/>
    <cellStyle name="20% - Accent3 4 12 3" xfId="13242"/>
    <cellStyle name="20% - Accent3 4 13" xfId="13243"/>
    <cellStyle name="20% - Accent3 4 13 2" xfId="13244"/>
    <cellStyle name="20% - Accent3 4 14" xfId="13245"/>
    <cellStyle name="20% - Accent3 4 15" xfId="13246"/>
    <cellStyle name="20% - Accent3 4 16" xfId="13247"/>
    <cellStyle name="20% - Accent3 4 2" xfId="584"/>
    <cellStyle name="20% - Accent3 4 2 10" xfId="13248"/>
    <cellStyle name="20% - Accent3 4 2 10 2" xfId="13249"/>
    <cellStyle name="20% - Accent3 4 2 10 3" xfId="13250"/>
    <cellStyle name="20% - Accent3 4 2 11" xfId="13251"/>
    <cellStyle name="20% - Accent3 4 2 11 2" xfId="13252"/>
    <cellStyle name="20% - Accent3 4 2 11 3" xfId="13253"/>
    <cellStyle name="20% - Accent3 4 2 12" xfId="13254"/>
    <cellStyle name="20% - Accent3 4 2 12 2" xfId="13255"/>
    <cellStyle name="20% - Accent3 4 2 13" xfId="13256"/>
    <cellStyle name="20% - Accent3 4 2 14" xfId="13257"/>
    <cellStyle name="20% - Accent3 4 2 15" xfId="13258"/>
    <cellStyle name="20% - Accent3 4 2 2" xfId="585"/>
    <cellStyle name="20% - Accent3 4 2 2 10" xfId="13259"/>
    <cellStyle name="20% - Accent3 4 2 2 10 2" xfId="13260"/>
    <cellStyle name="20% - Accent3 4 2 2 10 3" xfId="13261"/>
    <cellStyle name="20% - Accent3 4 2 2 11" xfId="13262"/>
    <cellStyle name="20% - Accent3 4 2 2 11 2" xfId="13263"/>
    <cellStyle name="20% - Accent3 4 2 2 12" xfId="13264"/>
    <cellStyle name="20% - Accent3 4 2 2 13" xfId="13265"/>
    <cellStyle name="20% - Accent3 4 2 2 2" xfId="586"/>
    <cellStyle name="20% - Accent3 4 2 2 2 10" xfId="13266"/>
    <cellStyle name="20% - Accent3 4 2 2 2 10 2" xfId="13267"/>
    <cellStyle name="20% - Accent3 4 2 2 2 11" xfId="13268"/>
    <cellStyle name="20% - Accent3 4 2 2 2 12" xfId="13269"/>
    <cellStyle name="20% - Accent3 4 2 2 2 2" xfId="587"/>
    <cellStyle name="20% - Accent3 4 2 2 2 2 10" xfId="13270"/>
    <cellStyle name="20% - Accent3 4 2 2 2 2 2" xfId="588"/>
    <cellStyle name="20% - Accent3 4 2 2 2 2 2 2" xfId="13271"/>
    <cellStyle name="20% - Accent3 4 2 2 2 2 2 2 2" xfId="13272"/>
    <cellStyle name="20% - Accent3 4 2 2 2 2 2 2 2 2" xfId="13273"/>
    <cellStyle name="20% - Accent3 4 2 2 2 2 2 2 2 3" xfId="13274"/>
    <cellStyle name="20% - Accent3 4 2 2 2 2 2 2 3" xfId="13275"/>
    <cellStyle name="20% - Accent3 4 2 2 2 2 2 2 3 2" xfId="13276"/>
    <cellStyle name="20% - Accent3 4 2 2 2 2 2 2 3 3" xfId="13277"/>
    <cellStyle name="20% - Accent3 4 2 2 2 2 2 2 4" xfId="13278"/>
    <cellStyle name="20% - Accent3 4 2 2 2 2 2 2 4 2" xfId="13279"/>
    <cellStyle name="20% - Accent3 4 2 2 2 2 2 2 5" xfId="13280"/>
    <cellStyle name="20% - Accent3 4 2 2 2 2 2 2 6" xfId="13281"/>
    <cellStyle name="20% - Accent3 4 2 2 2 2 2 3" xfId="13282"/>
    <cellStyle name="20% - Accent3 4 2 2 2 2 2 3 2" xfId="13283"/>
    <cellStyle name="20% - Accent3 4 2 2 2 2 2 3 2 2" xfId="13284"/>
    <cellStyle name="20% - Accent3 4 2 2 2 2 2 3 2 3" xfId="13285"/>
    <cellStyle name="20% - Accent3 4 2 2 2 2 2 3 3" xfId="13286"/>
    <cellStyle name="20% - Accent3 4 2 2 2 2 2 3 3 2" xfId="13287"/>
    <cellStyle name="20% - Accent3 4 2 2 2 2 2 3 3 3" xfId="13288"/>
    <cellStyle name="20% - Accent3 4 2 2 2 2 2 3 4" xfId="13289"/>
    <cellStyle name="20% - Accent3 4 2 2 2 2 2 3 4 2" xfId="13290"/>
    <cellStyle name="20% - Accent3 4 2 2 2 2 2 3 5" xfId="13291"/>
    <cellStyle name="20% - Accent3 4 2 2 2 2 2 3 6" xfId="13292"/>
    <cellStyle name="20% - Accent3 4 2 2 2 2 2 4" xfId="13293"/>
    <cellStyle name="20% - Accent3 4 2 2 2 2 2 4 2" xfId="13294"/>
    <cellStyle name="20% - Accent3 4 2 2 2 2 2 4 2 2" xfId="13295"/>
    <cellStyle name="20% - Accent3 4 2 2 2 2 2 4 2 3" xfId="13296"/>
    <cellStyle name="20% - Accent3 4 2 2 2 2 2 4 3" xfId="13297"/>
    <cellStyle name="20% - Accent3 4 2 2 2 2 2 4 3 2" xfId="13298"/>
    <cellStyle name="20% - Accent3 4 2 2 2 2 2 4 4" xfId="13299"/>
    <cellStyle name="20% - Accent3 4 2 2 2 2 2 4 5" xfId="13300"/>
    <cellStyle name="20% - Accent3 4 2 2 2 2 2 5" xfId="13301"/>
    <cellStyle name="20% - Accent3 4 2 2 2 2 2 5 2" xfId="13302"/>
    <cellStyle name="20% - Accent3 4 2 2 2 2 2 5 3" xfId="13303"/>
    <cellStyle name="20% - Accent3 4 2 2 2 2 2 6" xfId="13304"/>
    <cellStyle name="20% - Accent3 4 2 2 2 2 2 6 2" xfId="13305"/>
    <cellStyle name="20% - Accent3 4 2 2 2 2 2 6 3" xfId="13306"/>
    <cellStyle name="20% - Accent3 4 2 2 2 2 2 7" xfId="13307"/>
    <cellStyle name="20% - Accent3 4 2 2 2 2 2 7 2" xfId="13308"/>
    <cellStyle name="20% - Accent3 4 2 2 2 2 2 8" xfId="13309"/>
    <cellStyle name="20% - Accent3 4 2 2 2 2 2 9" xfId="13310"/>
    <cellStyle name="20% - Accent3 4 2 2 2 2 3" xfId="13311"/>
    <cellStyle name="20% - Accent3 4 2 2 2 2 3 2" xfId="13312"/>
    <cellStyle name="20% - Accent3 4 2 2 2 2 3 2 2" xfId="13313"/>
    <cellStyle name="20% - Accent3 4 2 2 2 2 3 2 3" xfId="13314"/>
    <cellStyle name="20% - Accent3 4 2 2 2 2 3 3" xfId="13315"/>
    <cellStyle name="20% - Accent3 4 2 2 2 2 3 3 2" xfId="13316"/>
    <cellStyle name="20% - Accent3 4 2 2 2 2 3 3 3" xfId="13317"/>
    <cellStyle name="20% - Accent3 4 2 2 2 2 3 4" xfId="13318"/>
    <cellStyle name="20% - Accent3 4 2 2 2 2 3 4 2" xfId="13319"/>
    <cellStyle name="20% - Accent3 4 2 2 2 2 3 5" xfId="13320"/>
    <cellStyle name="20% - Accent3 4 2 2 2 2 3 6" xfId="13321"/>
    <cellStyle name="20% - Accent3 4 2 2 2 2 4" xfId="13322"/>
    <cellStyle name="20% - Accent3 4 2 2 2 2 4 2" xfId="13323"/>
    <cellStyle name="20% - Accent3 4 2 2 2 2 4 2 2" xfId="13324"/>
    <cellStyle name="20% - Accent3 4 2 2 2 2 4 2 3" xfId="13325"/>
    <cellStyle name="20% - Accent3 4 2 2 2 2 4 3" xfId="13326"/>
    <cellStyle name="20% - Accent3 4 2 2 2 2 4 3 2" xfId="13327"/>
    <cellStyle name="20% - Accent3 4 2 2 2 2 4 3 3" xfId="13328"/>
    <cellStyle name="20% - Accent3 4 2 2 2 2 4 4" xfId="13329"/>
    <cellStyle name="20% - Accent3 4 2 2 2 2 4 4 2" xfId="13330"/>
    <cellStyle name="20% - Accent3 4 2 2 2 2 4 5" xfId="13331"/>
    <cellStyle name="20% - Accent3 4 2 2 2 2 4 6" xfId="13332"/>
    <cellStyle name="20% - Accent3 4 2 2 2 2 5" xfId="13333"/>
    <cellStyle name="20% - Accent3 4 2 2 2 2 5 2" xfId="13334"/>
    <cellStyle name="20% - Accent3 4 2 2 2 2 5 2 2" xfId="13335"/>
    <cellStyle name="20% - Accent3 4 2 2 2 2 5 2 3" xfId="13336"/>
    <cellStyle name="20% - Accent3 4 2 2 2 2 5 3" xfId="13337"/>
    <cellStyle name="20% - Accent3 4 2 2 2 2 5 3 2" xfId="13338"/>
    <cellStyle name="20% - Accent3 4 2 2 2 2 5 4" xfId="13339"/>
    <cellStyle name="20% - Accent3 4 2 2 2 2 5 5" xfId="13340"/>
    <cellStyle name="20% - Accent3 4 2 2 2 2 6" xfId="13341"/>
    <cellStyle name="20% - Accent3 4 2 2 2 2 6 2" xfId="13342"/>
    <cellStyle name="20% - Accent3 4 2 2 2 2 6 3" xfId="13343"/>
    <cellStyle name="20% - Accent3 4 2 2 2 2 7" xfId="13344"/>
    <cellStyle name="20% - Accent3 4 2 2 2 2 7 2" xfId="13345"/>
    <cellStyle name="20% - Accent3 4 2 2 2 2 7 3" xfId="13346"/>
    <cellStyle name="20% - Accent3 4 2 2 2 2 8" xfId="13347"/>
    <cellStyle name="20% - Accent3 4 2 2 2 2 8 2" xfId="13348"/>
    <cellStyle name="20% - Accent3 4 2 2 2 2 9" xfId="13349"/>
    <cellStyle name="20% - Accent3 4 2 2 2 3" xfId="589"/>
    <cellStyle name="20% - Accent3 4 2 2 2 3 2" xfId="13350"/>
    <cellStyle name="20% - Accent3 4 2 2 2 3 2 2" xfId="13351"/>
    <cellStyle name="20% - Accent3 4 2 2 2 3 2 2 2" xfId="13352"/>
    <cellStyle name="20% - Accent3 4 2 2 2 3 2 2 3" xfId="13353"/>
    <cellStyle name="20% - Accent3 4 2 2 2 3 2 3" xfId="13354"/>
    <cellStyle name="20% - Accent3 4 2 2 2 3 2 3 2" xfId="13355"/>
    <cellStyle name="20% - Accent3 4 2 2 2 3 2 3 3" xfId="13356"/>
    <cellStyle name="20% - Accent3 4 2 2 2 3 2 4" xfId="13357"/>
    <cellStyle name="20% - Accent3 4 2 2 2 3 2 4 2" xfId="13358"/>
    <cellStyle name="20% - Accent3 4 2 2 2 3 2 5" xfId="13359"/>
    <cellStyle name="20% - Accent3 4 2 2 2 3 2 6" xfId="13360"/>
    <cellStyle name="20% - Accent3 4 2 2 2 3 3" xfId="13361"/>
    <cellStyle name="20% - Accent3 4 2 2 2 3 3 2" xfId="13362"/>
    <cellStyle name="20% - Accent3 4 2 2 2 3 3 2 2" xfId="13363"/>
    <cellStyle name="20% - Accent3 4 2 2 2 3 3 2 3" xfId="13364"/>
    <cellStyle name="20% - Accent3 4 2 2 2 3 3 3" xfId="13365"/>
    <cellStyle name="20% - Accent3 4 2 2 2 3 3 3 2" xfId="13366"/>
    <cellStyle name="20% - Accent3 4 2 2 2 3 3 3 3" xfId="13367"/>
    <cellStyle name="20% - Accent3 4 2 2 2 3 3 4" xfId="13368"/>
    <cellStyle name="20% - Accent3 4 2 2 2 3 3 4 2" xfId="13369"/>
    <cellStyle name="20% - Accent3 4 2 2 2 3 3 5" xfId="13370"/>
    <cellStyle name="20% - Accent3 4 2 2 2 3 3 6" xfId="13371"/>
    <cellStyle name="20% - Accent3 4 2 2 2 3 4" xfId="13372"/>
    <cellStyle name="20% - Accent3 4 2 2 2 3 4 2" xfId="13373"/>
    <cellStyle name="20% - Accent3 4 2 2 2 3 4 2 2" xfId="13374"/>
    <cellStyle name="20% - Accent3 4 2 2 2 3 4 2 3" xfId="13375"/>
    <cellStyle name="20% - Accent3 4 2 2 2 3 4 3" xfId="13376"/>
    <cellStyle name="20% - Accent3 4 2 2 2 3 4 3 2" xfId="13377"/>
    <cellStyle name="20% - Accent3 4 2 2 2 3 4 4" xfId="13378"/>
    <cellStyle name="20% - Accent3 4 2 2 2 3 4 5" xfId="13379"/>
    <cellStyle name="20% - Accent3 4 2 2 2 3 5" xfId="13380"/>
    <cellStyle name="20% - Accent3 4 2 2 2 3 5 2" xfId="13381"/>
    <cellStyle name="20% - Accent3 4 2 2 2 3 5 3" xfId="13382"/>
    <cellStyle name="20% - Accent3 4 2 2 2 3 6" xfId="13383"/>
    <cellStyle name="20% - Accent3 4 2 2 2 3 6 2" xfId="13384"/>
    <cellStyle name="20% - Accent3 4 2 2 2 3 6 3" xfId="13385"/>
    <cellStyle name="20% - Accent3 4 2 2 2 3 7" xfId="13386"/>
    <cellStyle name="20% - Accent3 4 2 2 2 3 7 2" xfId="13387"/>
    <cellStyle name="20% - Accent3 4 2 2 2 3 8" xfId="13388"/>
    <cellStyle name="20% - Accent3 4 2 2 2 3 9" xfId="13389"/>
    <cellStyle name="20% - Accent3 4 2 2 2 4" xfId="13390"/>
    <cellStyle name="20% - Accent3 4 2 2 2 4 2" xfId="13391"/>
    <cellStyle name="20% - Accent3 4 2 2 2 4 2 2" xfId="13392"/>
    <cellStyle name="20% - Accent3 4 2 2 2 4 2 2 2" xfId="13393"/>
    <cellStyle name="20% - Accent3 4 2 2 2 4 2 2 3" xfId="13394"/>
    <cellStyle name="20% - Accent3 4 2 2 2 4 2 3" xfId="13395"/>
    <cellStyle name="20% - Accent3 4 2 2 2 4 2 3 2" xfId="13396"/>
    <cellStyle name="20% - Accent3 4 2 2 2 4 2 3 3" xfId="13397"/>
    <cellStyle name="20% - Accent3 4 2 2 2 4 2 4" xfId="13398"/>
    <cellStyle name="20% - Accent3 4 2 2 2 4 2 4 2" xfId="13399"/>
    <cellStyle name="20% - Accent3 4 2 2 2 4 2 5" xfId="13400"/>
    <cellStyle name="20% - Accent3 4 2 2 2 4 2 6" xfId="13401"/>
    <cellStyle name="20% - Accent3 4 2 2 2 4 3" xfId="13402"/>
    <cellStyle name="20% - Accent3 4 2 2 2 4 3 2" xfId="13403"/>
    <cellStyle name="20% - Accent3 4 2 2 2 4 3 2 2" xfId="13404"/>
    <cellStyle name="20% - Accent3 4 2 2 2 4 3 2 3" xfId="13405"/>
    <cellStyle name="20% - Accent3 4 2 2 2 4 3 3" xfId="13406"/>
    <cellStyle name="20% - Accent3 4 2 2 2 4 3 3 2" xfId="13407"/>
    <cellStyle name="20% - Accent3 4 2 2 2 4 3 3 3" xfId="13408"/>
    <cellStyle name="20% - Accent3 4 2 2 2 4 3 4" xfId="13409"/>
    <cellStyle name="20% - Accent3 4 2 2 2 4 3 4 2" xfId="13410"/>
    <cellStyle name="20% - Accent3 4 2 2 2 4 3 5" xfId="13411"/>
    <cellStyle name="20% - Accent3 4 2 2 2 4 3 6" xfId="13412"/>
    <cellStyle name="20% - Accent3 4 2 2 2 4 4" xfId="13413"/>
    <cellStyle name="20% - Accent3 4 2 2 2 4 4 2" xfId="13414"/>
    <cellStyle name="20% - Accent3 4 2 2 2 4 4 2 2" xfId="13415"/>
    <cellStyle name="20% - Accent3 4 2 2 2 4 4 2 3" xfId="13416"/>
    <cellStyle name="20% - Accent3 4 2 2 2 4 4 3" xfId="13417"/>
    <cellStyle name="20% - Accent3 4 2 2 2 4 4 3 2" xfId="13418"/>
    <cellStyle name="20% - Accent3 4 2 2 2 4 4 4" xfId="13419"/>
    <cellStyle name="20% - Accent3 4 2 2 2 4 4 5" xfId="13420"/>
    <cellStyle name="20% - Accent3 4 2 2 2 4 5" xfId="13421"/>
    <cellStyle name="20% - Accent3 4 2 2 2 4 5 2" xfId="13422"/>
    <cellStyle name="20% - Accent3 4 2 2 2 4 5 3" xfId="13423"/>
    <cellStyle name="20% - Accent3 4 2 2 2 4 6" xfId="13424"/>
    <cellStyle name="20% - Accent3 4 2 2 2 4 6 2" xfId="13425"/>
    <cellStyle name="20% - Accent3 4 2 2 2 4 6 3" xfId="13426"/>
    <cellStyle name="20% - Accent3 4 2 2 2 4 7" xfId="13427"/>
    <cellStyle name="20% - Accent3 4 2 2 2 4 7 2" xfId="13428"/>
    <cellStyle name="20% - Accent3 4 2 2 2 4 8" xfId="13429"/>
    <cellStyle name="20% - Accent3 4 2 2 2 4 9" xfId="13430"/>
    <cellStyle name="20% - Accent3 4 2 2 2 5" xfId="13431"/>
    <cellStyle name="20% - Accent3 4 2 2 2 5 2" xfId="13432"/>
    <cellStyle name="20% - Accent3 4 2 2 2 5 2 2" xfId="13433"/>
    <cellStyle name="20% - Accent3 4 2 2 2 5 2 3" xfId="13434"/>
    <cellStyle name="20% - Accent3 4 2 2 2 5 3" xfId="13435"/>
    <cellStyle name="20% - Accent3 4 2 2 2 5 3 2" xfId="13436"/>
    <cellStyle name="20% - Accent3 4 2 2 2 5 3 3" xfId="13437"/>
    <cellStyle name="20% - Accent3 4 2 2 2 5 4" xfId="13438"/>
    <cellStyle name="20% - Accent3 4 2 2 2 5 4 2" xfId="13439"/>
    <cellStyle name="20% - Accent3 4 2 2 2 5 5" xfId="13440"/>
    <cellStyle name="20% - Accent3 4 2 2 2 5 6" xfId="13441"/>
    <cellStyle name="20% - Accent3 4 2 2 2 6" xfId="13442"/>
    <cellStyle name="20% - Accent3 4 2 2 2 6 2" xfId="13443"/>
    <cellStyle name="20% - Accent3 4 2 2 2 6 2 2" xfId="13444"/>
    <cellStyle name="20% - Accent3 4 2 2 2 6 2 3" xfId="13445"/>
    <cellStyle name="20% - Accent3 4 2 2 2 6 3" xfId="13446"/>
    <cellStyle name="20% - Accent3 4 2 2 2 6 3 2" xfId="13447"/>
    <cellStyle name="20% - Accent3 4 2 2 2 6 3 3" xfId="13448"/>
    <cellStyle name="20% - Accent3 4 2 2 2 6 4" xfId="13449"/>
    <cellStyle name="20% - Accent3 4 2 2 2 6 4 2" xfId="13450"/>
    <cellStyle name="20% - Accent3 4 2 2 2 6 5" xfId="13451"/>
    <cellStyle name="20% - Accent3 4 2 2 2 6 6" xfId="13452"/>
    <cellStyle name="20% - Accent3 4 2 2 2 7" xfId="13453"/>
    <cellStyle name="20% - Accent3 4 2 2 2 7 2" xfId="13454"/>
    <cellStyle name="20% - Accent3 4 2 2 2 7 2 2" xfId="13455"/>
    <cellStyle name="20% - Accent3 4 2 2 2 7 2 3" xfId="13456"/>
    <cellStyle name="20% - Accent3 4 2 2 2 7 3" xfId="13457"/>
    <cellStyle name="20% - Accent3 4 2 2 2 7 3 2" xfId="13458"/>
    <cellStyle name="20% - Accent3 4 2 2 2 7 4" xfId="13459"/>
    <cellStyle name="20% - Accent3 4 2 2 2 7 5" xfId="13460"/>
    <cellStyle name="20% - Accent3 4 2 2 2 8" xfId="13461"/>
    <cellStyle name="20% - Accent3 4 2 2 2 8 2" xfId="13462"/>
    <cellStyle name="20% - Accent3 4 2 2 2 8 3" xfId="13463"/>
    <cellStyle name="20% - Accent3 4 2 2 2 9" xfId="13464"/>
    <cellStyle name="20% - Accent3 4 2 2 2 9 2" xfId="13465"/>
    <cellStyle name="20% - Accent3 4 2 2 2 9 3" xfId="13466"/>
    <cellStyle name="20% - Accent3 4 2 2 3" xfId="590"/>
    <cellStyle name="20% - Accent3 4 2 2 3 10" xfId="13467"/>
    <cellStyle name="20% - Accent3 4 2 2 3 2" xfId="591"/>
    <cellStyle name="20% - Accent3 4 2 2 3 2 2" xfId="13468"/>
    <cellStyle name="20% - Accent3 4 2 2 3 2 2 2" xfId="13469"/>
    <cellStyle name="20% - Accent3 4 2 2 3 2 2 2 2" xfId="13470"/>
    <cellStyle name="20% - Accent3 4 2 2 3 2 2 2 3" xfId="13471"/>
    <cellStyle name="20% - Accent3 4 2 2 3 2 2 3" xfId="13472"/>
    <cellStyle name="20% - Accent3 4 2 2 3 2 2 3 2" xfId="13473"/>
    <cellStyle name="20% - Accent3 4 2 2 3 2 2 3 3" xfId="13474"/>
    <cellStyle name="20% - Accent3 4 2 2 3 2 2 4" xfId="13475"/>
    <cellStyle name="20% - Accent3 4 2 2 3 2 2 4 2" xfId="13476"/>
    <cellStyle name="20% - Accent3 4 2 2 3 2 2 5" xfId="13477"/>
    <cellStyle name="20% - Accent3 4 2 2 3 2 2 6" xfId="13478"/>
    <cellStyle name="20% - Accent3 4 2 2 3 2 3" xfId="13479"/>
    <cellStyle name="20% - Accent3 4 2 2 3 2 3 2" xfId="13480"/>
    <cellStyle name="20% - Accent3 4 2 2 3 2 3 2 2" xfId="13481"/>
    <cellStyle name="20% - Accent3 4 2 2 3 2 3 2 3" xfId="13482"/>
    <cellStyle name="20% - Accent3 4 2 2 3 2 3 3" xfId="13483"/>
    <cellStyle name="20% - Accent3 4 2 2 3 2 3 3 2" xfId="13484"/>
    <cellStyle name="20% - Accent3 4 2 2 3 2 3 3 3" xfId="13485"/>
    <cellStyle name="20% - Accent3 4 2 2 3 2 3 4" xfId="13486"/>
    <cellStyle name="20% - Accent3 4 2 2 3 2 3 4 2" xfId="13487"/>
    <cellStyle name="20% - Accent3 4 2 2 3 2 3 5" xfId="13488"/>
    <cellStyle name="20% - Accent3 4 2 2 3 2 3 6" xfId="13489"/>
    <cellStyle name="20% - Accent3 4 2 2 3 2 4" xfId="13490"/>
    <cellStyle name="20% - Accent3 4 2 2 3 2 4 2" xfId="13491"/>
    <cellStyle name="20% - Accent3 4 2 2 3 2 4 2 2" xfId="13492"/>
    <cellStyle name="20% - Accent3 4 2 2 3 2 4 2 3" xfId="13493"/>
    <cellStyle name="20% - Accent3 4 2 2 3 2 4 3" xfId="13494"/>
    <cellStyle name="20% - Accent3 4 2 2 3 2 4 3 2" xfId="13495"/>
    <cellStyle name="20% - Accent3 4 2 2 3 2 4 4" xfId="13496"/>
    <cellStyle name="20% - Accent3 4 2 2 3 2 4 5" xfId="13497"/>
    <cellStyle name="20% - Accent3 4 2 2 3 2 5" xfId="13498"/>
    <cellStyle name="20% - Accent3 4 2 2 3 2 5 2" xfId="13499"/>
    <cellStyle name="20% - Accent3 4 2 2 3 2 5 3" xfId="13500"/>
    <cellStyle name="20% - Accent3 4 2 2 3 2 6" xfId="13501"/>
    <cellStyle name="20% - Accent3 4 2 2 3 2 6 2" xfId="13502"/>
    <cellStyle name="20% - Accent3 4 2 2 3 2 6 3" xfId="13503"/>
    <cellStyle name="20% - Accent3 4 2 2 3 2 7" xfId="13504"/>
    <cellStyle name="20% - Accent3 4 2 2 3 2 7 2" xfId="13505"/>
    <cellStyle name="20% - Accent3 4 2 2 3 2 8" xfId="13506"/>
    <cellStyle name="20% - Accent3 4 2 2 3 2 9" xfId="13507"/>
    <cellStyle name="20% - Accent3 4 2 2 3 3" xfId="13508"/>
    <cellStyle name="20% - Accent3 4 2 2 3 3 2" xfId="13509"/>
    <cellStyle name="20% - Accent3 4 2 2 3 3 2 2" xfId="13510"/>
    <cellStyle name="20% - Accent3 4 2 2 3 3 2 3" xfId="13511"/>
    <cellStyle name="20% - Accent3 4 2 2 3 3 3" xfId="13512"/>
    <cellStyle name="20% - Accent3 4 2 2 3 3 3 2" xfId="13513"/>
    <cellStyle name="20% - Accent3 4 2 2 3 3 3 3" xfId="13514"/>
    <cellStyle name="20% - Accent3 4 2 2 3 3 4" xfId="13515"/>
    <cellStyle name="20% - Accent3 4 2 2 3 3 4 2" xfId="13516"/>
    <cellStyle name="20% - Accent3 4 2 2 3 3 5" xfId="13517"/>
    <cellStyle name="20% - Accent3 4 2 2 3 3 6" xfId="13518"/>
    <cellStyle name="20% - Accent3 4 2 2 3 4" xfId="13519"/>
    <cellStyle name="20% - Accent3 4 2 2 3 4 2" xfId="13520"/>
    <cellStyle name="20% - Accent3 4 2 2 3 4 2 2" xfId="13521"/>
    <cellStyle name="20% - Accent3 4 2 2 3 4 2 3" xfId="13522"/>
    <cellStyle name="20% - Accent3 4 2 2 3 4 3" xfId="13523"/>
    <cellStyle name="20% - Accent3 4 2 2 3 4 3 2" xfId="13524"/>
    <cellStyle name="20% - Accent3 4 2 2 3 4 3 3" xfId="13525"/>
    <cellStyle name="20% - Accent3 4 2 2 3 4 4" xfId="13526"/>
    <cellStyle name="20% - Accent3 4 2 2 3 4 4 2" xfId="13527"/>
    <cellStyle name="20% - Accent3 4 2 2 3 4 5" xfId="13528"/>
    <cellStyle name="20% - Accent3 4 2 2 3 4 6" xfId="13529"/>
    <cellStyle name="20% - Accent3 4 2 2 3 5" xfId="13530"/>
    <cellStyle name="20% - Accent3 4 2 2 3 5 2" xfId="13531"/>
    <cellStyle name="20% - Accent3 4 2 2 3 5 2 2" xfId="13532"/>
    <cellStyle name="20% - Accent3 4 2 2 3 5 2 3" xfId="13533"/>
    <cellStyle name="20% - Accent3 4 2 2 3 5 3" xfId="13534"/>
    <cellStyle name="20% - Accent3 4 2 2 3 5 3 2" xfId="13535"/>
    <cellStyle name="20% - Accent3 4 2 2 3 5 4" xfId="13536"/>
    <cellStyle name="20% - Accent3 4 2 2 3 5 5" xfId="13537"/>
    <cellStyle name="20% - Accent3 4 2 2 3 6" xfId="13538"/>
    <cellStyle name="20% - Accent3 4 2 2 3 6 2" xfId="13539"/>
    <cellStyle name="20% - Accent3 4 2 2 3 6 3" xfId="13540"/>
    <cellStyle name="20% - Accent3 4 2 2 3 7" xfId="13541"/>
    <cellStyle name="20% - Accent3 4 2 2 3 7 2" xfId="13542"/>
    <cellStyle name="20% - Accent3 4 2 2 3 7 3" xfId="13543"/>
    <cellStyle name="20% - Accent3 4 2 2 3 8" xfId="13544"/>
    <cellStyle name="20% - Accent3 4 2 2 3 8 2" xfId="13545"/>
    <cellStyle name="20% - Accent3 4 2 2 3 9" xfId="13546"/>
    <cellStyle name="20% - Accent3 4 2 2 4" xfId="592"/>
    <cellStyle name="20% - Accent3 4 2 2 4 2" xfId="13547"/>
    <cellStyle name="20% - Accent3 4 2 2 4 2 2" xfId="13548"/>
    <cellStyle name="20% - Accent3 4 2 2 4 2 2 2" xfId="13549"/>
    <cellStyle name="20% - Accent3 4 2 2 4 2 2 3" xfId="13550"/>
    <cellStyle name="20% - Accent3 4 2 2 4 2 3" xfId="13551"/>
    <cellStyle name="20% - Accent3 4 2 2 4 2 3 2" xfId="13552"/>
    <cellStyle name="20% - Accent3 4 2 2 4 2 3 3" xfId="13553"/>
    <cellStyle name="20% - Accent3 4 2 2 4 2 4" xfId="13554"/>
    <cellStyle name="20% - Accent3 4 2 2 4 2 4 2" xfId="13555"/>
    <cellStyle name="20% - Accent3 4 2 2 4 2 5" xfId="13556"/>
    <cellStyle name="20% - Accent3 4 2 2 4 2 6" xfId="13557"/>
    <cellStyle name="20% - Accent3 4 2 2 4 3" xfId="13558"/>
    <cellStyle name="20% - Accent3 4 2 2 4 3 2" xfId="13559"/>
    <cellStyle name="20% - Accent3 4 2 2 4 3 2 2" xfId="13560"/>
    <cellStyle name="20% - Accent3 4 2 2 4 3 2 3" xfId="13561"/>
    <cellStyle name="20% - Accent3 4 2 2 4 3 3" xfId="13562"/>
    <cellStyle name="20% - Accent3 4 2 2 4 3 3 2" xfId="13563"/>
    <cellStyle name="20% - Accent3 4 2 2 4 3 3 3" xfId="13564"/>
    <cellStyle name="20% - Accent3 4 2 2 4 3 4" xfId="13565"/>
    <cellStyle name="20% - Accent3 4 2 2 4 3 4 2" xfId="13566"/>
    <cellStyle name="20% - Accent3 4 2 2 4 3 5" xfId="13567"/>
    <cellStyle name="20% - Accent3 4 2 2 4 3 6" xfId="13568"/>
    <cellStyle name="20% - Accent3 4 2 2 4 4" xfId="13569"/>
    <cellStyle name="20% - Accent3 4 2 2 4 4 2" xfId="13570"/>
    <cellStyle name="20% - Accent3 4 2 2 4 4 2 2" xfId="13571"/>
    <cellStyle name="20% - Accent3 4 2 2 4 4 2 3" xfId="13572"/>
    <cellStyle name="20% - Accent3 4 2 2 4 4 3" xfId="13573"/>
    <cellStyle name="20% - Accent3 4 2 2 4 4 3 2" xfId="13574"/>
    <cellStyle name="20% - Accent3 4 2 2 4 4 4" xfId="13575"/>
    <cellStyle name="20% - Accent3 4 2 2 4 4 5" xfId="13576"/>
    <cellStyle name="20% - Accent3 4 2 2 4 5" xfId="13577"/>
    <cellStyle name="20% - Accent3 4 2 2 4 5 2" xfId="13578"/>
    <cellStyle name="20% - Accent3 4 2 2 4 5 3" xfId="13579"/>
    <cellStyle name="20% - Accent3 4 2 2 4 6" xfId="13580"/>
    <cellStyle name="20% - Accent3 4 2 2 4 6 2" xfId="13581"/>
    <cellStyle name="20% - Accent3 4 2 2 4 6 3" xfId="13582"/>
    <cellStyle name="20% - Accent3 4 2 2 4 7" xfId="13583"/>
    <cellStyle name="20% - Accent3 4 2 2 4 7 2" xfId="13584"/>
    <cellStyle name="20% - Accent3 4 2 2 4 8" xfId="13585"/>
    <cellStyle name="20% - Accent3 4 2 2 4 9" xfId="13586"/>
    <cellStyle name="20% - Accent3 4 2 2 5" xfId="13587"/>
    <cellStyle name="20% - Accent3 4 2 2 5 2" xfId="13588"/>
    <cellStyle name="20% - Accent3 4 2 2 5 2 2" xfId="13589"/>
    <cellStyle name="20% - Accent3 4 2 2 5 2 2 2" xfId="13590"/>
    <cellStyle name="20% - Accent3 4 2 2 5 2 2 3" xfId="13591"/>
    <cellStyle name="20% - Accent3 4 2 2 5 2 3" xfId="13592"/>
    <cellStyle name="20% - Accent3 4 2 2 5 2 3 2" xfId="13593"/>
    <cellStyle name="20% - Accent3 4 2 2 5 2 3 3" xfId="13594"/>
    <cellStyle name="20% - Accent3 4 2 2 5 2 4" xfId="13595"/>
    <cellStyle name="20% - Accent3 4 2 2 5 2 4 2" xfId="13596"/>
    <cellStyle name="20% - Accent3 4 2 2 5 2 5" xfId="13597"/>
    <cellStyle name="20% - Accent3 4 2 2 5 2 6" xfId="13598"/>
    <cellStyle name="20% - Accent3 4 2 2 5 3" xfId="13599"/>
    <cellStyle name="20% - Accent3 4 2 2 5 3 2" xfId="13600"/>
    <cellStyle name="20% - Accent3 4 2 2 5 3 2 2" xfId="13601"/>
    <cellStyle name="20% - Accent3 4 2 2 5 3 2 3" xfId="13602"/>
    <cellStyle name="20% - Accent3 4 2 2 5 3 3" xfId="13603"/>
    <cellStyle name="20% - Accent3 4 2 2 5 3 3 2" xfId="13604"/>
    <cellStyle name="20% - Accent3 4 2 2 5 3 3 3" xfId="13605"/>
    <cellStyle name="20% - Accent3 4 2 2 5 3 4" xfId="13606"/>
    <cellStyle name="20% - Accent3 4 2 2 5 3 4 2" xfId="13607"/>
    <cellStyle name="20% - Accent3 4 2 2 5 3 5" xfId="13608"/>
    <cellStyle name="20% - Accent3 4 2 2 5 3 6" xfId="13609"/>
    <cellStyle name="20% - Accent3 4 2 2 5 4" xfId="13610"/>
    <cellStyle name="20% - Accent3 4 2 2 5 4 2" xfId="13611"/>
    <cellStyle name="20% - Accent3 4 2 2 5 4 2 2" xfId="13612"/>
    <cellStyle name="20% - Accent3 4 2 2 5 4 2 3" xfId="13613"/>
    <cellStyle name="20% - Accent3 4 2 2 5 4 3" xfId="13614"/>
    <cellStyle name="20% - Accent3 4 2 2 5 4 3 2" xfId="13615"/>
    <cellStyle name="20% - Accent3 4 2 2 5 4 4" xfId="13616"/>
    <cellStyle name="20% - Accent3 4 2 2 5 4 5" xfId="13617"/>
    <cellStyle name="20% - Accent3 4 2 2 5 5" xfId="13618"/>
    <cellStyle name="20% - Accent3 4 2 2 5 5 2" xfId="13619"/>
    <cellStyle name="20% - Accent3 4 2 2 5 5 3" xfId="13620"/>
    <cellStyle name="20% - Accent3 4 2 2 5 6" xfId="13621"/>
    <cellStyle name="20% - Accent3 4 2 2 5 6 2" xfId="13622"/>
    <cellStyle name="20% - Accent3 4 2 2 5 6 3" xfId="13623"/>
    <cellStyle name="20% - Accent3 4 2 2 5 7" xfId="13624"/>
    <cellStyle name="20% - Accent3 4 2 2 5 7 2" xfId="13625"/>
    <cellStyle name="20% - Accent3 4 2 2 5 8" xfId="13626"/>
    <cellStyle name="20% - Accent3 4 2 2 5 9" xfId="13627"/>
    <cellStyle name="20% - Accent3 4 2 2 6" xfId="13628"/>
    <cellStyle name="20% - Accent3 4 2 2 6 2" xfId="13629"/>
    <cellStyle name="20% - Accent3 4 2 2 6 2 2" xfId="13630"/>
    <cellStyle name="20% - Accent3 4 2 2 6 2 3" xfId="13631"/>
    <cellStyle name="20% - Accent3 4 2 2 6 3" xfId="13632"/>
    <cellStyle name="20% - Accent3 4 2 2 6 3 2" xfId="13633"/>
    <cellStyle name="20% - Accent3 4 2 2 6 3 3" xfId="13634"/>
    <cellStyle name="20% - Accent3 4 2 2 6 4" xfId="13635"/>
    <cellStyle name="20% - Accent3 4 2 2 6 4 2" xfId="13636"/>
    <cellStyle name="20% - Accent3 4 2 2 6 5" xfId="13637"/>
    <cellStyle name="20% - Accent3 4 2 2 6 6" xfId="13638"/>
    <cellStyle name="20% - Accent3 4 2 2 7" xfId="13639"/>
    <cellStyle name="20% - Accent3 4 2 2 7 2" xfId="13640"/>
    <cellStyle name="20% - Accent3 4 2 2 7 2 2" xfId="13641"/>
    <cellStyle name="20% - Accent3 4 2 2 7 2 3" xfId="13642"/>
    <cellStyle name="20% - Accent3 4 2 2 7 3" xfId="13643"/>
    <cellStyle name="20% - Accent3 4 2 2 7 3 2" xfId="13644"/>
    <cellStyle name="20% - Accent3 4 2 2 7 3 3" xfId="13645"/>
    <cellStyle name="20% - Accent3 4 2 2 7 4" xfId="13646"/>
    <cellStyle name="20% - Accent3 4 2 2 7 4 2" xfId="13647"/>
    <cellStyle name="20% - Accent3 4 2 2 7 5" xfId="13648"/>
    <cellStyle name="20% - Accent3 4 2 2 7 6" xfId="13649"/>
    <cellStyle name="20% - Accent3 4 2 2 8" xfId="13650"/>
    <cellStyle name="20% - Accent3 4 2 2 8 2" xfId="13651"/>
    <cellStyle name="20% - Accent3 4 2 2 8 2 2" xfId="13652"/>
    <cellStyle name="20% - Accent3 4 2 2 8 2 3" xfId="13653"/>
    <cellStyle name="20% - Accent3 4 2 2 8 3" xfId="13654"/>
    <cellStyle name="20% - Accent3 4 2 2 8 3 2" xfId="13655"/>
    <cellStyle name="20% - Accent3 4 2 2 8 4" xfId="13656"/>
    <cellStyle name="20% - Accent3 4 2 2 8 5" xfId="13657"/>
    <cellStyle name="20% - Accent3 4 2 2 9" xfId="13658"/>
    <cellStyle name="20% - Accent3 4 2 2 9 2" xfId="13659"/>
    <cellStyle name="20% - Accent3 4 2 2 9 3" xfId="13660"/>
    <cellStyle name="20% - Accent3 4 2 3" xfId="593"/>
    <cellStyle name="20% - Accent3 4 2 3 10" xfId="13661"/>
    <cellStyle name="20% - Accent3 4 2 3 10 2" xfId="13662"/>
    <cellStyle name="20% - Accent3 4 2 3 11" xfId="13663"/>
    <cellStyle name="20% - Accent3 4 2 3 12" xfId="13664"/>
    <cellStyle name="20% - Accent3 4 2 3 2" xfId="594"/>
    <cellStyle name="20% - Accent3 4 2 3 2 10" xfId="13665"/>
    <cellStyle name="20% - Accent3 4 2 3 2 2" xfId="595"/>
    <cellStyle name="20% - Accent3 4 2 3 2 2 2" xfId="13666"/>
    <cellStyle name="20% - Accent3 4 2 3 2 2 2 2" xfId="13667"/>
    <cellStyle name="20% - Accent3 4 2 3 2 2 2 2 2" xfId="13668"/>
    <cellStyle name="20% - Accent3 4 2 3 2 2 2 2 3" xfId="13669"/>
    <cellStyle name="20% - Accent3 4 2 3 2 2 2 3" xfId="13670"/>
    <cellStyle name="20% - Accent3 4 2 3 2 2 2 3 2" xfId="13671"/>
    <cellStyle name="20% - Accent3 4 2 3 2 2 2 3 3" xfId="13672"/>
    <cellStyle name="20% - Accent3 4 2 3 2 2 2 4" xfId="13673"/>
    <cellStyle name="20% - Accent3 4 2 3 2 2 2 4 2" xfId="13674"/>
    <cellStyle name="20% - Accent3 4 2 3 2 2 2 5" xfId="13675"/>
    <cellStyle name="20% - Accent3 4 2 3 2 2 2 6" xfId="13676"/>
    <cellStyle name="20% - Accent3 4 2 3 2 2 3" xfId="13677"/>
    <cellStyle name="20% - Accent3 4 2 3 2 2 3 2" xfId="13678"/>
    <cellStyle name="20% - Accent3 4 2 3 2 2 3 2 2" xfId="13679"/>
    <cellStyle name="20% - Accent3 4 2 3 2 2 3 2 3" xfId="13680"/>
    <cellStyle name="20% - Accent3 4 2 3 2 2 3 3" xfId="13681"/>
    <cellStyle name="20% - Accent3 4 2 3 2 2 3 3 2" xfId="13682"/>
    <cellStyle name="20% - Accent3 4 2 3 2 2 3 3 3" xfId="13683"/>
    <cellStyle name="20% - Accent3 4 2 3 2 2 3 4" xfId="13684"/>
    <cellStyle name="20% - Accent3 4 2 3 2 2 3 4 2" xfId="13685"/>
    <cellStyle name="20% - Accent3 4 2 3 2 2 3 5" xfId="13686"/>
    <cellStyle name="20% - Accent3 4 2 3 2 2 3 6" xfId="13687"/>
    <cellStyle name="20% - Accent3 4 2 3 2 2 4" xfId="13688"/>
    <cellStyle name="20% - Accent3 4 2 3 2 2 4 2" xfId="13689"/>
    <cellStyle name="20% - Accent3 4 2 3 2 2 4 2 2" xfId="13690"/>
    <cellStyle name="20% - Accent3 4 2 3 2 2 4 2 3" xfId="13691"/>
    <cellStyle name="20% - Accent3 4 2 3 2 2 4 3" xfId="13692"/>
    <cellStyle name="20% - Accent3 4 2 3 2 2 4 3 2" xfId="13693"/>
    <cellStyle name="20% - Accent3 4 2 3 2 2 4 4" xfId="13694"/>
    <cellStyle name="20% - Accent3 4 2 3 2 2 4 5" xfId="13695"/>
    <cellStyle name="20% - Accent3 4 2 3 2 2 5" xfId="13696"/>
    <cellStyle name="20% - Accent3 4 2 3 2 2 5 2" xfId="13697"/>
    <cellStyle name="20% - Accent3 4 2 3 2 2 5 3" xfId="13698"/>
    <cellStyle name="20% - Accent3 4 2 3 2 2 6" xfId="13699"/>
    <cellStyle name="20% - Accent3 4 2 3 2 2 6 2" xfId="13700"/>
    <cellStyle name="20% - Accent3 4 2 3 2 2 6 3" xfId="13701"/>
    <cellStyle name="20% - Accent3 4 2 3 2 2 7" xfId="13702"/>
    <cellStyle name="20% - Accent3 4 2 3 2 2 7 2" xfId="13703"/>
    <cellStyle name="20% - Accent3 4 2 3 2 2 8" xfId="13704"/>
    <cellStyle name="20% - Accent3 4 2 3 2 2 9" xfId="13705"/>
    <cellStyle name="20% - Accent3 4 2 3 2 3" xfId="13706"/>
    <cellStyle name="20% - Accent3 4 2 3 2 3 2" xfId="13707"/>
    <cellStyle name="20% - Accent3 4 2 3 2 3 2 2" xfId="13708"/>
    <cellStyle name="20% - Accent3 4 2 3 2 3 2 3" xfId="13709"/>
    <cellStyle name="20% - Accent3 4 2 3 2 3 3" xfId="13710"/>
    <cellStyle name="20% - Accent3 4 2 3 2 3 3 2" xfId="13711"/>
    <cellStyle name="20% - Accent3 4 2 3 2 3 3 3" xfId="13712"/>
    <cellStyle name="20% - Accent3 4 2 3 2 3 4" xfId="13713"/>
    <cellStyle name="20% - Accent3 4 2 3 2 3 4 2" xfId="13714"/>
    <cellStyle name="20% - Accent3 4 2 3 2 3 5" xfId="13715"/>
    <cellStyle name="20% - Accent3 4 2 3 2 3 6" xfId="13716"/>
    <cellStyle name="20% - Accent3 4 2 3 2 4" xfId="13717"/>
    <cellStyle name="20% - Accent3 4 2 3 2 4 2" xfId="13718"/>
    <cellStyle name="20% - Accent3 4 2 3 2 4 2 2" xfId="13719"/>
    <cellStyle name="20% - Accent3 4 2 3 2 4 2 3" xfId="13720"/>
    <cellStyle name="20% - Accent3 4 2 3 2 4 3" xfId="13721"/>
    <cellStyle name="20% - Accent3 4 2 3 2 4 3 2" xfId="13722"/>
    <cellStyle name="20% - Accent3 4 2 3 2 4 3 3" xfId="13723"/>
    <cellStyle name="20% - Accent3 4 2 3 2 4 4" xfId="13724"/>
    <cellStyle name="20% - Accent3 4 2 3 2 4 4 2" xfId="13725"/>
    <cellStyle name="20% - Accent3 4 2 3 2 4 5" xfId="13726"/>
    <cellStyle name="20% - Accent3 4 2 3 2 4 6" xfId="13727"/>
    <cellStyle name="20% - Accent3 4 2 3 2 5" xfId="13728"/>
    <cellStyle name="20% - Accent3 4 2 3 2 5 2" xfId="13729"/>
    <cellStyle name="20% - Accent3 4 2 3 2 5 2 2" xfId="13730"/>
    <cellStyle name="20% - Accent3 4 2 3 2 5 2 3" xfId="13731"/>
    <cellStyle name="20% - Accent3 4 2 3 2 5 3" xfId="13732"/>
    <cellStyle name="20% - Accent3 4 2 3 2 5 3 2" xfId="13733"/>
    <cellStyle name="20% - Accent3 4 2 3 2 5 4" xfId="13734"/>
    <cellStyle name="20% - Accent3 4 2 3 2 5 5" xfId="13735"/>
    <cellStyle name="20% - Accent3 4 2 3 2 6" xfId="13736"/>
    <cellStyle name="20% - Accent3 4 2 3 2 6 2" xfId="13737"/>
    <cellStyle name="20% - Accent3 4 2 3 2 6 3" xfId="13738"/>
    <cellStyle name="20% - Accent3 4 2 3 2 7" xfId="13739"/>
    <cellStyle name="20% - Accent3 4 2 3 2 7 2" xfId="13740"/>
    <cellStyle name="20% - Accent3 4 2 3 2 7 3" xfId="13741"/>
    <cellStyle name="20% - Accent3 4 2 3 2 8" xfId="13742"/>
    <cellStyle name="20% - Accent3 4 2 3 2 8 2" xfId="13743"/>
    <cellStyle name="20% - Accent3 4 2 3 2 9" xfId="13744"/>
    <cellStyle name="20% - Accent3 4 2 3 3" xfId="596"/>
    <cellStyle name="20% - Accent3 4 2 3 3 2" xfId="13745"/>
    <cellStyle name="20% - Accent3 4 2 3 3 2 2" xfId="13746"/>
    <cellStyle name="20% - Accent3 4 2 3 3 2 2 2" xfId="13747"/>
    <cellStyle name="20% - Accent3 4 2 3 3 2 2 3" xfId="13748"/>
    <cellStyle name="20% - Accent3 4 2 3 3 2 3" xfId="13749"/>
    <cellStyle name="20% - Accent3 4 2 3 3 2 3 2" xfId="13750"/>
    <cellStyle name="20% - Accent3 4 2 3 3 2 3 3" xfId="13751"/>
    <cellStyle name="20% - Accent3 4 2 3 3 2 4" xfId="13752"/>
    <cellStyle name="20% - Accent3 4 2 3 3 2 4 2" xfId="13753"/>
    <cellStyle name="20% - Accent3 4 2 3 3 2 5" xfId="13754"/>
    <cellStyle name="20% - Accent3 4 2 3 3 2 6" xfId="13755"/>
    <cellStyle name="20% - Accent3 4 2 3 3 3" xfId="13756"/>
    <cellStyle name="20% - Accent3 4 2 3 3 3 2" xfId="13757"/>
    <cellStyle name="20% - Accent3 4 2 3 3 3 2 2" xfId="13758"/>
    <cellStyle name="20% - Accent3 4 2 3 3 3 2 3" xfId="13759"/>
    <cellStyle name="20% - Accent3 4 2 3 3 3 3" xfId="13760"/>
    <cellStyle name="20% - Accent3 4 2 3 3 3 3 2" xfId="13761"/>
    <cellStyle name="20% - Accent3 4 2 3 3 3 3 3" xfId="13762"/>
    <cellStyle name="20% - Accent3 4 2 3 3 3 4" xfId="13763"/>
    <cellStyle name="20% - Accent3 4 2 3 3 3 4 2" xfId="13764"/>
    <cellStyle name="20% - Accent3 4 2 3 3 3 5" xfId="13765"/>
    <cellStyle name="20% - Accent3 4 2 3 3 3 6" xfId="13766"/>
    <cellStyle name="20% - Accent3 4 2 3 3 4" xfId="13767"/>
    <cellStyle name="20% - Accent3 4 2 3 3 4 2" xfId="13768"/>
    <cellStyle name="20% - Accent3 4 2 3 3 4 2 2" xfId="13769"/>
    <cellStyle name="20% - Accent3 4 2 3 3 4 2 3" xfId="13770"/>
    <cellStyle name="20% - Accent3 4 2 3 3 4 3" xfId="13771"/>
    <cellStyle name="20% - Accent3 4 2 3 3 4 3 2" xfId="13772"/>
    <cellStyle name="20% - Accent3 4 2 3 3 4 4" xfId="13773"/>
    <cellStyle name="20% - Accent3 4 2 3 3 4 5" xfId="13774"/>
    <cellStyle name="20% - Accent3 4 2 3 3 5" xfId="13775"/>
    <cellStyle name="20% - Accent3 4 2 3 3 5 2" xfId="13776"/>
    <cellStyle name="20% - Accent3 4 2 3 3 5 3" xfId="13777"/>
    <cellStyle name="20% - Accent3 4 2 3 3 6" xfId="13778"/>
    <cellStyle name="20% - Accent3 4 2 3 3 6 2" xfId="13779"/>
    <cellStyle name="20% - Accent3 4 2 3 3 6 3" xfId="13780"/>
    <cellStyle name="20% - Accent3 4 2 3 3 7" xfId="13781"/>
    <cellStyle name="20% - Accent3 4 2 3 3 7 2" xfId="13782"/>
    <cellStyle name="20% - Accent3 4 2 3 3 8" xfId="13783"/>
    <cellStyle name="20% - Accent3 4 2 3 3 9" xfId="13784"/>
    <cellStyle name="20% - Accent3 4 2 3 4" xfId="13785"/>
    <cellStyle name="20% - Accent3 4 2 3 4 2" xfId="13786"/>
    <cellStyle name="20% - Accent3 4 2 3 4 2 2" xfId="13787"/>
    <cellStyle name="20% - Accent3 4 2 3 4 2 2 2" xfId="13788"/>
    <cellStyle name="20% - Accent3 4 2 3 4 2 2 3" xfId="13789"/>
    <cellStyle name="20% - Accent3 4 2 3 4 2 3" xfId="13790"/>
    <cellStyle name="20% - Accent3 4 2 3 4 2 3 2" xfId="13791"/>
    <cellStyle name="20% - Accent3 4 2 3 4 2 3 3" xfId="13792"/>
    <cellStyle name="20% - Accent3 4 2 3 4 2 4" xfId="13793"/>
    <cellStyle name="20% - Accent3 4 2 3 4 2 4 2" xfId="13794"/>
    <cellStyle name="20% - Accent3 4 2 3 4 2 5" xfId="13795"/>
    <cellStyle name="20% - Accent3 4 2 3 4 2 6" xfId="13796"/>
    <cellStyle name="20% - Accent3 4 2 3 4 3" xfId="13797"/>
    <cellStyle name="20% - Accent3 4 2 3 4 3 2" xfId="13798"/>
    <cellStyle name="20% - Accent3 4 2 3 4 3 2 2" xfId="13799"/>
    <cellStyle name="20% - Accent3 4 2 3 4 3 2 3" xfId="13800"/>
    <cellStyle name="20% - Accent3 4 2 3 4 3 3" xfId="13801"/>
    <cellStyle name="20% - Accent3 4 2 3 4 3 3 2" xfId="13802"/>
    <cellStyle name="20% - Accent3 4 2 3 4 3 3 3" xfId="13803"/>
    <cellStyle name="20% - Accent3 4 2 3 4 3 4" xfId="13804"/>
    <cellStyle name="20% - Accent3 4 2 3 4 3 4 2" xfId="13805"/>
    <cellStyle name="20% - Accent3 4 2 3 4 3 5" xfId="13806"/>
    <cellStyle name="20% - Accent3 4 2 3 4 3 6" xfId="13807"/>
    <cellStyle name="20% - Accent3 4 2 3 4 4" xfId="13808"/>
    <cellStyle name="20% - Accent3 4 2 3 4 4 2" xfId="13809"/>
    <cellStyle name="20% - Accent3 4 2 3 4 4 2 2" xfId="13810"/>
    <cellStyle name="20% - Accent3 4 2 3 4 4 2 3" xfId="13811"/>
    <cellStyle name="20% - Accent3 4 2 3 4 4 3" xfId="13812"/>
    <cellStyle name="20% - Accent3 4 2 3 4 4 3 2" xfId="13813"/>
    <cellStyle name="20% - Accent3 4 2 3 4 4 4" xfId="13814"/>
    <cellStyle name="20% - Accent3 4 2 3 4 4 5" xfId="13815"/>
    <cellStyle name="20% - Accent3 4 2 3 4 5" xfId="13816"/>
    <cellStyle name="20% - Accent3 4 2 3 4 5 2" xfId="13817"/>
    <cellStyle name="20% - Accent3 4 2 3 4 5 3" xfId="13818"/>
    <cellStyle name="20% - Accent3 4 2 3 4 6" xfId="13819"/>
    <cellStyle name="20% - Accent3 4 2 3 4 6 2" xfId="13820"/>
    <cellStyle name="20% - Accent3 4 2 3 4 6 3" xfId="13821"/>
    <cellStyle name="20% - Accent3 4 2 3 4 7" xfId="13822"/>
    <cellStyle name="20% - Accent3 4 2 3 4 7 2" xfId="13823"/>
    <cellStyle name="20% - Accent3 4 2 3 4 8" xfId="13824"/>
    <cellStyle name="20% - Accent3 4 2 3 4 9" xfId="13825"/>
    <cellStyle name="20% - Accent3 4 2 3 5" xfId="13826"/>
    <cellStyle name="20% - Accent3 4 2 3 5 2" xfId="13827"/>
    <cellStyle name="20% - Accent3 4 2 3 5 2 2" xfId="13828"/>
    <cellStyle name="20% - Accent3 4 2 3 5 2 3" xfId="13829"/>
    <cellStyle name="20% - Accent3 4 2 3 5 3" xfId="13830"/>
    <cellStyle name="20% - Accent3 4 2 3 5 3 2" xfId="13831"/>
    <cellStyle name="20% - Accent3 4 2 3 5 3 3" xfId="13832"/>
    <cellStyle name="20% - Accent3 4 2 3 5 4" xfId="13833"/>
    <cellStyle name="20% - Accent3 4 2 3 5 4 2" xfId="13834"/>
    <cellStyle name="20% - Accent3 4 2 3 5 5" xfId="13835"/>
    <cellStyle name="20% - Accent3 4 2 3 5 6" xfId="13836"/>
    <cellStyle name="20% - Accent3 4 2 3 6" xfId="13837"/>
    <cellStyle name="20% - Accent3 4 2 3 6 2" xfId="13838"/>
    <cellStyle name="20% - Accent3 4 2 3 6 2 2" xfId="13839"/>
    <cellStyle name="20% - Accent3 4 2 3 6 2 3" xfId="13840"/>
    <cellStyle name="20% - Accent3 4 2 3 6 3" xfId="13841"/>
    <cellStyle name="20% - Accent3 4 2 3 6 3 2" xfId="13842"/>
    <cellStyle name="20% - Accent3 4 2 3 6 3 3" xfId="13843"/>
    <cellStyle name="20% - Accent3 4 2 3 6 4" xfId="13844"/>
    <cellStyle name="20% - Accent3 4 2 3 6 4 2" xfId="13845"/>
    <cellStyle name="20% - Accent3 4 2 3 6 5" xfId="13846"/>
    <cellStyle name="20% - Accent3 4 2 3 6 6" xfId="13847"/>
    <cellStyle name="20% - Accent3 4 2 3 7" xfId="13848"/>
    <cellStyle name="20% - Accent3 4 2 3 7 2" xfId="13849"/>
    <cellStyle name="20% - Accent3 4 2 3 7 2 2" xfId="13850"/>
    <cellStyle name="20% - Accent3 4 2 3 7 2 3" xfId="13851"/>
    <cellStyle name="20% - Accent3 4 2 3 7 3" xfId="13852"/>
    <cellStyle name="20% - Accent3 4 2 3 7 3 2" xfId="13853"/>
    <cellStyle name="20% - Accent3 4 2 3 7 4" xfId="13854"/>
    <cellStyle name="20% - Accent3 4 2 3 7 5" xfId="13855"/>
    <cellStyle name="20% - Accent3 4 2 3 8" xfId="13856"/>
    <cellStyle name="20% - Accent3 4 2 3 8 2" xfId="13857"/>
    <cellStyle name="20% - Accent3 4 2 3 8 3" xfId="13858"/>
    <cellStyle name="20% - Accent3 4 2 3 9" xfId="13859"/>
    <cellStyle name="20% - Accent3 4 2 3 9 2" xfId="13860"/>
    <cellStyle name="20% - Accent3 4 2 3 9 3" xfId="13861"/>
    <cellStyle name="20% - Accent3 4 2 4" xfId="597"/>
    <cellStyle name="20% - Accent3 4 2 4 10" xfId="13862"/>
    <cellStyle name="20% - Accent3 4 2 4 2" xfId="598"/>
    <cellStyle name="20% - Accent3 4 2 4 2 2" xfId="13863"/>
    <cellStyle name="20% - Accent3 4 2 4 2 2 2" xfId="13864"/>
    <cellStyle name="20% - Accent3 4 2 4 2 2 2 2" xfId="13865"/>
    <cellStyle name="20% - Accent3 4 2 4 2 2 2 3" xfId="13866"/>
    <cellStyle name="20% - Accent3 4 2 4 2 2 3" xfId="13867"/>
    <cellStyle name="20% - Accent3 4 2 4 2 2 3 2" xfId="13868"/>
    <cellStyle name="20% - Accent3 4 2 4 2 2 3 3" xfId="13869"/>
    <cellStyle name="20% - Accent3 4 2 4 2 2 4" xfId="13870"/>
    <cellStyle name="20% - Accent3 4 2 4 2 2 4 2" xfId="13871"/>
    <cellStyle name="20% - Accent3 4 2 4 2 2 5" xfId="13872"/>
    <cellStyle name="20% - Accent3 4 2 4 2 2 6" xfId="13873"/>
    <cellStyle name="20% - Accent3 4 2 4 2 3" xfId="13874"/>
    <cellStyle name="20% - Accent3 4 2 4 2 3 2" xfId="13875"/>
    <cellStyle name="20% - Accent3 4 2 4 2 3 2 2" xfId="13876"/>
    <cellStyle name="20% - Accent3 4 2 4 2 3 2 3" xfId="13877"/>
    <cellStyle name="20% - Accent3 4 2 4 2 3 3" xfId="13878"/>
    <cellStyle name="20% - Accent3 4 2 4 2 3 3 2" xfId="13879"/>
    <cellStyle name="20% - Accent3 4 2 4 2 3 3 3" xfId="13880"/>
    <cellStyle name="20% - Accent3 4 2 4 2 3 4" xfId="13881"/>
    <cellStyle name="20% - Accent3 4 2 4 2 3 4 2" xfId="13882"/>
    <cellStyle name="20% - Accent3 4 2 4 2 3 5" xfId="13883"/>
    <cellStyle name="20% - Accent3 4 2 4 2 3 6" xfId="13884"/>
    <cellStyle name="20% - Accent3 4 2 4 2 4" xfId="13885"/>
    <cellStyle name="20% - Accent3 4 2 4 2 4 2" xfId="13886"/>
    <cellStyle name="20% - Accent3 4 2 4 2 4 2 2" xfId="13887"/>
    <cellStyle name="20% - Accent3 4 2 4 2 4 2 3" xfId="13888"/>
    <cellStyle name="20% - Accent3 4 2 4 2 4 3" xfId="13889"/>
    <cellStyle name="20% - Accent3 4 2 4 2 4 3 2" xfId="13890"/>
    <cellStyle name="20% - Accent3 4 2 4 2 4 4" xfId="13891"/>
    <cellStyle name="20% - Accent3 4 2 4 2 4 5" xfId="13892"/>
    <cellStyle name="20% - Accent3 4 2 4 2 5" xfId="13893"/>
    <cellStyle name="20% - Accent3 4 2 4 2 5 2" xfId="13894"/>
    <cellStyle name="20% - Accent3 4 2 4 2 5 3" xfId="13895"/>
    <cellStyle name="20% - Accent3 4 2 4 2 6" xfId="13896"/>
    <cellStyle name="20% - Accent3 4 2 4 2 6 2" xfId="13897"/>
    <cellStyle name="20% - Accent3 4 2 4 2 6 3" xfId="13898"/>
    <cellStyle name="20% - Accent3 4 2 4 2 7" xfId="13899"/>
    <cellStyle name="20% - Accent3 4 2 4 2 7 2" xfId="13900"/>
    <cellStyle name="20% - Accent3 4 2 4 2 8" xfId="13901"/>
    <cellStyle name="20% - Accent3 4 2 4 2 9" xfId="13902"/>
    <cellStyle name="20% - Accent3 4 2 4 3" xfId="13903"/>
    <cellStyle name="20% - Accent3 4 2 4 3 2" xfId="13904"/>
    <cellStyle name="20% - Accent3 4 2 4 3 2 2" xfId="13905"/>
    <cellStyle name="20% - Accent3 4 2 4 3 2 3" xfId="13906"/>
    <cellStyle name="20% - Accent3 4 2 4 3 3" xfId="13907"/>
    <cellStyle name="20% - Accent3 4 2 4 3 3 2" xfId="13908"/>
    <cellStyle name="20% - Accent3 4 2 4 3 3 3" xfId="13909"/>
    <cellStyle name="20% - Accent3 4 2 4 3 4" xfId="13910"/>
    <cellStyle name="20% - Accent3 4 2 4 3 4 2" xfId="13911"/>
    <cellStyle name="20% - Accent3 4 2 4 3 5" xfId="13912"/>
    <cellStyle name="20% - Accent3 4 2 4 3 6" xfId="13913"/>
    <cellStyle name="20% - Accent3 4 2 4 4" xfId="13914"/>
    <cellStyle name="20% - Accent3 4 2 4 4 2" xfId="13915"/>
    <cellStyle name="20% - Accent3 4 2 4 4 2 2" xfId="13916"/>
    <cellStyle name="20% - Accent3 4 2 4 4 2 3" xfId="13917"/>
    <cellStyle name="20% - Accent3 4 2 4 4 3" xfId="13918"/>
    <cellStyle name="20% - Accent3 4 2 4 4 3 2" xfId="13919"/>
    <cellStyle name="20% - Accent3 4 2 4 4 3 3" xfId="13920"/>
    <cellStyle name="20% - Accent3 4 2 4 4 4" xfId="13921"/>
    <cellStyle name="20% - Accent3 4 2 4 4 4 2" xfId="13922"/>
    <cellStyle name="20% - Accent3 4 2 4 4 5" xfId="13923"/>
    <cellStyle name="20% - Accent3 4 2 4 4 6" xfId="13924"/>
    <cellStyle name="20% - Accent3 4 2 4 5" xfId="13925"/>
    <cellStyle name="20% - Accent3 4 2 4 5 2" xfId="13926"/>
    <cellStyle name="20% - Accent3 4 2 4 5 2 2" xfId="13927"/>
    <cellStyle name="20% - Accent3 4 2 4 5 2 3" xfId="13928"/>
    <cellStyle name="20% - Accent3 4 2 4 5 3" xfId="13929"/>
    <cellStyle name="20% - Accent3 4 2 4 5 3 2" xfId="13930"/>
    <cellStyle name="20% - Accent3 4 2 4 5 4" xfId="13931"/>
    <cellStyle name="20% - Accent3 4 2 4 5 5" xfId="13932"/>
    <cellStyle name="20% - Accent3 4 2 4 6" xfId="13933"/>
    <cellStyle name="20% - Accent3 4 2 4 6 2" xfId="13934"/>
    <cellStyle name="20% - Accent3 4 2 4 6 3" xfId="13935"/>
    <cellStyle name="20% - Accent3 4 2 4 7" xfId="13936"/>
    <cellStyle name="20% - Accent3 4 2 4 7 2" xfId="13937"/>
    <cellStyle name="20% - Accent3 4 2 4 7 3" xfId="13938"/>
    <cellStyle name="20% - Accent3 4 2 4 8" xfId="13939"/>
    <cellStyle name="20% - Accent3 4 2 4 8 2" xfId="13940"/>
    <cellStyle name="20% - Accent3 4 2 4 9" xfId="13941"/>
    <cellStyle name="20% - Accent3 4 2 5" xfId="599"/>
    <cellStyle name="20% - Accent3 4 2 5 2" xfId="13942"/>
    <cellStyle name="20% - Accent3 4 2 5 2 2" xfId="13943"/>
    <cellStyle name="20% - Accent3 4 2 5 2 2 2" xfId="13944"/>
    <cellStyle name="20% - Accent3 4 2 5 2 2 3" xfId="13945"/>
    <cellStyle name="20% - Accent3 4 2 5 2 3" xfId="13946"/>
    <cellStyle name="20% - Accent3 4 2 5 2 3 2" xfId="13947"/>
    <cellStyle name="20% - Accent3 4 2 5 2 3 3" xfId="13948"/>
    <cellStyle name="20% - Accent3 4 2 5 2 4" xfId="13949"/>
    <cellStyle name="20% - Accent3 4 2 5 2 4 2" xfId="13950"/>
    <cellStyle name="20% - Accent3 4 2 5 2 5" xfId="13951"/>
    <cellStyle name="20% - Accent3 4 2 5 2 6" xfId="13952"/>
    <cellStyle name="20% - Accent3 4 2 5 3" xfId="13953"/>
    <cellStyle name="20% - Accent3 4 2 5 3 2" xfId="13954"/>
    <cellStyle name="20% - Accent3 4 2 5 3 2 2" xfId="13955"/>
    <cellStyle name="20% - Accent3 4 2 5 3 2 3" xfId="13956"/>
    <cellStyle name="20% - Accent3 4 2 5 3 3" xfId="13957"/>
    <cellStyle name="20% - Accent3 4 2 5 3 3 2" xfId="13958"/>
    <cellStyle name="20% - Accent3 4 2 5 3 3 3" xfId="13959"/>
    <cellStyle name="20% - Accent3 4 2 5 3 4" xfId="13960"/>
    <cellStyle name="20% - Accent3 4 2 5 3 4 2" xfId="13961"/>
    <cellStyle name="20% - Accent3 4 2 5 3 5" xfId="13962"/>
    <cellStyle name="20% - Accent3 4 2 5 3 6" xfId="13963"/>
    <cellStyle name="20% - Accent3 4 2 5 4" xfId="13964"/>
    <cellStyle name="20% - Accent3 4 2 5 4 2" xfId="13965"/>
    <cellStyle name="20% - Accent3 4 2 5 4 2 2" xfId="13966"/>
    <cellStyle name="20% - Accent3 4 2 5 4 2 3" xfId="13967"/>
    <cellStyle name="20% - Accent3 4 2 5 4 3" xfId="13968"/>
    <cellStyle name="20% - Accent3 4 2 5 4 3 2" xfId="13969"/>
    <cellStyle name="20% - Accent3 4 2 5 4 4" xfId="13970"/>
    <cellStyle name="20% - Accent3 4 2 5 4 5" xfId="13971"/>
    <cellStyle name="20% - Accent3 4 2 5 5" xfId="13972"/>
    <cellStyle name="20% - Accent3 4 2 5 5 2" xfId="13973"/>
    <cellStyle name="20% - Accent3 4 2 5 5 3" xfId="13974"/>
    <cellStyle name="20% - Accent3 4 2 5 6" xfId="13975"/>
    <cellStyle name="20% - Accent3 4 2 5 6 2" xfId="13976"/>
    <cellStyle name="20% - Accent3 4 2 5 6 3" xfId="13977"/>
    <cellStyle name="20% - Accent3 4 2 5 7" xfId="13978"/>
    <cellStyle name="20% - Accent3 4 2 5 7 2" xfId="13979"/>
    <cellStyle name="20% - Accent3 4 2 5 8" xfId="13980"/>
    <cellStyle name="20% - Accent3 4 2 5 9" xfId="13981"/>
    <cellStyle name="20% - Accent3 4 2 6" xfId="13982"/>
    <cellStyle name="20% - Accent3 4 2 6 2" xfId="13983"/>
    <cellStyle name="20% - Accent3 4 2 6 2 2" xfId="13984"/>
    <cellStyle name="20% - Accent3 4 2 6 2 2 2" xfId="13985"/>
    <cellStyle name="20% - Accent3 4 2 6 2 2 3" xfId="13986"/>
    <cellStyle name="20% - Accent3 4 2 6 2 3" xfId="13987"/>
    <cellStyle name="20% - Accent3 4 2 6 2 3 2" xfId="13988"/>
    <cellStyle name="20% - Accent3 4 2 6 2 3 3" xfId="13989"/>
    <cellStyle name="20% - Accent3 4 2 6 2 4" xfId="13990"/>
    <cellStyle name="20% - Accent3 4 2 6 2 4 2" xfId="13991"/>
    <cellStyle name="20% - Accent3 4 2 6 2 5" xfId="13992"/>
    <cellStyle name="20% - Accent3 4 2 6 2 6" xfId="13993"/>
    <cellStyle name="20% - Accent3 4 2 6 3" xfId="13994"/>
    <cellStyle name="20% - Accent3 4 2 6 3 2" xfId="13995"/>
    <cellStyle name="20% - Accent3 4 2 6 3 2 2" xfId="13996"/>
    <cellStyle name="20% - Accent3 4 2 6 3 2 3" xfId="13997"/>
    <cellStyle name="20% - Accent3 4 2 6 3 3" xfId="13998"/>
    <cellStyle name="20% - Accent3 4 2 6 3 3 2" xfId="13999"/>
    <cellStyle name="20% - Accent3 4 2 6 3 3 3" xfId="14000"/>
    <cellStyle name="20% - Accent3 4 2 6 3 4" xfId="14001"/>
    <cellStyle name="20% - Accent3 4 2 6 3 4 2" xfId="14002"/>
    <cellStyle name="20% - Accent3 4 2 6 3 5" xfId="14003"/>
    <cellStyle name="20% - Accent3 4 2 6 3 6" xfId="14004"/>
    <cellStyle name="20% - Accent3 4 2 6 4" xfId="14005"/>
    <cellStyle name="20% - Accent3 4 2 6 4 2" xfId="14006"/>
    <cellStyle name="20% - Accent3 4 2 6 4 2 2" xfId="14007"/>
    <cellStyle name="20% - Accent3 4 2 6 4 2 3" xfId="14008"/>
    <cellStyle name="20% - Accent3 4 2 6 4 3" xfId="14009"/>
    <cellStyle name="20% - Accent3 4 2 6 4 3 2" xfId="14010"/>
    <cellStyle name="20% - Accent3 4 2 6 4 4" xfId="14011"/>
    <cellStyle name="20% - Accent3 4 2 6 4 5" xfId="14012"/>
    <cellStyle name="20% - Accent3 4 2 6 5" xfId="14013"/>
    <cellStyle name="20% - Accent3 4 2 6 5 2" xfId="14014"/>
    <cellStyle name="20% - Accent3 4 2 6 5 3" xfId="14015"/>
    <cellStyle name="20% - Accent3 4 2 6 6" xfId="14016"/>
    <cellStyle name="20% - Accent3 4 2 6 6 2" xfId="14017"/>
    <cellStyle name="20% - Accent3 4 2 6 6 3" xfId="14018"/>
    <cellStyle name="20% - Accent3 4 2 6 7" xfId="14019"/>
    <cellStyle name="20% - Accent3 4 2 6 7 2" xfId="14020"/>
    <cellStyle name="20% - Accent3 4 2 6 8" xfId="14021"/>
    <cellStyle name="20% - Accent3 4 2 6 9" xfId="14022"/>
    <cellStyle name="20% - Accent3 4 2 7" xfId="14023"/>
    <cellStyle name="20% - Accent3 4 2 7 2" xfId="14024"/>
    <cellStyle name="20% - Accent3 4 2 7 2 2" xfId="14025"/>
    <cellStyle name="20% - Accent3 4 2 7 2 3" xfId="14026"/>
    <cellStyle name="20% - Accent3 4 2 7 3" xfId="14027"/>
    <cellStyle name="20% - Accent3 4 2 7 3 2" xfId="14028"/>
    <cellStyle name="20% - Accent3 4 2 7 3 3" xfId="14029"/>
    <cellStyle name="20% - Accent3 4 2 7 4" xfId="14030"/>
    <cellStyle name="20% - Accent3 4 2 7 4 2" xfId="14031"/>
    <cellStyle name="20% - Accent3 4 2 7 5" xfId="14032"/>
    <cellStyle name="20% - Accent3 4 2 7 6" xfId="14033"/>
    <cellStyle name="20% - Accent3 4 2 8" xfId="14034"/>
    <cellStyle name="20% - Accent3 4 2 8 2" xfId="14035"/>
    <cellStyle name="20% - Accent3 4 2 8 2 2" xfId="14036"/>
    <cellStyle name="20% - Accent3 4 2 8 2 3" xfId="14037"/>
    <cellStyle name="20% - Accent3 4 2 8 3" xfId="14038"/>
    <cellStyle name="20% - Accent3 4 2 8 3 2" xfId="14039"/>
    <cellStyle name="20% - Accent3 4 2 8 3 3" xfId="14040"/>
    <cellStyle name="20% - Accent3 4 2 8 4" xfId="14041"/>
    <cellStyle name="20% - Accent3 4 2 8 4 2" xfId="14042"/>
    <cellStyle name="20% - Accent3 4 2 8 5" xfId="14043"/>
    <cellStyle name="20% - Accent3 4 2 8 6" xfId="14044"/>
    <cellStyle name="20% - Accent3 4 2 9" xfId="14045"/>
    <cellStyle name="20% - Accent3 4 2 9 2" xfId="14046"/>
    <cellStyle name="20% - Accent3 4 2 9 2 2" xfId="14047"/>
    <cellStyle name="20% - Accent3 4 2 9 2 3" xfId="14048"/>
    <cellStyle name="20% - Accent3 4 2 9 3" xfId="14049"/>
    <cellStyle name="20% - Accent3 4 2 9 3 2" xfId="14050"/>
    <cellStyle name="20% - Accent3 4 2 9 4" xfId="14051"/>
    <cellStyle name="20% - Accent3 4 2 9 5" xfId="14052"/>
    <cellStyle name="20% - Accent3 4 3" xfId="600"/>
    <cellStyle name="20% - Accent3 4 3 10" xfId="14053"/>
    <cellStyle name="20% - Accent3 4 3 10 2" xfId="14054"/>
    <cellStyle name="20% - Accent3 4 3 10 3" xfId="14055"/>
    <cellStyle name="20% - Accent3 4 3 11" xfId="14056"/>
    <cellStyle name="20% - Accent3 4 3 11 2" xfId="14057"/>
    <cellStyle name="20% - Accent3 4 3 12" xfId="14058"/>
    <cellStyle name="20% - Accent3 4 3 13" xfId="14059"/>
    <cellStyle name="20% - Accent3 4 3 14" xfId="14060"/>
    <cellStyle name="20% - Accent3 4 3 2" xfId="601"/>
    <cellStyle name="20% - Accent3 4 3 2 10" xfId="14061"/>
    <cellStyle name="20% - Accent3 4 3 2 10 2" xfId="14062"/>
    <cellStyle name="20% - Accent3 4 3 2 11" xfId="14063"/>
    <cellStyle name="20% - Accent3 4 3 2 12" xfId="14064"/>
    <cellStyle name="20% - Accent3 4 3 2 2" xfId="602"/>
    <cellStyle name="20% - Accent3 4 3 2 2 10" xfId="14065"/>
    <cellStyle name="20% - Accent3 4 3 2 2 2" xfId="603"/>
    <cellStyle name="20% - Accent3 4 3 2 2 2 2" xfId="14066"/>
    <cellStyle name="20% - Accent3 4 3 2 2 2 2 2" xfId="14067"/>
    <cellStyle name="20% - Accent3 4 3 2 2 2 2 2 2" xfId="14068"/>
    <cellStyle name="20% - Accent3 4 3 2 2 2 2 2 3" xfId="14069"/>
    <cellStyle name="20% - Accent3 4 3 2 2 2 2 3" xfId="14070"/>
    <cellStyle name="20% - Accent3 4 3 2 2 2 2 3 2" xfId="14071"/>
    <cellStyle name="20% - Accent3 4 3 2 2 2 2 3 3" xfId="14072"/>
    <cellStyle name="20% - Accent3 4 3 2 2 2 2 4" xfId="14073"/>
    <cellStyle name="20% - Accent3 4 3 2 2 2 2 4 2" xfId="14074"/>
    <cellStyle name="20% - Accent3 4 3 2 2 2 2 5" xfId="14075"/>
    <cellStyle name="20% - Accent3 4 3 2 2 2 2 6" xfId="14076"/>
    <cellStyle name="20% - Accent3 4 3 2 2 2 3" xfId="14077"/>
    <cellStyle name="20% - Accent3 4 3 2 2 2 3 2" xfId="14078"/>
    <cellStyle name="20% - Accent3 4 3 2 2 2 3 2 2" xfId="14079"/>
    <cellStyle name="20% - Accent3 4 3 2 2 2 3 2 3" xfId="14080"/>
    <cellStyle name="20% - Accent3 4 3 2 2 2 3 3" xfId="14081"/>
    <cellStyle name="20% - Accent3 4 3 2 2 2 3 3 2" xfId="14082"/>
    <cellStyle name="20% - Accent3 4 3 2 2 2 3 3 3" xfId="14083"/>
    <cellStyle name="20% - Accent3 4 3 2 2 2 3 4" xfId="14084"/>
    <cellStyle name="20% - Accent3 4 3 2 2 2 3 4 2" xfId="14085"/>
    <cellStyle name="20% - Accent3 4 3 2 2 2 3 5" xfId="14086"/>
    <cellStyle name="20% - Accent3 4 3 2 2 2 3 6" xfId="14087"/>
    <cellStyle name="20% - Accent3 4 3 2 2 2 4" xfId="14088"/>
    <cellStyle name="20% - Accent3 4 3 2 2 2 4 2" xfId="14089"/>
    <cellStyle name="20% - Accent3 4 3 2 2 2 4 2 2" xfId="14090"/>
    <cellStyle name="20% - Accent3 4 3 2 2 2 4 2 3" xfId="14091"/>
    <cellStyle name="20% - Accent3 4 3 2 2 2 4 3" xfId="14092"/>
    <cellStyle name="20% - Accent3 4 3 2 2 2 4 3 2" xfId="14093"/>
    <cellStyle name="20% - Accent3 4 3 2 2 2 4 4" xfId="14094"/>
    <cellStyle name="20% - Accent3 4 3 2 2 2 4 5" xfId="14095"/>
    <cellStyle name="20% - Accent3 4 3 2 2 2 5" xfId="14096"/>
    <cellStyle name="20% - Accent3 4 3 2 2 2 5 2" xfId="14097"/>
    <cellStyle name="20% - Accent3 4 3 2 2 2 5 3" xfId="14098"/>
    <cellStyle name="20% - Accent3 4 3 2 2 2 6" xfId="14099"/>
    <cellStyle name="20% - Accent3 4 3 2 2 2 6 2" xfId="14100"/>
    <cellStyle name="20% - Accent3 4 3 2 2 2 6 3" xfId="14101"/>
    <cellStyle name="20% - Accent3 4 3 2 2 2 7" xfId="14102"/>
    <cellStyle name="20% - Accent3 4 3 2 2 2 7 2" xfId="14103"/>
    <cellStyle name="20% - Accent3 4 3 2 2 2 8" xfId="14104"/>
    <cellStyle name="20% - Accent3 4 3 2 2 2 9" xfId="14105"/>
    <cellStyle name="20% - Accent3 4 3 2 2 3" xfId="14106"/>
    <cellStyle name="20% - Accent3 4 3 2 2 3 2" xfId="14107"/>
    <cellStyle name="20% - Accent3 4 3 2 2 3 2 2" xfId="14108"/>
    <cellStyle name="20% - Accent3 4 3 2 2 3 2 3" xfId="14109"/>
    <cellStyle name="20% - Accent3 4 3 2 2 3 3" xfId="14110"/>
    <cellStyle name="20% - Accent3 4 3 2 2 3 3 2" xfId="14111"/>
    <cellStyle name="20% - Accent3 4 3 2 2 3 3 3" xfId="14112"/>
    <cellStyle name="20% - Accent3 4 3 2 2 3 4" xfId="14113"/>
    <cellStyle name="20% - Accent3 4 3 2 2 3 4 2" xfId="14114"/>
    <cellStyle name="20% - Accent3 4 3 2 2 3 5" xfId="14115"/>
    <cellStyle name="20% - Accent3 4 3 2 2 3 6" xfId="14116"/>
    <cellStyle name="20% - Accent3 4 3 2 2 4" xfId="14117"/>
    <cellStyle name="20% - Accent3 4 3 2 2 4 2" xfId="14118"/>
    <cellStyle name="20% - Accent3 4 3 2 2 4 2 2" xfId="14119"/>
    <cellStyle name="20% - Accent3 4 3 2 2 4 2 3" xfId="14120"/>
    <cellStyle name="20% - Accent3 4 3 2 2 4 3" xfId="14121"/>
    <cellStyle name="20% - Accent3 4 3 2 2 4 3 2" xfId="14122"/>
    <cellStyle name="20% - Accent3 4 3 2 2 4 3 3" xfId="14123"/>
    <cellStyle name="20% - Accent3 4 3 2 2 4 4" xfId="14124"/>
    <cellStyle name="20% - Accent3 4 3 2 2 4 4 2" xfId="14125"/>
    <cellStyle name="20% - Accent3 4 3 2 2 4 5" xfId="14126"/>
    <cellStyle name="20% - Accent3 4 3 2 2 4 6" xfId="14127"/>
    <cellStyle name="20% - Accent3 4 3 2 2 5" xfId="14128"/>
    <cellStyle name="20% - Accent3 4 3 2 2 5 2" xfId="14129"/>
    <cellStyle name="20% - Accent3 4 3 2 2 5 2 2" xfId="14130"/>
    <cellStyle name="20% - Accent3 4 3 2 2 5 2 3" xfId="14131"/>
    <cellStyle name="20% - Accent3 4 3 2 2 5 3" xfId="14132"/>
    <cellStyle name="20% - Accent3 4 3 2 2 5 3 2" xfId="14133"/>
    <cellStyle name="20% - Accent3 4 3 2 2 5 4" xfId="14134"/>
    <cellStyle name="20% - Accent3 4 3 2 2 5 5" xfId="14135"/>
    <cellStyle name="20% - Accent3 4 3 2 2 6" xfId="14136"/>
    <cellStyle name="20% - Accent3 4 3 2 2 6 2" xfId="14137"/>
    <cellStyle name="20% - Accent3 4 3 2 2 6 3" xfId="14138"/>
    <cellStyle name="20% - Accent3 4 3 2 2 7" xfId="14139"/>
    <cellStyle name="20% - Accent3 4 3 2 2 7 2" xfId="14140"/>
    <cellStyle name="20% - Accent3 4 3 2 2 7 3" xfId="14141"/>
    <cellStyle name="20% - Accent3 4 3 2 2 8" xfId="14142"/>
    <cellStyle name="20% - Accent3 4 3 2 2 8 2" xfId="14143"/>
    <cellStyle name="20% - Accent3 4 3 2 2 9" xfId="14144"/>
    <cellStyle name="20% - Accent3 4 3 2 3" xfId="604"/>
    <cellStyle name="20% - Accent3 4 3 2 3 2" xfId="14145"/>
    <cellStyle name="20% - Accent3 4 3 2 3 2 2" xfId="14146"/>
    <cellStyle name="20% - Accent3 4 3 2 3 2 2 2" xfId="14147"/>
    <cellStyle name="20% - Accent3 4 3 2 3 2 2 3" xfId="14148"/>
    <cellStyle name="20% - Accent3 4 3 2 3 2 3" xfId="14149"/>
    <cellStyle name="20% - Accent3 4 3 2 3 2 3 2" xfId="14150"/>
    <cellStyle name="20% - Accent3 4 3 2 3 2 3 3" xfId="14151"/>
    <cellStyle name="20% - Accent3 4 3 2 3 2 4" xfId="14152"/>
    <cellStyle name="20% - Accent3 4 3 2 3 2 4 2" xfId="14153"/>
    <cellStyle name="20% - Accent3 4 3 2 3 2 5" xfId="14154"/>
    <cellStyle name="20% - Accent3 4 3 2 3 2 6" xfId="14155"/>
    <cellStyle name="20% - Accent3 4 3 2 3 3" xfId="14156"/>
    <cellStyle name="20% - Accent3 4 3 2 3 3 2" xfId="14157"/>
    <cellStyle name="20% - Accent3 4 3 2 3 3 2 2" xfId="14158"/>
    <cellStyle name="20% - Accent3 4 3 2 3 3 2 3" xfId="14159"/>
    <cellStyle name="20% - Accent3 4 3 2 3 3 3" xfId="14160"/>
    <cellStyle name="20% - Accent3 4 3 2 3 3 3 2" xfId="14161"/>
    <cellStyle name="20% - Accent3 4 3 2 3 3 3 3" xfId="14162"/>
    <cellStyle name="20% - Accent3 4 3 2 3 3 4" xfId="14163"/>
    <cellStyle name="20% - Accent3 4 3 2 3 3 4 2" xfId="14164"/>
    <cellStyle name="20% - Accent3 4 3 2 3 3 5" xfId="14165"/>
    <cellStyle name="20% - Accent3 4 3 2 3 3 6" xfId="14166"/>
    <cellStyle name="20% - Accent3 4 3 2 3 4" xfId="14167"/>
    <cellStyle name="20% - Accent3 4 3 2 3 4 2" xfId="14168"/>
    <cellStyle name="20% - Accent3 4 3 2 3 4 2 2" xfId="14169"/>
    <cellStyle name="20% - Accent3 4 3 2 3 4 2 3" xfId="14170"/>
    <cellStyle name="20% - Accent3 4 3 2 3 4 3" xfId="14171"/>
    <cellStyle name="20% - Accent3 4 3 2 3 4 3 2" xfId="14172"/>
    <cellStyle name="20% - Accent3 4 3 2 3 4 4" xfId="14173"/>
    <cellStyle name="20% - Accent3 4 3 2 3 4 5" xfId="14174"/>
    <cellStyle name="20% - Accent3 4 3 2 3 5" xfId="14175"/>
    <cellStyle name="20% - Accent3 4 3 2 3 5 2" xfId="14176"/>
    <cellStyle name="20% - Accent3 4 3 2 3 5 3" xfId="14177"/>
    <cellStyle name="20% - Accent3 4 3 2 3 6" xfId="14178"/>
    <cellStyle name="20% - Accent3 4 3 2 3 6 2" xfId="14179"/>
    <cellStyle name="20% - Accent3 4 3 2 3 6 3" xfId="14180"/>
    <cellStyle name="20% - Accent3 4 3 2 3 7" xfId="14181"/>
    <cellStyle name="20% - Accent3 4 3 2 3 7 2" xfId="14182"/>
    <cellStyle name="20% - Accent3 4 3 2 3 8" xfId="14183"/>
    <cellStyle name="20% - Accent3 4 3 2 3 9" xfId="14184"/>
    <cellStyle name="20% - Accent3 4 3 2 4" xfId="14185"/>
    <cellStyle name="20% - Accent3 4 3 2 4 2" xfId="14186"/>
    <cellStyle name="20% - Accent3 4 3 2 4 2 2" xfId="14187"/>
    <cellStyle name="20% - Accent3 4 3 2 4 2 2 2" xfId="14188"/>
    <cellStyle name="20% - Accent3 4 3 2 4 2 2 3" xfId="14189"/>
    <cellStyle name="20% - Accent3 4 3 2 4 2 3" xfId="14190"/>
    <cellStyle name="20% - Accent3 4 3 2 4 2 3 2" xfId="14191"/>
    <cellStyle name="20% - Accent3 4 3 2 4 2 3 3" xfId="14192"/>
    <cellStyle name="20% - Accent3 4 3 2 4 2 4" xfId="14193"/>
    <cellStyle name="20% - Accent3 4 3 2 4 2 4 2" xfId="14194"/>
    <cellStyle name="20% - Accent3 4 3 2 4 2 5" xfId="14195"/>
    <cellStyle name="20% - Accent3 4 3 2 4 2 6" xfId="14196"/>
    <cellStyle name="20% - Accent3 4 3 2 4 3" xfId="14197"/>
    <cellStyle name="20% - Accent3 4 3 2 4 3 2" xfId="14198"/>
    <cellStyle name="20% - Accent3 4 3 2 4 3 2 2" xfId="14199"/>
    <cellStyle name="20% - Accent3 4 3 2 4 3 2 3" xfId="14200"/>
    <cellStyle name="20% - Accent3 4 3 2 4 3 3" xfId="14201"/>
    <cellStyle name="20% - Accent3 4 3 2 4 3 3 2" xfId="14202"/>
    <cellStyle name="20% - Accent3 4 3 2 4 3 3 3" xfId="14203"/>
    <cellStyle name="20% - Accent3 4 3 2 4 3 4" xfId="14204"/>
    <cellStyle name="20% - Accent3 4 3 2 4 3 4 2" xfId="14205"/>
    <cellStyle name="20% - Accent3 4 3 2 4 3 5" xfId="14206"/>
    <cellStyle name="20% - Accent3 4 3 2 4 3 6" xfId="14207"/>
    <cellStyle name="20% - Accent3 4 3 2 4 4" xfId="14208"/>
    <cellStyle name="20% - Accent3 4 3 2 4 4 2" xfId="14209"/>
    <cellStyle name="20% - Accent3 4 3 2 4 4 2 2" xfId="14210"/>
    <cellStyle name="20% - Accent3 4 3 2 4 4 2 3" xfId="14211"/>
    <cellStyle name="20% - Accent3 4 3 2 4 4 3" xfId="14212"/>
    <cellStyle name="20% - Accent3 4 3 2 4 4 3 2" xfId="14213"/>
    <cellStyle name="20% - Accent3 4 3 2 4 4 4" xfId="14214"/>
    <cellStyle name="20% - Accent3 4 3 2 4 4 5" xfId="14215"/>
    <cellStyle name="20% - Accent3 4 3 2 4 5" xfId="14216"/>
    <cellStyle name="20% - Accent3 4 3 2 4 5 2" xfId="14217"/>
    <cellStyle name="20% - Accent3 4 3 2 4 5 3" xfId="14218"/>
    <cellStyle name="20% - Accent3 4 3 2 4 6" xfId="14219"/>
    <cellStyle name="20% - Accent3 4 3 2 4 6 2" xfId="14220"/>
    <cellStyle name="20% - Accent3 4 3 2 4 6 3" xfId="14221"/>
    <cellStyle name="20% - Accent3 4 3 2 4 7" xfId="14222"/>
    <cellStyle name="20% - Accent3 4 3 2 4 7 2" xfId="14223"/>
    <cellStyle name="20% - Accent3 4 3 2 4 8" xfId="14224"/>
    <cellStyle name="20% - Accent3 4 3 2 4 9" xfId="14225"/>
    <cellStyle name="20% - Accent3 4 3 2 5" xfId="14226"/>
    <cellStyle name="20% - Accent3 4 3 2 5 2" xfId="14227"/>
    <cellStyle name="20% - Accent3 4 3 2 5 2 2" xfId="14228"/>
    <cellStyle name="20% - Accent3 4 3 2 5 2 3" xfId="14229"/>
    <cellStyle name="20% - Accent3 4 3 2 5 3" xfId="14230"/>
    <cellStyle name="20% - Accent3 4 3 2 5 3 2" xfId="14231"/>
    <cellStyle name="20% - Accent3 4 3 2 5 3 3" xfId="14232"/>
    <cellStyle name="20% - Accent3 4 3 2 5 4" xfId="14233"/>
    <cellStyle name="20% - Accent3 4 3 2 5 4 2" xfId="14234"/>
    <cellStyle name="20% - Accent3 4 3 2 5 5" xfId="14235"/>
    <cellStyle name="20% - Accent3 4 3 2 5 6" xfId="14236"/>
    <cellStyle name="20% - Accent3 4 3 2 6" xfId="14237"/>
    <cellStyle name="20% - Accent3 4 3 2 6 2" xfId="14238"/>
    <cellStyle name="20% - Accent3 4 3 2 6 2 2" xfId="14239"/>
    <cellStyle name="20% - Accent3 4 3 2 6 2 3" xfId="14240"/>
    <cellStyle name="20% - Accent3 4 3 2 6 3" xfId="14241"/>
    <cellStyle name="20% - Accent3 4 3 2 6 3 2" xfId="14242"/>
    <cellStyle name="20% - Accent3 4 3 2 6 3 3" xfId="14243"/>
    <cellStyle name="20% - Accent3 4 3 2 6 4" xfId="14244"/>
    <cellStyle name="20% - Accent3 4 3 2 6 4 2" xfId="14245"/>
    <cellStyle name="20% - Accent3 4 3 2 6 5" xfId="14246"/>
    <cellStyle name="20% - Accent3 4 3 2 6 6" xfId="14247"/>
    <cellStyle name="20% - Accent3 4 3 2 7" xfId="14248"/>
    <cellStyle name="20% - Accent3 4 3 2 7 2" xfId="14249"/>
    <cellStyle name="20% - Accent3 4 3 2 7 2 2" xfId="14250"/>
    <cellStyle name="20% - Accent3 4 3 2 7 2 3" xfId="14251"/>
    <cellStyle name="20% - Accent3 4 3 2 7 3" xfId="14252"/>
    <cellStyle name="20% - Accent3 4 3 2 7 3 2" xfId="14253"/>
    <cellStyle name="20% - Accent3 4 3 2 7 4" xfId="14254"/>
    <cellStyle name="20% - Accent3 4 3 2 7 5" xfId="14255"/>
    <cellStyle name="20% - Accent3 4 3 2 8" xfId="14256"/>
    <cellStyle name="20% - Accent3 4 3 2 8 2" xfId="14257"/>
    <cellStyle name="20% - Accent3 4 3 2 8 3" xfId="14258"/>
    <cellStyle name="20% - Accent3 4 3 2 9" xfId="14259"/>
    <cellStyle name="20% - Accent3 4 3 2 9 2" xfId="14260"/>
    <cellStyle name="20% - Accent3 4 3 2 9 3" xfId="14261"/>
    <cellStyle name="20% - Accent3 4 3 3" xfId="605"/>
    <cellStyle name="20% - Accent3 4 3 3 10" xfId="14262"/>
    <cellStyle name="20% - Accent3 4 3 3 2" xfId="606"/>
    <cellStyle name="20% - Accent3 4 3 3 2 2" xfId="14263"/>
    <cellStyle name="20% - Accent3 4 3 3 2 2 2" xfId="14264"/>
    <cellStyle name="20% - Accent3 4 3 3 2 2 2 2" xfId="14265"/>
    <cellStyle name="20% - Accent3 4 3 3 2 2 2 3" xfId="14266"/>
    <cellStyle name="20% - Accent3 4 3 3 2 2 3" xfId="14267"/>
    <cellStyle name="20% - Accent3 4 3 3 2 2 3 2" xfId="14268"/>
    <cellStyle name="20% - Accent3 4 3 3 2 2 3 3" xfId="14269"/>
    <cellStyle name="20% - Accent3 4 3 3 2 2 4" xfId="14270"/>
    <cellStyle name="20% - Accent3 4 3 3 2 2 4 2" xfId="14271"/>
    <cellStyle name="20% - Accent3 4 3 3 2 2 5" xfId="14272"/>
    <cellStyle name="20% - Accent3 4 3 3 2 2 6" xfId="14273"/>
    <cellStyle name="20% - Accent3 4 3 3 2 3" xfId="14274"/>
    <cellStyle name="20% - Accent3 4 3 3 2 3 2" xfId="14275"/>
    <cellStyle name="20% - Accent3 4 3 3 2 3 2 2" xfId="14276"/>
    <cellStyle name="20% - Accent3 4 3 3 2 3 2 3" xfId="14277"/>
    <cellStyle name="20% - Accent3 4 3 3 2 3 3" xfId="14278"/>
    <cellStyle name="20% - Accent3 4 3 3 2 3 3 2" xfId="14279"/>
    <cellStyle name="20% - Accent3 4 3 3 2 3 3 3" xfId="14280"/>
    <cellStyle name="20% - Accent3 4 3 3 2 3 4" xfId="14281"/>
    <cellStyle name="20% - Accent3 4 3 3 2 3 4 2" xfId="14282"/>
    <cellStyle name="20% - Accent3 4 3 3 2 3 5" xfId="14283"/>
    <cellStyle name="20% - Accent3 4 3 3 2 3 6" xfId="14284"/>
    <cellStyle name="20% - Accent3 4 3 3 2 4" xfId="14285"/>
    <cellStyle name="20% - Accent3 4 3 3 2 4 2" xfId="14286"/>
    <cellStyle name="20% - Accent3 4 3 3 2 4 2 2" xfId="14287"/>
    <cellStyle name="20% - Accent3 4 3 3 2 4 2 3" xfId="14288"/>
    <cellStyle name="20% - Accent3 4 3 3 2 4 3" xfId="14289"/>
    <cellStyle name="20% - Accent3 4 3 3 2 4 3 2" xfId="14290"/>
    <cellStyle name="20% - Accent3 4 3 3 2 4 4" xfId="14291"/>
    <cellStyle name="20% - Accent3 4 3 3 2 4 5" xfId="14292"/>
    <cellStyle name="20% - Accent3 4 3 3 2 5" xfId="14293"/>
    <cellStyle name="20% - Accent3 4 3 3 2 5 2" xfId="14294"/>
    <cellStyle name="20% - Accent3 4 3 3 2 5 3" xfId="14295"/>
    <cellStyle name="20% - Accent3 4 3 3 2 6" xfId="14296"/>
    <cellStyle name="20% - Accent3 4 3 3 2 6 2" xfId="14297"/>
    <cellStyle name="20% - Accent3 4 3 3 2 6 3" xfId="14298"/>
    <cellStyle name="20% - Accent3 4 3 3 2 7" xfId="14299"/>
    <cellStyle name="20% - Accent3 4 3 3 2 7 2" xfId="14300"/>
    <cellStyle name="20% - Accent3 4 3 3 2 8" xfId="14301"/>
    <cellStyle name="20% - Accent3 4 3 3 2 9" xfId="14302"/>
    <cellStyle name="20% - Accent3 4 3 3 3" xfId="14303"/>
    <cellStyle name="20% - Accent3 4 3 3 3 2" xfId="14304"/>
    <cellStyle name="20% - Accent3 4 3 3 3 2 2" xfId="14305"/>
    <cellStyle name="20% - Accent3 4 3 3 3 2 3" xfId="14306"/>
    <cellStyle name="20% - Accent3 4 3 3 3 3" xfId="14307"/>
    <cellStyle name="20% - Accent3 4 3 3 3 3 2" xfId="14308"/>
    <cellStyle name="20% - Accent3 4 3 3 3 3 3" xfId="14309"/>
    <cellStyle name="20% - Accent3 4 3 3 3 4" xfId="14310"/>
    <cellStyle name="20% - Accent3 4 3 3 3 4 2" xfId="14311"/>
    <cellStyle name="20% - Accent3 4 3 3 3 5" xfId="14312"/>
    <cellStyle name="20% - Accent3 4 3 3 3 6" xfId="14313"/>
    <cellStyle name="20% - Accent3 4 3 3 4" xfId="14314"/>
    <cellStyle name="20% - Accent3 4 3 3 4 2" xfId="14315"/>
    <cellStyle name="20% - Accent3 4 3 3 4 2 2" xfId="14316"/>
    <cellStyle name="20% - Accent3 4 3 3 4 2 3" xfId="14317"/>
    <cellStyle name="20% - Accent3 4 3 3 4 3" xfId="14318"/>
    <cellStyle name="20% - Accent3 4 3 3 4 3 2" xfId="14319"/>
    <cellStyle name="20% - Accent3 4 3 3 4 3 3" xfId="14320"/>
    <cellStyle name="20% - Accent3 4 3 3 4 4" xfId="14321"/>
    <cellStyle name="20% - Accent3 4 3 3 4 4 2" xfId="14322"/>
    <cellStyle name="20% - Accent3 4 3 3 4 5" xfId="14323"/>
    <cellStyle name="20% - Accent3 4 3 3 4 6" xfId="14324"/>
    <cellStyle name="20% - Accent3 4 3 3 5" xfId="14325"/>
    <cellStyle name="20% - Accent3 4 3 3 5 2" xfId="14326"/>
    <cellStyle name="20% - Accent3 4 3 3 5 2 2" xfId="14327"/>
    <cellStyle name="20% - Accent3 4 3 3 5 2 3" xfId="14328"/>
    <cellStyle name="20% - Accent3 4 3 3 5 3" xfId="14329"/>
    <cellStyle name="20% - Accent3 4 3 3 5 3 2" xfId="14330"/>
    <cellStyle name="20% - Accent3 4 3 3 5 4" xfId="14331"/>
    <cellStyle name="20% - Accent3 4 3 3 5 5" xfId="14332"/>
    <cellStyle name="20% - Accent3 4 3 3 6" xfId="14333"/>
    <cellStyle name="20% - Accent3 4 3 3 6 2" xfId="14334"/>
    <cellStyle name="20% - Accent3 4 3 3 6 3" xfId="14335"/>
    <cellStyle name="20% - Accent3 4 3 3 7" xfId="14336"/>
    <cellStyle name="20% - Accent3 4 3 3 7 2" xfId="14337"/>
    <cellStyle name="20% - Accent3 4 3 3 7 3" xfId="14338"/>
    <cellStyle name="20% - Accent3 4 3 3 8" xfId="14339"/>
    <cellStyle name="20% - Accent3 4 3 3 8 2" xfId="14340"/>
    <cellStyle name="20% - Accent3 4 3 3 9" xfId="14341"/>
    <cellStyle name="20% - Accent3 4 3 4" xfId="607"/>
    <cellStyle name="20% - Accent3 4 3 4 2" xfId="14342"/>
    <cellStyle name="20% - Accent3 4 3 4 2 2" xfId="14343"/>
    <cellStyle name="20% - Accent3 4 3 4 2 2 2" xfId="14344"/>
    <cellStyle name="20% - Accent3 4 3 4 2 2 3" xfId="14345"/>
    <cellStyle name="20% - Accent3 4 3 4 2 3" xfId="14346"/>
    <cellStyle name="20% - Accent3 4 3 4 2 3 2" xfId="14347"/>
    <cellStyle name="20% - Accent3 4 3 4 2 3 3" xfId="14348"/>
    <cellStyle name="20% - Accent3 4 3 4 2 4" xfId="14349"/>
    <cellStyle name="20% - Accent3 4 3 4 2 4 2" xfId="14350"/>
    <cellStyle name="20% - Accent3 4 3 4 2 5" xfId="14351"/>
    <cellStyle name="20% - Accent3 4 3 4 2 6" xfId="14352"/>
    <cellStyle name="20% - Accent3 4 3 4 3" xfId="14353"/>
    <cellStyle name="20% - Accent3 4 3 4 3 2" xfId="14354"/>
    <cellStyle name="20% - Accent3 4 3 4 3 2 2" xfId="14355"/>
    <cellStyle name="20% - Accent3 4 3 4 3 2 3" xfId="14356"/>
    <cellStyle name="20% - Accent3 4 3 4 3 3" xfId="14357"/>
    <cellStyle name="20% - Accent3 4 3 4 3 3 2" xfId="14358"/>
    <cellStyle name="20% - Accent3 4 3 4 3 3 3" xfId="14359"/>
    <cellStyle name="20% - Accent3 4 3 4 3 4" xfId="14360"/>
    <cellStyle name="20% - Accent3 4 3 4 3 4 2" xfId="14361"/>
    <cellStyle name="20% - Accent3 4 3 4 3 5" xfId="14362"/>
    <cellStyle name="20% - Accent3 4 3 4 3 6" xfId="14363"/>
    <cellStyle name="20% - Accent3 4 3 4 4" xfId="14364"/>
    <cellStyle name="20% - Accent3 4 3 4 4 2" xfId="14365"/>
    <cellStyle name="20% - Accent3 4 3 4 4 2 2" xfId="14366"/>
    <cellStyle name="20% - Accent3 4 3 4 4 2 3" xfId="14367"/>
    <cellStyle name="20% - Accent3 4 3 4 4 3" xfId="14368"/>
    <cellStyle name="20% - Accent3 4 3 4 4 3 2" xfId="14369"/>
    <cellStyle name="20% - Accent3 4 3 4 4 4" xfId="14370"/>
    <cellStyle name="20% - Accent3 4 3 4 4 5" xfId="14371"/>
    <cellStyle name="20% - Accent3 4 3 4 5" xfId="14372"/>
    <cellStyle name="20% - Accent3 4 3 4 5 2" xfId="14373"/>
    <cellStyle name="20% - Accent3 4 3 4 5 3" xfId="14374"/>
    <cellStyle name="20% - Accent3 4 3 4 6" xfId="14375"/>
    <cellStyle name="20% - Accent3 4 3 4 6 2" xfId="14376"/>
    <cellStyle name="20% - Accent3 4 3 4 6 3" xfId="14377"/>
    <cellStyle name="20% - Accent3 4 3 4 7" xfId="14378"/>
    <cellStyle name="20% - Accent3 4 3 4 7 2" xfId="14379"/>
    <cellStyle name="20% - Accent3 4 3 4 8" xfId="14380"/>
    <cellStyle name="20% - Accent3 4 3 4 9" xfId="14381"/>
    <cellStyle name="20% - Accent3 4 3 5" xfId="14382"/>
    <cellStyle name="20% - Accent3 4 3 5 2" xfId="14383"/>
    <cellStyle name="20% - Accent3 4 3 5 2 2" xfId="14384"/>
    <cellStyle name="20% - Accent3 4 3 5 2 2 2" xfId="14385"/>
    <cellStyle name="20% - Accent3 4 3 5 2 2 3" xfId="14386"/>
    <cellStyle name="20% - Accent3 4 3 5 2 3" xfId="14387"/>
    <cellStyle name="20% - Accent3 4 3 5 2 3 2" xfId="14388"/>
    <cellStyle name="20% - Accent3 4 3 5 2 3 3" xfId="14389"/>
    <cellStyle name="20% - Accent3 4 3 5 2 4" xfId="14390"/>
    <cellStyle name="20% - Accent3 4 3 5 2 4 2" xfId="14391"/>
    <cellStyle name="20% - Accent3 4 3 5 2 5" xfId="14392"/>
    <cellStyle name="20% - Accent3 4 3 5 2 6" xfId="14393"/>
    <cellStyle name="20% - Accent3 4 3 5 3" xfId="14394"/>
    <cellStyle name="20% - Accent3 4 3 5 3 2" xfId="14395"/>
    <cellStyle name="20% - Accent3 4 3 5 3 2 2" xfId="14396"/>
    <cellStyle name="20% - Accent3 4 3 5 3 2 3" xfId="14397"/>
    <cellStyle name="20% - Accent3 4 3 5 3 3" xfId="14398"/>
    <cellStyle name="20% - Accent3 4 3 5 3 3 2" xfId="14399"/>
    <cellStyle name="20% - Accent3 4 3 5 3 3 3" xfId="14400"/>
    <cellStyle name="20% - Accent3 4 3 5 3 4" xfId="14401"/>
    <cellStyle name="20% - Accent3 4 3 5 3 4 2" xfId="14402"/>
    <cellStyle name="20% - Accent3 4 3 5 3 5" xfId="14403"/>
    <cellStyle name="20% - Accent3 4 3 5 3 6" xfId="14404"/>
    <cellStyle name="20% - Accent3 4 3 5 4" xfId="14405"/>
    <cellStyle name="20% - Accent3 4 3 5 4 2" xfId="14406"/>
    <cellStyle name="20% - Accent3 4 3 5 4 2 2" xfId="14407"/>
    <cellStyle name="20% - Accent3 4 3 5 4 2 3" xfId="14408"/>
    <cellStyle name="20% - Accent3 4 3 5 4 3" xfId="14409"/>
    <cellStyle name="20% - Accent3 4 3 5 4 3 2" xfId="14410"/>
    <cellStyle name="20% - Accent3 4 3 5 4 4" xfId="14411"/>
    <cellStyle name="20% - Accent3 4 3 5 4 5" xfId="14412"/>
    <cellStyle name="20% - Accent3 4 3 5 5" xfId="14413"/>
    <cellStyle name="20% - Accent3 4 3 5 5 2" xfId="14414"/>
    <cellStyle name="20% - Accent3 4 3 5 5 3" xfId="14415"/>
    <cellStyle name="20% - Accent3 4 3 5 6" xfId="14416"/>
    <cellStyle name="20% - Accent3 4 3 5 6 2" xfId="14417"/>
    <cellStyle name="20% - Accent3 4 3 5 6 3" xfId="14418"/>
    <cellStyle name="20% - Accent3 4 3 5 7" xfId="14419"/>
    <cellStyle name="20% - Accent3 4 3 5 7 2" xfId="14420"/>
    <cellStyle name="20% - Accent3 4 3 5 8" xfId="14421"/>
    <cellStyle name="20% - Accent3 4 3 5 9" xfId="14422"/>
    <cellStyle name="20% - Accent3 4 3 6" xfId="14423"/>
    <cellStyle name="20% - Accent3 4 3 6 2" xfId="14424"/>
    <cellStyle name="20% - Accent3 4 3 6 2 2" xfId="14425"/>
    <cellStyle name="20% - Accent3 4 3 6 2 3" xfId="14426"/>
    <cellStyle name="20% - Accent3 4 3 6 3" xfId="14427"/>
    <cellStyle name="20% - Accent3 4 3 6 3 2" xfId="14428"/>
    <cellStyle name="20% - Accent3 4 3 6 3 3" xfId="14429"/>
    <cellStyle name="20% - Accent3 4 3 6 4" xfId="14430"/>
    <cellStyle name="20% - Accent3 4 3 6 4 2" xfId="14431"/>
    <cellStyle name="20% - Accent3 4 3 6 5" xfId="14432"/>
    <cellStyle name="20% - Accent3 4 3 6 6" xfId="14433"/>
    <cellStyle name="20% - Accent3 4 3 7" xfId="14434"/>
    <cellStyle name="20% - Accent3 4 3 7 2" xfId="14435"/>
    <cellStyle name="20% - Accent3 4 3 7 2 2" xfId="14436"/>
    <cellStyle name="20% - Accent3 4 3 7 2 3" xfId="14437"/>
    <cellStyle name="20% - Accent3 4 3 7 3" xfId="14438"/>
    <cellStyle name="20% - Accent3 4 3 7 3 2" xfId="14439"/>
    <cellStyle name="20% - Accent3 4 3 7 3 3" xfId="14440"/>
    <cellStyle name="20% - Accent3 4 3 7 4" xfId="14441"/>
    <cellStyle name="20% - Accent3 4 3 7 4 2" xfId="14442"/>
    <cellStyle name="20% - Accent3 4 3 7 5" xfId="14443"/>
    <cellStyle name="20% - Accent3 4 3 7 6" xfId="14444"/>
    <cellStyle name="20% - Accent3 4 3 8" xfId="14445"/>
    <cellStyle name="20% - Accent3 4 3 8 2" xfId="14446"/>
    <cellStyle name="20% - Accent3 4 3 8 2 2" xfId="14447"/>
    <cellStyle name="20% - Accent3 4 3 8 2 3" xfId="14448"/>
    <cellStyle name="20% - Accent3 4 3 8 3" xfId="14449"/>
    <cellStyle name="20% - Accent3 4 3 8 3 2" xfId="14450"/>
    <cellStyle name="20% - Accent3 4 3 8 4" xfId="14451"/>
    <cellStyle name="20% - Accent3 4 3 8 5" xfId="14452"/>
    <cellStyle name="20% - Accent3 4 3 9" xfId="14453"/>
    <cellStyle name="20% - Accent3 4 3 9 2" xfId="14454"/>
    <cellStyle name="20% - Accent3 4 3 9 3" xfId="14455"/>
    <cellStyle name="20% - Accent3 4 4" xfId="608"/>
    <cellStyle name="20% - Accent3 4 4 10" xfId="14456"/>
    <cellStyle name="20% - Accent3 4 4 10 2" xfId="14457"/>
    <cellStyle name="20% - Accent3 4 4 11" xfId="14458"/>
    <cellStyle name="20% - Accent3 4 4 12" xfId="14459"/>
    <cellStyle name="20% - Accent3 4 4 2" xfId="609"/>
    <cellStyle name="20% - Accent3 4 4 2 10" xfId="14460"/>
    <cellStyle name="20% - Accent3 4 4 2 2" xfId="610"/>
    <cellStyle name="20% - Accent3 4 4 2 2 2" xfId="14461"/>
    <cellStyle name="20% - Accent3 4 4 2 2 2 2" xfId="14462"/>
    <cellStyle name="20% - Accent3 4 4 2 2 2 2 2" xfId="14463"/>
    <cellStyle name="20% - Accent3 4 4 2 2 2 2 3" xfId="14464"/>
    <cellStyle name="20% - Accent3 4 4 2 2 2 3" xfId="14465"/>
    <cellStyle name="20% - Accent3 4 4 2 2 2 3 2" xfId="14466"/>
    <cellStyle name="20% - Accent3 4 4 2 2 2 3 3" xfId="14467"/>
    <cellStyle name="20% - Accent3 4 4 2 2 2 4" xfId="14468"/>
    <cellStyle name="20% - Accent3 4 4 2 2 2 4 2" xfId="14469"/>
    <cellStyle name="20% - Accent3 4 4 2 2 2 5" xfId="14470"/>
    <cellStyle name="20% - Accent3 4 4 2 2 2 6" xfId="14471"/>
    <cellStyle name="20% - Accent3 4 4 2 2 3" xfId="14472"/>
    <cellStyle name="20% - Accent3 4 4 2 2 3 2" xfId="14473"/>
    <cellStyle name="20% - Accent3 4 4 2 2 3 2 2" xfId="14474"/>
    <cellStyle name="20% - Accent3 4 4 2 2 3 2 3" xfId="14475"/>
    <cellStyle name="20% - Accent3 4 4 2 2 3 3" xfId="14476"/>
    <cellStyle name="20% - Accent3 4 4 2 2 3 3 2" xfId="14477"/>
    <cellStyle name="20% - Accent3 4 4 2 2 3 3 3" xfId="14478"/>
    <cellStyle name="20% - Accent3 4 4 2 2 3 4" xfId="14479"/>
    <cellStyle name="20% - Accent3 4 4 2 2 3 4 2" xfId="14480"/>
    <cellStyle name="20% - Accent3 4 4 2 2 3 5" xfId="14481"/>
    <cellStyle name="20% - Accent3 4 4 2 2 3 6" xfId="14482"/>
    <cellStyle name="20% - Accent3 4 4 2 2 4" xfId="14483"/>
    <cellStyle name="20% - Accent3 4 4 2 2 4 2" xfId="14484"/>
    <cellStyle name="20% - Accent3 4 4 2 2 4 2 2" xfId="14485"/>
    <cellStyle name="20% - Accent3 4 4 2 2 4 2 3" xfId="14486"/>
    <cellStyle name="20% - Accent3 4 4 2 2 4 3" xfId="14487"/>
    <cellStyle name="20% - Accent3 4 4 2 2 4 3 2" xfId="14488"/>
    <cellStyle name="20% - Accent3 4 4 2 2 4 4" xfId="14489"/>
    <cellStyle name="20% - Accent3 4 4 2 2 4 5" xfId="14490"/>
    <cellStyle name="20% - Accent3 4 4 2 2 5" xfId="14491"/>
    <cellStyle name="20% - Accent3 4 4 2 2 5 2" xfId="14492"/>
    <cellStyle name="20% - Accent3 4 4 2 2 5 3" xfId="14493"/>
    <cellStyle name="20% - Accent3 4 4 2 2 6" xfId="14494"/>
    <cellStyle name="20% - Accent3 4 4 2 2 6 2" xfId="14495"/>
    <cellStyle name="20% - Accent3 4 4 2 2 6 3" xfId="14496"/>
    <cellStyle name="20% - Accent3 4 4 2 2 7" xfId="14497"/>
    <cellStyle name="20% - Accent3 4 4 2 2 7 2" xfId="14498"/>
    <cellStyle name="20% - Accent3 4 4 2 2 8" xfId="14499"/>
    <cellStyle name="20% - Accent3 4 4 2 2 9" xfId="14500"/>
    <cellStyle name="20% - Accent3 4 4 2 3" xfId="14501"/>
    <cellStyle name="20% - Accent3 4 4 2 3 2" xfId="14502"/>
    <cellStyle name="20% - Accent3 4 4 2 3 2 2" xfId="14503"/>
    <cellStyle name="20% - Accent3 4 4 2 3 2 3" xfId="14504"/>
    <cellStyle name="20% - Accent3 4 4 2 3 3" xfId="14505"/>
    <cellStyle name="20% - Accent3 4 4 2 3 3 2" xfId="14506"/>
    <cellStyle name="20% - Accent3 4 4 2 3 3 3" xfId="14507"/>
    <cellStyle name="20% - Accent3 4 4 2 3 4" xfId="14508"/>
    <cellStyle name="20% - Accent3 4 4 2 3 4 2" xfId="14509"/>
    <cellStyle name="20% - Accent3 4 4 2 3 5" xfId="14510"/>
    <cellStyle name="20% - Accent3 4 4 2 3 6" xfId="14511"/>
    <cellStyle name="20% - Accent3 4 4 2 4" xfId="14512"/>
    <cellStyle name="20% - Accent3 4 4 2 4 2" xfId="14513"/>
    <cellStyle name="20% - Accent3 4 4 2 4 2 2" xfId="14514"/>
    <cellStyle name="20% - Accent3 4 4 2 4 2 3" xfId="14515"/>
    <cellStyle name="20% - Accent3 4 4 2 4 3" xfId="14516"/>
    <cellStyle name="20% - Accent3 4 4 2 4 3 2" xfId="14517"/>
    <cellStyle name="20% - Accent3 4 4 2 4 3 3" xfId="14518"/>
    <cellStyle name="20% - Accent3 4 4 2 4 4" xfId="14519"/>
    <cellStyle name="20% - Accent3 4 4 2 4 4 2" xfId="14520"/>
    <cellStyle name="20% - Accent3 4 4 2 4 5" xfId="14521"/>
    <cellStyle name="20% - Accent3 4 4 2 4 6" xfId="14522"/>
    <cellStyle name="20% - Accent3 4 4 2 5" xfId="14523"/>
    <cellStyle name="20% - Accent3 4 4 2 5 2" xfId="14524"/>
    <cellStyle name="20% - Accent3 4 4 2 5 2 2" xfId="14525"/>
    <cellStyle name="20% - Accent3 4 4 2 5 2 3" xfId="14526"/>
    <cellStyle name="20% - Accent3 4 4 2 5 3" xfId="14527"/>
    <cellStyle name="20% - Accent3 4 4 2 5 3 2" xfId="14528"/>
    <cellStyle name="20% - Accent3 4 4 2 5 4" xfId="14529"/>
    <cellStyle name="20% - Accent3 4 4 2 5 5" xfId="14530"/>
    <cellStyle name="20% - Accent3 4 4 2 6" xfId="14531"/>
    <cellStyle name="20% - Accent3 4 4 2 6 2" xfId="14532"/>
    <cellStyle name="20% - Accent3 4 4 2 6 3" xfId="14533"/>
    <cellStyle name="20% - Accent3 4 4 2 7" xfId="14534"/>
    <cellStyle name="20% - Accent3 4 4 2 7 2" xfId="14535"/>
    <cellStyle name="20% - Accent3 4 4 2 7 3" xfId="14536"/>
    <cellStyle name="20% - Accent3 4 4 2 8" xfId="14537"/>
    <cellStyle name="20% - Accent3 4 4 2 8 2" xfId="14538"/>
    <cellStyle name="20% - Accent3 4 4 2 9" xfId="14539"/>
    <cellStyle name="20% - Accent3 4 4 3" xfId="611"/>
    <cellStyle name="20% - Accent3 4 4 3 2" xfId="14540"/>
    <cellStyle name="20% - Accent3 4 4 3 2 2" xfId="14541"/>
    <cellStyle name="20% - Accent3 4 4 3 2 2 2" xfId="14542"/>
    <cellStyle name="20% - Accent3 4 4 3 2 2 3" xfId="14543"/>
    <cellStyle name="20% - Accent3 4 4 3 2 3" xfId="14544"/>
    <cellStyle name="20% - Accent3 4 4 3 2 3 2" xfId="14545"/>
    <cellStyle name="20% - Accent3 4 4 3 2 3 3" xfId="14546"/>
    <cellStyle name="20% - Accent3 4 4 3 2 4" xfId="14547"/>
    <cellStyle name="20% - Accent3 4 4 3 2 4 2" xfId="14548"/>
    <cellStyle name="20% - Accent3 4 4 3 2 5" xfId="14549"/>
    <cellStyle name="20% - Accent3 4 4 3 2 6" xfId="14550"/>
    <cellStyle name="20% - Accent3 4 4 3 3" xfId="14551"/>
    <cellStyle name="20% - Accent3 4 4 3 3 2" xfId="14552"/>
    <cellStyle name="20% - Accent3 4 4 3 3 2 2" xfId="14553"/>
    <cellStyle name="20% - Accent3 4 4 3 3 2 3" xfId="14554"/>
    <cellStyle name="20% - Accent3 4 4 3 3 3" xfId="14555"/>
    <cellStyle name="20% - Accent3 4 4 3 3 3 2" xfId="14556"/>
    <cellStyle name="20% - Accent3 4 4 3 3 3 3" xfId="14557"/>
    <cellStyle name="20% - Accent3 4 4 3 3 4" xfId="14558"/>
    <cellStyle name="20% - Accent3 4 4 3 3 4 2" xfId="14559"/>
    <cellStyle name="20% - Accent3 4 4 3 3 5" xfId="14560"/>
    <cellStyle name="20% - Accent3 4 4 3 3 6" xfId="14561"/>
    <cellStyle name="20% - Accent3 4 4 3 4" xfId="14562"/>
    <cellStyle name="20% - Accent3 4 4 3 4 2" xfId="14563"/>
    <cellStyle name="20% - Accent3 4 4 3 4 2 2" xfId="14564"/>
    <cellStyle name="20% - Accent3 4 4 3 4 2 3" xfId="14565"/>
    <cellStyle name="20% - Accent3 4 4 3 4 3" xfId="14566"/>
    <cellStyle name="20% - Accent3 4 4 3 4 3 2" xfId="14567"/>
    <cellStyle name="20% - Accent3 4 4 3 4 4" xfId="14568"/>
    <cellStyle name="20% - Accent3 4 4 3 4 5" xfId="14569"/>
    <cellStyle name="20% - Accent3 4 4 3 5" xfId="14570"/>
    <cellStyle name="20% - Accent3 4 4 3 5 2" xfId="14571"/>
    <cellStyle name="20% - Accent3 4 4 3 5 3" xfId="14572"/>
    <cellStyle name="20% - Accent3 4 4 3 6" xfId="14573"/>
    <cellStyle name="20% - Accent3 4 4 3 6 2" xfId="14574"/>
    <cellStyle name="20% - Accent3 4 4 3 6 3" xfId="14575"/>
    <cellStyle name="20% - Accent3 4 4 3 7" xfId="14576"/>
    <cellStyle name="20% - Accent3 4 4 3 7 2" xfId="14577"/>
    <cellStyle name="20% - Accent3 4 4 3 8" xfId="14578"/>
    <cellStyle name="20% - Accent3 4 4 3 9" xfId="14579"/>
    <cellStyle name="20% - Accent3 4 4 4" xfId="14580"/>
    <cellStyle name="20% - Accent3 4 4 4 2" xfId="14581"/>
    <cellStyle name="20% - Accent3 4 4 4 2 2" xfId="14582"/>
    <cellStyle name="20% - Accent3 4 4 4 2 2 2" xfId="14583"/>
    <cellStyle name="20% - Accent3 4 4 4 2 2 3" xfId="14584"/>
    <cellStyle name="20% - Accent3 4 4 4 2 3" xfId="14585"/>
    <cellStyle name="20% - Accent3 4 4 4 2 3 2" xfId="14586"/>
    <cellStyle name="20% - Accent3 4 4 4 2 3 3" xfId="14587"/>
    <cellStyle name="20% - Accent3 4 4 4 2 4" xfId="14588"/>
    <cellStyle name="20% - Accent3 4 4 4 2 4 2" xfId="14589"/>
    <cellStyle name="20% - Accent3 4 4 4 2 5" xfId="14590"/>
    <cellStyle name="20% - Accent3 4 4 4 2 6" xfId="14591"/>
    <cellStyle name="20% - Accent3 4 4 4 3" xfId="14592"/>
    <cellStyle name="20% - Accent3 4 4 4 3 2" xfId="14593"/>
    <cellStyle name="20% - Accent3 4 4 4 3 2 2" xfId="14594"/>
    <cellStyle name="20% - Accent3 4 4 4 3 2 3" xfId="14595"/>
    <cellStyle name="20% - Accent3 4 4 4 3 3" xfId="14596"/>
    <cellStyle name="20% - Accent3 4 4 4 3 3 2" xfId="14597"/>
    <cellStyle name="20% - Accent3 4 4 4 3 3 3" xfId="14598"/>
    <cellStyle name="20% - Accent3 4 4 4 3 4" xfId="14599"/>
    <cellStyle name="20% - Accent3 4 4 4 3 4 2" xfId="14600"/>
    <cellStyle name="20% - Accent3 4 4 4 3 5" xfId="14601"/>
    <cellStyle name="20% - Accent3 4 4 4 3 6" xfId="14602"/>
    <cellStyle name="20% - Accent3 4 4 4 4" xfId="14603"/>
    <cellStyle name="20% - Accent3 4 4 4 4 2" xfId="14604"/>
    <cellStyle name="20% - Accent3 4 4 4 4 2 2" xfId="14605"/>
    <cellStyle name="20% - Accent3 4 4 4 4 2 3" xfId="14606"/>
    <cellStyle name="20% - Accent3 4 4 4 4 3" xfId="14607"/>
    <cellStyle name="20% - Accent3 4 4 4 4 3 2" xfId="14608"/>
    <cellStyle name="20% - Accent3 4 4 4 4 4" xfId="14609"/>
    <cellStyle name="20% - Accent3 4 4 4 4 5" xfId="14610"/>
    <cellStyle name="20% - Accent3 4 4 4 5" xfId="14611"/>
    <cellStyle name="20% - Accent3 4 4 4 5 2" xfId="14612"/>
    <cellStyle name="20% - Accent3 4 4 4 5 3" xfId="14613"/>
    <cellStyle name="20% - Accent3 4 4 4 6" xfId="14614"/>
    <cellStyle name="20% - Accent3 4 4 4 6 2" xfId="14615"/>
    <cellStyle name="20% - Accent3 4 4 4 6 3" xfId="14616"/>
    <cellStyle name="20% - Accent3 4 4 4 7" xfId="14617"/>
    <cellStyle name="20% - Accent3 4 4 4 7 2" xfId="14618"/>
    <cellStyle name="20% - Accent3 4 4 4 8" xfId="14619"/>
    <cellStyle name="20% - Accent3 4 4 4 9" xfId="14620"/>
    <cellStyle name="20% - Accent3 4 4 5" xfId="14621"/>
    <cellStyle name="20% - Accent3 4 4 5 2" xfId="14622"/>
    <cellStyle name="20% - Accent3 4 4 5 2 2" xfId="14623"/>
    <cellStyle name="20% - Accent3 4 4 5 2 3" xfId="14624"/>
    <cellStyle name="20% - Accent3 4 4 5 3" xfId="14625"/>
    <cellStyle name="20% - Accent3 4 4 5 3 2" xfId="14626"/>
    <cellStyle name="20% - Accent3 4 4 5 3 3" xfId="14627"/>
    <cellStyle name="20% - Accent3 4 4 5 4" xfId="14628"/>
    <cellStyle name="20% - Accent3 4 4 5 4 2" xfId="14629"/>
    <cellStyle name="20% - Accent3 4 4 5 5" xfId="14630"/>
    <cellStyle name="20% - Accent3 4 4 5 6" xfId="14631"/>
    <cellStyle name="20% - Accent3 4 4 6" xfId="14632"/>
    <cellStyle name="20% - Accent3 4 4 6 2" xfId="14633"/>
    <cellStyle name="20% - Accent3 4 4 6 2 2" xfId="14634"/>
    <cellStyle name="20% - Accent3 4 4 6 2 3" xfId="14635"/>
    <cellStyle name="20% - Accent3 4 4 6 3" xfId="14636"/>
    <cellStyle name="20% - Accent3 4 4 6 3 2" xfId="14637"/>
    <cellStyle name="20% - Accent3 4 4 6 3 3" xfId="14638"/>
    <cellStyle name="20% - Accent3 4 4 6 4" xfId="14639"/>
    <cellStyle name="20% - Accent3 4 4 6 4 2" xfId="14640"/>
    <cellStyle name="20% - Accent3 4 4 6 5" xfId="14641"/>
    <cellStyle name="20% - Accent3 4 4 6 6" xfId="14642"/>
    <cellStyle name="20% - Accent3 4 4 7" xfId="14643"/>
    <cellStyle name="20% - Accent3 4 4 7 2" xfId="14644"/>
    <cellStyle name="20% - Accent3 4 4 7 2 2" xfId="14645"/>
    <cellStyle name="20% - Accent3 4 4 7 2 3" xfId="14646"/>
    <cellStyle name="20% - Accent3 4 4 7 3" xfId="14647"/>
    <cellStyle name="20% - Accent3 4 4 7 3 2" xfId="14648"/>
    <cellStyle name="20% - Accent3 4 4 7 4" xfId="14649"/>
    <cellStyle name="20% - Accent3 4 4 7 5" xfId="14650"/>
    <cellStyle name="20% - Accent3 4 4 8" xfId="14651"/>
    <cellStyle name="20% - Accent3 4 4 8 2" xfId="14652"/>
    <cellStyle name="20% - Accent3 4 4 8 3" xfId="14653"/>
    <cellStyle name="20% - Accent3 4 4 9" xfId="14654"/>
    <cellStyle name="20% - Accent3 4 4 9 2" xfId="14655"/>
    <cellStyle name="20% - Accent3 4 4 9 3" xfId="14656"/>
    <cellStyle name="20% - Accent3 4 5" xfId="612"/>
    <cellStyle name="20% - Accent3 4 5 10" xfId="14657"/>
    <cellStyle name="20% - Accent3 4 5 2" xfId="613"/>
    <cellStyle name="20% - Accent3 4 5 2 2" xfId="14658"/>
    <cellStyle name="20% - Accent3 4 5 2 2 2" xfId="14659"/>
    <cellStyle name="20% - Accent3 4 5 2 2 2 2" xfId="14660"/>
    <cellStyle name="20% - Accent3 4 5 2 2 2 3" xfId="14661"/>
    <cellStyle name="20% - Accent3 4 5 2 2 3" xfId="14662"/>
    <cellStyle name="20% - Accent3 4 5 2 2 3 2" xfId="14663"/>
    <cellStyle name="20% - Accent3 4 5 2 2 3 3" xfId="14664"/>
    <cellStyle name="20% - Accent3 4 5 2 2 4" xfId="14665"/>
    <cellStyle name="20% - Accent3 4 5 2 2 4 2" xfId="14666"/>
    <cellStyle name="20% - Accent3 4 5 2 2 5" xfId="14667"/>
    <cellStyle name="20% - Accent3 4 5 2 2 6" xfId="14668"/>
    <cellStyle name="20% - Accent3 4 5 2 3" xfId="14669"/>
    <cellStyle name="20% - Accent3 4 5 2 3 2" xfId="14670"/>
    <cellStyle name="20% - Accent3 4 5 2 3 2 2" xfId="14671"/>
    <cellStyle name="20% - Accent3 4 5 2 3 2 3" xfId="14672"/>
    <cellStyle name="20% - Accent3 4 5 2 3 3" xfId="14673"/>
    <cellStyle name="20% - Accent3 4 5 2 3 3 2" xfId="14674"/>
    <cellStyle name="20% - Accent3 4 5 2 3 3 3" xfId="14675"/>
    <cellStyle name="20% - Accent3 4 5 2 3 4" xfId="14676"/>
    <cellStyle name="20% - Accent3 4 5 2 3 4 2" xfId="14677"/>
    <cellStyle name="20% - Accent3 4 5 2 3 5" xfId="14678"/>
    <cellStyle name="20% - Accent3 4 5 2 3 6" xfId="14679"/>
    <cellStyle name="20% - Accent3 4 5 2 4" xfId="14680"/>
    <cellStyle name="20% - Accent3 4 5 2 4 2" xfId="14681"/>
    <cellStyle name="20% - Accent3 4 5 2 4 2 2" xfId="14682"/>
    <cellStyle name="20% - Accent3 4 5 2 4 2 3" xfId="14683"/>
    <cellStyle name="20% - Accent3 4 5 2 4 3" xfId="14684"/>
    <cellStyle name="20% - Accent3 4 5 2 4 3 2" xfId="14685"/>
    <cellStyle name="20% - Accent3 4 5 2 4 4" xfId="14686"/>
    <cellStyle name="20% - Accent3 4 5 2 4 5" xfId="14687"/>
    <cellStyle name="20% - Accent3 4 5 2 5" xfId="14688"/>
    <cellStyle name="20% - Accent3 4 5 2 5 2" xfId="14689"/>
    <cellStyle name="20% - Accent3 4 5 2 5 3" xfId="14690"/>
    <cellStyle name="20% - Accent3 4 5 2 6" xfId="14691"/>
    <cellStyle name="20% - Accent3 4 5 2 6 2" xfId="14692"/>
    <cellStyle name="20% - Accent3 4 5 2 6 3" xfId="14693"/>
    <cellStyle name="20% - Accent3 4 5 2 7" xfId="14694"/>
    <cellStyle name="20% - Accent3 4 5 2 7 2" xfId="14695"/>
    <cellStyle name="20% - Accent3 4 5 2 8" xfId="14696"/>
    <cellStyle name="20% - Accent3 4 5 2 9" xfId="14697"/>
    <cellStyle name="20% - Accent3 4 5 3" xfId="14698"/>
    <cellStyle name="20% - Accent3 4 5 3 2" xfId="14699"/>
    <cellStyle name="20% - Accent3 4 5 3 2 2" xfId="14700"/>
    <cellStyle name="20% - Accent3 4 5 3 2 3" xfId="14701"/>
    <cellStyle name="20% - Accent3 4 5 3 3" xfId="14702"/>
    <cellStyle name="20% - Accent3 4 5 3 3 2" xfId="14703"/>
    <cellStyle name="20% - Accent3 4 5 3 3 3" xfId="14704"/>
    <cellStyle name="20% - Accent3 4 5 3 4" xfId="14705"/>
    <cellStyle name="20% - Accent3 4 5 3 4 2" xfId="14706"/>
    <cellStyle name="20% - Accent3 4 5 3 5" xfId="14707"/>
    <cellStyle name="20% - Accent3 4 5 3 6" xfId="14708"/>
    <cellStyle name="20% - Accent3 4 5 4" xfId="14709"/>
    <cellStyle name="20% - Accent3 4 5 4 2" xfId="14710"/>
    <cellStyle name="20% - Accent3 4 5 4 2 2" xfId="14711"/>
    <cellStyle name="20% - Accent3 4 5 4 2 3" xfId="14712"/>
    <cellStyle name="20% - Accent3 4 5 4 3" xfId="14713"/>
    <cellStyle name="20% - Accent3 4 5 4 3 2" xfId="14714"/>
    <cellStyle name="20% - Accent3 4 5 4 3 3" xfId="14715"/>
    <cellStyle name="20% - Accent3 4 5 4 4" xfId="14716"/>
    <cellStyle name="20% - Accent3 4 5 4 4 2" xfId="14717"/>
    <cellStyle name="20% - Accent3 4 5 4 5" xfId="14718"/>
    <cellStyle name="20% - Accent3 4 5 4 6" xfId="14719"/>
    <cellStyle name="20% - Accent3 4 5 5" xfId="14720"/>
    <cellStyle name="20% - Accent3 4 5 5 2" xfId="14721"/>
    <cellStyle name="20% - Accent3 4 5 5 2 2" xfId="14722"/>
    <cellStyle name="20% - Accent3 4 5 5 2 3" xfId="14723"/>
    <cellStyle name="20% - Accent3 4 5 5 3" xfId="14724"/>
    <cellStyle name="20% - Accent3 4 5 5 3 2" xfId="14725"/>
    <cellStyle name="20% - Accent3 4 5 5 4" xfId="14726"/>
    <cellStyle name="20% - Accent3 4 5 5 5" xfId="14727"/>
    <cellStyle name="20% - Accent3 4 5 6" xfId="14728"/>
    <cellStyle name="20% - Accent3 4 5 6 2" xfId="14729"/>
    <cellStyle name="20% - Accent3 4 5 6 3" xfId="14730"/>
    <cellStyle name="20% - Accent3 4 5 7" xfId="14731"/>
    <cellStyle name="20% - Accent3 4 5 7 2" xfId="14732"/>
    <cellStyle name="20% - Accent3 4 5 7 3" xfId="14733"/>
    <cellStyle name="20% - Accent3 4 5 8" xfId="14734"/>
    <cellStyle name="20% - Accent3 4 5 8 2" xfId="14735"/>
    <cellStyle name="20% - Accent3 4 5 9" xfId="14736"/>
    <cellStyle name="20% - Accent3 4 6" xfId="614"/>
    <cellStyle name="20% - Accent3 4 6 2" xfId="14737"/>
    <cellStyle name="20% - Accent3 4 6 2 2" xfId="14738"/>
    <cellStyle name="20% - Accent3 4 6 2 2 2" xfId="14739"/>
    <cellStyle name="20% - Accent3 4 6 2 2 3" xfId="14740"/>
    <cellStyle name="20% - Accent3 4 6 2 3" xfId="14741"/>
    <cellStyle name="20% - Accent3 4 6 2 3 2" xfId="14742"/>
    <cellStyle name="20% - Accent3 4 6 2 3 3" xfId="14743"/>
    <cellStyle name="20% - Accent3 4 6 2 4" xfId="14744"/>
    <cellStyle name="20% - Accent3 4 6 2 4 2" xfId="14745"/>
    <cellStyle name="20% - Accent3 4 6 2 5" xfId="14746"/>
    <cellStyle name="20% - Accent3 4 6 2 6" xfId="14747"/>
    <cellStyle name="20% - Accent3 4 6 3" xfId="14748"/>
    <cellStyle name="20% - Accent3 4 6 3 2" xfId="14749"/>
    <cellStyle name="20% - Accent3 4 6 3 2 2" xfId="14750"/>
    <cellStyle name="20% - Accent3 4 6 3 2 3" xfId="14751"/>
    <cellStyle name="20% - Accent3 4 6 3 3" xfId="14752"/>
    <cellStyle name="20% - Accent3 4 6 3 3 2" xfId="14753"/>
    <cellStyle name="20% - Accent3 4 6 3 3 3" xfId="14754"/>
    <cellStyle name="20% - Accent3 4 6 3 4" xfId="14755"/>
    <cellStyle name="20% - Accent3 4 6 3 4 2" xfId="14756"/>
    <cellStyle name="20% - Accent3 4 6 3 5" xfId="14757"/>
    <cellStyle name="20% - Accent3 4 6 3 6" xfId="14758"/>
    <cellStyle name="20% - Accent3 4 6 4" xfId="14759"/>
    <cellStyle name="20% - Accent3 4 6 4 2" xfId="14760"/>
    <cellStyle name="20% - Accent3 4 6 4 2 2" xfId="14761"/>
    <cellStyle name="20% - Accent3 4 6 4 2 3" xfId="14762"/>
    <cellStyle name="20% - Accent3 4 6 4 3" xfId="14763"/>
    <cellStyle name="20% - Accent3 4 6 4 3 2" xfId="14764"/>
    <cellStyle name="20% - Accent3 4 6 4 4" xfId="14765"/>
    <cellStyle name="20% - Accent3 4 6 4 5" xfId="14766"/>
    <cellStyle name="20% - Accent3 4 6 5" xfId="14767"/>
    <cellStyle name="20% - Accent3 4 6 5 2" xfId="14768"/>
    <cellStyle name="20% - Accent3 4 6 5 3" xfId="14769"/>
    <cellStyle name="20% - Accent3 4 6 6" xfId="14770"/>
    <cellStyle name="20% - Accent3 4 6 6 2" xfId="14771"/>
    <cellStyle name="20% - Accent3 4 6 6 3" xfId="14772"/>
    <cellStyle name="20% - Accent3 4 6 7" xfId="14773"/>
    <cellStyle name="20% - Accent3 4 6 7 2" xfId="14774"/>
    <cellStyle name="20% - Accent3 4 6 8" xfId="14775"/>
    <cellStyle name="20% - Accent3 4 6 9" xfId="14776"/>
    <cellStyle name="20% - Accent3 4 7" xfId="8814"/>
    <cellStyle name="20% - Accent3 4 7 2" xfId="14777"/>
    <cellStyle name="20% - Accent3 4 7 2 2" xfId="14778"/>
    <cellStyle name="20% - Accent3 4 7 2 2 2" xfId="14779"/>
    <cellStyle name="20% - Accent3 4 7 2 2 3" xfId="14780"/>
    <cellStyle name="20% - Accent3 4 7 2 3" xfId="14781"/>
    <cellStyle name="20% - Accent3 4 7 2 3 2" xfId="14782"/>
    <cellStyle name="20% - Accent3 4 7 2 3 3" xfId="14783"/>
    <cellStyle name="20% - Accent3 4 7 2 4" xfId="14784"/>
    <cellStyle name="20% - Accent3 4 7 2 4 2" xfId="14785"/>
    <cellStyle name="20% - Accent3 4 7 2 5" xfId="14786"/>
    <cellStyle name="20% - Accent3 4 7 2 6" xfId="14787"/>
    <cellStyle name="20% - Accent3 4 7 3" xfId="14788"/>
    <cellStyle name="20% - Accent3 4 7 3 2" xfId="14789"/>
    <cellStyle name="20% - Accent3 4 7 3 2 2" xfId="14790"/>
    <cellStyle name="20% - Accent3 4 7 3 2 3" xfId="14791"/>
    <cellStyle name="20% - Accent3 4 7 3 3" xfId="14792"/>
    <cellStyle name="20% - Accent3 4 7 3 3 2" xfId="14793"/>
    <cellStyle name="20% - Accent3 4 7 3 3 3" xfId="14794"/>
    <cellStyle name="20% - Accent3 4 7 3 4" xfId="14795"/>
    <cellStyle name="20% - Accent3 4 7 3 4 2" xfId="14796"/>
    <cellStyle name="20% - Accent3 4 7 3 5" xfId="14797"/>
    <cellStyle name="20% - Accent3 4 7 3 6" xfId="14798"/>
    <cellStyle name="20% - Accent3 4 7 4" xfId="14799"/>
    <cellStyle name="20% - Accent3 4 7 4 2" xfId="14800"/>
    <cellStyle name="20% - Accent3 4 7 4 2 2" xfId="14801"/>
    <cellStyle name="20% - Accent3 4 7 4 2 3" xfId="14802"/>
    <cellStyle name="20% - Accent3 4 7 4 3" xfId="14803"/>
    <cellStyle name="20% - Accent3 4 7 4 3 2" xfId="14804"/>
    <cellStyle name="20% - Accent3 4 7 4 4" xfId="14805"/>
    <cellStyle name="20% - Accent3 4 7 4 5" xfId="14806"/>
    <cellStyle name="20% - Accent3 4 7 5" xfId="14807"/>
    <cellStyle name="20% - Accent3 4 7 5 2" xfId="14808"/>
    <cellStyle name="20% - Accent3 4 7 5 3" xfId="14809"/>
    <cellStyle name="20% - Accent3 4 7 6" xfId="14810"/>
    <cellStyle name="20% - Accent3 4 7 6 2" xfId="14811"/>
    <cellStyle name="20% - Accent3 4 7 6 3" xfId="14812"/>
    <cellStyle name="20% - Accent3 4 7 7" xfId="14813"/>
    <cellStyle name="20% - Accent3 4 7 7 2" xfId="14814"/>
    <cellStyle name="20% - Accent3 4 7 8" xfId="14815"/>
    <cellStyle name="20% - Accent3 4 7 9" xfId="14816"/>
    <cellStyle name="20% - Accent3 4 8" xfId="14817"/>
    <cellStyle name="20% - Accent3 4 8 2" xfId="14818"/>
    <cellStyle name="20% - Accent3 4 8 2 2" xfId="14819"/>
    <cellStyle name="20% - Accent3 4 8 2 3" xfId="14820"/>
    <cellStyle name="20% - Accent3 4 8 3" xfId="14821"/>
    <cellStyle name="20% - Accent3 4 8 3 2" xfId="14822"/>
    <cellStyle name="20% - Accent3 4 8 3 3" xfId="14823"/>
    <cellStyle name="20% - Accent3 4 8 4" xfId="14824"/>
    <cellStyle name="20% - Accent3 4 8 4 2" xfId="14825"/>
    <cellStyle name="20% - Accent3 4 8 5" xfId="14826"/>
    <cellStyle name="20% - Accent3 4 8 6" xfId="14827"/>
    <cellStyle name="20% - Accent3 4 9" xfId="14828"/>
    <cellStyle name="20% - Accent3 4 9 2" xfId="14829"/>
    <cellStyle name="20% - Accent3 4 9 2 2" xfId="14830"/>
    <cellStyle name="20% - Accent3 4 9 2 3" xfId="14831"/>
    <cellStyle name="20% - Accent3 4 9 3" xfId="14832"/>
    <cellStyle name="20% - Accent3 4 9 3 2" xfId="14833"/>
    <cellStyle name="20% - Accent3 4 9 3 3" xfId="14834"/>
    <cellStyle name="20% - Accent3 4 9 4" xfId="14835"/>
    <cellStyle name="20% - Accent3 4 9 4 2" xfId="14836"/>
    <cellStyle name="20% - Accent3 4 9 5" xfId="14837"/>
    <cellStyle name="20% - Accent3 4 9 6" xfId="14838"/>
    <cellStyle name="20% - Accent3 5" xfId="615"/>
    <cellStyle name="20% - Accent3 5 2" xfId="616"/>
    <cellStyle name="20% - Accent3 5 2 2" xfId="617"/>
    <cellStyle name="20% - Accent3 5 2 2 2" xfId="618"/>
    <cellStyle name="20% - Accent3 5 2 2 2 2" xfId="619"/>
    <cellStyle name="20% - Accent3 5 2 2 3" xfId="620"/>
    <cellStyle name="20% - Accent3 5 2 3" xfId="621"/>
    <cellStyle name="20% - Accent3 5 2 3 2" xfId="622"/>
    <cellStyle name="20% - Accent3 5 2 4" xfId="623"/>
    <cellStyle name="20% - Accent3 5 2 5" xfId="57886"/>
    <cellStyle name="20% - Accent3 5 3" xfId="624"/>
    <cellStyle name="20% - Accent3 5 3 2" xfId="625"/>
    <cellStyle name="20% - Accent3 5 3 2 2" xfId="626"/>
    <cellStyle name="20% - Accent3 5 3 3" xfId="627"/>
    <cellStyle name="20% - Accent3 5 4" xfId="628"/>
    <cellStyle name="20% - Accent3 5 4 2" xfId="629"/>
    <cellStyle name="20% - Accent3 5 5" xfId="630"/>
    <cellStyle name="20% - Accent3 5 6" xfId="8815"/>
    <cellStyle name="20% - Accent3 6" xfId="631"/>
    <cellStyle name="20% - Accent3 6 2" xfId="632"/>
    <cellStyle name="20% - Accent3 6 2 2" xfId="633"/>
    <cellStyle name="20% - Accent3 6 2 2 2" xfId="634"/>
    <cellStyle name="20% - Accent3 6 2 3" xfId="635"/>
    <cellStyle name="20% - Accent3 6 2 4" xfId="57887"/>
    <cellStyle name="20% - Accent3 6 2 5" xfId="57888"/>
    <cellStyle name="20% - Accent3 6 3" xfId="636"/>
    <cellStyle name="20% - Accent3 6 3 2" xfId="637"/>
    <cellStyle name="20% - Accent3 6 4" xfId="638"/>
    <cellStyle name="20% - Accent3 6 5" xfId="57889"/>
    <cellStyle name="20% - Accent3 7" xfId="639"/>
    <cellStyle name="20% - Accent3 7 2" xfId="640"/>
    <cellStyle name="20% - Accent3 7 2 2" xfId="641"/>
    <cellStyle name="20% - Accent3 7 2 2 2" xfId="642"/>
    <cellStyle name="20% - Accent3 7 2 3" xfId="643"/>
    <cellStyle name="20% - Accent3 7 3" xfId="644"/>
    <cellStyle name="20% - Accent3 7 3 2" xfId="645"/>
    <cellStyle name="20% - Accent3 7 4" xfId="646"/>
    <cellStyle name="20% - Accent3 7 5" xfId="57890"/>
    <cellStyle name="20% - Accent3 8" xfId="647"/>
    <cellStyle name="20% - Accent3 8 2" xfId="648"/>
    <cellStyle name="20% - Accent3 8 2 2" xfId="649"/>
    <cellStyle name="20% - Accent3 8 2 2 2" xfId="650"/>
    <cellStyle name="20% - Accent3 8 2 3" xfId="651"/>
    <cellStyle name="20% - Accent3 8 3" xfId="652"/>
    <cellStyle name="20% - Accent3 8 3 2" xfId="653"/>
    <cellStyle name="20% - Accent3 8 4" xfId="654"/>
    <cellStyle name="20% - Accent3 8 5" xfId="57891"/>
    <cellStyle name="20% - Accent3 9" xfId="655"/>
    <cellStyle name="20% - Accent3 9 2" xfId="656"/>
    <cellStyle name="20% - Accent3 9 2 2" xfId="657"/>
    <cellStyle name="20% - Accent3 9 3" xfId="658"/>
    <cellStyle name="20% - Accent3 9 4" xfId="57892"/>
    <cellStyle name="20% - Accent4 10" xfId="659"/>
    <cellStyle name="20% - Accent4 10 2" xfId="660"/>
    <cellStyle name="20% - Accent4 10 2 2" xfId="661"/>
    <cellStyle name="20% - Accent4 10 3" xfId="662"/>
    <cellStyle name="20% - Accent4 10 4" xfId="57893"/>
    <cellStyle name="20% - Accent4 11" xfId="663"/>
    <cellStyle name="20% - Accent4 11 2" xfId="664"/>
    <cellStyle name="20% - Accent4 11 2 2" xfId="665"/>
    <cellStyle name="20% - Accent4 11 3" xfId="666"/>
    <cellStyle name="20% - Accent4 11 4" xfId="57894"/>
    <cellStyle name="20% - Accent4 12" xfId="667"/>
    <cellStyle name="20% - Accent4 12 2" xfId="668"/>
    <cellStyle name="20% - Accent4 12 2 2" xfId="669"/>
    <cellStyle name="20% - Accent4 12 3" xfId="670"/>
    <cellStyle name="20% - Accent4 12 4" xfId="57895"/>
    <cellStyle name="20% - Accent4 13" xfId="671"/>
    <cellStyle name="20% - Accent4 13 2" xfId="672"/>
    <cellStyle name="20% - Accent4 13 3" xfId="57896"/>
    <cellStyle name="20% - Accent4 14" xfId="673"/>
    <cellStyle name="20% - Accent4 14 2" xfId="57897"/>
    <cellStyle name="20% - Accent4 15" xfId="8816"/>
    <cellStyle name="20% - Accent4 16" xfId="9388"/>
    <cellStyle name="20% - Accent4 17" xfId="9389"/>
    <cellStyle name="20% - Accent4 17 2" xfId="57898"/>
    <cellStyle name="20% - Accent4 18" xfId="57899"/>
    <cellStyle name="20% - Accent4 19" xfId="57900"/>
    <cellStyle name="20% - Accent4 2" xfId="674"/>
    <cellStyle name="20% - Accent4 2 10" xfId="57901"/>
    <cellStyle name="20% - Accent4 2 11" xfId="57902"/>
    <cellStyle name="20% - Accent4 2 12" xfId="57903"/>
    <cellStyle name="20% - Accent4 2 13" xfId="57904"/>
    <cellStyle name="20% - Accent4 2 2" xfId="675"/>
    <cellStyle name="20% - Accent4 2 2 10" xfId="57905"/>
    <cellStyle name="20% - Accent4 2 2 2" xfId="676"/>
    <cellStyle name="20% - Accent4 2 2 2 2" xfId="677"/>
    <cellStyle name="20% - Accent4 2 2 2 2 2" xfId="678"/>
    <cellStyle name="20% - Accent4 2 2 2 2 2 2" xfId="679"/>
    <cellStyle name="20% - Accent4 2 2 2 2 2 2 2" xfId="680"/>
    <cellStyle name="20% - Accent4 2 2 2 2 2 3" xfId="681"/>
    <cellStyle name="20% - Accent4 2 2 2 2 2 4" xfId="8817"/>
    <cellStyle name="20% - Accent4 2 2 2 2 3" xfId="682"/>
    <cellStyle name="20% - Accent4 2 2 2 2 3 2" xfId="683"/>
    <cellStyle name="20% - Accent4 2 2 2 2 4" xfId="684"/>
    <cellStyle name="20% - Accent4 2 2 2 2 5" xfId="685"/>
    <cellStyle name="20% - Accent4 2 2 2 2 6" xfId="8818"/>
    <cellStyle name="20% - Accent4 2 2 2 3" xfId="686"/>
    <cellStyle name="20% - Accent4 2 2 2 3 2" xfId="687"/>
    <cellStyle name="20% - Accent4 2 2 2 3 2 2" xfId="688"/>
    <cellStyle name="20% - Accent4 2 2 2 3 3" xfId="689"/>
    <cellStyle name="20% - Accent4 2 2 2 3 4" xfId="8819"/>
    <cellStyle name="20% - Accent4 2 2 2 4" xfId="690"/>
    <cellStyle name="20% - Accent4 2 2 2 4 2" xfId="691"/>
    <cellStyle name="20% - Accent4 2 2 2 5" xfId="692"/>
    <cellStyle name="20% - Accent4 2 2 2 6" xfId="693"/>
    <cellStyle name="20% - Accent4 2 2 2 7" xfId="8820"/>
    <cellStyle name="20% - Accent4 2 2 3" xfId="694"/>
    <cellStyle name="20% - Accent4 2 2 3 2" xfId="695"/>
    <cellStyle name="20% - Accent4 2 2 3 2 2" xfId="696"/>
    <cellStyle name="20% - Accent4 2 2 3 2 2 2" xfId="697"/>
    <cellStyle name="20% - Accent4 2 2 3 2 3" xfId="698"/>
    <cellStyle name="20% - Accent4 2 2 3 2 4" xfId="8821"/>
    <cellStyle name="20% - Accent4 2 2 3 3" xfId="699"/>
    <cellStyle name="20% - Accent4 2 2 3 3 2" xfId="700"/>
    <cellStyle name="20% - Accent4 2 2 3 4" xfId="701"/>
    <cellStyle name="20% - Accent4 2 2 3 5" xfId="702"/>
    <cellStyle name="20% - Accent4 2 2 3 6" xfId="8822"/>
    <cellStyle name="20% - Accent4 2 2 4" xfId="703"/>
    <cellStyle name="20% - Accent4 2 2 4 2" xfId="704"/>
    <cellStyle name="20% - Accent4 2 2 4 2 2" xfId="705"/>
    <cellStyle name="20% - Accent4 2 2 4 3" xfId="706"/>
    <cellStyle name="20% - Accent4 2 2 4 4" xfId="8823"/>
    <cellStyle name="20% - Accent4 2 2 5" xfId="707"/>
    <cellStyle name="20% - Accent4 2 2 5 2" xfId="708"/>
    <cellStyle name="20% - Accent4 2 2 5 3" xfId="57906"/>
    <cellStyle name="20% - Accent4 2 2 6" xfId="709"/>
    <cellStyle name="20% - Accent4 2 2 6 2" xfId="57907"/>
    <cellStyle name="20% - Accent4 2 2 7" xfId="710"/>
    <cellStyle name="20% - Accent4 2 2 8" xfId="8824"/>
    <cellStyle name="20% - Accent4 2 2 9" xfId="57908"/>
    <cellStyle name="20% - Accent4 2 3" xfId="711"/>
    <cellStyle name="20% - Accent4 2 3 2" xfId="712"/>
    <cellStyle name="20% - Accent4 2 3 2 2" xfId="713"/>
    <cellStyle name="20% - Accent4 2 3 2 2 2" xfId="714"/>
    <cellStyle name="20% - Accent4 2 3 2 2 2 2" xfId="715"/>
    <cellStyle name="20% - Accent4 2 3 2 2 2 3" xfId="8825"/>
    <cellStyle name="20% - Accent4 2 3 2 2 3" xfId="716"/>
    <cellStyle name="20% - Accent4 2 3 2 2 4" xfId="717"/>
    <cellStyle name="20% - Accent4 2 3 2 2 5" xfId="8826"/>
    <cellStyle name="20% - Accent4 2 3 2 3" xfId="718"/>
    <cellStyle name="20% - Accent4 2 3 2 3 2" xfId="719"/>
    <cellStyle name="20% - Accent4 2 3 2 3 3" xfId="8827"/>
    <cellStyle name="20% - Accent4 2 3 2 4" xfId="720"/>
    <cellStyle name="20% - Accent4 2 3 2 5" xfId="721"/>
    <cellStyle name="20% - Accent4 2 3 2 6" xfId="8828"/>
    <cellStyle name="20% - Accent4 2 3 3" xfId="722"/>
    <cellStyle name="20% - Accent4 2 3 3 2" xfId="723"/>
    <cellStyle name="20% - Accent4 2 3 3 2 2" xfId="724"/>
    <cellStyle name="20% - Accent4 2 3 3 2 3" xfId="8829"/>
    <cellStyle name="20% - Accent4 2 3 3 3" xfId="725"/>
    <cellStyle name="20% - Accent4 2 3 3 4" xfId="726"/>
    <cellStyle name="20% - Accent4 2 3 3 5" xfId="8830"/>
    <cellStyle name="20% - Accent4 2 3 4" xfId="727"/>
    <cellStyle name="20% - Accent4 2 3 4 2" xfId="728"/>
    <cellStyle name="20% - Accent4 2 3 4 3" xfId="8831"/>
    <cellStyle name="20% - Accent4 2 3 5" xfId="729"/>
    <cellStyle name="20% - Accent4 2 3 6" xfId="730"/>
    <cellStyle name="20% - Accent4 2 3 7" xfId="8832"/>
    <cellStyle name="20% - Accent4 2 4" xfId="731"/>
    <cellStyle name="20% - Accent4 2 4 2" xfId="732"/>
    <cellStyle name="20% - Accent4 2 4 2 2" xfId="733"/>
    <cellStyle name="20% - Accent4 2 4 2 2 2" xfId="734"/>
    <cellStyle name="20% - Accent4 2 4 2 2 2 2" xfId="8833"/>
    <cellStyle name="20% - Accent4 2 4 2 2 3" xfId="735"/>
    <cellStyle name="20% - Accent4 2 4 2 2 4" xfId="8834"/>
    <cellStyle name="20% - Accent4 2 4 2 3" xfId="736"/>
    <cellStyle name="20% - Accent4 2 4 2 3 2" xfId="8835"/>
    <cellStyle name="20% - Accent4 2 4 2 4" xfId="737"/>
    <cellStyle name="20% - Accent4 2 4 2 5" xfId="8836"/>
    <cellStyle name="20% - Accent4 2 4 3" xfId="738"/>
    <cellStyle name="20% - Accent4 2 4 3 2" xfId="739"/>
    <cellStyle name="20% - Accent4 2 4 3 2 2" xfId="8837"/>
    <cellStyle name="20% - Accent4 2 4 3 3" xfId="740"/>
    <cellStyle name="20% - Accent4 2 4 3 4" xfId="8838"/>
    <cellStyle name="20% - Accent4 2 4 4" xfId="741"/>
    <cellStyle name="20% - Accent4 2 4 4 2" xfId="8839"/>
    <cellStyle name="20% - Accent4 2 4 5" xfId="742"/>
    <cellStyle name="20% - Accent4 2 4 6" xfId="8840"/>
    <cellStyle name="20% - Accent4 2 4 7" xfId="57909"/>
    <cellStyle name="20% - Accent4 2 5" xfId="743"/>
    <cellStyle name="20% - Accent4 2 5 2" xfId="744"/>
    <cellStyle name="20% - Accent4 2 5 2 2" xfId="745"/>
    <cellStyle name="20% - Accent4 2 5 2 2 2" xfId="8841"/>
    <cellStyle name="20% - Accent4 2 5 2 3" xfId="746"/>
    <cellStyle name="20% - Accent4 2 5 2 4" xfId="8842"/>
    <cellStyle name="20% - Accent4 2 5 3" xfId="747"/>
    <cellStyle name="20% - Accent4 2 5 3 2" xfId="8843"/>
    <cellStyle name="20% - Accent4 2 5 4" xfId="748"/>
    <cellStyle name="20% - Accent4 2 5 5" xfId="8844"/>
    <cellStyle name="20% - Accent4 2 5 6" xfId="57910"/>
    <cellStyle name="20% - Accent4 2 6" xfId="749"/>
    <cellStyle name="20% - Accent4 2 6 2" xfId="750"/>
    <cellStyle name="20% - Accent4 2 6 2 2" xfId="8845"/>
    <cellStyle name="20% - Accent4 2 6 3" xfId="751"/>
    <cellStyle name="20% - Accent4 2 6 4" xfId="8846"/>
    <cellStyle name="20% - Accent4 2 6 5" xfId="57911"/>
    <cellStyle name="20% - Accent4 2 7" xfId="752"/>
    <cellStyle name="20% - Accent4 2 7 2" xfId="8847"/>
    <cellStyle name="20% - Accent4 2 7 3" xfId="57912"/>
    <cellStyle name="20% - Accent4 2 7 4" xfId="57913"/>
    <cellStyle name="20% - Accent4 2 8" xfId="753"/>
    <cellStyle name="20% - Accent4 2 8 2" xfId="57914"/>
    <cellStyle name="20% - Accent4 2 8 3" xfId="57915"/>
    <cellStyle name="20% - Accent4 2 9" xfId="8848"/>
    <cellStyle name="20% - Accent4 2 9 2" xfId="57916"/>
    <cellStyle name="20% - Accent4 20" xfId="57917"/>
    <cellStyle name="20% - Accent4 21" xfId="57918"/>
    <cellStyle name="20% - Accent4 3" xfId="754"/>
    <cellStyle name="20% - Accent4 3 2" xfId="755"/>
    <cellStyle name="20% - Accent4 3 2 2" xfId="756"/>
    <cellStyle name="20% - Accent4 3 2 2 2" xfId="757"/>
    <cellStyle name="20% - Accent4 3 2 2 2 2" xfId="758"/>
    <cellStyle name="20% - Accent4 3 2 2 2 2 2" xfId="759"/>
    <cellStyle name="20% - Accent4 3 2 2 2 2 2 2" xfId="760"/>
    <cellStyle name="20% - Accent4 3 2 2 2 2 3" xfId="761"/>
    <cellStyle name="20% - Accent4 3 2 2 2 2 4" xfId="8849"/>
    <cellStyle name="20% - Accent4 3 2 2 2 3" xfId="762"/>
    <cellStyle name="20% - Accent4 3 2 2 2 3 2" xfId="763"/>
    <cellStyle name="20% - Accent4 3 2 2 2 4" xfId="764"/>
    <cellStyle name="20% - Accent4 3 2 2 2 5" xfId="765"/>
    <cellStyle name="20% - Accent4 3 2 2 2 6" xfId="8850"/>
    <cellStyle name="20% - Accent4 3 2 2 3" xfId="766"/>
    <cellStyle name="20% - Accent4 3 2 2 3 2" xfId="767"/>
    <cellStyle name="20% - Accent4 3 2 2 3 2 2" xfId="768"/>
    <cellStyle name="20% - Accent4 3 2 2 3 3" xfId="769"/>
    <cellStyle name="20% - Accent4 3 2 2 3 4" xfId="8851"/>
    <cellStyle name="20% - Accent4 3 2 2 4" xfId="770"/>
    <cellStyle name="20% - Accent4 3 2 2 4 2" xfId="771"/>
    <cellStyle name="20% - Accent4 3 2 2 5" xfId="772"/>
    <cellStyle name="20% - Accent4 3 2 2 6" xfId="773"/>
    <cellStyle name="20% - Accent4 3 2 2 7" xfId="8852"/>
    <cellStyle name="20% - Accent4 3 2 3" xfId="774"/>
    <cellStyle name="20% - Accent4 3 2 3 2" xfId="775"/>
    <cellStyle name="20% - Accent4 3 2 3 2 2" xfId="776"/>
    <cellStyle name="20% - Accent4 3 2 3 2 2 2" xfId="777"/>
    <cellStyle name="20% - Accent4 3 2 3 2 3" xfId="778"/>
    <cellStyle name="20% - Accent4 3 2 3 2 4" xfId="8853"/>
    <cellStyle name="20% - Accent4 3 2 3 3" xfId="779"/>
    <cellStyle name="20% - Accent4 3 2 3 3 2" xfId="780"/>
    <cellStyle name="20% - Accent4 3 2 3 4" xfId="781"/>
    <cellStyle name="20% - Accent4 3 2 3 5" xfId="782"/>
    <cellStyle name="20% - Accent4 3 2 3 6" xfId="8854"/>
    <cellStyle name="20% - Accent4 3 2 4" xfId="783"/>
    <cellStyle name="20% - Accent4 3 2 4 2" xfId="784"/>
    <cellStyle name="20% - Accent4 3 2 4 2 2" xfId="785"/>
    <cellStyle name="20% - Accent4 3 2 4 3" xfId="786"/>
    <cellStyle name="20% - Accent4 3 2 4 4" xfId="8855"/>
    <cellStyle name="20% - Accent4 3 2 5" xfId="787"/>
    <cellStyle name="20% - Accent4 3 2 5 2" xfId="788"/>
    <cellStyle name="20% - Accent4 3 2 6" xfId="789"/>
    <cellStyle name="20% - Accent4 3 2 7" xfId="790"/>
    <cellStyle name="20% - Accent4 3 2 8" xfId="8856"/>
    <cellStyle name="20% - Accent4 3 2 9" xfId="57919"/>
    <cellStyle name="20% - Accent4 3 3" xfId="791"/>
    <cellStyle name="20% - Accent4 3 3 2" xfId="792"/>
    <cellStyle name="20% - Accent4 3 3 2 2" xfId="793"/>
    <cellStyle name="20% - Accent4 3 3 2 2 2" xfId="794"/>
    <cellStyle name="20% - Accent4 3 3 2 2 2 2" xfId="795"/>
    <cellStyle name="20% - Accent4 3 3 2 2 2 3" xfId="8857"/>
    <cellStyle name="20% - Accent4 3 3 2 2 3" xfId="796"/>
    <cellStyle name="20% - Accent4 3 3 2 2 4" xfId="797"/>
    <cellStyle name="20% - Accent4 3 3 2 2 5" xfId="8858"/>
    <cellStyle name="20% - Accent4 3 3 2 3" xfId="798"/>
    <cellStyle name="20% - Accent4 3 3 2 3 2" xfId="799"/>
    <cellStyle name="20% - Accent4 3 3 2 3 3" xfId="8859"/>
    <cellStyle name="20% - Accent4 3 3 2 4" xfId="800"/>
    <cellStyle name="20% - Accent4 3 3 2 5" xfId="801"/>
    <cellStyle name="20% - Accent4 3 3 2 6" xfId="8860"/>
    <cellStyle name="20% - Accent4 3 3 3" xfId="802"/>
    <cellStyle name="20% - Accent4 3 3 3 2" xfId="803"/>
    <cellStyle name="20% - Accent4 3 3 3 2 2" xfId="804"/>
    <cellStyle name="20% - Accent4 3 3 3 2 3" xfId="8861"/>
    <cellStyle name="20% - Accent4 3 3 3 3" xfId="805"/>
    <cellStyle name="20% - Accent4 3 3 3 4" xfId="806"/>
    <cellStyle name="20% - Accent4 3 3 3 5" xfId="8862"/>
    <cellStyle name="20% - Accent4 3 3 4" xfId="807"/>
    <cellStyle name="20% - Accent4 3 3 4 2" xfId="808"/>
    <cellStyle name="20% - Accent4 3 3 4 3" xfId="8863"/>
    <cellStyle name="20% - Accent4 3 3 4 4" xfId="57920"/>
    <cellStyle name="20% - Accent4 3 3 5" xfId="809"/>
    <cellStyle name="20% - Accent4 3 3 5 2" xfId="57921"/>
    <cellStyle name="20% - Accent4 3 3 6" xfId="810"/>
    <cellStyle name="20% - Accent4 3 3 7" xfId="8864"/>
    <cellStyle name="20% - Accent4 3 3 8" xfId="57922"/>
    <cellStyle name="20% - Accent4 3 3 9" xfId="57923"/>
    <cellStyle name="20% - Accent4 3 4" xfId="811"/>
    <cellStyle name="20% - Accent4 3 4 2" xfId="812"/>
    <cellStyle name="20% - Accent4 3 4 2 2" xfId="813"/>
    <cellStyle name="20% - Accent4 3 4 2 2 2" xfId="814"/>
    <cellStyle name="20% - Accent4 3 4 2 2 2 2" xfId="8865"/>
    <cellStyle name="20% - Accent4 3 4 2 2 3" xfId="815"/>
    <cellStyle name="20% - Accent4 3 4 2 2 4" xfId="8866"/>
    <cellStyle name="20% - Accent4 3 4 2 3" xfId="816"/>
    <cellStyle name="20% - Accent4 3 4 2 3 2" xfId="8867"/>
    <cellStyle name="20% - Accent4 3 4 2 4" xfId="817"/>
    <cellStyle name="20% - Accent4 3 4 2 5" xfId="8868"/>
    <cellStyle name="20% - Accent4 3 4 3" xfId="818"/>
    <cellStyle name="20% - Accent4 3 4 3 2" xfId="819"/>
    <cellStyle name="20% - Accent4 3 4 3 2 2" xfId="8869"/>
    <cellStyle name="20% - Accent4 3 4 3 3" xfId="820"/>
    <cellStyle name="20% - Accent4 3 4 3 4" xfId="8870"/>
    <cellStyle name="20% - Accent4 3 4 4" xfId="821"/>
    <cellStyle name="20% - Accent4 3 4 4 2" xfId="8871"/>
    <cellStyle name="20% - Accent4 3 4 4 3" xfId="57924"/>
    <cellStyle name="20% - Accent4 3 4 4 4" xfId="57925"/>
    <cellStyle name="20% - Accent4 3 4 5" xfId="822"/>
    <cellStyle name="20% - Accent4 3 4 5 2" xfId="57926"/>
    <cellStyle name="20% - Accent4 3 4 6" xfId="8872"/>
    <cellStyle name="20% - Accent4 3 4 7" xfId="57927"/>
    <cellStyle name="20% - Accent4 3 4 8" xfId="57928"/>
    <cellStyle name="20% - Accent4 3 4 9" xfId="57929"/>
    <cellStyle name="20% - Accent4 3 5" xfId="823"/>
    <cellStyle name="20% - Accent4 3 5 2" xfId="824"/>
    <cellStyle name="20% - Accent4 3 5 2 2" xfId="825"/>
    <cellStyle name="20% - Accent4 3 5 2 2 2" xfId="8873"/>
    <cellStyle name="20% - Accent4 3 5 2 3" xfId="826"/>
    <cellStyle name="20% - Accent4 3 5 2 4" xfId="8874"/>
    <cellStyle name="20% - Accent4 3 5 3" xfId="827"/>
    <cellStyle name="20% - Accent4 3 5 3 2" xfId="8875"/>
    <cellStyle name="20% - Accent4 3 5 4" xfId="828"/>
    <cellStyle name="20% - Accent4 3 5 5" xfId="8876"/>
    <cellStyle name="20% - Accent4 3 6" xfId="829"/>
    <cellStyle name="20% - Accent4 3 6 2" xfId="830"/>
    <cellStyle name="20% - Accent4 3 6 2 2" xfId="8877"/>
    <cellStyle name="20% - Accent4 3 6 3" xfId="831"/>
    <cellStyle name="20% - Accent4 3 6 4" xfId="8878"/>
    <cellStyle name="20% - Accent4 3 7" xfId="832"/>
    <cellStyle name="20% - Accent4 3 7 2" xfId="8879"/>
    <cellStyle name="20% - Accent4 3 7 3" xfId="57930"/>
    <cellStyle name="20% - Accent4 3 7 4" xfId="57931"/>
    <cellStyle name="20% - Accent4 3 8" xfId="833"/>
    <cellStyle name="20% - Accent4 3 9" xfId="8880"/>
    <cellStyle name="20% - Accent4 4" xfId="834"/>
    <cellStyle name="20% - Accent4 4 10" xfId="14839"/>
    <cellStyle name="20% - Accent4 4 10 2" xfId="14840"/>
    <cellStyle name="20% - Accent4 4 10 2 2" xfId="14841"/>
    <cellStyle name="20% - Accent4 4 10 2 3" xfId="14842"/>
    <cellStyle name="20% - Accent4 4 10 3" xfId="14843"/>
    <cellStyle name="20% - Accent4 4 10 3 2" xfId="14844"/>
    <cellStyle name="20% - Accent4 4 10 4" xfId="14845"/>
    <cellStyle name="20% - Accent4 4 10 5" xfId="14846"/>
    <cellStyle name="20% - Accent4 4 11" xfId="14847"/>
    <cellStyle name="20% - Accent4 4 11 2" xfId="14848"/>
    <cellStyle name="20% - Accent4 4 11 3" xfId="14849"/>
    <cellStyle name="20% - Accent4 4 12" xfId="14850"/>
    <cellStyle name="20% - Accent4 4 12 2" xfId="14851"/>
    <cellStyle name="20% - Accent4 4 12 3" xfId="14852"/>
    <cellStyle name="20% - Accent4 4 13" xfId="14853"/>
    <cellStyle name="20% - Accent4 4 13 2" xfId="14854"/>
    <cellStyle name="20% - Accent4 4 14" xfId="14855"/>
    <cellStyle name="20% - Accent4 4 15" xfId="14856"/>
    <cellStyle name="20% - Accent4 4 16" xfId="14857"/>
    <cellStyle name="20% - Accent4 4 2" xfId="835"/>
    <cellStyle name="20% - Accent4 4 2 10" xfId="14858"/>
    <cellStyle name="20% - Accent4 4 2 10 2" xfId="14859"/>
    <cellStyle name="20% - Accent4 4 2 10 3" xfId="14860"/>
    <cellStyle name="20% - Accent4 4 2 11" xfId="14861"/>
    <cellStyle name="20% - Accent4 4 2 11 2" xfId="14862"/>
    <cellStyle name="20% - Accent4 4 2 11 3" xfId="14863"/>
    <cellStyle name="20% - Accent4 4 2 12" xfId="14864"/>
    <cellStyle name="20% - Accent4 4 2 12 2" xfId="14865"/>
    <cellStyle name="20% - Accent4 4 2 13" xfId="14866"/>
    <cellStyle name="20% - Accent4 4 2 14" xfId="14867"/>
    <cellStyle name="20% - Accent4 4 2 15" xfId="14868"/>
    <cellStyle name="20% - Accent4 4 2 2" xfId="836"/>
    <cellStyle name="20% - Accent4 4 2 2 10" xfId="14869"/>
    <cellStyle name="20% - Accent4 4 2 2 10 2" xfId="14870"/>
    <cellStyle name="20% - Accent4 4 2 2 10 3" xfId="14871"/>
    <cellStyle name="20% - Accent4 4 2 2 11" xfId="14872"/>
    <cellStyle name="20% - Accent4 4 2 2 11 2" xfId="14873"/>
    <cellStyle name="20% - Accent4 4 2 2 12" xfId="14874"/>
    <cellStyle name="20% - Accent4 4 2 2 13" xfId="14875"/>
    <cellStyle name="20% - Accent4 4 2 2 2" xfId="837"/>
    <cellStyle name="20% - Accent4 4 2 2 2 10" xfId="14876"/>
    <cellStyle name="20% - Accent4 4 2 2 2 10 2" xfId="14877"/>
    <cellStyle name="20% - Accent4 4 2 2 2 11" xfId="14878"/>
    <cellStyle name="20% - Accent4 4 2 2 2 12" xfId="14879"/>
    <cellStyle name="20% - Accent4 4 2 2 2 2" xfId="838"/>
    <cellStyle name="20% - Accent4 4 2 2 2 2 10" xfId="14880"/>
    <cellStyle name="20% - Accent4 4 2 2 2 2 2" xfId="839"/>
    <cellStyle name="20% - Accent4 4 2 2 2 2 2 2" xfId="840"/>
    <cellStyle name="20% - Accent4 4 2 2 2 2 2 2 2" xfId="14881"/>
    <cellStyle name="20% - Accent4 4 2 2 2 2 2 2 2 2" xfId="14882"/>
    <cellStyle name="20% - Accent4 4 2 2 2 2 2 2 2 3" xfId="14883"/>
    <cellStyle name="20% - Accent4 4 2 2 2 2 2 2 3" xfId="14884"/>
    <cellStyle name="20% - Accent4 4 2 2 2 2 2 2 3 2" xfId="14885"/>
    <cellStyle name="20% - Accent4 4 2 2 2 2 2 2 3 3" xfId="14886"/>
    <cellStyle name="20% - Accent4 4 2 2 2 2 2 2 4" xfId="14887"/>
    <cellStyle name="20% - Accent4 4 2 2 2 2 2 2 4 2" xfId="14888"/>
    <cellStyle name="20% - Accent4 4 2 2 2 2 2 2 5" xfId="14889"/>
    <cellStyle name="20% - Accent4 4 2 2 2 2 2 2 6" xfId="14890"/>
    <cellStyle name="20% - Accent4 4 2 2 2 2 2 3" xfId="14891"/>
    <cellStyle name="20% - Accent4 4 2 2 2 2 2 3 2" xfId="14892"/>
    <cellStyle name="20% - Accent4 4 2 2 2 2 2 3 2 2" xfId="14893"/>
    <cellStyle name="20% - Accent4 4 2 2 2 2 2 3 2 3" xfId="14894"/>
    <cellStyle name="20% - Accent4 4 2 2 2 2 2 3 3" xfId="14895"/>
    <cellStyle name="20% - Accent4 4 2 2 2 2 2 3 3 2" xfId="14896"/>
    <cellStyle name="20% - Accent4 4 2 2 2 2 2 3 3 3" xfId="14897"/>
    <cellStyle name="20% - Accent4 4 2 2 2 2 2 3 4" xfId="14898"/>
    <cellStyle name="20% - Accent4 4 2 2 2 2 2 3 4 2" xfId="14899"/>
    <cellStyle name="20% - Accent4 4 2 2 2 2 2 3 5" xfId="14900"/>
    <cellStyle name="20% - Accent4 4 2 2 2 2 2 3 6" xfId="14901"/>
    <cellStyle name="20% - Accent4 4 2 2 2 2 2 4" xfId="14902"/>
    <cellStyle name="20% - Accent4 4 2 2 2 2 2 4 2" xfId="14903"/>
    <cellStyle name="20% - Accent4 4 2 2 2 2 2 4 2 2" xfId="14904"/>
    <cellStyle name="20% - Accent4 4 2 2 2 2 2 4 2 3" xfId="14905"/>
    <cellStyle name="20% - Accent4 4 2 2 2 2 2 4 3" xfId="14906"/>
    <cellStyle name="20% - Accent4 4 2 2 2 2 2 4 3 2" xfId="14907"/>
    <cellStyle name="20% - Accent4 4 2 2 2 2 2 4 4" xfId="14908"/>
    <cellStyle name="20% - Accent4 4 2 2 2 2 2 4 5" xfId="14909"/>
    <cellStyle name="20% - Accent4 4 2 2 2 2 2 5" xfId="14910"/>
    <cellStyle name="20% - Accent4 4 2 2 2 2 2 5 2" xfId="14911"/>
    <cellStyle name="20% - Accent4 4 2 2 2 2 2 5 3" xfId="14912"/>
    <cellStyle name="20% - Accent4 4 2 2 2 2 2 6" xfId="14913"/>
    <cellStyle name="20% - Accent4 4 2 2 2 2 2 6 2" xfId="14914"/>
    <cellStyle name="20% - Accent4 4 2 2 2 2 2 6 3" xfId="14915"/>
    <cellStyle name="20% - Accent4 4 2 2 2 2 2 7" xfId="14916"/>
    <cellStyle name="20% - Accent4 4 2 2 2 2 2 7 2" xfId="14917"/>
    <cellStyle name="20% - Accent4 4 2 2 2 2 2 8" xfId="14918"/>
    <cellStyle name="20% - Accent4 4 2 2 2 2 2 9" xfId="14919"/>
    <cellStyle name="20% - Accent4 4 2 2 2 2 3" xfId="841"/>
    <cellStyle name="20% - Accent4 4 2 2 2 2 3 2" xfId="14920"/>
    <cellStyle name="20% - Accent4 4 2 2 2 2 3 2 2" xfId="14921"/>
    <cellStyle name="20% - Accent4 4 2 2 2 2 3 2 3" xfId="14922"/>
    <cellStyle name="20% - Accent4 4 2 2 2 2 3 3" xfId="14923"/>
    <cellStyle name="20% - Accent4 4 2 2 2 2 3 3 2" xfId="14924"/>
    <cellStyle name="20% - Accent4 4 2 2 2 2 3 3 3" xfId="14925"/>
    <cellStyle name="20% - Accent4 4 2 2 2 2 3 4" xfId="14926"/>
    <cellStyle name="20% - Accent4 4 2 2 2 2 3 4 2" xfId="14927"/>
    <cellStyle name="20% - Accent4 4 2 2 2 2 3 5" xfId="14928"/>
    <cellStyle name="20% - Accent4 4 2 2 2 2 3 6" xfId="14929"/>
    <cellStyle name="20% - Accent4 4 2 2 2 2 4" xfId="8881"/>
    <cellStyle name="20% - Accent4 4 2 2 2 2 4 2" xfId="14930"/>
    <cellStyle name="20% - Accent4 4 2 2 2 2 4 2 2" xfId="14931"/>
    <cellStyle name="20% - Accent4 4 2 2 2 2 4 2 3" xfId="14932"/>
    <cellStyle name="20% - Accent4 4 2 2 2 2 4 3" xfId="14933"/>
    <cellStyle name="20% - Accent4 4 2 2 2 2 4 3 2" xfId="14934"/>
    <cellStyle name="20% - Accent4 4 2 2 2 2 4 3 3" xfId="14935"/>
    <cellStyle name="20% - Accent4 4 2 2 2 2 4 4" xfId="14936"/>
    <cellStyle name="20% - Accent4 4 2 2 2 2 4 4 2" xfId="14937"/>
    <cellStyle name="20% - Accent4 4 2 2 2 2 4 5" xfId="14938"/>
    <cellStyle name="20% - Accent4 4 2 2 2 2 4 6" xfId="14939"/>
    <cellStyle name="20% - Accent4 4 2 2 2 2 5" xfId="14940"/>
    <cellStyle name="20% - Accent4 4 2 2 2 2 5 2" xfId="14941"/>
    <cellStyle name="20% - Accent4 4 2 2 2 2 5 2 2" xfId="14942"/>
    <cellStyle name="20% - Accent4 4 2 2 2 2 5 2 3" xfId="14943"/>
    <cellStyle name="20% - Accent4 4 2 2 2 2 5 3" xfId="14944"/>
    <cellStyle name="20% - Accent4 4 2 2 2 2 5 3 2" xfId="14945"/>
    <cellStyle name="20% - Accent4 4 2 2 2 2 5 4" xfId="14946"/>
    <cellStyle name="20% - Accent4 4 2 2 2 2 5 5" xfId="14947"/>
    <cellStyle name="20% - Accent4 4 2 2 2 2 6" xfId="14948"/>
    <cellStyle name="20% - Accent4 4 2 2 2 2 6 2" xfId="14949"/>
    <cellStyle name="20% - Accent4 4 2 2 2 2 6 3" xfId="14950"/>
    <cellStyle name="20% - Accent4 4 2 2 2 2 7" xfId="14951"/>
    <cellStyle name="20% - Accent4 4 2 2 2 2 7 2" xfId="14952"/>
    <cellStyle name="20% - Accent4 4 2 2 2 2 7 3" xfId="14953"/>
    <cellStyle name="20% - Accent4 4 2 2 2 2 8" xfId="14954"/>
    <cellStyle name="20% - Accent4 4 2 2 2 2 8 2" xfId="14955"/>
    <cellStyle name="20% - Accent4 4 2 2 2 2 9" xfId="14956"/>
    <cellStyle name="20% - Accent4 4 2 2 2 3" xfId="842"/>
    <cellStyle name="20% - Accent4 4 2 2 2 3 2" xfId="843"/>
    <cellStyle name="20% - Accent4 4 2 2 2 3 2 2" xfId="14957"/>
    <cellStyle name="20% - Accent4 4 2 2 2 3 2 2 2" xfId="14958"/>
    <cellStyle name="20% - Accent4 4 2 2 2 3 2 2 3" xfId="14959"/>
    <cellStyle name="20% - Accent4 4 2 2 2 3 2 3" xfId="14960"/>
    <cellStyle name="20% - Accent4 4 2 2 2 3 2 3 2" xfId="14961"/>
    <cellStyle name="20% - Accent4 4 2 2 2 3 2 3 3" xfId="14962"/>
    <cellStyle name="20% - Accent4 4 2 2 2 3 2 4" xfId="14963"/>
    <cellStyle name="20% - Accent4 4 2 2 2 3 2 4 2" xfId="14964"/>
    <cellStyle name="20% - Accent4 4 2 2 2 3 2 5" xfId="14965"/>
    <cellStyle name="20% - Accent4 4 2 2 2 3 2 6" xfId="14966"/>
    <cellStyle name="20% - Accent4 4 2 2 2 3 3" xfId="14967"/>
    <cellStyle name="20% - Accent4 4 2 2 2 3 3 2" xfId="14968"/>
    <cellStyle name="20% - Accent4 4 2 2 2 3 3 2 2" xfId="14969"/>
    <cellStyle name="20% - Accent4 4 2 2 2 3 3 2 3" xfId="14970"/>
    <cellStyle name="20% - Accent4 4 2 2 2 3 3 3" xfId="14971"/>
    <cellStyle name="20% - Accent4 4 2 2 2 3 3 3 2" xfId="14972"/>
    <cellStyle name="20% - Accent4 4 2 2 2 3 3 3 3" xfId="14973"/>
    <cellStyle name="20% - Accent4 4 2 2 2 3 3 4" xfId="14974"/>
    <cellStyle name="20% - Accent4 4 2 2 2 3 3 4 2" xfId="14975"/>
    <cellStyle name="20% - Accent4 4 2 2 2 3 3 5" xfId="14976"/>
    <cellStyle name="20% - Accent4 4 2 2 2 3 3 6" xfId="14977"/>
    <cellStyle name="20% - Accent4 4 2 2 2 3 4" xfId="14978"/>
    <cellStyle name="20% - Accent4 4 2 2 2 3 4 2" xfId="14979"/>
    <cellStyle name="20% - Accent4 4 2 2 2 3 4 2 2" xfId="14980"/>
    <cellStyle name="20% - Accent4 4 2 2 2 3 4 2 3" xfId="14981"/>
    <cellStyle name="20% - Accent4 4 2 2 2 3 4 3" xfId="14982"/>
    <cellStyle name="20% - Accent4 4 2 2 2 3 4 3 2" xfId="14983"/>
    <cellStyle name="20% - Accent4 4 2 2 2 3 4 4" xfId="14984"/>
    <cellStyle name="20% - Accent4 4 2 2 2 3 4 5" xfId="14985"/>
    <cellStyle name="20% - Accent4 4 2 2 2 3 5" xfId="14986"/>
    <cellStyle name="20% - Accent4 4 2 2 2 3 5 2" xfId="14987"/>
    <cellStyle name="20% - Accent4 4 2 2 2 3 5 3" xfId="14988"/>
    <cellStyle name="20% - Accent4 4 2 2 2 3 6" xfId="14989"/>
    <cellStyle name="20% - Accent4 4 2 2 2 3 6 2" xfId="14990"/>
    <cellStyle name="20% - Accent4 4 2 2 2 3 6 3" xfId="14991"/>
    <cellStyle name="20% - Accent4 4 2 2 2 3 7" xfId="14992"/>
    <cellStyle name="20% - Accent4 4 2 2 2 3 7 2" xfId="14993"/>
    <cellStyle name="20% - Accent4 4 2 2 2 3 8" xfId="14994"/>
    <cellStyle name="20% - Accent4 4 2 2 2 3 9" xfId="14995"/>
    <cellStyle name="20% - Accent4 4 2 2 2 4" xfId="844"/>
    <cellStyle name="20% - Accent4 4 2 2 2 4 2" xfId="14996"/>
    <cellStyle name="20% - Accent4 4 2 2 2 4 2 2" xfId="14997"/>
    <cellStyle name="20% - Accent4 4 2 2 2 4 2 2 2" xfId="14998"/>
    <cellStyle name="20% - Accent4 4 2 2 2 4 2 2 3" xfId="14999"/>
    <cellStyle name="20% - Accent4 4 2 2 2 4 2 3" xfId="15000"/>
    <cellStyle name="20% - Accent4 4 2 2 2 4 2 3 2" xfId="15001"/>
    <cellStyle name="20% - Accent4 4 2 2 2 4 2 3 3" xfId="15002"/>
    <cellStyle name="20% - Accent4 4 2 2 2 4 2 4" xfId="15003"/>
    <cellStyle name="20% - Accent4 4 2 2 2 4 2 4 2" xfId="15004"/>
    <cellStyle name="20% - Accent4 4 2 2 2 4 2 5" xfId="15005"/>
    <cellStyle name="20% - Accent4 4 2 2 2 4 2 6" xfId="15006"/>
    <cellStyle name="20% - Accent4 4 2 2 2 4 3" xfId="15007"/>
    <cellStyle name="20% - Accent4 4 2 2 2 4 3 2" xfId="15008"/>
    <cellStyle name="20% - Accent4 4 2 2 2 4 3 2 2" xfId="15009"/>
    <cellStyle name="20% - Accent4 4 2 2 2 4 3 2 3" xfId="15010"/>
    <cellStyle name="20% - Accent4 4 2 2 2 4 3 3" xfId="15011"/>
    <cellStyle name="20% - Accent4 4 2 2 2 4 3 3 2" xfId="15012"/>
    <cellStyle name="20% - Accent4 4 2 2 2 4 3 3 3" xfId="15013"/>
    <cellStyle name="20% - Accent4 4 2 2 2 4 3 4" xfId="15014"/>
    <cellStyle name="20% - Accent4 4 2 2 2 4 3 4 2" xfId="15015"/>
    <cellStyle name="20% - Accent4 4 2 2 2 4 3 5" xfId="15016"/>
    <cellStyle name="20% - Accent4 4 2 2 2 4 3 6" xfId="15017"/>
    <cellStyle name="20% - Accent4 4 2 2 2 4 4" xfId="15018"/>
    <cellStyle name="20% - Accent4 4 2 2 2 4 4 2" xfId="15019"/>
    <cellStyle name="20% - Accent4 4 2 2 2 4 4 2 2" xfId="15020"/>
    <cellStyle name="20% - Accent4 4 2 2 2 4 4 2 3" xfId="15021"/>
    <cellStyle name="20% - Accent4 4 2 2 2 4 4 3" xfId="15022"/>
    <cellStyle name="20% - Accent4 4 2 2 2 4 4 3 2" xfId="15023"/>
    <cellStyle name="20% - Accent4 4 2 2 2 4 4 4" xfId="15024"/>
    <cellStyle name="20% - Accent4 4 2 2 2 4 4 5" xfId="15025"/>
    <cellStyle name="20% - Accent4 4 2 2 2 4 5" xfId="15026"/>
    <cellStyle name="20% - Accent4 4 2 2 2 4 5 2" xfId="15027"/>
    <cellStyle name="20% - Accent4 4 2 2 2 4 5 3" xfId="15028"/>
    <cellStyle name="20% - Accent4 4 2 2 2 4 6" xfId="15029"/>
    <cellStyle name="20% - Accent4 4 2 2 2 4 6 2" xfId="15030"/>
    <cellStyle name="20% - Accent4 4 2 2 2 4 6 3" xfId="15031"/>
    <cellStyle name="20% - Accent4 4 2 2 2 4 7" xfId="15032"/>
    <cellStyle name="20% - Accent4 4 2 2 2 4 7 2" xfId="15033"/>
    <cellStyle name="20% - Accent4 4 2 2 2 4 8" xfId="15034"/>
    <cellStyle name="20% - Accent4 4 2 2 2 4 9" xfId="15035"/>
    <cellStyle name="20% - Accent4 4 2 2 2 5" xfId="845"/>
    <cellStyle name="20% - Accent4 4 2 2 2 5 2" xfId="15036"/>
    <cellStyle name="20% - Accent4 4 2 2 2 5 2 2" xfId="15037"/>
    <cellStyle name="20% - Accent4 4 2 2 2 5 2 3" xfId="15038"/>
    <cellStyle name="20% - Accent4 4 2 2 2 5 3" xfId="15039"/>
    <cellStyle name="20% - Accent4 4 2 2 2 5 3 2" xfId="15040"/>
    <cellStyle name="20% - Accent4 4 2 2 2 5 3 3" xfId="15041"/>
    <cellStyle name="20% - Accent4 4 2 2 2 5 4" xfId="15042"/>
    <cellStyle name="20% - Accent4 4 2 2 2 5 4 2" xfId="15043"/>
    <cellStyle name="20% - Accent4 4 2 2 2 5 5" xfId="15044"/>
    <cellStyle name="20% - Accent4 4 2 2 2 5 6" xfId="15045"/>
    <cellStyle name="20% - Accent4 4 2 2 2 6" xfId="8882"/>
    <cellStyle name="20% - Accent4 4 2 2 2 6 2" xfId="15046"/>
    <cellStyle name="20% - Accent4 4 2 2 2 6 2 2" xfId="15047"/>
    <cellStyle name="20% - Accent4 4 2 2 2 6 2 3" xfId="15048"/>
    <cellStyle name="20% - Accent4 4 2 2 2 6 3" xfId="15049"/>
    <cellStyle name="20% - Accent4 4 2 2 2 6 3 2" xfId="15050"/>
    <cellStyle name="20% - Accent4 4 2 2 2 6 3 3" xfId="15051"/>
    <cellStyle name="20% - Accent4 4 2 2 2 6 4" xfId="15052"/>
    <cellStyle name="20% - Accent4 4 2 2 2 6 4 2" xfId="15053"/>
    <cellStyle name="20% - Accent4 4 2 2 2 6 5" xfId="15054"/>
    <cellStyle name="20% - Accent4 4 2 2 2 6 6" xfId="15055"/>
    <cellStyle name="20% - Accent4 4 2 2 2 7" xfId="15056"/>
    <cellStyle name="20% - Accent4 4 2 2 2 7 2" xfId="15057"/>
    <cellStyle name="20% - Accent4 4 2 2 2 7 2 2" xfId="15058"/>
    <cellStyle name="20% - Accent4 4 2 2 2 7 2 3" xfId="15059"/>
    <cellStyle name="20% - Accent4 4 2 2 2 7 3" xfId="15060"/>
    <cellStyle name="20% - Accent4 4 2 2 2 7 3 2" xfId="15061"/>
    <cellStyle name="20% - Accent4 4 2 2 2 7 4" xfId="15062"/>
    <cellStyle name="20% - Accent4 4 2 2 2 7 5" xfId="15063"/>
    <cellStyle name="20% - Accent4 4 2 2 2 8" xfId="15064"/>
    <cellStyle name="20% - Accent4 4 2 2 2 8 2" xfId="15065"/>
    <cellStyle name="20% - Accent4 4 2 2 2 8 3" xfId="15066"/>
    <cellStyle name="20% - Accent4 4 2 2 2 9" xfId="15067"/>
    <cellStyle name="20% - Accent4 4 2 2 2 9 2" xfId="15068"/>
    <cellStyle name="20% - Accent4 4 2 2 2 9 3" xfId="15069"/>
    <cellStyle name="20% - Accent4 4 2 2 3" xfId="846"/>
    <cellStyle name="20% - Accent4 4 2 2 3 10" xfId="15070"/>
    <cellStyle name="20% - Accent4 4 2 2 3 2" xfId="847"/>
    <cellStyle name="20% - Accent4 4 2 2 3 2 2" xfId="848"/>
    <cellStyle name="20% - Accent4 4 2 2 3 2 2 2" xfId="15071"/>
    <cellStyle name="20% - Accent4 4 2 2 3 2 2 2 2" xfId="15072"/>
    <cellStyle name="20% - Accent4 4 2 2 3 2 2 2 3" xfId="15073"/>
    <cellStyle name="20% - Accent4 4 2 2 3 2 2 3" xfId="15074"/>
    <cellStyle name="20% - Accent4 4 2 2 3 2 2 3 2" xfId="15075"/>
    <cellStyle name="20% - Accent4 4 2 2 3 2 2 3 3" xfId="15076"/>
    <cellStyle name="20% - Accent4 4 2 2 3 2 2 4" xfId="15077"/>
    <cellStyle name="20% - Accent4 4 2 2 3 2 2 4 2" xfId="15078"/>
    <cellStyle name="20% - Accent4 4 2 2 3 2 2 5" xfId="15079"/>
    <cellStyle name="20% - Accent4 4 2 2 3 2 2 6" xfId="15080"/>
    <cellStyle name="20% - Accent4 4 2 2 3 2 3" xfId="15081"/>
    <cellStyle name="20% - Accent4 4 2 2 3 2 3 2" xfId="15082"/>
    <cellStyle name="20% - Accent4 4 2 2 3 2 3 2 2" xfId="15083"/>
    <cellStyle name="20% - Accent4 4 2 2 3 2 3 2 3" xfId="15084"/>
    <cellStyle name="20% - Accent4 4 2 2 3 2 3 3" xfId="15085"/>
    <cellStyle name="20% - Accent4 4 2 2 3 2 3 3 2" xfId="15086"/>
    <cellStyle name="20% - Accent4 4 2 2 3 2 3 3 3" xfId="15087"/>
    <cellStyle name="20% - Accent4 4 2 2 3 2 3 4" xfId="15088"/>
    <cellStyle name="20% - Accent4 4 2 2 3 2 3 4 2" xfId="15089"/>
    <cellStyle name="20% - Accent4 4 2 2 3 2 3 5" xfId="15090"/>
    <cellStyle name="20% - Accent4 4 2 2 3 2 3 6" xfId="15091"/>
    <cellStyle name="20% - Accent4 4 2 2 3 2 4" xfId="15092"/>
    <cellStyle name="20% - Accent4 4 2 2 3 2 4 2" xfId="15093"/>
    <cellStyle name="20% - Accent4 4 2 2 3 2 4 2 2" xfId="15094"/>
    <cellStyle name="20% - Accent4 4 2 2 3 2 4 2 3" xfId="15095"/>
    <cellStyle name="20% - Accent4 4 2 2 3 2 4 3" xfId="15096"/>
    <cellStyle name="20% - Accent4 4 2 2 3 2 4 3 2" xfId="15097"/>
    <cellStyle name="20% - Accent4 4 2 2 3 2 4 4" xfId="15098"/>
    <cellStyle name="20% - Accent4 4 2 2 3 2 4 5" xfId="15099"/>
    <cellStyle name="20% - Accent4 4 2 2 3 2 5" xfId="15100"/>
    <cellStyle name="20% - Accent4 4 2 2 3 2 5 2" xfId="15101"/>
    <cellStyle name="20% - Accent4 4 2 2 3 2 5 3" xfId="15102"/>
    <cellStyle name="20% - Accent4 4 2 2 3 2 6" xfId="15103"/>
    <cellStyle name="20% - Accent4 4 2 2 3 2 6 2" xfId="15104"/>
    <cellStyle name="20% - Accent4 4 2 2 3 2 6 3" xfId="15105"/>
    <cellStyle name="20% - Accent4 4 2 2 3 2 7" xfId="15106"/>
    <cellStyle name="20% - Accent4 4 2 2 3 2 7 2" xfId="15107"/>
    <cellStyle name="20% - Accent4 4 2 2 3 2 8" xfId="15108"/>
    <cellStyle name="20% - Accent4 4 2 2 3 2 9" xfId="15109"/>
    <cellStyle name="20% - Accent4 4 2 2 3 3" xfId="849"/>
    <cellStyle name="20% - Accent4 4 2 2 3 3 2" xfId="15110"/>
    <cellStyle name="20% - Accent4 4 2 2 3 3 2 2" xfId="15111"/>
    <cellStyle name="20% - Accent4 4 2 2 3 3 2 3" xfId="15112"/>
    <cellStyle name="20% - Accent4 4 2 2 3 3 3" xfId="15113"/>
    <cellStyle name="20% - Accent4 4 2 2 3 3 3 2" xfId="15114"/>
    <cellStyle name="20% - Accent4 4 2 2 3 3 3 3" xfId="15115"/>
    <cellStyle name="20% - Accent4 4 2 2 3 3 4" xfId="15116"/>
    <cellStyle name="20% - Accent4 4 2 2 3 3 4 2" xfId="15117"/>
    <cellStyle name="20% - Accent4 4 2 2 3 3 5" xfId="15118"/>
    <cellStyle name="20% - Accent4 4 2 2 3 3 6" xfId="15119"/>
    <cellStyle name="20% - Accent4 4 2 2 3 4" xfId="8883"/>
    <cellStyle name="20% - Accent4 4 2 2 3 4 2" xfId="15120"/>
    <cellStyle name="20% - Accent4 4 2 2 3 4 2 2" xfId="15121"/>
    <cellStyle name="20% - Accent4 4 2 2 3 4 2 3" xfId="15122"/>
    <cellStyle name="20% - Accent4 4 2 2 3 4 3" xfId="15123"/>
    <cellStyle name="20% - Accent4 4 2 2 3 4 3 2" xfId="15124"/>
    <cellStyle name="20% - Accent4 4 2 2 3 4 3 3" xfId="15125"/>
    <cellStyle name="20% - Accent4 4 2 2 3 4 4" xfId="15126"/>
    <cellStyle name="20% - Accent4 4 2 2 3 4 4 2" xfId="15127"/>
    <cellStyle name="20% - Accent4 4 2 2 3 4 5" xfId="15128"/>
    <cellStyle name="20% - Accent4 4 2 2 3 4 6" xfId="15129"/>
    <cellStyle name="20% - Accent4 4 2 2 3 5" xfId="15130"/>
    <cellStyle name="20% - Accent4 4 2 2 3 5 2" xfId="15131"/>
    <cellStyle name="20% - Accent4 4 2 2 3 5 2 2" xfId="15132"/>
    <cellStyle name="20% - Accent4 4 2 2 3 5 2 3" xfId="15133"/>
    <cellStyle name="20% - Accent4 4 2 2 3 5 3" xfId="15134"/>
    <cellStyle name="20% - Accent4 4 2 2 3 5 3 2" xfId="15135"/>
    <cellStyle name="20% - Accent4 4 2 2 3 5 4" xfId="15136"/>
    <cellStyle name="20% - Accent4 4 2 2 3 5 5" xfId="15137"/>
    <cellStyle name="20% - Accent4 4 2 2 3 6" xfId="15138"/>
    <cellStyle name="20% - Accent4 4 2 2 3 6 2" xfId="15139"/>
    <cellStyle name="20% - Accent4 4 2 2 3 6 3" xfId="15140"/>
    <cellStyle name="20% - Accent4 4 2 2 3 7" xfId="15141"/>
    <cellStyle name="20% - Accent4 4 2 2 3 7 2" xfId="15142"/>
    <cellStyle name="20% - Accent4 4 2 2 3 7 3" xfId="15143"/>
    <cellStyle name="20% - Accent4 4 2 2 3 8" xfId="15144"/>
    <cellStyle name="20% - Accent4 4 2 2 3 8 2" xfId="15145"/>
    <cellStyle name="20% - Accent4 4 2 2 3 9" xfId="15146"/>
    <cellStyle name="20% - Accent4 4 2 2 4" xfId="850"/>
    <cellStyle name="20% - Accent4 4 2 2 4 2" xfId="851"/>
    <cellStyle name="20% - Accent4 4 2 2 4 2 2" xfId="15147"/>
    <cellStyle name="20% - Accent4 4 2 2 4 2 2 2" xfId="15148"/>
    <cellStyle name="20% - Accent4 4 2 2 4 2 2 3" xfId="15149"/>
    <cellStyle name="20% - Accent4 4 2 2 4 2 3" xfId="15150"/>
    <cellStyle name="20% - Accent4 4 2 2 4 2 3 2" xfId="15151"/>
    <cellStyle name="20% - Accent4 4 2 2 4 2 3 3" xfId="15152"/>
    <cellStyle name="20% - Accent4 4 2 2 4 2 4" xfId="15153"/>
    <cellStyle name="20% - Accent4 4 2 2 4 2 4 2" xfId="15154"/>
    <cellStyle name="20% - Accent4 4 2 2 4 2 5" xfId="15155"/>
    <cellStyle name="20% - Accent4 4 2 2 4 2 6" xfId="15156"/>
    <cellStyle name="20% - Accent4 4 2 2 4 3" xfId="15157"/>
    <cellStyle name="20% - Accent4 4 2 2 4 3 2" xfId="15158"/>
    <cellStyle name="20% - Accent4 4 2 2 4 3 2 2" xfId="15159"/>
    <cellStyle name="20% - Accent4 4 2 2 4 3 2 3" xfId="15160"/>
    <cellStyle name="20% - Accent4 4 2 2 4 3 3" xfId="15161"/>
    <cellStyle name="20% - Accent4 4 2 2 4 3 3 2" xfId="15162"/>
    <cellStyle name="20% - Accent4 4 2 2 4 3 3 3" xfId="15163"/>
    <cellStyle name="20% - Accent4 4 2 2 4 3 4" xfId="15164"/>
    <cellStyle name="20% - Accent4 4 2 2 4 3 4 2" xfId="15165"/>
    <cellStyle name="20% - Accent4 4 2 2 4 3 5" xfId="15166"/>
    <cellStyle name="20% - Accent4 4 2 2 4 3 6" xfId="15167"/>
    <cellStyle name="20% - Accent4 4 2 2 4 4" xfId="15168"/>
    <cellStyle name="20% - Accent4 4 2 2 4 4 2" xfId="15169"/>
    <cellStyle name="20% - Accent4 4 2 2 4 4 2 2" xfId="15170"/>
    <cellStyle name="20% - Accent4 4 2 2 4 4 2 3" xfId="15171"/>
    <cellStyle name="20% - Accent4 4 2 2 4 4 3" xfId="15172"/>
    <cellStyle name="20% - Accent4 4 2 2 4 4 3 2" xfId="15173"/>
    <cellStyle name="20% - Accent4 4 2 2 4 4 4" xfId="15174"/>
    <cellStyle name="20% - Accent4 4 2 2 4 4 5" xfId="15175"/>
    <cellStyle name="20% - Accent4 4 2 2 4 5" xfId="15176"/>
    <cellStyle name="20% - Accent4 4 2 2 4 5 2" xfId="15177"/>
    <cellStyle name="20% - Accent4 4 2 2 4 5 3" xfId="15178"/>
    <cellStyle name="20% - Accent4 4 2 2 4 6" xfId="15179"/>
    <cellStyle name="20% - Accent4 4 2 2 4 6 2" xfId="15180"/>
    <cellStyle name="20% - Accent4 4 2 2 4 6 3" xfId="15181"/>
    <cellStyle name="20% - Accent4 4 2 2 4 7" xfId="15182"/>
    <cellStyle name="20% - Accent4 4 2 2 4 7 2" xfId="15183"/>
    <cellStyle name="20% - Accent4 4 2 2 4 8" xfId="15184"/>
    <cellStyle name="20% - Accent4 4 2 2 4 9" xfId="15185"/>
    <cellStyle name="20% - Accent4 4 2 2 5" xfId="852"/>
    <cellStyle name="20% - Accent4 4 2 2 5 2" xfId="15186"/>
    <cellStyle name="20% - Accent4 4 2 2 5 2 2" xfId="15187"/>
    <cellStyle name="20% - Accent4 4 2 2 5 2 2 2" xfId="15188"/>
    <cellStyle name="20% - Accent4 4 2 2 5 2 2 3" xfId="15189"/>
    <cellStyle name="20% - Accent4 4 2 2 5 2 3" xfId="15190"/>
    <cellStyle name="20% - Accent4 4 2 2 5 2 3 2" xfId="15191"/>
    <cellStyle name="20% - Accent4 4 2 2 5 2 3 3" xfId="15192"/>
    <cellStyle name="20% - Accent4 4 2 2 5 2 4" xfId="15193"/>
    <cellStyle name="20% - Accent4 4 2 2 5 2 4 2" xfId="15194"/>
    <cellStyle name="20% - Accent4 4 2 2 5 2 5" xfId="15195"/>
    <cellStyle name="20% - Accent4 4 2 2 5 2 6" xfId="15196"/>
    <cellStyle name="20% - Accent4 4 2 2 5 3" xfId="15197"/>
    <cellStyle name="20% - Accent4 4 2 2 5 3 2" xfId="15198"/>
    <cellStyle name="20% - Accent4 4 2 2 5 3 2 2" xfId="15199"/>
    <cellStyle name="20% - Accent4 4 2 2 5 3 2 3" xfId="15200"/>
    <cellStyle name="20% - Accent4 4 2 2 5 3 3" xfId="15201"/>
    <cellStyle name="20% - Accent4 4 2 2 5 3 3 2" xfId="15202"/>
    <cellStyle name="20% - Accent4 4 2 2 5 3 3 3" xfId="15203"/>
    <cellStyle name="20% - Accent4 4 2 2 5 3 4" xfId="15204"/>
    <cellStyle name="20% - Accent4 4 2 2 5 3 4 2" xfId="15205"/>
    <cellStyle name="20% - Accent4 4 2 2 5 3 5" xfId="15206"/>
    <cellStyle name="20% - Accent4 4 2 2 5 3 6" xfId="15207"/>
    <cellStyle name="20% - Accent4 4 2 2 5 4" xfId="15208"/>
    <cellStyle name="20% - Accent4 4 2 2 5 4 2" xfId="15209"/>
    <cellStyle name="20% - Accent4 4 2 2 5 4 2 2" xfId="15210"/>
    <cellStyle name="20% - Accent4 4 2 2 5 4 2 3" xfId="15211"/>
    <cellStyle name="20% - Accent4 4 2 2 5 4 3" xfId="15212"/>
    <cellStyle name="20% - Accent4 4 2 2 5 4 3 2" xfId="15213"/>
    <cellStyle name="20% - Accent4 4 2 2 5 4 4" xfId="15214"/>
    <cellStyle name="20% - Accent4 4 2 2 5 4 5" xfId="15215"/>
    <cellStyle name="20% - Accent4 4 2 2 5 5" xfId="15216"/>
    <cellStyle name="20% - Accent4 4 2 2 5 5 2" xfId="15217"/>
    <cellStyle name="20% - Accent4 4 2 2 5 5 3" xfId="15218"/>
    <cellStyle name="20% - Accent4 4 2 2 5 6" xfId="15219"/>
    <cellStyle name="20% - Accent4 4 2 2 5 6 2" xfId="15220"/>
    <cellStyle name="20% - Accent4 4 2 2 5 6 3" xfId="15221"/>
    <cellStyle name="20% - Accent4 4 2 2 5 7" xfId="15222"/>
    <cellStyle name="20% - Accent4 4 2 2 5 7 2" xfId="15223"/>
    <cellStyle name="20% - Accent4 4 2 2 5 8" xfId="15224"/>
    <cellStyle name="20% - Accent4 4 2 2 5 9" xfId="15225"/>
    <cellStyle name="20% - Accent4 4 2 2 6" xfId="853"/>
    <cellStyle name="20% - Accent4 4 2 2 6 2" xfId="15226"/>
    <cellStyle name="20% - Accent4 4 2 2 6 2 2" xfId="15227"/>
    <cellStyle name="20% - Accent4 4 2 2 6 2 3" xfId="15228"/>
    <cellStyle name="20% - Accent4 4 2 2 6 3" xfId="15229"/>
    <cellStyle name="20% - Accent4 4 2 2 6 3 2" xfId="15230"/>
    <cellStyle name="20% - Accent4 4 2 2 6 3 3" xfId="15231"/>
    <cellStyle name="20% - Accent4 4 2 2 6 4" xfId="15232"/>
    <cellStyle name="20% - Accent4 4 2 2 6 4 2" xfId="15233"/>
    <cellStyle name="20% - Accent4 4 2 2 6 5" xfId="15234"/>
    <cellStyle name="20% - Accent4 4 2 2 6 6" xfId="15235"/>
    <cellStyle name="20% - Accent4 4 2 2 7" xfId="8884"/>
    <cellStyle name="20% - Accent4 4 2 2 7 2" xfId="15236"/>
    <cellStyle name="20% - Accent4 4 2 2 7 2 2" xfId="15237"/>
    <cellStyle name="20% - Accent4 4 2 2 7 2 3" xfId="15238"/>
    <cellStyle name="20% - Accent4 4 2 2 7 3" xfId="15239"/>
    <cellStyle name="20% - Accent4 4 2 2 7 3 2" xfId="15240"/>
    <cellStyle name="20% - Accent4 4 2 2 7 3 3" xfId="15241"/>
    <cellStyle name="20% - Accent4 4 2 2 7 4" xfId="15242"/>
    <cellStyle name="20% - Accent4 4 2 2 7 4 2" xfId="15243"/>
    <cellStyle name="20% - Accent4 4 2 2 7 5" xfId="15244"/>
    <cellStyle name="20% - Accent4 4 2 2 7 6" xfId="15245"/>
    <cellStyle name="20% - Accent4 4 2 2 8" xfId="15246"/>
    <cellStyle name="20% - Accent4 4 2 2 8 2" xfId="15247"/>
    <cellStyle name="20% - Accent4 4 2 2 8 2 2" xfId="15248"/>
    <cellStyle name="20% - Accent4 4 2 2 8 2 3" xfId="15249"/>
    <cellStyle name="20% - Accent4 4 2 2 8 3" xfId="15250"/>
    <cellStyle name="20% - Accent4 4 2 2 8 3 2" xfId="15251"/>
    <cellStyle name="20% - Accent4 4 2 2 8 4" xfId="15252"/>
    <cellStyle name="20% - Accent4 4 2 2 8 5" xfId="15253"/>
    <cellStyle name="20% - Accent4 4 2 2 9" xfId="15254"/>
    <cellStyle name="20% - Accent4 4 2 2 9 2" xfId="15255"/>
    <cellStyle name="20% - Accent4 4 2 2 9 3" xfId="15256"/>
    <cellStyle name="20% - Accent4 4 2 3" xfId="854"/>
    <cellStyle name="20% - Accent4 4 2 3 10" xfId="15257"/>
    <cellStyle name="20% - Accent4 4 2 3 10 2" xfId="15258"/>
    <cellStyle name="20% - Accent4 4 2 3 11" xfId="15259"/>
    <cellStyle name="20% - Accent4 4 2 3 12" xfId="15260"/>
    <cellStyle name="20% - Accent4 4 2 3 2" xfId="855"/>
    <cellStyle name="20% - Accent4 4 2 3 2 10" xfId="15261"/>
    <cellStyle name="20% - Accent4 4 2 3 2 2" xfId="856"/>
    <cellStyle name="20% - Accent4 4 2 3 2 2 2" xfId="857"/>
    <cellStyle name="20% - Accent4 4 2 3 2 2 2 2" xfId="15262"/>
    <cellStyle name="20% - Accent4 4 2 3 2 2 2 2 2" xfId="15263"/>
    <cellStyle name="20% - Accent4 4 2 3 2 2 2 2 3" xfId="15264"/>
    <cellStyle name="20% - Accent4 4 2 3 2 2 2 3" xfId="15265"/>
    <cellStyle name="20% - Accent4 4 2 3 2 2 2 3 2" xfId="15266"/>
    <cellStyle name="20% - Accent4 4 2 3 2 2 2 3 3" xfId="15267"/>
    <cellStyle name="20% - Accent4 4 2 3 2 2 2 4" xfId="15268"/>
    <cellStyle name="20% - Accent4 4 2 3 2 2 2 4 2" xfId="15269"/>
    <cellStyle name="20% - Accent4 4 2 3 2 2 2 5" xfId="15270"/>
    <cellStyle name="20% - Accent4 4 2 3 2 2 2 6" xfId="15271"/>
    <cellStyle name="20% - Accent4 4 2 3 2 2 3" xfId="15272"/>
    <cellStyle name="20% - Accent4 4 2 3 2 2 3 2" xfId="15273"/>
    <cellStyle name="20% - Accent4 4 2 3 2 2 3 2 2" xfId="15274"/>
    <cellStyle name="20% - Accent4 4 2 3 2 2 3 2 3" xfId="15275"/>
    <cellStyle name="20% - Accent4 4 2 3 2 2 3 3" xfId="15276"/>
    <cellStyle name="20% - Accent4 4 2 3 2 2 3 3 2" xfId="15277"/>
    <cellStyle name="20% - Accent4 4 2 3 2 2 3 3 3" xfId="15278"/>
    <cellStyle name="20% - Accent4 4 2 3 2 2 3 4" xfId="15279"/>
    <cellStyle name="20% - Accent4 4 2 3 2 2 3 4 2" xfId="15280"/>
    <cellStyle name="20% - Accent4 4 2 3 2 2 3 5" xfId="15281"/>
    <cellStyle name="20% - Accent4 4 2 3 2 2 3 6" xfId="15282"/>
    <cellStyle name="20% - Accent4 4 2 3 2 2 4" xfId="15283"/>
    <cellStyle name="20% - Accent4 4 2 3 2 2 4 2" xfId="15284"/>
    <cellStyle name="20% - Accent4 4 2 3 2 2 4 2 2" xfId="15285"/>
    <cellStyle name="20% - Accent4 4 2 3 2 2 4 2 3" xfId="15286"/>
    <cellStyle name="20% - Accent4 4 2 3 2 2 4 3" xfId="15287"/>
    <cellStyle name="20% - Accent4 4 2 3 2 2 4 3 2" xfId="15288"/>
    <cellStyle name="20% - Accent4 4 2 3 2 2 4 4" xfId="15289"/>
    <cellStyle name="20% - Accent4 4 2 3 2 2 4 5" xfId="15290"/>
    <cellStyle name="20% - Accent4 4 2 3 2 2 5" xfId="15291"/>
    <cellStyle name="20% - Accent4 4 2 3 2 2 5 2" xfId="15292"/>
    <cellStyle name="20% - Accent4 4 2 3 2 2 5 3" xfId="15293"/>
    <cellStyle name="20% - Accent4 4 2 3 2 2 6" xfId="15294"/>
    <cellStyle name="20% - Accent4 4 2 3 2 2 6 2" xfId="15295"/>
    <cellStyle name="20% - Accent4 4 2 3 2 2 6 3" xfId="15296"/>
    <cellStyle name="20% - Accent4 4 2 3 2 2 7" xfId="15297"/>
    <cellStyle name="20% - Accent4 4 2 3 2 2 7 2" xfId="15298"/>
    <cellStyle name="20% - Accent4 4 2 3 2 2 8" xfId="15299"/>
    <cellStyle name="20% - Accent4 4 2 3 2 2 9" xfId="15300"/>
    <cellStyle name="20% - Accent4 4 2 3 2 3" xfId="858"/>
    <cellStyle name="20% - Accent4 4 2 3 2 3 2" xfId="15301"/>
    <cellStyle name="20% - Accent4 4 2 3 2 3 2 2" xfId="15302"/>
    <cellStyle name="20% - Accent4 4 2 3 2 3 2 3" xfId="15303"/>
    <cellStyle name="20% - Accent4 4 2 3 2 3 3" xfId="15304"/>
    <cellStyle name="20% - Accent4 4 2 3 2 3 3 2" xfId="15305"/>
    <cellStyle name="20% - Accent4 4 2 3 2 3 3 3" xfId="15306"/>
    <cellStyle name="20% - Accent4 4 2 3 2 3 4" xfId="15307"/>
    <cellStyle name="20% - Accent4 4 2 3 2 3 4 2" xfId="15308"/>
    <cellStyle name="20% - Accent4 4 2 3 2 3 5" xfId="15309"/>
    <cellStyle name="20% - Accent4 4 2 3 2 3 6" xfId="15310"/>
    <cellStyle name="20% - Accent4 4 2 3 2 4" xfId="8885"/>
    <cellStyle name="20% - Accent4 4 2 3 2 4 2" xfId="15311"/>
    <cellStyle name="20% - Accent4 4 2 3 2 4 2 2" xfId="15312"/>
    <cellStyle name="20% - Accent4 4 2 3 2 4 2 3" xfId="15313"/>
    <cellStyle name="20% - Accent4 4 2 3 2 4 3" xfId="15314"/>
    <cellStyle name="20% - Accent4 4 2 3 2 4 3 2" xfId="15315"/>
    <cellStyle name="20% - Accent4 4 2 3 2 4 3 3" xfId="15316"/>
    <cellStyle name="20% - Accent4 4 2 3 2 4 4" xfId="15317"/>
    <cellStyle name="20% - Accent4 4 2 3 2 4 4 2" xfId="15318"/>
    <cellStyle name="20% - Accent4 4 2 3 2 4 5" xfId="15319"/>
    <cellStyle name="20% - Accent4 4 2 3 2 4 6" xfId="15320"/>
    <cellStyle name="20% - Accent4 4 2 3 2 5" xfId="15321"/>
    <cellStyle name="20% - Accent4 4 2 3 2 5 2" xfId="15322"/>
    <cellStyle name="20% - Accent4 4 2 3 2 5 2 2" xfId="15323"/>
    <cellStyle name="20% - Accent4 4 2 3 2 5 2 3" xfId="15324"/>
    <cellStyle name="20% - Accent4 4 2 3 2 5 3" xfId="15325"/>
    <cellStyle name="20% - Accent4 4 2 3 2 5 3 2" xfId="15326"/>
    <cellStyle name="20% - Accent4 4 2 3 2 5 4" xfId="15327"/>
    <cellStyle name="20% - Accent4 4 2 3 2 5 5" xfId="15328"/>
    <cellStyle name="20% - Accent4 4 2 3 2 6" xfId="15329"/>
    <cellStyle name="20% - Accent4 4 2 3 2 6 2" xfId="15330"/>
    <cellStyle name="20% - Accent4 4 2 3 2 6 3" xfId="15331"/>
    <cellStyle name="20% - Accent4 4 2 3 2 7" xfId="15332"/>
    <cellStyle name="20% - Accent4 4 2 3 2 7 2" xfId="15333"/>
    <cellStyle name="20% - Accent4 4 2 3 2 7 3" xfId="15334"/>
    <cellStyle name="20% - Accent4 4 2 3 2 8" xfId="15335"/>
    <cellStyle name="20% - Accent4 4 2 3 2 8 2" xfId="15336"/>
    <cellStyle name="20% - Accent4 4 2 3 2 9" xfId="15337"/>
    <cellStyle name="20% - Accent4 4 2 3 3" xfId="859"/>
    <cellStyle name="20% - Accent4 4 2 3 3 2" xfId="860"/>
    <cellStyle name="20% - Accent4 4 2 3 3 2 2" xfId="15338"/>
    <cellStyle name="20% - Accent4 4 2 3 3 2 2 2" xfId="15339"/>
    <cellStyle name="20% - Accent4 4 2 3 3 2 2 3" xfId="15340"/>
    <cellStyle name="20% - Accent4 4 2 3 3 2 3" xfId="15341"/>
    <cellStyle name="20% - Accent4 4 2 3 3 2 3 2" xfId="15342"/>
    <cellStyle name="20% - Accent4 4 2 3 3 2 3 3" xfId="15343"/>
    <cellStyle name="20% - Accent4 4 2 3 3 2 4" xfId="15344"/>
    <cellStyle name="20% - Accent4 4 2 3 3 2 4 2" xfId="15345"/>
    <cellStyle name="20% - Accent4 4 2 3 3 2 5" xfId="15346"/>
    <cellStyle name="20% - Accent4 4 2 3 3 2 6" xfId="15347"/>
    <cellStyle name="20% - Accent4 4 2 3 3 3" xfId="15348"/>
    <cellStyle name="20% - Accent4 4 2 3 3 3 2" xfId="15349"/>
    <cellStyle name="20% - Accent4 4 2 3 3 3 2 2" xfId="15350"/>
    <cellStyle name="20% - Accent4 4 2 3 3 3 2 3" xfId="15351"/>
    <cellStyle name="20% - Accent4 4 2 3 3 3 3" xfId="15352"/>
    <cellStyle name="20% - Accent4 4 2 3 3 3 3 2" xfId="15353"/>
    <cellStyle name="20% - Accent4 4 2 3 3 3 3 3" xfId="15354"/>
    <cellStyle name="20% - Accent4 4 2 3 3 3 4" xfId="15355"/>
    <cellStyle name="20% - Accent4 4 2 3 3 3 4 2" xfId="15356"/>
    <cellStyle name="20% - Accent4 4 2 3 3 3 5" xfId="15357"/>
    <cellStyle name="20% - Accent4 4 2 3 3 3 6" xfId="15358"/>
    <cellStyle name="20% - Accent4 4 2 3 3 4" xfId="15359"/>
    <cellStyle name="20% - Accent4 4 2 3 3 4 2" xfId="15360"/>
    <cellStyle name="20% - Accent4 4 2 3 3 4 2 2" xfId="15361"/>
    <cellStyle name="20% - Accent4 4 2 3 3 4 2 3" xfId="15362"/>
    <cellStyle name="20% - Accent4 4 2 3 3 4 3" xfId="15363"/>
    <cellStyle name="20% - Accent4 4 2 3 3 4 3 2" xfId="15364"/>
    <cellStyle name="20% - Accent4 4 2 3 3 4 4" xfId="15365"/>
    <cellStyle name="20% - Accent4 4 2 3 3 4 5" xfId="15366"/>
    <cellStyle name="20% - Accent4 4 2 3 3 5" xfId="15367"/>
    <cellStyle name="20% - Accent4 4 2 3 3 5 2" xfId="15368"/>
    <cellStyle name="20% - Accent4 4 2 3 3 5 3" xfId="15369"/>
    <cellStyle name="20% - Accent4 4 2 3 3 6" xfId="15370"/>
    <cellStyle name="20% - Accent4 4 2 3 3 6 2" xfId="15371"/>
    <cellStyle name="20% - Accent4 4 2 3 3 6 3" xfId="15372"/>
    <cellStyle name="20% - Accent4 4 2 3 3 7" xfId="15373"/>
    <cellStyle name="20% - Accent4 4 2 3 3 7 2" xfId="15374"/>
    <cellStyle name="20% - Accent4 4 2 3 3 8" xfId="15375"/>
    <cellStyle name="20% - Accent4 4 2 3 3 9" xfId="15376"/>
    <cellStyle name="20% - Accent4 4 2 3 4" xfId="861"/>
    <cellStyle name="20% - Accent4 4 2 3 4 2" xfId="15377"/>
    <cellStyle name="20% - Accent4 4 2 3 4 2 2" xfId="15378"/>
    <cellStyle name="20% - Accent4 4 2 3 4 2 2 2" xfId="15379"/>
    <cellStyle name="20% - Accent4 4 2 3 4 2 2 3" xfId="15380"/>
    <cellStyle name="20% - Accent4 4 2 3 4 2 3" xfId="15381"/>
    <cellStyle name="20% - Accent4 4 2 3 4 2 3 2" xfId="15382"/>
    <cellStyle name="20% - Accent4 4 2 3 4 2 3 3" xfId="15383"/>
    <cellStyle name="20% - Accent4 4 2 3 4 2 4" xfId="15384"/>
    <cellStyle name="20% - Accent4 4 2 3 4 2 4 2" xfId="15385"/>
    <cellStyle name="20% - Accent4 4 2 3 4 2 5" xfId="15386"/>
    <cellStyle name="20% - Accent4 4 2 3 4 2 6" xfId="15387"/>
    <cellStyle name="20% - Accent4 4 2 3 4 3" xfId="15388"/>
    <cellStyle name="20% - Accent4 4 2 3 4 3 2" xfId="15389"/>
    <cellStyle name="20% - Accent4 4 2 3 4 3 2 2" xfId="15390"/>
    <cellStyle name="20% - Accent4 4 2 3 4 3 2 3" xfId="15391"/>
    <cellStyle name="20% - Accent4 4 2 3 4 3 3" xfId="15392"/>
    <cellStyle name="20% - Accent4 4 2 3 4 3 3 2" xfId="15393"/>
    <cellStyle name="20% - Accent4 4 2 3 4 3 3 3" xfId="15394"/>
    <cellStyle name="20% - Accent4 4 2 3 4 3 4" xfId="15395"/>
    <cellStyle name="20% - Accent4 4 2 3 4 3 4 2" xfId="15396"/>
    <cellStyle name="20% - Accent4 4 2 3 4 3 5" xfId="15397"/>
    <cellStyle name="20% - Accent4 4 2 3 4 3 6" xfId="15398"/>
    <cellStyle name="20% - Accent4 4 2 3 4 4" xfId="15399"/>
    <cellStyle name="20% - Accent4 4 2 3 4 4 2" xfId="15400"/>
    <cellStyle name="20% - Accent4 4 2 3 4 4 2 2" xfId="15401"/>
    <cellStyle name="20% - Accent4 4 2 3 4 4 2 3" xfId="15402"/>
    <cellStyle name="20% - Accent4 4 2 3 4 4 3" xfId="15403"/>
    <cellStyle name="20% - Accent4 4 2 3 4 4 3 2" xfId="15404"/>
    <cellStyle name="20% - Accent4 4 2 3 4 4 4" xfId="15405"/>
    <cellStyle name="20% - Accent4 4 2 3 4 4 5" xfId="15406"/>
    <cellStyle name="20% - Accent4 4 2 3 4 5" xfId="15407"/>
    <cellStyle name="20% - Accent4 4 2 3 4 5 2" xfId="15408"/>
    <cellStyle name="20% - Accent4 4 2 3 4 5 3" xfId="15409"/>
    <cellStyle name="20% - Accent4 4 2 3 4 6" xfId="15410"/>
    <cellStyle name="20% - Accent4 4 2 3 4 6 2" xfId="15411"/>
    <cellStyle name="20% - Accent4 4 2 3 4 6 3" xfId="15412"/>
    <cellStyle name="20% - Accent4 4 2 3 4 7" xfId="15413"/>
    <cellStyle name="20% - Accent4 4 2 3 4 7 2" xfId="15414"/>
    <cellStyle name="20% - Accent4 4 2 3 4 8" xfId="15415"/>
    <cellStyle name="20% - Accent4 4 2 3 4 9" xfId="15416"/>
    <cellStyle name="20% - Accent4 4 2 3 5" xfId="862"/>
    <cellStyle name="20% - Accent4 4 2 3 5 2" xfId="15417"/>
    <cellStyle name="20% - Accent4 4 2 3 5 2 2" xfId="15418"/>
    <cellStyle name="20% - Accent4 4 2 3 5 2 3" xfId="15419"/>
    <cellStyle name="20% - Accent4 4 2 3 5 3" xfId="15420"/>
    <cellStyle name="20% - Accent4 4 2 3 5 3 2" xfId="15421"/>
    <cellStyle name="20% - Accent4 4 2 3 5 3 3" xfId="15422"/>
    <cellStyle name="20% - Accent4 4 2 3 5 4" xfId="15423"/>
    <cellStyle name="20% - Accent4 4 2 3 5 4 2" xfId="15424"/>
    <cellStyle name="20% - Accent4 4 2 3 5 5" xfId="15425"/>
    <cellStyle name="20% - Accent4 4 2 3 5 6" xfId="15426"/>
    <cellStyle name="20% - Accent4 4 2 3 6" xfId="8886"/>
    <cellStyle name="20% - Accent4 4 2 3 6 2" xfId="15427"/>
    <cellStyle name="20% - Accent4 4 2 3 6 2 2" xfId="15428"/>
    <cellStyle name="20% - Accent4 4 2 3 6 2 3" xfId="15429"/>
    <cellStyle name="20% - Accent4 4 2 3 6 3" xfId="15430"/>
    <cellStyle name="20% - Accent4 4 2 3 6 3 2" xfId="15431"/>
    <cellStyle name="20% - Accent4 4 2 3 6 3 3" xfId="15432"/>
    <cellStyle name="20% - Accent4 4 2 3 6 4" xfId="15433"/>
    <cellStyle name="20% - Accent4 4 2 3 6 4 2" xfId="15434"/>
    <cellStyle name="20% - Accent4 4 2 3 6 5" xfId="15435"/>
    <cellStyle name="20% - Accent4 4 2 3 6 6" xfId="15436"/>
    <cellStyle name="20% - Accent4 4 2 3 7" xfId="15437"/>
    <cellStyle name="20% - Accent4 4 2 3 7 2" xfId="15438"/>
    <cellStyle name="20% - Accent4 4 2 3 7 2 2" xfId="15439"/>
    <cellStyle name="20% - Accent4 4 2 3 7 2 3" xfId="15440"/>
    <cellStyle name="20% - Accent4 4 2 3 7 3" xfId="15441"/>
    <cellStyle name="20% - Accent4 4 2 3 7 3 2" xfId="15442"/>
    <cellStyle name="20% - Accent4 4 2 3 7 4" xfId="15443"/>
    <cellStyle name="20% - Accent4 4 2 3 7 5" xfId="15444"/>
    <cellStyle name="20% - Accent4 4 2 3 8" xfId="15445"/>
    <cellStyle name="20% - Accent4 4 2 3 8 2" xfId="15446"/>
    <cellStyle name="20% - Accent4 4 2 3 8 3" xfId="15447"/>
    <cellStyle name="20% - Accent4 4 2 3 9" xfId="15448"/>
    <cellStyle name="20% - Accent4 4 2 3 9 2" xfId="15449"/>
    <cellStyle name="20% - Accent4 4 2 3 9 3" xfId="15450"/>
    <cellStyle name="20% - Accent4 4 2 4" xfId="863"/>
    <cellStyle name="20% - Accent4 4 2 4 10" xfId="15451"/>
    <cellStyle name="20% - Accent4 4 2 4 2" xfId="864"/>
    <cellStyle name="20% - Accent4 4 2 4 2 2" xfId="865"/>
    <cellStyle name="20% - Accent4 4 2 4 2 2 2" xfId="15452"/>
    <cellStyle name="20% - Accent4 4 2 4 2 2 2 2" xfId="15453"/>
    <cellStyle name="20% - Accent4 4 2 4 2 2 2 3" xfId="15454"/>
    <cellStyle name="20% - Accent4 4 2 4 2 2 3" xfId="15455"/>
    <cellStyle name="20% - Accent4 4 2 4 2 2 3 2" xfId="15456"/>
    <cellStyle name="20% - Accent4 4 2 4 2 2 3 3" xfId="15457"/>
    <cellStyle name="20% - Accent4 4 2 4 2 2 4" xfId="15458"/>
    <cellStyle name="20% - Accent4 4 2 4 2 2 4 2" xfId="15459"/>
    <cellStyle name="20% - Accent4 4 2 4 2 2 5" xfId="15460"/>
    <cellStyle name="20% - Accent4 4 2 4 2 2 6" xfId="15461"/>
    <cellStyle name="20% - Accent4 4 2 4 2 3" xfId="15462"/>
    <cellStyle name="20% - Accent4 4 2 4 2 3 2" xfId="15463"/>
    <cellStyle name="20% - Accent4 4 2 4 2 3 2 2" xfId="15464"/>
    <cellStyle name="20% - Accent4 4 2 4 2 3 2 3" xfId="15465"/>
    <cellStyle name="20% - Accent4 4 2 4 2 3 3" xfId="15466"/>
    <cellStyle name="20% - Accent4 4 2 4 2 3 3 2" xfId="15467"/>
    <cellStyle name="20% - Accent4 4 2 4 2 3 3 3" xfId="15468"/>
    <cellStyle name="20% - Accent4 4 2 4 2 3 4" xfId="15469"/>
    <cellStyle name="20% - Accent4 4 2 4 2 3 4 2" xfId="15470"/>
    <cellStyle name="20% - Accent4 4 2 4 2 3 5" xfId="15471"/>
    <cellStyle name="20% - Accent4 4 2 4 2 3 6" xfId="15472"/>
    <cellStyle name="20% - Accent4 4 2 4 2 4" xfId="15473"/>
    <cellStyle name="20% - Accent4 4 2 4 2 4 2" xfId="15474"/>
    <cellStyle name="20% - Accent4 4 2 4 2 4 2 2" xfId="15475"/>
    <cellStyle name="20% - Accent4 4 2 4 2 4 2 3" xfId="15476"/>
    <cellStyle name="20% - Accent4 4 2 4 2 4 3" xfId="15477"/>
    <cellStyle name="20% - Accent4 4 2 4 2 4 3 2" xfId="15478"/>
    <cellStyle name="20% - Accent4 4 2 4 2 4 4" xfId="15479"/>
    <cellStyle name="20% - Accent4 4 2 4 2 4 5" xfId="15480"/>
    <cellStyle name="20% - Accent4 4 2 4 2 5" xfId="15481"/>
    <cellStyle name="20% - Accent4 4 2 4 2 5 2" xfId="15482"/>
    <cellStyle name="20% - Accent4 4 2 4 2 5 3" xfId="15483"/>
    <cellStyle name="20% - Accent4 4 2 4 2 6" xfId="15484"/>
    <cellStyle name="20% - Accent4 4 2 4 2 6 2" xfId="15485"/>
    <cellStyle name="20% - Accent4 4 2 4 2 6 3" xfId="15486"/>
    <cellStyle name="20% - Accent4 4 2 4 2 7" xfId="15487"/>
    <cellStyle name="20% - Accent4 4 2 4 2 7 2" xfId="15488"/>
    <cellStyle name="20% - Accent4 4 2 4 2 8" xfId="15489"/>
    <cellStyle name="20% - Accent4 4 2 4 2 9" xfId="15490"/>
    <cellStyle name="20% - Accent4 4 2 4 3" xfId="866"/>
    <cellStyle name="20% - Accent4 4 2 4 3 2" xfId="15491"/>
    <cellStyle name="20% - Accent4 4 2 4 3 2 2" xfId="15492"/>
    <cellStyle name="20% - Accent4 4 2 4 3 2 3" xfId="15493"/>
    <cellStyle name="20% - Accent4 4 2 4 3 3" xfId="15494"/>
    <cellStyle name="20% - Accent4 4 2 4 3 3 2" xfId="15495"/>
    <cellStyle name="20% - Accent4 4 2 4 3 3 3" xfId="15496"/>
    <cellStyle name="20% - Accent4 4 2 4 3 4" xfId="15497"/>
    <cellStyle name="20% - Accent4 4 2 4 3 4 2" xfId="15498"/>
    <cellStyle name="20% - Accent4 4 2 4 3 5" xfId="15499"/>
    <cellStyle name="20% - Accent4 4 2 4 3 6" xfId="15500"/>
    <cellStyle name="20% - Accent4 4 2 4 4" xfId="8887"/>
    <cellStyle name="20% - Accent4 4 2 4 4 2" xfId="15501"/>
    <cellStyle name="20% - Accent4 4 2 4 4 2 2" xfId="15502"/>
    <cellStyle name="20% - Accent4 4 2 4 4 2 3" xfId="15503"/>
    <cellStyle name="20% - Accent4 4 2 4 4 3" xfId="15504"/>
    <cellStyle name="20% - Accent4 4 2 4 4 3 2" xfId="15505"/>
    <cellStyle name="20% - Accent4 4 2 4 4 3 3" xfId="15506"/>
    <cellStyle name="20% - Accent4 4 2 4 4 4" xfId="15507"/>
    <cellStyle name="20% - Accent4 4 2 4 4 4 2" xfId="15508"/>
    <cellStyle name="20% - Accent4 4 2 4 4 5" xfId="15509"/>
    <cellStyle name="20% - Accent4 4 2 4 4 6" xfId="15510"/>
    <cellStyle name="20% - Accent4 4 2 4 5" xfId="15511"/>
    <cellStyle name="20% - Accent4 4 2 4 5 2" xfId="15512"/>
    <cellStyle name="20% - Accent4 4 2 4 5 2 2" xfId="15513"/>
    <cellStyle name="20% - Accent4 4 2 4 5 2 3" xfId="15514"/>
    <cellStyle name="20% - Accent4 4 2 4 5 3" xfId="15515"/>
    <cellStyle name="20% - Accent4 4 2 4 5 3 2" xfId="15516"/>
    <cellStyle name="20% - Accent4 4 2 4 5 4" xfId="15517"/>
    <cellStyle name="20% - Accent4 4 2 4 5 5" xfId="15518"/>
    <cellStyle name="20% - Accent4 4 2 4 6" xfId="15519"/>
    <cellStyle name="20% - Accent4 4 2 4 6 2" xfId="15520"/>
    <cellStyle name="20% - Accent4 4 2 4 6 3" xfId="15521"/>
    <cellStyle name="20% - Accent4 4 2 4 7" xfId="15522"/>
    <cellStyle name="20% - Accent4 4 2 4 7 2" xfId="15523"/>
    <cellStyle name="20% - Accent4 4 2 4 7 3" xfId="15524"/>
    <cellStyle name="20% - Accent4 4 2 4 8" xfId="15525"/>
    <cellStyle name="20% - Accent4 4 2 4 8 2" xfId="15526"/>
    <cellStyle name="20% - Accent4 4 2 4 9" xfId="15527"/>
    <cellStyle name="20% - Accent4 4 2 5" xfId="867"/>
    <cellStyle name="20% - Accent4 4 2 5 2" xfId="868"/>
    <cellStyle name="20% - Accent4 4 2 5 2 2" xfId="15528"/>
    <cellStyle name="20% - Accent4 4 2 5 2 2 2" xfId="15529"/>
    <cellStyle name="20% - Accent4 4 2 5 2 2 3" xfId="15530"/>
    <cellStyle name="20% - Accent4 4 2 5 2 3" xfId="15531"/>
    <cellStyle name="20% - Accent4 4 2 5 2 3 2" xfId="15532"/>
    <cellStyle name="20% - Accent4 4 2 5 2 3 3" xfId="15533"/>
    <cellStyle name="20% - Accent4 4 2 5 2 4" xfId="15534"/>
    <cellStyle name="20% - Accent4 4 2 5 2 4 2" xfId="15535"/>
    <cellStyle name="20% - Accent4 4 2 5 2 5" xfId="15536"/>
    <cellStyle name="20% - Accent4 4 2 5 2 6" xfId="15537"/>
    <cellStyle name="20% - Accent4 4 2 5 3" xfId="15538"/>
    <cellStyle name="20% - Accent4 4 2 5 3 2" xfId="15539"/>
    <cellStyle name="20% - Accent4 4 2 5 3 2 2" xfId="15540"/>
    <cellStyle name="20% - Accent4 4 2 5 3 2 3" xfId="15541"/>
    <cellStyle name="20% - Accent4 4 2 5 3 3" xfId="15542"/>
    <cellStyle name="20% - Accent4 4 2 5 3 3 2" xfId="15543"/>
    <cellStyle name="20% - Accent4 4 2 5 3 3 3" xfId="15544"/>
    <cellStyle name="20% - Accent4 4 2 5 3 4" xfId="15545"/>
    <cellStyle name="20% - Accent4 4 2 5 3 4 2" xfId="15546"/>
    <cellStyle name="20% - Accent4 4 2 5 3 5" xfId="15547"/>
    <cellStyle name="20% - Accent4 4 2 5 3 6" xfId="15548"/>
    <cellStyle name="20% - Accent4 4 2 5 4" xfId="15549"/>
    <cellStyle name="20% - Accent4 4 2 5 4 2" xfId="15550"/>
    <cellStyle name="20% - Accent4 4 2 5 4 2 2" xfId="15551"/>
    <cellStyle name="20% - Accent4 4 2 5 4 2 3" xfId="15552"/>
    <cellStyle name="20% - Accent4 4 2 5 4 3" xfId="15553"/>
    <cellStyle name="20% - Accent4 4 2 5 4 3 2" xfId="15554"/>
    <cellStyle name="20% - Accent4 4 2 5 4 4" xfId="15555"/>
    <cellStyle name="20% - Accent4 4 2 5 4 5" xfId="15556"/>
    <cellStyle name="20% - Accent4 4 2 5 5" xfId="15557"/>
    <cellStyle name="20% - Accent4 4 2 5 5 2" xfId="15558"/>
    <cellStyle name="20% - Accent4 4 2 5 5 3" xfId="15559"/>
    <cellStyle name="20% - Accent4 4 2 5 6" xfId="15560"/>
    <cellStyle name="20% - Accent4 4 2 5 6 2" xfId="15561"/>
    <cellStyle name="20% - Accent4 4 2 5 6 3" xfId="15562"/>
    <cellStyle name="20% - Accent4 4 2 5 7" xfId="15563"/>
    <cellStyle name="20% - Accent4 4 2 5 7 2" xfId="15564"/>
    <cellStyle name="20% - Accent4 4 2 5 8" xfId="15565"/>
    <cellStyle name="20% - Accent4 4 2 5 9" xfId="15566"/>
    <cellStyle name="20% - Accent4 4 2 6" xfId="869"/>
    <cellStyle name="20% - Accent4 4 2 6 2" xfId="15567"/>
    <cellStyle name="20% - Accent4 4 2 6 2 2" xfId="15568"/>
    <cellStyle name="20% - Accent4 4 2 6 2 2 2" xfId="15569"/>
    <cellStyle name="20% - Accent4 4 2 6 2 2 3" xfId="15570"/>
    <cellStyle name="20% - Accent4 4 2 6 2 3" xfId="15571"/>
    <cellStyle name="20% - Accent4 4 2 6 2 3 2" xfId="15572"/>
    <cellStyle name="20% - Accent4 4 2 6 2 3 3" xfId="15573"/>
    <cellStyle name="20% - Accent4 4 2 6 2 4" xfId="15574"/>
    <cellStyle name="20% - Accent4 4 2 6 2 4 2" xfId="15575"/>
    <cellStyle name="20% - Accent4 4 2 6 2 5" xfId="15576"/>
    <cellStyle name="20% - Accent4 4 2 6 2 6" xfId="15577"/>
    <cellStyle name="20% - Accent4 4 2 6 3" xfId="15578"/>
    <cellStyle name="20% - Accent4 4 2 6 3 2" xfId="15579"/>
    <cellStyle name="20% - Accent4 4 2 6 3 2 2" xfId="15580"/>
    <cellStyle name="20% - Accent4 4 2 6 3 2 3" xfId="15581"/>
    <cellStyle name="20% - Accent4 4 2 6 3 3" xfId="15582"/>
    <cellStyle name="20% - Accent4 4 2 6 3 3 2" xfId="15583"/>
    <cellStyle name="20% - Accent4 4 2 6 3 3 3" xfId="15584"/>
    <cellStyle name="20% - Accent4 4 2 6 3 4" xfId="15585"/>
    <cellStyle name="20% - Accent4 4 2 6 3 4 2" xfId="15586"/>
    <cellStyle name="20% - Accent4 4 2 6 3 5" xfId="15587"/>
    <cellStyle name="20% - Accent4 4 2 6 3 6" xfId="15588"/>
    <cellStyle name="20% - Accent4 4 2 6 4" xfId="15589"/>
    <cellStyle name="20% - Accent4 4 2 6 4 2" xfId="15590"/>
    <cellStyle name="20% - Accent4 4 2 6 4 2 2" xfId="15591"/>
    <cellStyle name="20% - Accent4 4 2 6 4 2 3" xfId="15592"/>
    <cellStyle name="20% - Accent4 4 2 6 4 3" xfId="15593"/>
    <cellStyle name="20% - Accent4 4 2 6 4 3 2" xfId="15594"/>
    <cellStyle name="20% - Accent4 4 2 6 4 4" xfId="15595"/>
    <cellStyle name="20% - Accent4 4 2 6 4 5" xfId="15596"/>
    <cellStyle name="20% - Accent4 4 2 6 5" xfId="15597"/>
    <cellStyle name="20% - Accent4 4 2 6 5 2" xfId="15598"/>
    <cellStyle name="20% - Accent4 4 2 6 5 3" xfId="15599"/>
    <cellStyle name="20% - Accent4 4 2 6 6" xfId="15600"/>
    <cellStyle name="20% - Accent4 4 2 6 6 2" xfId="15601"/>
    <cellStyle name="20% - Accent4 4 2 6 6 3" xfId="15602"/>
    <cellStyle name="20% - Accent4 4 2 6 7" xfId="15603"/>
    <cellStyle name="20% - Accent4 4 2 6 7 2" xfId="15604"/>
    <cellStyle name="20% - Accent4 4 2 6 8" xfId="15605"/>
    <cellStyle name="20% - Accent4 4 2 6 9" xfId="15606"/>
    <cellStyle name="20% - Accent4 4 2 7" xfId="870"/>
    <cellStyle name="20% - Accent4 4 2 7 2" xfId="15607"/>
    <cellStyle name="20% - Accent4 4 2 7 2 2" xfId="15608"/>
    <cellStyle name="20% - Accent4 4 2 7 2 3" xfId="15609"/>
    <cellStyle name="20% - Accent4 4 2 7 3" xfId="15610"/>
    <cellStyle name="20% - Accent4 4 2 7 3 2" xfId="15611"/>
    <cellStyle name="20% - Accent4 4 2 7 3 3" xfId="15612"/>
    <cellStyle name="20% - Accent4 4 2 7 4" xfId="15613"/>
    <cellStyle name="20% - Accent4 4 2 7 4 2" xfId="15614"/>
    <cellStyle name="20% - Accent4 4 2 7 5" xfId="15615"/>
    <cellStyle name="20% - Accent4 4 2 7 6" xfId="15616"/>
    <cellStyle name="20% - Accent4 4 2 8" xfId="8888"/>
    <cellStyle name="20% - Accent4 4 2 8 2" xfId="15617"/>
    <cellStyle name="20% - Accent4 4 2 8 2 2" xfId="15618"/>
    <cellStyle name="20% - Accent4 4 2 8 2 3" xfId="15619"/>
    <cellStyle name="20% - Accent4 4 2 8 3" xfId="15620"/>
    <cellStyle name="20% - Accent4 4 2 8 3 2" xfId="15621"/>
    <cellStyle name="20% - Accent4 4 2 8 3 3" xfId="15622"/>
    <cellStyle name="20% - Accent4 4 2 8 4" xfId="15623"/>
    <cellStyle name="20% - Accent4 4 2 8 4 2" xfId="15624"/>
    <cellStyle name="20% - Accent4 4 2 8 5" xfId="15625"/>
    <cellStyle name="20% - Accent4 4 2 8 6" xfId="15626"/>
    <cellStyle name="20% - Accent4 4 2 9" xfId="15627"/>
    <cellStyle name="20% - Accent4 4 2 9 2" xfId="15628"/>
    <cellStyle name="20% - Accent4 4 2 9 2 2" xfId="15629"/>
    <cellStyle name="20% - Accent4 4 2 9 2 3" xfId="15630"/>
    <cellStyle name="20% - Accent4 4 2 9 3" xfId="15631"/>
    <cellStyle name="20% - Accent4 4 2 9 3 2" xfId="15632"/>
    <cellStyle name="20% - Accent4 4 2 9 4" xfId="15633"/>
    <cellStyle name="20% - Accent4 4 2 9 5" xfId="15634"/>
    <cellStyle name="20% - Accent4 4 3" xfId="871"/>
    <cellStyle name="20% - Accent4 4 3 10" xfId="15635"/>
    <cellStyle name="20% - Accent4 4 3 10 2" xfId="15636"/>
    <cellStyle name="20% - Accent4 4 3 10 3" xfId="15637"/>
    <cellStyle name="20% - Accent4 4 3 11" xfId="15638"/>
    <cellStyle name="20% - Accent4 4 3 11 2" xfId="15639"/>
    <cellStyle name="20% - Accent4 4 3 12" xfId="15640"/>
    <cellStyle name="20% - Accent4 4 3 13" xfId="15641"/>
    <cellStyle name="20% - Accent4 4 3 14" xfId="15642"/>
    <cellStyle name="20% - Accent4 4 3 2" xfId="872"/>
    <cellStyle name="20% - Accent4 4 3 2 10" xfId="15643"/>
    <cellStyle name="20% - Accent4 4 3 2 10 2" xfId="15644"/>
    <cellStyle name="20% - Accent4 4 3 2 11" xfId="15645"/>
    <cellStyle name="20% - Accent4 4 3 2 12" xfId="15646"/>
    <cellStyle name="20% - Accent4 4 3 2 2" xfId="873"/>
    <cellStyle name="20% - Accent4 4 3 2 2 10" xfId="15647"/>
    <cellStyle name="20% - Accent4 4 3 2 2 2" xfId="874"/>
    <cellStyle name="20% - Accent4 4 3 2 2 2 2" xfId="875"/>
    <cellStyle name="20% - Accent4 4 3 2 2 2 2 2" xfId="15648"/>
    <cellStyle name="20% - Accent4 4 3 2 2 2 2 2 2" xfId="15649"/>
    <cellStyle name="20% - Accent4 4 3 2 2 2 2 2 3" xfId="15650"/>
    <cellStyle name="20% - Accent4 4 3 2 2 2 2 3" xfId="15651"/>
    <cellStyle name="20% - Accent4 4 3 2 2 2 2 3 2" xfId="15652"/>
    <cellStyle name="20% - Accent4 4 3 2 2 2 2 3 3" xfId="15653"/>
    <cellStyle name="20% - Accent4 4 3 2 2 2 2 4" xfId="15654"/>
    <cellStyle name="20% - Accent4 4 3 2 2 2 2 4 2" xfId="15655"/>
    <cellStyle name="20% - Accent4 4 3 2 2 2 2 5" xfId="15656"/>
    <cellStyle name="20% - Accent4 4 3 2 2 2 2 6" xfId="15657"/>
    <cellStyle name="20% - Accent4 4 3 2 2 2 3" xfId="8889"/>
    <cellStyle name="20% - Accent4 4 3 2 2 2 3 2" xfId="15658"/>
    <cellStyle name="20% - Accent4 4 3 2 2 2 3 2 2" xfId="15659"/>
    <cellStyle name="20% - Accent4 4 3 2 2 2 3 2 3" xfId="15660"/>
    <cellStyle name="20% - Accent4 4 3 2 2 2 3 3" xfId="15661"/>
    <cellStyle name="20% - Accent4 4 3 2 2 2 3 3 2" xfId="15662"/>
    <cellStyle name="20% - Accent4 4 3 2 2 2 3 3 3" xfId="15663"/>
    <cellStyle name="20% - Accent4 4 3 2 2 2 3 4" xfId="15664"/>
    <cellStyle name="20% - Accent4 4 3 2 2 2 3 4 2" xfId="15665"/>
    <cellStyle name="20% - Accent4 4 3 2 2 2 3 5" xfId="15666"/>
    <cellStyle name="20% - Accent4 4 3 2 2 2 3 6" xfId="15667"/>
    <cellStyle name="20% - Accent4 4 3 2 2 2 4" xfId="15668"/>
    <cellStyle name="20% - Accent4 4 3 2 2 2 4 2" xfId="15669"/>
    <cellStyle name="20% - Accent4 4 3 2 2 2 4 2 2" xfId="15670"/>
    <cellStyle name="20% - Accent4 4 3 2 2 2 4 2 3" xfId="15671"/>
    <cellStyle name="20% - Accent4 4 3 2 2 2 4 3" xfId="15672"/>
    <cellStyle name="20% - Accent4 4 3 2 2 2 4 3 2" xfId="15673"/>
    <cellStyle name="20% - Accent4 4 3 2 2 2 4 4" xfId="15674"/>
    <cellStyle name="20% - Accent4 4 3 2 2 2 4 5" xfId="15675"/>
    <cellStyle name="20% - Accent4 4 3 2 2 2 5" xfId="15676"/>
    <cellStyle name="20% - Accent4 4 3 2 2 2 5 2" xfId="15677"/>
    <cellStyle name="20% - Accent4 4 3 2 2 2 5 3" xfId="15678"/>
    <cellStyle name="20% - Accent4 4 3 2 2 2 6" xfId="15679"/>
    <cellStyle name="20% - Accent4 4 3 2 2 2 6 2" xfId="15680"/>
    <cellStyle name="20% - Accent4 4 3 2 2 2 6 3" xfId="15681"/>
    <cellStyle name="20% - Accent4 4 3 2 2 2 7" xfId="15682"/>
    <cellStyle name="20% - Accent4 4 3 2 2 2 7 2" xfId="15683"/>
    <cellStyle name="20% - Accent4 4 3 2 2 2 8" xfId="15684"/>
    <cellStyle name="20% - Accent4 4 3 2 2 2 9" xfId="15685"/>
    <cellStyle name="20% - Accent4 4 3 2 2 3" xfId="876"/>
    <cellStyle name="20% - Accent4 4 3 2 2 3 2" xfId="15686"/>
    <cellStyle name="20% - Accent4 4 3 2 2 3 2 2" xfId="15687"/>
    <cellStyle name="20% - Accent4 4 3 2 2 3 2 3" xfId="15688"/>
    <cellStyle name="20% - Accent4 4 3 2 2 3 3" xfId="15689"/>
    <cellStyle name="20% - Accent4 4 3 2 2 3 3 2" xfId="15690"/>
    <cellStyle name="20% - Accent4 4 3 2 2 3 3 3" xfId="15691"/>
    <cellStyle name="20% - Accent4 4 3 2 2 3 4" xfId="15692"/>
    <cellStyle name="20% - Accent4 4 3 2 2 3 4 2" xfId="15693"/>
    <cellStyle name="20% - Accent4 4 3 2 2 3 5" xfId="15694"/>
    <cellStyle name="20% - Accent4 4 3 2 2 3 6" xfId="15695"/>
    <cellStyle name="20% - Accent4 4 3 2 2 4" xfId="877"/>
    <cellStyle name="20% - Accent4 4 3 2 2 4 2" xfId="15696"/>
    <cellStyle name="20% - Accent4 4 3 2 2 4 2 2" xfId="15697"/>
    <cellStyle name="20% - Accent4 4 3 2 2 4 2 3" xfId="15698"/>
    <cellStyle name="20% - Accent4 4 3 2 2 4 3" xfId="15699"/>
    <cellStyle name="20% - Accent4 4 3 2 2 4 3 2" xfId="15700"/>
    <cellStyle name="20% - Accent4 4 3 2 2 4 3 3" xfId="15701"/>
    <cellStyle name="20% - Accent4 4 3 2 2 4 4" xfId="15702"/>
    <cellStyle name="20% - Accent4 4 3 2 2 4 4 2" xfId="15703"/>
    <cellStyle name="20% - Accent4 4 3 2 2 4 5" xfId="15704"/>
    <cellStyle name="20% - Accent4 4 3 2 2 4 6" xfId="15705"/>
    <cellStyle name="20% - Accent4 4 3 2 2 5" xfId="8890"/>
    <cellStyle name="20% - Accent4 4 3 2 2 5 2" xfId="15706"/>
    <cellStyle name="20% - Accent4 4 3 2 2 5 2 2" xfId="15707"/>
    <cellStyle name="20% - Accent4 4 3 2 2 5 2 3" xfId="15708"/>
    <cellStyle name="20% - Accent4 4 3 2 2 5 3" xfId="15709"/>
    <cellStyle name="20% - Accent4 4 3 2 2 5 3 2" xfId="15710"/>
    <cellStyle name="20% - Accent4 4 3 2 2 5 4" xfId="15711"/>
    <cellStyle name="20% - Accent4 4 3 2 2 5 5" xfId="15712"/>
    <cellStyle name="20% - Accent4 4 3 2 2 6" xfId="15713"/>
    <cellStyle name="20% - Accent4 4 3 2 2 6 2" xfId="15714"/>
    <cellStyle name="20% - Accent4 4 3 2 2 6 3" xfId="15715"/>
    <cellStyle name="20% - Accent4 4 3 2 2 7" xfId="15716"/>
    <cellStyle name="20% - Accent4 4 3 2 2 7 2" xfId="15717"/>
    <cellStyle name="20% - Accent4 4 3 2 2 7 3" xfId="15718"/>
    <cellStyle name="20% - Accent4 4 3 2 2 8" xfId="15719"/>
    <cellStyle name="20% - Accent4 4 3 2 2 8 2" xfId="15720"/>
    <cellStyle name="20% - Accent4 4 3 2 2 9" xfId="15721"/>
    <cellStyle name="20% - Accent4 4 3 2 3" xfId="878"/>
    <cellStyle name="20% - Accent4 4 3 2 3 2" xfId="879"/>
    <cellStyle name="20% - Accent4 4 3 2 3 2 2" xfId="15722"/>
    <cellStyle name="20% - Accent4 4 3 2 3 2 2 2" xfId="15723"/>
    <cellStyle name="20% - Accent4 4 3 2 3 2 2 3" xfId="15724"/>
    <cellStyle name="20% - Accent4 4 3 2 3 2 3" xfId="15725"/>
    <cellStyle name="20% - Accent4 4 3 2 3 2 3 2" xfId="15726"/>
    <cellStyle name="20% - Accent4 4 3 2 3 2 3 3" xfId="15727"/>
    <cellStyle name="20% - Accent4 4 3 2 3 2 4" xfId="15728"/>
    <cellStyle name="20% - Accent4 4 3 2 3 2 4 2" xfId="15729"/>
    <cellStyle name="20% - Accent4 4 3 2 3 2 5" xfId="15730"/>
    <cellStyle name="20% - Accent4 4 3 2 3 2 6" xfId="15731"/>
    <cellStyle name="20% - Accent4 4 3 2 3 3" xfId="8891"/>
    <cellStyle name="20% - Accent4 4 3 2 3 3 2" xfId="15732"/>
    <cellStyle name="20% - Accent4 4 3 2 3 3 2 2" xfId="15733"/>
    <cellStyle name="20% - Accent4 4 3 2 3 3 2 3" xfId="15734"/>
    <cellStyle name="20% - Accent4 4 3 2 3 3 3" xfId="15735"/>
    <cellStyle name="20% - Accent4 4 3 2 3 3 3 2" xfId="15736"/>
    <cellStyle name="20% - Accent4 4 3 2 3 3 3 3" xfId="15737"/>
    <cellStyle name="20% - Accent4 4 3 2 3 3 4" xfId="15738"/>
    <cellStyle name="20% - Accent4 4 3 2 3 3 4 2" xfId="15739"/>
    <cellStyle name="20% - Accent4 4 3 2 3 3 5" xfId="15740"/>
    <cellStyle name="20% - Accent4 4 3 2 3 3 6" xfId="15741"/>
    <cellStyle name="20% - Accent4 4 3 2 3 4" xfId="15742"/>
    <cellStyle name="20% - Accent4 4 3 2 3 4 2" xfId="15743"/>
    <cellStyle name="20% - Accent4 4 3 2 3 4 2 2" xfId="15744"/>
    <cellStyle name="20% - Accent4 4 3 2 3 4 2 3" xfId="15745"/>
    <cellStyle name="20% - Accent4 4 3 2 3 4 3" xfId="15746"/>
    <cellStyle name="20% - Accent4 4 3 2 3 4 3 2" xfId="15747"/>
    <cellStyle name="20% - Accent4 4 3 2 3 4 4" xfId="15748"/>
    <cellStyle name="20% - Accent4 4 3 2 3 4 5" xfId="15749"/>
    <cellStyle name="20% - Accent4 4 3 2 3 5" xfId="15750"/>
    <cellStyle name="20% - Accent4 4 3 2 3 5 2" xfId="15751"/>
    <cellStyle name="20% - Accent4 4 3 2 3 5 3" xfId="15752"/>
    <cellStyle name="20% - Accent4 4 3 2 3 6" xfId="15753"/>
    <cellStyle name="20% - Accent4 4 3 2 3 6 2" xfId="15754"/>
    <cellStyle name="20% - Accent4 4 3 2 3 6 3" xfId="15755"/>
    <cellStyle name="20% - Accent4 4 3 2 3 7" xfId="15756"/>
    <cellStyle name="20% - Accent4 4 3 2 3 7 2" xfId="15757"/>
    <cellStyle name="20% - Accent4 4 3 2 3 8" xfId="15758"/>
    <cellStyle name="20% - Accent4 4 3 2 3 9" xfId="15759"/>
    <cellStyle name="20% - Accent4 4 3 2 4" xfId="880"/>
    <cellStyle name="20% - Accent4 4 3 2 4 2" xfId="15760"/>
    <cellStyle name="20% - Accent4 4 3 2 4 2 2" xfId="15761"/>
    <cellStyle name="20% - Accent4 4 3 2 4 2 2 2" xfId="15762"/>
    <cellStyle name="20% - Accent4 4 3 2 4 2 2 3" xfId="15763"/>
    <cellStyle name="20% - Accent4 4 3 2 4 2 3" xfId="15764"/>
    <cellStyle name="20% - Accent4 4 3 2 4 2 3 2" xfId="15765"/>
    <cellStyle name="20% - Accent4 4 3 2 4 2 3 3" xfId="15766"/>
    <cellStyle name="20% - Accent4 4 3 2 4 2 4" xfId="15767"/>
    <cellStyle name="20% - Accent4 4 3 2 4 2 4 2" xfId="15768"/>
    <cellStyle name="20% - Accent4 4 3 2 4 2 5" xfId="15769"/>
    <cellStyle name="20% - Accent4 4 3 2 4 2 6" xfId="15770"/>
    <cellStyle name="20% - Accent4 4 3 2 4 3" xfId="15771"/>
    <cellStyle name="20% - Accent4 4 3 2 4 3 2" xfId="15772"/>
    <cellStyle name="20% - Accent4 4 3 2 4 3 2 2" xfId="15773"/>
    <cellStyle name="20% - Accent4 4 3 2 4 3 2 3" xfId="15774"/>
    <cellStyle name="20% - Accent4 4 3 2 4 3 3" xfId="15775"/>
    <cellStyle name="20% - Accent4 4 3 2 4 3 3 2" xfId="15776"/>
    <cellStyle name="20% - Accent4 4 3 2 4 3 3 3" xfId="15777"/>
    <cellStyle name="20% - Accent4 4 3 2 4 3 4" xfId="15778"/>
    <cellStyle name="20% - Accent4 4 3 2 4 3 4 2" xfId="15779"/>
    <cellStyle name="20% - Accent4 4 3 2 4 3 5" xfId="15780"/>
    <cellStyle name="20% - Accent4 4 3 2 4 3 6" xfId="15781"/>
    <cellStyle name="20% - Accent4 4 3 2 4 4" xfId="15782"/>
    <cellStyle name="20% - Accent4 4 3 2 4 4 2" xfId="15783"/>
    <cellStyle name="20% - Accent4 4 3 2 4 4 2 2" xfId="15784"/>
    <cellStyle name="20% - Accent4 4 3 2 4 4 2 3" xfId="15785"/>
    <cellStyle name="20% - Accent4 4 3 2 4 4 3" xfId="15786"/>
    <cellStyle name="20% - Accent4 4 3 2 4 4 3 2" xfId="15787"/>
    <cellStyle name="20% - Accent4 4 3 2 4 4 4" xfId="15788"/>
    <cellStyle name="20% - Accent4 4 3 2 4 4 5" xfId="15789"/>
    <cellStyle name="20% - Accent4 4 3 2 4 5" xfId="15790"/>
    <cellStyle name="20% - Accent4 4 3 2 4 5 2" xfId="15791"/>
    <cellStyle name="20% - Accent4 4 3 2 4 5 3" xfId="15792"/>
    <cellStyle name="20% - Accent4 4 3 2 4 6" xfId="15793"/>
    <cellStyle name="20% - Accent4 4 3 2 4 6 2" xfId="15794"/>
    <cellStyle name="20% - Accent4 4 3 2 4 6 3" xfId="15795"/>
    <cellStyle name="20% - Accent4 4 3 2 4 7" xfId="15796"/>
    <cellStyle name="20% - Accent4 4 3 2 4 7 2" xfId="15797"/>
    <cellStyle name="20% - Accent4 4 3 2 4 8" xfId="15798"/>
    <cellStyle name="20% - Accent4 4 3 2 4 9" xfId="15799"/>
    <cellStyle name="20% - Accent4 4 3 2 5" xfId="881"/>
    <cellStyle name="20% - Accent4 4 3 2 5 2" xfId="15800"/>
    <cellStyle name="20% - Accent4 4 3 2 5 2 2" xfId="15801"/>
    <cellStyle name="20% - Accent4 4 3 2 5 2 3" xfId="15802"/>
    <cellStyle name="20% - Accent4 4 3 2 5 3" xfId="15803"/>
    <cellStyle name="20% - Accent4 4 3 2 5 3 2" xfId="15804"/>
    <cellStyle name="20% - Accent4 4 3 2 5 3 3" xfId="15805"/>
    <cellStyle name="20% - Accent4 4 3 2 5 4" xfId="15806"/>
    <cellStyle name="20% - Accent4 4 3 2 5 4 2" xfId="15807"/>
    <cellStyle name="20% - Accent4 4 3 2 5 5" xfId="15808"/>
    <cellStyle name="20% - Accent4 4 3 2 5 6" xfId="15809"/>
    <cellStyle name="20% - Accent4 4 3 2 6" xfId="8892"/>
    <cellStyle name="20% - Accent4 4 3 2 6 2" xfId="15810"/>
    <cellStyle name="20% - Accent4 4 3 2 6 2 2" xfId="15811"/>
    <cellStyle name="20% - Accent4 4 3 2 6 2 3" xfId="15812"/>
    <cellStyle name="20% - Accent4 4 3 2 6 3" xfId="15813"/>
    <cellStyle name="20% - Accent4 4 3 2 6 3 2" xfId="15814"/>
    <cellStyle name="20% - Accent4 4 3 2 6 3 3" xfId="15815"/>
    <cellStyle name="20% - Accent4 4 3 2 6 4" xfId="15816"/>
    <cellStyle name="20% - Accent4 4 3 2 6 4 2" xfId="15817"/>
    <cellStyle name="20% - Accent4 4 3 2 6 5" xfId="15818"/>
    <cellStyle name="20% - Accent4 4 3 2 6 6" xfId="15819"/>
    <cellStyle name="20% - Accent4 4 3 2 7" xfId="15820"/>
    <cellStyle name="20% - Accent4 4 3 2 7 2" xfId="15821"/>
    <cellStyle name="20% - Accent4 4 3 2 7 2 2" xfId="15822"/>
    <cellStyle name="20% - Accent4 4 3 2 7 2 3" xfId="15823"/>
    <cellStyle name="20% - Accent4 4 3 2 7 3" xfId="15824"/>
    <cellStyle name="20% - Accent4 4 3 2 7 3 2" xfId="15825"/>
    <cellStyle name="20% - Accent4 4 3 2 7 4" xfId="15826"/>
    <cellStyle name="20% - Accent4 4 3 2 7 5" xfId="15827"/>
    <cellStyle name="20% - Accent4 4 3 2 8" xfId="15828"/>
    <cellStyle name="20% - Accent4 4 3 2 8 2" xfId="15829"/>
    <cellStyle name="20% - Accent4 4 3 2 8 3" xfId="15830"/>
    <cellStyle name="20% - Accent4 4 3 2 9" xfId="15831"/>
    <cellStyle name="20% - Accent4 4 3 2 9 2" xfId="15832"/>
    <cellStyle name="20% - Accent4 4 3 2 9 3" xfId="15833"/>
    <cellStyle name="20% - Accent4 4 3 3" xfId="882"/>
    <cellStyle name="20% - Accent4 4 3 3 10" xfId="15834"/>
    <cellStyle name="20% - Accent4 4 3 3 2" xfId="883"/>
    <cellStyle name="20% - Accent4 4 3 3 2 2" xfId="884"/>
    <cellStyle name="20% - Accent4 4 3 3 2 2 2" xfId="15835"/>
    <cellStyle name="20% - Accent4 4 3 3 2 2 2 2" xfId="15836"/>
    <cellStyle name="20% - Accent4 4 3 3 2 2 2 3" xfId="15837"/>
    <cellStyle name="20% - Accent4 4 3 3 2 2 3" xfId="15838"/>
    <cellStyle name="20% - Accent4 4 3 3 2 2 3 2" xfId="15839"/>
    <cellStyle name="20% - Accent4 4 3 3 2 2 3 3" xfId="15840"/>
    <cellStyle name="20% - Accent4 4 3 3 2 2 4" xfId="15841"/>
    <cellStyle name="20% - Accent4 4 3 3 2 2 4 2" xfId="15842"/>
    <cellStyle name="20% - Accent4 4 3 3 2 2 5" xfId="15843"/>
    <cellStyle name="20% - Accent4 4 3 3 2 2 6" xfId="15844"/>
    <cellStyle name="20% - Accent4 4 3 3 2 3" xfId="8893"/>
    <cellStyle name="20% - Accent4 4 3 3 2 3 2" xfId="15845"/>
    <cellStyle name="20% - Accent4 4 3 3 2 3 2 2" xfId="15846"/>
    <cellStyle name="20% - Accent4 4 3 3 2 3 2 3" xfId="15847"/>
    <cellStyle name="20% - Accent4 4 3 3 2 3 3" xfId="15848"/>
    <cellStyle name="20% - Accent4 4 3 3 2 3 3 2" xfId="15849"/>
    <cellStyle name="20% - Accent4 4 3 3 2 3 3 3" xfId="15850"/>
    <cellStyle name="20% - Accent4 4 3 3 2 3 4" xfId="15851"/>
    <cellStyle name="20% - Accent4 4 3 3 2 3 4 2" xfId="15852"/>
    <cellStyle name="20% - Accent4 4 3 3 2 3 5" xfId="15853"/>
    <cellStyle name="20% - Accent4 4 3 3 2 3 6" xfId="15854"/>
    <cellStyle name="20% - Accent4 4 3 3 2 4" xfId="15855"/>
    <cellStyle name="20% - Accent4 4 3 3 2 4 2" xfId="15856"/>
    <cellStyle name="20% - Accent4 4 3 3 2 4 2 2" xfId="15857"/>
    <cellStyle name="20% - Accent4 4 3 3 2 4 2 3" xfId="15858"/>
    <cellStyle name="20% - Accent4 4 3 3 2 4 3" xfId="15859"/>
    <cellStyle name="20% - Accent4 4 3 3 2 4 3 2" xfId="15860"/>
    <cellStyle name="20% - Accent4 4 3 3 2 4 4" xfId="15861"/>
    <cellStyle name="20% - Accent4 4 3 3 2 4 5" xfId="15862"/>
    <cellStyle name="20% - Accent4 4 3 3 2 5" xfId="15863"/>
    <cellStyle name="20% - Accent4 4 3 3 2 5 2" xfId="15864"/>
    <cellStyle name="20% - Accent4 4 3 3 2 5 3" xfId="15865"/>
    <cellStyle name="20% - Accent4 4 3 3 2 6" xfId="15866"/>
    <cellStyle name="20% - Accent4 4 3 3 2 6 2" xfId="15867"/>
    <cellStyle name="20% - Accent4 4 3 3 2 6 3" xfId="15868"/>
    <cellStyle name="20% - Accent4 4 3 3 2 7" xfId="15869"/>
    <cellStyle name="20% - Accent4 4 3 3 2 7 2" xfId="15870"/>
    <cellStyle name="20% - Accent4 4 3 3 2 8" xfId="15871"/>
    <cellStyle name="20% - Accent4 4 3 3 2 9" xfId="15872"/>
    <cellStyle name="20% - Accent4 4 3 3 3" xfId="885"/>
    <cellStyle name="20% - Accent4 4 3 3 3 2" xfId="15873"/>
    <cellStyle name="20% - Accent4 4 3 3 3 2 2" xfId="15874"/>
    <cellStyle name="20% - Accent4 4 3 3 3 2 3" xfId="15875"/>
    <cellStyle name="20% - Accent4 4 3 3 3 3" xfId="15876"/>
    <cellStyle name="20% - Accent4 4 3 3 3 3 2" xfId="15877"/>
    <cellStyle name="20% - Accent4 4 3 3 3 3 3" xfId="15878"/>
    <cellStyle name="20% - Accent4 4 3 3 3 4" xfId="15879"/>
    <cellStyle name="20% - Accent4 4 3 3 3 4 2" xfId="15880"/>
    <cellStyle name="20% - Accent4 4 3 3 3 5" xfId="15881"/>
    <cellStyle name="20% - Accent4 4 3 3 3 6" xfId="15882"/>
    <cellStyle name="20% - Accent4 4 3 3 4" xfId="886"/>
    <cellStyle name="20% - Accent4 4 3 3 4 2" xfId="15883"/>
    <cellStyle name="20% - Accent4 4 3 3 4 2 2" xfId="15884"/>
    <cellStyle name="20% - Accent4 4 3 3 4 2 3" xfId="15885"/>
    <cellStyle name="20% - Accent4 4 3 3 4 3" xfId="15886"/>
    <cellStyle name="20% - Accent4 4 3 3 4 3 2" xfId="15887"/>
    <cellStyle name="20% - Accent4 4 3 3 4 3 3" xfId="15888"/>
    <cellStyle name="20% - Accent4 4 3 3 4 4" xfId="15889"/>
    <cellStyle name="20% - Accent4 4 3 3 4 4 2" xfId="15890"/>
    <cellStyle name="20% - Accent4 4 3 3 4 5" xfId="15891"/>
    <cellStyle name="20% - Accent4 4 3 3 4 6" xfId="15892"/>
    <cellStyle name="20% - Accent4 4 3 3 5" xfId="8894"/>
    <cellStyle name="20% - Accent4 4 3 3 5 2" xfId="15893"/>
    <cellStyle name="20% - Accent4 4 3 3 5 2 2" xfId="15894"/>
    <cellStyle name="20% - Accent4 4 3 3 5 2 3" xfId="15895"/>
    <cellStyle name="20% - Accent4 4 3 3 5 3" xfId="15896"/>
    <cellStyle name="20% - Accent4 4 3 3 5 3 2" xfId="15897"/>
    <cellStyle name="20% - Accent4 4 3 3 5 4" xfId="15898"/>
    <cellStyle name="20% - Accent4 4 3 3 5 5" xfId="15899"/>
    <cellStyle name="20% - Accent4 4 3 3 6" xfId="15900"/>
    <cellStyle name="20% - Accent4 4 3 3 6 2" xfId="15901"/>
    <cellStyle name="20% - Accent4 4 3 3 6 3" xfId="15902"/>
    <cellStyle name="20% - Accent4 4 3 3 7" xfId="15903"/>
    <cellStyle name="20% - Accent4 4 3 3 7 2" xfId="15904"/>
    <cellStyle name="20% - Accent4 4 3 3 7 3" xfId="15905"/>
    <cellStyle name="20% - Accent4 4 3 3 8" xfId="15906"/>
    <cellStyle name="20% - Accent4 4 3 3 8 2" xfId="15907"/>
    <cellStyle name="20% - Accent4 4 3 3 9" xfId="15908"/>
    <cellStyle name="20% - Accent4 4 3 4" xfId="887"/>
    <cellStyle name="20% - Accent4 4 3 4 2" xfId="888"/>
    <cellStyle name="20% - Accent4 4 3 4 2 2" xfId="15909"/>
    <cellStyle name="20% - Accent4 4 3 4 2 2 2" xfId="15910"/>
    <cellStyle name="20% - Accent4 4 3 4 2 2 3" xfId="15911"/>
    <cellStyle name="20% - Accent4 4 3 4 2 3" xfId="15912"/>
    <cellStyle name="20% - Accent4 4 3 4 2 3 2" xfId="15913"/>
    <cellStyle name="20% - Accent4 4 3 4 2 3 3" xfId="15914"/>
    <cellStyle name="20% - Accent4 4 3 4 2 4" xfId="15915"/>
    <cellStyle name="20% - Accent4 4 3 4 2 4 2" xfId="15916"/>
    <cellStyle name="20% - Accent4 4 3 4 2 5" xfId="15917"/>
    <cellStyle name="20% - Accent4 4 3 4 2 6" xfId="15918"/>
    <cellStyle name="20% - Accent4 4 3 4 3" xfId="8895"/>
    <cellStyle name="20% - Accent4 4 3 4 3 2" xfId="15919"/>
    <cellStyle name="20% - Accent4 4 3 4 3 2 2" xfId="15920"/>
    <cellStyle name="20% - Accent4 4 3 4 3 2 3" xfId="15921"/>
    <cellStyle name="20% - Accent4 4 3 4 3 3" xfId="15922"/>
    <cellStyle name="20% - Accent4 4 3 4 3 3 2" xfId="15923"/>
    <cellStyle name="20% - Accent4 4 3 4 3 3 3" xfId="15924"/>
    <cellStyle name="20% - Accent4 4 3 4 3 4" xfId="15925"/>
    <cellStyle name="20% - Accent4 4 3 4 3 4 2" xfId="15926"/>
    <cellStyle name="20% - Accent4 4 3 4 3 5" xfId="15927"/>
    <cellStyle name="20% - Accent4 4 3 4 3 6" xfId="15928"/>
    <cellStyle name="20% - Accent4 4 3 4 4" xfId="15929"/>
    <cellStyle name="20% - Accent4 4 3 4 4 2" xfId="15930"/>
    <cellStyle name="20% - Accent4 4 3 4 4 2 2" xfId="15931"/>
    <cellStyle name="20% - Accent4 4 3 4 4 2 3" xfId="15932"/>
    <cellStyle name="20% - Accent4 4 3 4 4 3" xfId="15933"/>
    <cellStyle name="20% - Accent4 4 3 4 4 3 2" xfId="15934"/>
    <cellStyle name="20% - Accent4 4 3 4 4 4" xfId="15935"/>
    <cellStyle name="20% - Accent4 4 3 4 4 5" xfId="15936"/>
    <cellStyle name="20% - Accent4 4 3 4 5" xfId="15937"/>
    <cellStyle name="20% - Accent4 4 3 4 5 2" xfId="15938"/>
    <cellStyle name="20% - Accent4 4 3 4 5 3" xfId="15939"/>
    <cellStyle name="20% - Accent4 4 3 4 6" xfId="15940"/>
    <cellStyle name="20% - Accent4 4 3 4 6 2" xfId="15941"/>
    <cellStyle name="20% - Accent4 4 3 4 6 3" xfId="15942"/>
    <cellStyle name="20% - Accent4 4 3 4 7" xfId="15943"/>
    <cellStyle name="20% - Accent4 4 3 4 7 2" xfId="15944"/>
    <cellStyle name="20% - Accent4 4 3 4 8" xfId="15945"/>
    <cellStyle name="20% - Accent4 4 3 4 9" xfId="15946"/>
    <cellStyle name="20% - Accent4 4 3 5" xfId="889"/>
    <cellStyle name="20% - Accent4 4 3 5 2" xfId="15947"/>
    <cellStyle name="20% - Accent4 4 3 5 2 2" xfId="15948"/>
    <cellStyle name="20% - Accent4 4 3 5 2 2 2" xfId="15949"/>
    <cellStyle name="20% - Accent4 4 3 5 2 2 3" xfId="15950"/>
    <cellStyle name="20% - Accent4 4 3 5 2 3" xfId="15951"/>
    <cellStyle name="20% - Accent4 4 3 5 2 3 2" xfId="15952"/>
    <cellStyle name="20% - Accent4 4 3 5 2 3 3" xfId="15953"/>
    <cellStyle name="20% - Accent4 4 3 5 2 4" xfId="15954"/>
    <cellStyle name="20% - Accent4 4 3 5 2 4 2" xfId="15955"/>
    <cellStyle name="20% - Accent4 4 3 5 2 5" xfId="15956"/>
    <cellStyle name="20% - Accent4 4 3 5 2 6" xfId="15957"/>
    <cellStyle name="20% - Accent4 4 3 5 3" xfId="15958"/>
    <cellStyle name="20% - Accent4 4 3 5 3 2" xfId="15959"/>
    <cellStyle name="20% - Accent4 4 3 5 3 2 2" xfId="15960"/>
    <cellStyle name="20% - Accent4 4 3 5 3 2 3" xfId="15961"/>
    <cellStyle name="20% - Accent4 4 3 5 3 3" xfId="15962"/>
    <cellStyle name="20% - Accent4 4 3 5 3 3 2" xfId="15963"/>
    <cellStyle name="20% - Accent4 4 3 5 3 3 3" xfId="15964"/>
    <cellStyle name="20% - Accent4 4 3 5 3 4" xfId="15965"/>
    <cellStyle name="20% - Accent4 4 3 5 3 4 2" xfId="15966"/>
    <cellStyle name="20% - Accent4 4 3 5 3 5" xfId="15967"/>
    <cellStyle name="20% - Accent4 4 3 5 3 6" xfId="15968"/>
    <cellStyle name="20% - Accent4 4 3 5 4" xfId="15969"/>
    <cellStyle name="20% - Accent4 4 3 5 4 2" xfId="15970"/>
    <cellStyle name="20% - Accent4 4 3 5 4 2 2" xfId="15971"/>
    <cellStyle name="20% - Accent4 4 3 5 4 2 3" xfId="15972"/>
    <cellStyle name="20% - Accent4 4 3 5 4 3" xfId="15973"/>
    <cellStyle name="20% - Accent4 4 3 5 4 3 2" xfId="15974"/>
    <cellStyle name="20% - Accent4 4 3 5 4 4" xfId="15975"/>
    <cellStyle name="20% - Accent4 4 3 5 4 5" xfId="15976"/>
    <cellStyle name="20% - Accent4 4 3 5 5" xfId="15977"/>
    <cellStyle name="20% - Accent4 4 3 5 5 2" xfId="15978"/>
    <cellStyle name="20% - Accent4 4 3 5 5 3" xfId="15979"/>
    <cellStyle name="20% - Accent4 4 3 5 6" xfId="15980"/>
    <cellStyle name="20% - Accent4 4 3 5 6 2" xfId="15981"/>
    <cellStyle name="20% - Accent4 4 3 5 6 3" xfId="15982"/>
    <cellStyle name="20% - Accent4 4 3 5 7" xfId="15983"/>
    <cellStyle name="20% - Accent4 4 3 5 7 2" xfId="15984"/>
    <cellStyle name="20% - Accent4 4 3 5 8" xfId="15985"/>
    <cellStyle name="20% - Accent4 4 3 5 9" xfId="15986"/>
    <cellStyle name="20% - Accent4 4 3 6" xfId="890"/>
    <cellStyle name="20% - Accent4 4 3 6 2" xfId="15987"/>
    <cellStyle name="20% - Accent4 4 3 6 2 2" xfId="15988"/>
    <cellStyle name="20% - Accent4 4 3 6 2 3" xfId="15989"/>
    <cellStyle name="20% - Accent4 4 3 6 3" xfId="15990"/>
    <cellStyle name="20% - Accent4 4 3 6 3 2" xfId="15991"/>
    <cellStyle name="20% - Accent4 4 3 6 3 3" xfId="15992"/>
    <cellStyle name="20% - Accent4 4 3 6 4" xfId="15993"/>
    <cellStyle name="20% - Accent4 4 3 6 4 2" xfId="15994"/>
    <cellStyle name="20% - Accent4 4 3 6 5" xfId="15995"/>
    <cellStyle name="20% - Accent4 4 3 6 6" xfId="15996"/>
    <cellStyle name="20% - Accent4 4 3 7" xfId="8896"/>
    <cellStyle name="20% - Accent4 4 3 7 2" xfId="15997"/>
    <cellStyle name="20% - Accent4 4 3 7 2 2" xfId="15998"/>
    <cellStyle name="20% - Accent4 4 3 7 2 3" xfId="15999"/>
    <cellStyle name="20% - Accent4 4 3 7 3" xfId="16000"/>
    <cellStyle name="20% - Accent4 4 3 7 3 2" xfId="16001"/>
    <cellStyle name="20% - Accent4 4 3 7 3 3" xfId="16002"/>
    <cellStyle name="20% - Accent4 4 3 7 4" xfId="16003"/>
    <cellStyle name="20% - Accent4 4 3 7 4 2" xfId="16004"/>
    <cellStyle name="20% - Accent4 4 3 7 5" xfId="16005"/>
    <cellStyle name="20% - Accent4 4 3 7 6" xfId="16006"/>
    <cellStyle name="20% - Accent4 4 3 8" xfId="16007"/>
    <cellStyle name="20% - Accent4 4 3 8 2" xfId="16008"/>
    <cellStyle name="20% - Accent4 4 3 8 2 2" xfId="16009"/>
    <cellStyle name="20% - Accent4 4 3 8 2 3" xfId="16010"/>
    <cellStyle name="20% - Accent4 4 3 8 3" xfId="16011"/>
    <cellStyle name="20% - Accent4 4 3 8 3 2" xfId="16012"/>
    <cellStyle name="20% - Accent4 4 3 8 4" xfId="16013"/>
    <cellStyle name="20% - Accent4 4 3 8 5" xfId="16014"/>
    <cellStyle name="20% - Accent4 4 3 9" xfId="16015"/>
    <cellStyle name="20% - Accent4 4 3 9 2" xfId="16016"/>
    <cellStyle name="20% - Accent4 4 3 9 3" xfId="16017"/>
    <cellStyle name="20% - Accent4 4 4" xfId="891"/>
    <cellStyle name="20% - Accent4 4 4 10" xfId="16018"/>
    <cellStyle name="20% - Accent4 4 4 10 2" xfId="16019"/>
    <cellStyle name="20% - Accent4 4 4 11" xfId="16020"/>
    <cellStyle name="20% - Accent4 4 4 12" xfId="16021"/>
    <cellStyle name="20% - Accent4 4 4 2" xfId="892"/>
    <cellStyle name="20% - Accent4 4 4 2 10" xfId="16022"/>
    <cellStyle name="20% - Accent4 4 4 2 2" xfId="893"/>
    <cellStyle name="20% - Accent4 4 4 2 2 2" xfId="894"/>
    <cellStyle name="20% - Accent4 4 4 2 2 2 2" xfId="8897"/>
    <cellStyle name="20% - Accent4 4 4 2 2 2 2 2" xfId="16023"/>
    <cellStyle name="20% - Accent4 4 4 2 2 2 2 3" xfId="16024"/>
    <cellStyle name="20% - Accent4 4 4 2 2 2 3" xfId="16025"/>
    <cellStyle name="20% - Accent4 4 4 2 2 2 3 2" xfId="16026"/>
    <cellStyle name="20% - Accent4 4 4 2 2 2 3 3" xfId="16027"/>
    <cellStyle name="20% - Accent4 4 4 2 2 2 4" xfId="16028"/>
    <cellStyle name="20% - Accent4 4 4 2 2 2 4 2" xfId="16029"/>
    <cellStyle name="20% - Accent4 4 4 2 2 2 5" xfId="16030"/>
    <cellStyle name="20% - Accent4 4 4 2 2 2 6" xfId="16031"/>
    <cellStyle name="20% - Accent4 4 4 2 2 3" xfId="895"/>
    <cellStyle name="20% - Accent4 4 4 2 2 3 2" xfId="16032"/>
    <cellStyle name="20% - Accent4 4 4 2 2 3 2 2" xfId="16033"/>
    <cellStyle name="20% - Accent4 4 4 2 2 3 2 3" xfId="16034"/>
    <cellStyle name="20% - Accent4 4 4 2 2 3 3" xfId="16035"/>
    <cellStyle name="20% - Accent4 4 4 2 2 3 3 2" xfId="16036"/>
    <cellStyle name="20% - Accent4 4 4 2 2 3 3 3" xfId="16037"/>
    <cellStyle name="20% - Accent4 4 4 2 2 3 4" xfId="16038"/>
    <cellStyle name="20% - Accent4 4 4 2 2 3 4 2" xfId="16039"/>
    <cellStyle name="20% - Accent4 4 4 2 2 3 5" xfId="16040"/>
    <cellStyle name="20% - Accent4 4 4 2 2 3 6" xfId="16041"/>
    <cellStyle name="20% - Accent4 4 4 2 2 4" xfId="8898"/>
    <cellStyle name="20% - Accent4 4 4 2 2 4 2" xfId="16042"/>
    <cellStyle name="20% - Accent4 4 4 2 2 4 2 2" xfId="16043"/>
    <cellStyle name="20% - Accent4 4 4 2 2 4 2 3" xfId="16044"/>
    <cellStyle name="20% - Accent4 4 4 2 2 4 3" xfId="16045"/>
    <cellStyle name="20% - Accent4 4 4 2 2 4 3 2" xfId="16046"/>
    <cellStyle name="20% - Accent4 4 4 2 2 4 4" xfId="16047"/>
    <cellStyle name="20% - Accent4 4 4 2 2 4 5" xfId="16048"/>
    <cellStyle name="20% - Accent4 4 4 2 2 5" xfId="16049"/>
    <cellStyle name="20% - Accent4 4 4 2 2 5 2" xfId="16050"/>
    <cellStyle name="20% - Accent4 4 4 2 2 5 3" xfId="16051"/>
    <cellStyle name="20% - Accent4 4 4 2 2 6" xfId="16052"/>
    <cellStyle name="20% - Accent4 4 4 2 2 6 2" xfId="16053"/>
    <cellStyle name="20% - Accent4 4 4 2 2 6 3" xfId="16054"/>
    <cellStyle name="20% - Accent4 4 4 2 2 7" xfId="16055"/>
    <cellStyle name="20% - Accent4 4 4 2 2 7 2" xfId="16056"/>
    <cellStyle name="20% - Accent4 4 4 2 2 8" xfId="16057"/>
    <cellStyle name="20% - Accent4 4 4 2 2 9" xfId="16058"/>
    <cellStyle name="20% - Accent4 4 4 2 3" xfId="896"/>
    <cellStyle name="20% - Accent4 4 4 2 3 2" xfId="8899"/>
    <cellStyle name="20% - Accent4 4 4 2 3 2 2" xfId="16059"/>
    <cellStyle name="20% - Accent4 4 4 2 3 2 3" xfId="16060"/>
    <cellStyle name="20% - Accent4 4 4 2 3 3" xfId="16061"/>
    <cellStyle name="20% - Accent4 4 4 2 3 3 2" xfId="16062"/>
    <cellStyle name="20% - Accent4 4 4 2 3 3 3" xfId="16063"/>
    <cellStyle name="20% - Accent4 4 4 2 3 4" xfId="16064"/>
    <cellStyle name="20% - Accent4 4 4 2 3 4 2" xfId="16065"/>
    <cellStyle name="20% - Accent4 4 4 2 3 5" xfId="16066"/>
    <cellStyle name="20% - Accent4 4 4 2 3 6" xfId="16067"/>
    <cellStyle name="20% - Accent4 4 4 2 4" xfId="897"/>
    <cellStyle name="20% - Accent4 4 4 2 4 2" xfId="16068"/>
    <cellStyle name="20% - Accent4 4 4 2 4 2 2" xfId="16069"/>
    <cellStyle name="20% - Accent4 4 4 2 4 2 3" xfId="16070"/>
    <cellStyle name="20% - Accent4 4 4 2 4 3" xfId="16071"/>
    <cellStyle name="20% - Accent4 4 4 2 4 3 2" xfId="16072"/>
    <cellStyle name="20% - Accent4 4 4 2 4 3 3" xfId="16073"/>
    <cellStyle name="20% - Accent4 4 4 2 4 4" xfId="16074"/>
    <cellStyle name="20% - Accent4 4 4 2 4 4 2" xfId="16075"/>
    <cellStyle name="20% - Accent4 4 4 2 4 5" xfId="16076"/>
    <cellStyle name="20% - Accent4 4 4 2 4 6" xfId="16077"/>
    <cellStyle name="20% - Accent4 4 4 2 5" xfId="8900"/>
    <cellStyle name="20% - Accent4 4 4 2 5 2" xfId="16078"/>
    <cellStyle name="20% - Accent4 4 4 2 5 2 2" xfId="16079"/>
    <cellStyle name="20% - Accent4 4 4 2 5 2 3" xfId="16080"/>
    <cellStyle name="20% - Accent4 4 4 2 5 3" xfId="16081"/>
    <cellStyle name="20% - Accent4 4 4 2 5 3 2" xfId="16082"/>
    <cellStyle name="20% - Accent4 4 4 2 5 4" xfId="16083"/>
    <cellStyle name="20% - Accent4 4 4 2 5 5" xfId="16084"/>
    <cellStyle name="20% - Accent4 4 4 2 6" xfId="16085"/>
    <cellStyle name="20% - Accent4 4 4 2 6 2" xfId="16086"/>
    <cellStyle name="20% - Accent4 4 4 2 6 3" xfId="16087"/>
    <cellStyle name="20% - Accent4 4 4 2 7" xfId="16088"/>
    <cellStyle name="20% - Accent4 4 4 2 7 2" xfId="16089"/>
    <cellStyle name="20% - Accent4 4 4 2 7 3" xfId="16090"/>
    <cellStyle name="20% - Accent4 4 4 2 8" xfId="16091"/>
    <cellStyle name="20% - Accent4 4 4 2 8 2" xfId="16092"/>
    <cellStyle name="20% - Accent4 4 4 2 9" xfId="16093"/>
    <cellStyle name="20% - Accent4 4 4 3" xfId="898"/>
    <cellStyle name="20% - Accent4 4 4 3 2" xfId="899"/>
    <cellStyle name="20% - Accent4 4 4 3 2 2" xfId="8901"/>
    <cellStyle name="20% - Accent4 4 4 3 2 2 2" xfId="16094"/>
    <cellStyle name="20% - Accent4 4 4 3 2 2 3" xfId="16095"/>
    <cellStyle name="20% - Accent4 4 4 3 2 3" xfId="16096"/>
    <cellStyle name="20% - Accent4 4 4 3 2 3 2" xfId="16097"/>
    <cellStyle name="20% - Accent4 4 4 3 2 3 3" xfId="16098"/>
    <cellStyle name="20% - Accent4 4 4 3 2 4" xfId="16099"/>
    <cellStyle name="20% - Accent4 4 4 3 2 4 2" xfId="16100"/>
    <cellStyle name="20% - Accent4 4 4 3 2 5" xfId="16101"/>
    <cellStyle name="20% - Accent4 4 4 3 2 6" xfId="16102"/>
    <cellStyle name="20% - Accent4 4 4 3 3" xfId="900"/>
    <cellStyle name="20% - Accent4 4 4 3 3 2" xfId="16103"/>
    <cellStyle name="20% - Accent4 4 4 3 3 2 2" xfId="16104"/>
    <cellStyle name="20% - Accent4 4 4 3 3 2 3" xfId="16105"/>
    <cellStyle name="20% - Accent4 4 4 3 3 3" xfId="16106"/>
    <cellStyle name="20% - Accent4 4 4 3 3 3 2" xfId="16107"/>
    <cellStyle name="20% - Accent4 4 4 3 3 3 3" xfId="16108"/>
    <cellStyle name="20% - Accent4 4 4 3 3 4" xfId="16109"/>
    <cellStyle name="20% - Accent4 4 4 3 3 4 2" xfId="16110"/>
    <cellStyle name="20% - Accent4 4 4 3 3 5" xfId="16111"/>
    <cellStyle name="20% - Accent4 4 4 3 3 6" xfId="16112"/>
    <cellStyle name="20% - Accent4 4 4 3 4" xfId="8902"/>
    <cellStyle name="20% - Accent4 4 4 3 4 2" xfId="16113"/>
    <cellStyle name="20% - Accent4 4 4 3 4 2 2" xfId="16114"/>
    <cellStyle name="20% - Accent4 4 4 3 4 2 3" xfId="16115"/>
    <cellStyle name="20% - Accent4 4 4 3 4 3" xfId="16116"/>
    <cellStyle name="20% - Accent4 4 4 3 4 3 2" xfId="16117"/>
    <cellStyle name="20% - Accent4 4 4 3 4 4" xfId="16118"/>
    <cellStyle name="20% - Accent4 4 4 3 4 5" xfId="16119"/>
    <cellStyle name="20% - Accent4 4 4 3 5" xfId="16120"/>
    <cellStyle name="20% - Accent4 4 4 3 5 2" xfId="16121"/>
    <cellStyle name="20% - Accent4 4 4 3 5 3" xfId="16122"/>
    <cellStyle name="20% - Accent4 4 4 3 6" xfId="16123"/>
    <cellStyle name="20% - Accent4 4 4 3 6 2" xfId="16124"/>
    <cellStyle name="20% - Accent4 4 4 3 6 3" xfId="16125"/>
    <cellStyle name="20% - Accent4 4 4 3 7" xfId="16126"/>
    <cellStyle name="20% - Accent4 4 4 3 7 2" xfId="16127"/>
    <cellStyle name="20% - Accent4 4 4 3 8" xfId="16128"/>
    <cellStyle name="20% - Accent4 4 4 3 9" xfId="16129"/>
    <cellStyle name="20% - Accent4 4 4 4" xfId="901"/>
    <cellStyle name="20% - Accent4 4 4 4 2" xfId="8903"/>
    <cellStyle name="20% - Accent4 4 4 4 2 2" xfId="16130"/>
    <cellStyle name="20% - Accent4 4 4 4 2 2 2" xfId="16131"/>
    <cellStyle name="20% - Accent4 4 4 4 2 2 3" xfId="16132"/>
    <cellStyle name="20% - Accent4 4 4 4 2 3" xfId="16133"/>
    <cellStyle name="20% - Accent4 4 4 4 2 3 2" xfId="16134"/>
    <cellStyle name="20% - Accent4 4 4 4 2 3 3" xfId="16135"/>
    <cellStyle name="20% - Accent4 4 4 4 2 4" xfId="16136"/>
    <cellStyle name="20% - Accent4 4 4 4 2 4 2" xfId="16137"/>
    <cellStyle name="20% - Accent4 4 4 4 2 5" xfId="16138"/>
    <cellStyle name="20% - Accent4 4 4 4 2 6" xfId="16139"/>
    <cellStyle name="20% - Accent4 4 4 4 3" xfId="16140"/>
    <cellStyle name="20% - Accent4 4 4 4 3 2" xfId="16141"/>
    <cellStyle name="20% - Accent4 4 4 4 3 2 2" xfId="16142"/>
    <cellStyle name="20% - Accent4 4 4 4 3 2 3" xfId="16143"/>
    <cellStyle name="20% - Accent4 4 4 4 3 3" xfId="16144"/>
    <cellStyle name="20% - Accent4 4 4 4 3 3 2" xfId="16145"/>
    <cellStyle name="20% - Accent4 4 4 4 3 3 3" xfId="16146"/>
    <cellStyle name="20% - Accent4 4 4 4 3 4" xfId="16147"/>
    <cellStyle name="20% - Accent4 4 4 4 3 4 2" xfId="16148"/>
    <cellStyle name="20% - Accent4 4 4 4 3 5" xfId="16149"/>
    <cellStyle name="20% - Accent4 4 4 4 3 6" xfId="16150"/>
    <cellStyle name="20% - Accent4 4 4 4 4" xfId="16151"/>
    <cellStyle name="20% - Accent4 4 4 4 4 2" xfId="16152"/>
    <cellStyle name="20% - Accent4 4 4 4 4 2 2" xfId="16153"/>
    <cellStyle name="20% - Accent4 4 4 4 4 2 3" xfId="16154"/>
    <cellStyle name="20% - Accent4 4 4 4 4 3" xfId="16155"/>
    <cellStyle name="20% - Accent4 4 4 4 4 3 2" xfId="16156"/>
    <cellStyle name="20% - Accent4 4 4 4 4 4" xfId="16157"/>
    <cellStyle name="20% - Accent4 4 4 4 4 5" xfId="16158"/>
    <cellStyle name="20% - Accent4 4 4 4 5" xfId="16159"/>
    <cellStyle name="20% - Accent4 4 4 4 5 2" xfId="16160"/>
    <cellStyle name="20% - Accent4 4 4 4 5 3" xfId="16161"/>
    <cellStyle name="20% - Accent4 4 4 4 6" xfId="16162"/>
    <cellStyle name="20% - Accent4 4 4 4 6 2" xfId="16163"/>
    <cellStyle name="20% - Accent4 4 4 4 6 3" xfId="16164"/>
    <cellStyle name="20% - Accent4 4 4 4 7" xfId="16165"/>
    <cellStyle name="20% - Accent4 4 4 4 7 2" xfId="16166"/>
    <cellStyle name="20% - Accent4 4 4 4 8" xfId="16167"/>
    <cellStyle name="20% - Accent4 4 4 4 9" xfId="16168"/>
    <cellStyle name="20% - Accent4 4 4 5" xfId="902"/>
    <cellStyle name="20% - Accent4 4 4 5 2" xfId="16169"/>
    <cellStyle name="20% - Accent4 4 4 5 2 2" xfId="16170"/>
    <cellStyle name="20% - Accent4 4 4 5 2 3" xfId="16171"/>
    <cellStyle name="20% - Accent4 4 4 5 3" xfId="16172"/>
    <cellStyle name="20% - Accent4 4 4 5 3 2" xfId="16173"/>
    <cellStyle name="20% - Accent4 4 4 5 3 3" xfId="16174"/>
    <cellStyle name="20% - Accent4 4 4 5 4" xfId="16175"/>
    <cellStyle name="20% - Accent4 4 4 5 4 2" xfId="16176"/>
    <cellStyle name="20% - Accent4 4 4 5 5" xfId="16177"/>
    <cellStyle name="20% - Accent4 4 4 5 6" xfId="16178"/>
    <cellStyle name="20% - Accent4 4 4 6" xfId="8904"/>
    <cellStyle name="20% - Accent4 4 4 6 2" xfId="16179"/>
    <cellStyle name="20% - Accent4 4 4 6 2 2" xfId="16180"/>
    <cellStyle name="20% - Accent4 4 4 6 2 3" xfId="16181"/>
    <cellStyle name="20% - Accent4 4 4 6 3" xfId="16182"/>
    <cellStyle name="20% - Accent4 4 4 6 3 2" xfId="16183"/>
    <cellStyle name="20% - Accent4 4 4 6 3 3" xfId="16184"/>
    <cellStyle name="20% - Accent4 4 4 6 4" xfId="16185"/>
    <cellStyle name="20% - Accent4 4 4 6 4 2" xfId="16186"/>
    <cellStyle name="20% - Accent4 4 4 6 5" xfId="16187"/>
    <cellStyle name="20% - Accent4 4 4 6 6" xfId="16188"/>
    <cellStyle name="20% - Accent4 4 4 7" xfId="16189"/>
    <cellStyle name="20% - Accent4 4 4 7 2" xfId="16190"/>
    <cellStyle name="20% - Accent4 4 4 7 2 2" xfId="16191"/>
    <cellStyle name="20% - Accent4 4 4 7 2 3" xfId="16192"/>
    <cellStyle name="20% - Accent4 4 4 7 3" xfId="16193"/>
    <cellStyle name="20% - Accent4 4 4 7 3 2" xfId="16194"/>
    <cellStyle name="20% - Accent4 4 4 7 4" xfId="16195"/>
    <cellStyle name="20% - Accent4 4 4 7 5" xfId="16196"/>
    <cellStyle name="20% - Accent4 4 4 8" xfId="16197"/>
    <cellStyle name="20% - Accent4 4 4 8 2" xfId="16198"/>
    <cellStyle name="20% - Accent4 4 4 8 3" xfId="16199"/>
    <cellStyle name="20% - Accent4 4 4 9" xfId="16200"/>
    <cellStyle name="20% - Accent4 4 4 9 2" xfId="16201"/>
    <cellStyle name="20% - Accent4 4 4 9 3" xfId="16202"/>
    <cellStyle name="20% - Accent4 4 5" xfId="903"/>
    <cellStyle name="20% - Accent4 4 5 10" xfId="16203"/>
    <cellStyle name="20% - Accent4 4 5 2" xfId="904"/>
    <cellStyle name="20% - Accent4 4 5 2 2" xfId="905"/>
    <cellStyle name="20% - Accent4 4 5 2 2 2" xfId="8905"/>
    <cellStyle name="20% - Accent4 4 5 2 2 2 2" xfId="16204"/>
    <cellStyle name="20% - Accent4 4 5 2 2 2 3" xfId="16205"/>
    <cellStyle name="20% - Accent4 4 5 2 2 3" xfId="16206"/>
    <cellStyle name="20% - Accent4 4 5 2 2 3 2" xfId="16207"/>
    <cellStyle name="20% - Accent4 4 5 2 2 3 3" xfId="16208"/>
    <cellStyle name="20% - Accent4 4 5 2 2 4" xfId="16209"/>
    <cellStyle name="20% - Accent4 4 5 2 2 4 2" xfId="16210"/>
    <cellStyle name="20% - Accent4 4 5 2 2 5" xfId="16211"/>
    <cellStyle name="20% - Accent4 4 5 2 2 6" xfId="16212"/>
    <cellStyle name="20% - Accent4 4 5 2 3" xfId="906"/>
    <cellStyle name="20% - Accent4 4 5 2 3 2" xfId="16213"/>
    <cellStyle name="20% - Accent4 4 5 2 3 2 2" xfId="16214"/>
    <cellStyle name="20% - Accent4 4 5 2 3 2 3" xfId="16215"/>
    <cellStyle name="20% - Accent4 4 5 2 3 3" xfId="16216"/>
    <cellStyle name="20% - Accent4 4 5 2 3 3 2" xfId="16217"/>
    <cellStyle name="20% - Accent4 4 5 2 3 3 3" xfId="16218"/>
    <cellStyle name="20% - Accent4 4 5 2 3 4" xfId="16219"/>
    <cellStyle name="20% - Accent4 4 5 2 3 4 2" xfId="16220"/>
    <cellStyle name="20% - Accent4 4 5 2 3 5" xfId="16221"/>
    <cellStyle name="20% - Accent4 4 5 2 3 6" xfId="16222"/>
    <cellStyle name="20% - Accent4 4 5 2 4" xfId="8906"/>
    <cellStyle name="20% - Accent4 4 5 2 4 2" xfId="16223"/>
    <cellStyle name="20% - Accent4 4 5 2 4 2 2" xfId="16224"/>
    <cellStyle name="20% - Accent4 4 5 2 4 2 3" xfId="16225"/>
    <cellStyle name="20% - Accent4 4 5 2 4 3" xfId="16226"/>
    <cellStyle name="20% - Accent4 4 5 2 4 3 2" xfId="16227"/>
    <cellStyle name="20% - Accent4 4 5 2 4 4" xfId="16228"/>
    <cellStyle name="20% - Accent4 4 5 2 4 5" xfId="16229"/>
    <cellStyle name="20% - Accent4 4 5 2 5" xfId="16230"/>
    <cellStyle name="20% - Accent4 4 5 2 5 2" xfId="16231"/>
    <cellStyle name="20% - Accent4 4 5 2 5 3" xfId="16232"/>
    <cellStyle name="20% - Accent4 4 5 2 6" xfId="16233"/>
    <cellStyle name="20% - Accent4 4 5 2 6 2" xfId="16234"/>
    <cellStyle name="20% - Accent4 4 5 2 6 3" xfId="16235"/>
    <cellStyle name="20% - Accent4 4 5 2 7" xfId="16236"/>
    <cellStyle name="20% - Accent4 4 5 2 7 2" xfId="16237"/>
    <cellStyle name="20% - Accent4 4 5 2 8" xfId="16238"/>
    <cellStyle name="20% - Accent4 4 5 2 9" xfId="16239"/>
    <cellStyle name="20% - Accent4 4 5 3" xfId="907"/>
    <cellStyle name="20% - Accent4 4 5 3 2" xfId="8907"/>
    <cellStyle name="20% - Accent4 4 5 3 2 2" xfId="16240"/>
    <cellStyle name="20% - Accent4 4 5 3 2 3" xfId="16241"/>
    <cellStyle name="20% - Accent4 4 5 3 3" xfId="16242"/>
    <cellStyle name="20% - Accent4 4 5 3 3 2" xfId="16243"/>
    <cellStyle name="20% - Accent4 4 5 3 3 3" xfId="16244"/>
    <cellStyle name="20% - Accent4 4 5 3 4" xfId="16245"/>
    <cellStyle name="20% - Accent4 4 5 3 4 2" xfId="16246"/>
    <cellStyle name="20% - Accent4 4 5 3 5" xfId="16247"/>
    <cellStyle name="20% - Accent4 4 5 3 6" xfId="16248"/>
    <cellStyle name="20% - Accent4 4 5 4" xfId="908"/>
    <cellStyle name="20% - Accent4 4 5 4 2" xfId="16249"/>
    <cellStyle name="20% - Accent4 4 5 4 2 2" xfId="16250"/>
    <cellStyle name="20% - Accent4 4 5 4 2 3" xfId="16251"/>
    <cellStyle name="20% - Accent4 4 5 4 3" xfId="16252"/>
    <cellStyle name="20% - Accent4 4 5 4 3 2" xfId="16253"/>
    <cellStyle name="20% - Accent4 4 5 4 3 3" xfId="16254"/>
    <cellStyle name="20% - Accent4 4 5 4 4" xfId="16255"/>
    <cellStyle name="20% - Accent4 4 5 4 4 2" xfId="16256"/>
    <cellStyle name="20% - Accent4 4 5 4 5" xfId="16257"/>
    <cellStyle name="20% - Accent4 4 5 4 6" xfId="16258"/>
    <cellStyle name="20% - Accent4 4 5 5" xfId="8908"/>
    <cellStyle name="20% - Accent4 4 5 5 2" xfId="16259"/>
    <cellStyle name="20% - Accent4 4 5 5 2 2" xfId="16260"/>
    <cellStyle name="20% - Accent4 4 5 5 2 3" xfId="16261"/>
    <cellStyle name="20% - Accent4 4 5 5 3" xfId="16262"/>
    <cellStyle name="20% - Accent4 4 5 5 3 2" xfId="16263"/>
    <cellStyle name="20% - Accent4 4 5 5 4" xfId="16264"/>
    <cellStyle name="20% - Accent4 4 5 5 5" xfId="16265"/>
    <cellStyle name="20% - Accent4 4 5 6" xfId="16266"/>
    <cellStyle name="20% - Accent4 4 5 6 2" xfId="16267"/>
    <cellStyle name="20% - Accent4 4 5 6 3" xfId="16268"/>
    <cellStyle name="20% - Accent4 4 5 7" xfId="16269"/>
    <cellStyle name="20% - Accent4 4 5 7 2" xfId="16270"/>
    <cellStyle name="20% - Accent4 4 5 7 3" xfId="16271"/>
    <cellStyle name="20% - Accent4 4 5 8" xfId="16272"/>
    <cellStyle name="20% - Accent4 4 5 8 2" xfId="16273"/>
    <cellStyle name="20% - Accent4 4 5 9" xfId="16274"/>
    <cellStyle name="20% - Accent4 4 6" xfId="909"/>
    <cellStyle name="20% - Accent4 4 6 2" xfId="910"/>
    <cellStyle name="20% - Accent4 4 6 2 2" xfId="8909"/>
    <cellStyle name="20% - Accent4 4 6 2 2 2" xfId="16275"/>
    <cellStyle name="20% - Accent4 4 6 2 2 3" xfId="16276"/>
    <cellStyle name="20% - Accent4 4 6 2 3" xfId="16277"/>
    <cellStyle name="20% - Accent4 4 6 2 3 2" xfId="16278"/>
    <cellStyle name="20% - Accent4 4 6 2 3 3" xfId="16279"/>
    <cellStyle name="20% - Accent4 4 6 2 4" xfId="16280"/>
    <cellStyle name="20% - Accent4 4 6 2 4 2" xfId="16281"/>
    <cellStyle name="20% - Accent4 4 6 2 5" xfId="16282"/>
    <cellStyle name="20% - Accent4 4 6 2 6" xfId="16283"/>
    <cellStyle name="20% - Accent4 4 6 3" xfId="911"/>
    <cellStyle name="20% - Accent4 4 6 3 2" xfId="16284"/>
    <cellStyle name="20% - Accent4 4 6 3 2 2" xfId="16285"/>
    <cellStyle name="20% - Accent4 4 6 3 2 3" xfId="16286"/>
    <cellStyle name="20% - Accent4 4 6 3 3" xfId="16287"/>
    <cellStyle name="20% - Accent4 4 6 3 3 2" xfId="16288"/>
    <cellStyle name="20% - Accent4 4 6 3 3 3" xfId="16289"/>
    <cellStyle name="20% - Accent4 4 6 3 4" xfId="16290"/>
    <cellStyle name="20% - Accent4 4 6 3 4 2" xfId="16291"/>
    <cellStyle name="20% - Accent4 4 6 3 5" xfId="16292"/>
    <cellStyle name="20% - Accent4 4 6 3 6" xfId="16293"/>
    <cellStyle name="20% - Accent4 4 6 4" xfId="8910"/>
    <cellStyle name="20% - Accent4 4 6 4 2" xfId="16294"/>
    <cellStyle name="20% - Accent4 4 6 4 2 2" xfId="16295"/>
    <cellStyle name="20% - Accent4 4 6 4 2 3" xfId="16296"/>
    <cellStyle name="20% - Accent4 4 6 4 3" xfId="16297"/>
    <cellStyle name="20% - Accent4 4 6 4 3 2" xfId="16298"/>
    <cellStyle name="20% - Accent4 4 6 4 4" xfId="16299"/>
    <cellStyle name="20% - Accent4 4 6 4 5" xfId="16300"/>
    <cellStyle name="20% - Accent4 4 6 5" xfId="16301"/>
    <cellStyle name="20% - Accent4 4 6 5 2" xfId="16302"/>
    <cellStyle name="20% - Accent4 4 6 5 3" xfId="16303"/>
    <cellStyle name="20% - Accent4 4 6 6" xfId="16304"/>
    <cellStyle name="20% - Accent4 4 6 6 2" xfId="16305"/>
    <cellStyle name="20% - Accent4 4 6 6 3" xfId="16306"/>
    <cellStyle name="20% - Accent4 4 6 7" xfId="16307"/>
    <cellStyle name="20% - Accent4 4 6 7 2" xfId="16308"/>
    <cellStyle name="20% - Accent4 4 6 8" xfId="16309"/>
    <cellStyle name="20% - Accent4 4 6 9" xfId="16310"/>
    <cellStyle name="20% - Accent4 4 7" xfId="912"/>
    <cellStyle name="20% - Accent4 4 7 2" xfId="8911"/>
    <cellStyle name="20% - Accent4 4 7 2 2" xfId="16311"/>
    <cellStyle name="20% - Accent4 4 7 2 2 2" xfId="16312"/>
    <cellStyle name="20% - Accent4 4 7 2 2 3" xfId="16313"/>
    <cellStyle name="20% - Accent4 4 7 2 3" xfId="16314"/>
    <cellStyle name="20% - Accent4 4 7 2 3 2" xfId="16315"/>
    <cellStyle name="20% - Accent4 4 7 2 3 3" xfId="16316"/>
    <cellStyle name="20% - Accent4 4 7 2 4" xfId="16317"/>
    <cellStyle name="20% - Accent4 4 7 2 4 2" xfId="16318"/>
    <cellStyle name="20% - Accent4 4 7 2 5" xfId="16319"/>
    <cellStyle name="20% - Accent4 4 7 2 6" xfId="16320"/>
    <cellStyle name="20% - Accent4 4 7 3" xfId="16321"/>
    <cellStyle name="20% - Accent4 4 7 3 2" xfId="16322"/>
    <cellStyle name="20% - Accent4 4 7 3 2 2" xfId="16323"/>
    <cellStyle name="20% - Accent4 4 7 3 2 3" xfId="16324"/>
    <cellStyle name="20% - Accent4 4 7 3 3" xfId="16325"/>
    <cellStyle name="20% - Accent4 4 7 3 3 2" xfId="16326"/>
    <cellStyle name="20% - Accent4 4 7 3 3 3" xfId="16327"/>
    <cellStyle name="20% - Accent4 4 7 3 4" xfId="16328"/>
    <cellStyle name="20% - Accent4 4 7 3 4 2" xfId="16329"/>
    <cellStyle name="20% - Accent4 4 7 3 5" xfId="16330"/>
    <cellStyle name="20% - Accent4 4 7 3 6" xfId="16331"/>
    <cellStyle name="20% - Accent4 4 7 4" xfId="16332"/>
    <cellStyle name="20% - Accent4 4 7 4 2" xfId="16333"/>
    <cellStyle name="20% - Accent4 4 7 4 2 2" xfId="16334"/>
    <cellStyle name="20% - Accent4 4 7 4 2 3" xfId="16335"/>
    <cellStyle name="20% - Accent4 4 7 4 3" xfId="16336"/>
    <cellStyle name="20% - Accent4 4 7 4 3 2" xfId="16337"/>
    <cellStyle name="20% - Accent4 4 7 4 4" xfId="16338"/>
    <cellStyle name="20% - Accent4 4 7 4 5" xfId="16339"/>
    <cellStyle name="20% - Accent4 4 7 5" xfId="16340"/>
    <cellStyle name="20% - Accent4 4 7 5 2" xfId="16341"/>
    <cellStyle name="20% - Accent4 4 7 5 3" xfId="16342"/>
    <cellStyle name="20% - Accent4 4 7 6" xfId="16343"/>
    <cellStyle name="20% - Accent4 4 7 6 2" xfId="16344"/>
    <cellStyle name="20% - Accent4 4 7 6 3" xfId="16345"/>
    <cellStyle name="20% - Accent4 4 7 7" xfId="16346"/>
    <cellStyle name="20% - Accent4 4 7 7 2" xfId="16347"/>
    <cellStyle name="20% - Accent4 4 7 8" xfId="16348"/>
    <cellStyle name="20% - Accent4 4 7 9" xfId="16349"/>
    <cellStyle name="20% - Accent4 4 8" xfId="913"/>
    <cellStyle name="20% - Accent4 4 8 2" xfId="16350"/>
    <cellStyle name="20% - Accent4 4 8 2 2" xfId="16351"/>
    <cellStyle name="20% - Accent4 4 8 2 3" xfId="16352"/>
    <cellStyle name="20% - Accent4 4 8 3" xfId="16353"/>
    <cellStyle name="20% - Accent4 4 8 3 2" xfId="16354"/>
    <cellStyle name="20% - Accent4 4 8 3 3" xfId="16355"/>
    <cellStyle name="20% - Accent4 4 8 4" xfId="16356"/>
    <cellStyle name="20% - Accent4 4 8 4 2" xfId="16357"/>
    <cellStyle name="20% - Accent4 4 8 5" xfId="16358"/>
    <cellStyle name="20% - Accent4 4 8 6" xfId="16359"/>
    <cellStyle name="20% - Accent4 4 9" xfId="8912"/>
    <cellStyle name="20% - Accent4 4 9 2" xfId="16360"/>
    <cellStyle name="20% - Accent4 4 9 2 2" xfId="16361"/>
    <cellStyle name="20% - Accent4 4 9 2 3" xfId="16362"/>
    <cellStyle name="20% - Accent4 4 9 3" xfId="16363"/>
    <cellStyle name="20% - Accent4 4 9 3 2" xfId="16364"/>
    <cellStyle name="20% - Accent4 4 9 3 3" xfId="16365"/>
    <cellStyle name="20% - Accent4 4 9 4" xfId="16366"/>
    <cellStyle name="20% - Accent4 4 9 4 2" xfId="16367"/>
    <cellStyle name="20% - Accent4 4 9 5" xfId="16368"/>
    <cellStyle name="20% - Accent4 4 9 6" xfId="16369"/>
    <cellStyle name="20% - Accent4 5" xfId="914"/>
    <cellStyle name="20% - Accent4 5 2" xfId="915"/>
    <cellStyle name="20% - Accent4 5 2 2" xfId="916"/>
    <cellStyle name="20% - Accent4 5 2 2 2" xfId="917"/>
    <cellStyle name="20% - Accent4 5 2 2 2 2" xfId="918"/>
    <cellStyle name="20% - Accent4 5 2 2 2 2 2" xfId="919"/>
    <cellStyle name="20% - Accent4 5 2 2 2 3" xfId="920"/>
    <cellStyle name="20% - Accent4 5 2 2 3" xfId="921"/>
    <cellStyle name="20% - Accent4 5 2 2 3 2" xfId="922"/>
    <cellStyle name="20% - Accent4 5 2 2 4" xfId="923"/>
    <cellStyle name="20% - Accent4 5 2 3" xfId="924"/>
    <cellStyle name="20% - Accent4 5 2 3 2" xfId="925"/>
    <cellStyle name="20% - Accent4 5 2 3 2 2" xfId="926"/>
    <cellStyle name="20% - Accent4 5 2 3 3" xfId="927"/>
    <cellStyle name="20% - Accent4 5 2 4" xfId="928"/>
    <cellStyle name="20% - Accent4 5 2 4 2" xfId="929"/>
    <cellStyle name="20% - Accent4 5 2 5" xfId="930"/>
    <cellStyle name="20% - Accent4 5 2 6" xfId="57932"/>
    <cellStyle name="20% - Accent4 5 3" xfId="931"/>
    <cellStyle name="20% - Accent4 5 3 2" xfId="932"/>
    <cellStyle name="20% - Accent4 5 3 2 2" xfId="933"/>
    <cellStyle name="20% - Accent4 5 3 2 2 2" xfId="934"/>
    <cellStyle name="20% - Accent4 5 3 2 3" xfId="935"/>
    <cellStyle name="20% - Accent4 5 3 3" xfId="936"/>
    <cellStyle name="20% - Accent4 5 3 3 2" xfId="937"/>
    <cellStyle name="20% - Accent4 5 3 4" xfId="938"/>
    <cellStyle name="20% - Accent4 5 4" xfId="939"/>
    <cellStyle name="20% - Accent4 5 4 2" xfId="940"/>
    <cellStyle name="20% - Accent4 5 4 2 2" xfId="941"/>
    <cellStyle name="20% - Accent4 5 4 3" xfId="942"/>
    <cellStyle name="20% - Accent4 5 5" xfId="943"/>
    <cellStyle name="20% - Accent4 5 5 2" xfId="944"/>
    <cellStyle name="20% - Accent4 5 6" xfId="945"/>
    <cellStyle name="20% - Accent4 5 7" xfId="946"/>
    <cellStyle name="20% - Accent4 5 8" xfId="57933"/>
    <cellStyle name="20% - Accent4 6" xfId="947"/>
    <cellStyle name="20% - Accent4 6 2" xfId="948"/>
    <cellStyle name="20% - Accent4 6 2 2" xfId="949"/>
    <cellStyle name="20% - Accent4 6 2 2 2" xfId="950"/>
    <cellStyle name="20% - Accent4 6 2 2 2 2" xfId="951"/>
    <cellStyle name="20% - Accent4 6 2 2 2 3" xfId="8913"/>
    <cellStyle name="20% - Accent4 6 2 2 3" xfId="952"/>
    <cellStyle name="20% - Accent4 6 2 2 4" xfId="8914"/>
    <cellStyle name="20% - Accent4 6 2 3" xfId="953"/>
    <cellStyle name="20% - Accent4 6 2 3 2" xfId="954"/>
    <cellStyle name="20% - Accent4 6 2 3 3" xfId="8915"/>
    <cellStyle name="20% - Accent4 6 2 4" xfId="955"/>
    <cellStyle name="20% - Accent4 6 2 5" xfId="8916"/>
    <cellStyle name="20% - Accent4 6 3" xfId="956"/>
    <cellStyle name="20% - Accent4 6 3 2" xfId="957"/>
    <cellStyle name="20% - Accent4 6 3 2 2" xfId="958"/>
    <cellStyle name="20% - Accent4 6 3 2 3" xfId="8917"/>
    <cellStyle name="20% - Accent4 6 3 3" xfId="959"/>
    <cellStyle name="20% - Accent4 6 3 4" xfId="8918"/>
    <cellStyle name="20% - Accent4 6 4" xfId="960"/>
    <cellStyle name="20% - Accent4 6 4 2" xfId="961"/>
    <cellStyle name="20% - Accent4 6 4 3" xfId="8919"/>
    <cellStyle name="20% - Accent4 6 5" xfId="962"/>
    <cellStyle name="20% - Accent4 6 6" xfId="8920"/>
    <cellStyle name="20% - Accent4 7" xfId="963"/>
    <cellStyle name="20% - Accent4 7 2" xfId="964"/>
    <cellStyle name="20% - Accent4 7 2 2" xfId="965"/>
    <cellStyle name="20% - Accent4 7 2 2 2" xfId="966"/>
    <cellStyle name="20% - Accent4 7 2 3" xfId="967"/>
    <cellStyle name="20% - Accent4 7 3" xfId="968"/>
    <cellStyle name="20% - Accent4 7 3 2" xfId="969"/>
    <cellStyle name="20% - Accent4 7 4" xfId="970"/>
    <cellStyle name="20% - Accent4 7 5" xfId="8921"/>
    <cellStyle name="20% - Accent4 8" xfId="971"/>
    <cellStyle name="20% - Accent4 8 2" xfId="972"/>
    <cellStyle name="20% - Accent4 8 2 2" xfId="973"/>
    <cellStyle name="20% - Accent4 8 2 2 2" xfId="974"/>
    <cellStyle name="20% - Accent4 8 2 3" xfId="975"/>
    <cellStyle name="20% - Accent4 8 3" xfId="976"/>
    <cellStyle name="20% - Accent4 8 3 2" xfId="977"/>
    <cellStyle name="20% - Accent4 8 4" xfId="978"/>
    <cellStyle name="20% - Accent4 8 5" xfId="8922"/>
    <cellStyle name="20% - Accent4 9" xfId="979"/>
    <cellStyle name="20% - Accent4 9 2" xfId="980"/>
    <cellStyle name="20% - Accent4 9 2 2" xfId="981"/>
    <cellStyle name="20% - Accent4 9 2 2 2" xfId="982"/>
    <cellStyle name="20% - Accent4 9 2 3" xfId="983"/>
    <cellStyle name="20% - Accent4 9 3" xfId="984"/>
    <cellStyle name="20% - Accent4 9 3 2" xfId="985"/>
    <cellStyle name="20% - Accent4 9 4" xfId="986"/>
    <cellStyle name="20% - Accent4 9 5" xfId="57934"/>
    <cellStyle name="20% - Accent5 10" xfId="987"/>
    <cellStyle name="20% - Accent5 10 2" xfId="988"/>
    <cellStyle name="20% - Accent5 10 2 2" xfId="989"/>
    <cellStyle name="20% - Accent5 10 3" xfId="990"/>
    <cellStyle name="20% - Accent5 10 4" xfId="57935"/>
    <cellStyle name="20% - Accent5 11" xfId="991"/>
    <cellStyle name="20% - Accent5 11 2" xfId="992"/>
    <cellStyle name="20% - Accent5 11 2 2" xfId="993"/>
    <cellStyle name="20% - Accent5 11 3" xfId="994"/>
    <cellStyle name="20% - Accent5 11 4" xfId="57936"/>
    <cellStyle name="20% - Accent5 12" xfId="995"/>
    <cellStyle name="20% - Accent5 12 2" xfId="996"/>
    <cellStyle name="20% - Accent5 12 3" xfId="57937"/>
    <cellStyle name="20% - Accent5 13" xfId="997"/>
    <cellStyle name="20% - Accent5 13 2" xfId="57938"/>
    <cellStyle name="20% - Accent5 14" xfId="8923"/>
    <cellStyle name="20% - Accent5 15" xfId="9390"/>
    <cellStyle name="20% - Accent5 16" xfId="9391"/>
    <cellStyle name="20% - Accent5 17" xfId="9392"/>
    <cellStyle name="20% - Accent5 18" xfId="57939"/>
    <cellStyle name="20% - Accent5 19" xfId="57940"/>
    <cellStyle name="20% - Accent5 2" xfId="998"/>
    <cellStyle name="20% - Accent5 2 2" xfId="999"/>
    <cellStyle name="20% - Accent5 2 2 2" xfId="1000"/>
    <cellStyle name="20% - Accent5 2 2 2 2" xfId="1001"/>
    <cellStyle name="20% - Accent5 2 2 2 2 2" xfId="1002"/>
    <cellStyle name="20% - Accent5 2 2 2 2 2 2" xfId="1003"/>
    <cellStyle name="20% - Accent5 2 2 2 2 2 2 2" xfId="1004"/>
    <cellStyle name="20% - Accent5 2 2 2 2 2 3" xfId="1005"/>
    <cellStyle name="20% - Accent5 2 2 2 2 3" xfId="1006"/>
    <cellStyle name="20% - Accent5 2 2 2 2 3 2" xfId="1007"/>
    <cellStyle name="20% - Accent5 2 2 2 2 4" xfId="1008"/>
    <cellStyle name="20% - Accent5 2 2 2 2 5" xfId="57941"/>
    <cellStyle name="20% - Accent5 2 2 2 3" xfId="1009"/>
    <cellStyle name="20% - Accent5 2 2 2 3 2" xfId="1010"/>
    <cellStyle name="20% - Accent5 2 2 2 3 2 2" xfId="1011"/>
    <cellStyle name="20% - Accent5 2 2 2 3 3" xfId="1012"/>
    <cellStyle name="20% - Accent5 2 2 2 4" xfId="1013"/>
    <cellStyle name="20% - Accent5 2 2 2 4 2" xfId="1014"/>
    <cellStyle name="20% - Accent5 2 2 2 5" xfId="1015"/>
    <cellStyle name="20% - Accent5 2 2 2 6" xfId="57942"/>
    <cellStyle name="20% - Accent5 2 2 3" xfId="1016"/>
    <cellStyle name="20% - Accent5 2 2 3 2" xfId="1017"/>
    <cellStyle name="20% - Accent5 2 2 3 2 2" xfId="1018"/>
    <cellStyle name="20% - Accent5 2 2 3 2 2 2" xfId="1019"/>
    <cellStyle name="20% - Accent5 2 2 3 2 3" xfId="1020"/>
    <cellStyle name="20% - Accent5 2 2 3 3" xfId="1021"/>
    <cellStyle name="20% - Accent5 2 2 3 3 2" xfId="1022"/>
    <cellStyle name="20% - Accent5 2 2 3 4" xfId="1023"/>
    <cellStyle name="20% - Accent5 2 2 3 5" xfId="57943"/>
    <cellStyle name="20% - Accent5 2 2 4" xfId="1024"/>
    <cellStyle name="20% - Accent5 2 2 4 2" xfId="1025"/>
    <cellStyle name="20% - Accent5 2 2 4 2 2" xfId="1026"/>
    <cellStyle name="20% - Accent5 2 2 4 3" xfId="1027"/>
    <cellStyle name="20% - Accent5 2 2 5" xfId="1028"/>
    <cellStyle name="20% - Accent5 2 2 5 2" xfId="1029"/>
    <cellStyle name="20% - Accent5 2 2 6" xfId="1030"/>
    <cellStyle name="20% - Accent5 2 2 7" xfId="57944"/>
    <cellStyle name="20% - Accent5 2 3" xfId="1031"/>
    <cellStyle name="20% - Accent5 2 3 2" xfId="1032"/>
    <cellStyle name="20% - Accent5 2 3 2 2" xfId="1033"/>
    <cellStyle name="20% - Accent5 2 3 2 2 2" xfId="1034"/>
    <cellStyle name="20% - Accent5 2 3 2 2 2 2" xfId="1035"/>
    <cellStyle name="20% - Accent5 2 3 2 2 3" xfId="1036"/>
    <cellStyle name="20% - Accent5 2 3 2 3" xfId="1037"/>
    <cellStyle name="20% - Accent5 2 3 2 3 2" xfId="1038"/>
    <cellStyle name="20% - Accent5 2 3 2 4" xfId="1039"/>
    <cellStyle name="20% - Accent5 2 3 3" xfId="1040"/>
    <cellStyle name="20% - Accent5 2 3 3 2" xfId="1041"/>
    <cellStyle name="20% - Accent5 2 3 3 2 2" xfId="1042"/>
    <cellStyle name="20% - Accent5 2 3 3 3" xfId="1043"/>
    <cellStyle name="20% - Accent5 2 3 4" xfId="1044"/>
    <cellStyle name="20% - Accent5 2 3 4 2" xfId="1045"/>
    <cellStyle name="20% - Accent5 2 3 5" xfId="1046"/>
    <cellStyle name="20% - Accent5 2 3 6" xfId="57945"/>
    <cellStyle name="20% - Accent5 2 4" xfId="1047"/>
    <cellStyle name="20% - Accent5 2 4 2" xfId="1048"/>
    <cellStyle name="20% - Accent5 2 4 2 2" xfId="1049"/>
    <cellStyle name="20% - Accent5 2 4 2 2 2" xfId="1050"/>
    <cellStyle name="20% - Accent5 2 4 2 3" xfId="1051"/>
    <cellStyle name="20% - Accent5 2 4 3" xfId="1052"/>
    <cellStyle name="20% - Accent5 2 4 3 2" xfId="1053"/>
    <cellStyle name="20% - Accent5 2 4 4" xfId="1054"/>
    <cellStyle name="20% - Accent5 2 4 5" xfId="57946"/>
    <cellStyle name="20% - Accent5 2 5" xfId="1055"/>
    <cellStyle name="20% - Accent5 2 5 2" xfId="1056"/>
    <cellStyle name="20% - Accent5 2 5 2 2" xfId="1057"/>
    <cellStyle name="20% - Accent5 2 5 3" xfId="1058"/>
    <cellStyle name="20% - Accent5 2 5 4" xfId="57947"/>
    <cellStyle name="20% - Accent5 2 6" xfId="1059"/>
    <cellStyle name="20% - Accent5 2 6 2" xfId="1060"/>
    <cellStyle name="20% - Accent5 2 6 3" xfId="57948"/>
    <cellStyle name="20% - Accent5 2 7" xfId="1061"/>
    <cellStyle name="20% - Accent5 2 8" xfId="1062"/>
    <cellStyle name="20% - Accent5 2 9" xfId="57949"/>
    <cellStyle name="20% - Accent5 20" xfId="57950"/>
    <cellStyle name="20% - Accent5 21" xfId="57951"/>
    <cellStyle name="20% - Accent5 3" xfId="1063"/>
    <cellStyle name="20% - Accent5 3 2" xfId="1064"/>
    <cellStyle name="20% - Accent5 3 2 2" xfId="1065"/>
    <cellStyle name="20% - Accent5 3 2 2 2" xfId="1066"/>
    <cellStyle name="20% - Accent5 3 2 2 2 2" xfId="1067"/>
    <cellStyle name="20% - Accent5 3 2 2 2 2 2" xfId="1068"/>
    <cellStyle name="20% - Accent5 3 2 2 2 2 2 2" xfId="1069"/>
    <cellStyle name="20% - Accent5 3 2 2 2 2 3" xfId="1070"/>
    <cellStyle name="20% - Accent5 3 2 2 2 3" xfId="1071"/>
    <cellStyle name="20% - Accent5 3 2 2 2 3 2" xfId="1072"/>
    <cellStyle name="20% - Accent5 3 2 2 2 4" xfId="1073"/>
    <cellStyle name="20% - Accent5 3 2 2 2 5" xfId="8924"/>
    <cellStyle name="20% - Accent5 3 2 2 3" xfId="1074"/>
    <cellStyle name="20% - Accent5 3 2 2 3 2" xfId="1075"/>
    <cellStyle name="20% - Accent5 3 2 2 3 2 2" xfId="1076"/>
    <cellStyle name="20% - Accent5 3 2 2 3 3" xfId="1077"/>
    <cellStyle name="20% - Accent5 3 2 2 4" xfId="1078"/>
    <cellStyle name="20% - Accent5 3 2 2 4 2" xfId="1079"/>
    <cellStyle name="20% - Accent5 3 2 2 5" xfId="1080"/>
    <cellStyle name="20% - Accent5 3 2 2 6" xfId="8925"/>
    <cellStyle name="20% - Accent5 3 2 3" xfId="1081"/>
    <cellStyle name="20% - Accent5 3 2 3 2" xfId="1082"/>
    <cellStyle name="20% - Accent5 3 2 3 2 2" xfId="1083"/>
    <cellStyle name="20% - Accent5 3 2 3 2 2 2" xfId="1084"/>
    <cellStyle name="20% - Accent5 3 2 3 2 3" xfId="1085"/>
    <cellStyle name="20% - Accent5 3 2 3 3" xfId="1086"/>
    <cellStyle name="20% - Accent5 3 2 3 3 2" xfId="1087"/>
    <cellStyle name="20% - Accent5 3 2 3 4" xfId="1088"/>
    <cellStyle name="20% - Accent5 3 2 3 5" xfId="8926"/>
    <cellStyle name="20% - Accent5 3 2 4" xfId="1089"/>
    <cellStyle name="20% - Accent5 3 2 4 2" xfId="1090"/>
    <cellStyle name="20% - Accent5 3 2 4 2 2" xfId="1091"/>
    <cellStyle name="20% - Accent5 3 2 4 3" xfId="1092"/>
    <cellStyle name="20% - Accent5 3 2 5" xfId="1093"/>
    <cellStyle name="20% - Accent5 3 2 5 2" xfId="1094"/>
    <cellStyle name="20% - Accent5 3 2 6" xfId="1095"/>
    <cellStyle name="20% - Accent5 3 2 7" xfId="8927"/>
    <cellStyle name="20% - Accent5 3 3" xfId="1096"/>
    <cellStyle name="20% - Accent5 3 3 2" xfId="1097"/>
    <cellStyle name="20% - Accent5 3 3 2 2" xfId="1098"/>
    <cellStyle name="20% - Accent5 3 3 2 2 2" xfId="1099"/>
    <cellStyle name="20% - Accent5 3 3 2 2 2 2" xfId="1100"/>
    <cellStyle name="20% - Accent5 3 3 2 2 3" xfId="1101"/>
    <cellStyle name="20% - Accent5 3 3 2 3" xfId="1102"/>
    <cellStyle name="20% - Accent5 3 3 2 3 2" xfId="1103"/>
    <cellStyle name="20% - Accent5 3 3 2 4" xfId="1104"/>
    <cellStyle name="20% - Accent5 3 3 2 5" xfId="8928"/>
    <cellStyle name="20% - Accent5 3 3 3" xfId="1105"/>
    <cellStyle name="20% - Accent5 3 3 3 2" xfId="1106"/>
    <cellStyle name="20% - Accent5 3 3 3 2 2" xfId="1107"/>
    <cellStyle name="20% - Accent5 3 3 3 3" xfId="1108"/>
    <cellStyle name="20% - Accent5 3 3 4" xfId="1109"/>
    <cellStyle name="20% - Accent5 3 3 4 2" xfId="1110"/>
    <cellStyle name="20% - Accent5 3 3 5" xfId="1111"/>
    <cellStyle name="20% - Accent5 3 3 6" xfId="8929"/>
    <cellStyle name="20% - Accent5 3 4" xfId="1112"/>
    <cellStyle name="20% - Accent5 3 4 2" xfId="1113"/>
    <cellStyle name="20% - Accent5 3 4 2 2" xfId="1114"/>
    <cellStyle name="20% - Accent5 3 4 2 2 2" xfId="1115"/>
    <cellStyle name="20% - Accent5 3 4 2 3" xfId="1116"/>
    <cellStyle name="20% - Accent5 3 4 3" xfId="1117"/>
    <cellStyle name="20% - Accent5 3 4 3 2" xfId="1118"/>
    <cellStyle name="20% - Accent5 3 4 4" xfId="1119"/>
    <cellStyle name="20% - Accent5 3 4 5" xfId="8930"/>
    <cellStyle name="20% - Accent5 3 5" xfId="1120"/>
    <cellStyle name="20% - Accent5 3 5 2" xfId="1121"/>
    <cellStyle name="20% - Accent5 3 5 2 2" xfId="1122"/>
    <cellStyle name="20% - Accent5 3 5 3" xfId="1123"/>
    <cellStyle name="20% - Accent5 3 6" xfId="1124"/>
    <cellStyle name="20% - Accent5 3 6 2" xfId="1125"/>
    <cellStyle name="20% - Accent5 3 7" xfId="1126"/>
    <cellStyle name="20% - Accent5 3 8" xfId="1127"/>
    <cellStyle name="20% - Accent5 3 9" xfId="8931"/>
    <cellStyle name="20% - Accent5 4" xfId="1128"/>
    <cellStyle name="20% - Accent5 4 10" xfId="16370"/>
    <cellStyle name="20% - Accent5 4 10 2" xfId="16371"/>
    <cellStyle name="20% - Accent5 4 10 2 2" xfId="16372"/>
    <cellStyle name="20% - Accent5 4 10 2 3" xfId="16373"/>
    <cellStyle name="20% - Accent5 4 10 3" xfId="16374"/>
    <cellStyle name="20% - Accent5 4 10 3 2" xfId="16375"/>
    <cellStyle name="20% - Accent5 4 10 4" xfId="16376"/>
    <cellStyle name="20% - Accent5 4 10 5" xfId="16377"/>
    <cellStyle name="20% - Accent5 4 11" xfId="16378"/>
    <cellStyle name="20% - Accent5 4 11 2" xfId="16379"/>
    <cellStyle name="20% - Accent5 4 11 3" xfId="16380"/>
    <cellStyle name="20% - Accent5 4 12" xfId="16381"/>
    <cellStyle name="20% - Accent5 4 12 2" xfId="16382"/>
    <cellStyle name="20% - Accent5 4 12 3" xfId="16383"/>
    <cellStyle name="20% - Accent5 4 13" xfId="16384"/>
    <cellStyle name="20% - Accent5 4 13 2" xfId="16385"/>
    <cellStyle name="20% - Accent5 4 14" xfId="16386"/>
    <cellStyle name="20% - Accent5 4 15" xfId="16387"/>
    <cellStyle name="20% - Accent5 4 16" xfId="16388"/>
    <cellStyle name="20% - Accent5 4 2" xfId="1129"/>
    <cellStyle name="20% - Accent5 4 2 10" xfId="16389"/>
    <cellStyle name="20% - Accent5 4 2 10 2" xfId="16390"/>
    <cellStyle name="20% - Accent5 4 2 10 3" xfId="16391"/>
    <cellStyle name="20% - Accent5 4 2 11" xfId="16392"/>
    <cellStyle name="20% - Accent5 4 2 11 2" xfId="16393"/>
    <cellStyle name="20% - Accent5 4 2 11 3" xfId="16394"/>
    <cellStyle name="20% - Accent5 4 2 12" xfId="16395"/>
    <cellStyle name="20% - Accent5 4 2 12 2" xfId="16396"/>
    <cellStyle name="20% - Accent5 4 2 13" xfId="16397"/>
    <cellStyle name="20% - Accent5 4 2 14" xfId="16398"/>
    <cellStyle name="20% - Accent5 4 2 15" xfId="16399"/>
    <cellStyle name="20% - Accent5 4 2 2" xfId="1130"/>
    <cellStyle name="20% - Accent5 4 2 2 10" xfId="16400"/>
    <cellStyle name="20% - Accent5 4 2 2 10 2" xfId="16401"/>
    <cellStyle name="20% - Accent5 4 2 2 10 3" xfId="16402"/>
    <cellStyle name="20% - Accent5 4 2 2 11" xfId="16403"/>
    <cellStyle name="20% - Accent5 4 2 2 11 2" xfId="16404"/>
    <cellStyle name="20% - Accent5 4 2 2 12" xfId="16405"/>
    <cellStyle name="20% - Accent5 4 2 2 13" xfId="16406"/>
    <cellStyle name="20% - Accent5 4 2 2 2" xfId="1131"/>
    <cellStyle name="20% - Accent5 4 2 2 2 10" xfId="16407"/>
    <cellStyle name="20% - Accent5 4 2 2 2 10 2" xfId="16408"/>
    <cellStyle name="20% - Accent5 4 2 2 2 11" xfId="16409"/>
    <cellStyle name="20% - Accent5 4 2 2 2 12" xfId="16410"/>
    <cellStyle name="20% - Accent5 4 2 2 2 2" xfId="1132"/>
    <cellStyle name="20% - Accent5 4 2 2 2 2 10" xfId="16411"/>
    <cellStyle name="20% - Accent5 4 2 2 2 2 2" xfId="1133"/>
    <cellStyle name="20% - Accent5 4 2 2 2 2 2 2" xfId="16412"/>
    <cellStyle name="20% - Accent5 4 2 2 2 2 2 2 2" xfId="16413"/>
    <cellStyle name="20% - Accent5 4 2 2 2 2 2 2 2 2" xfId="16414"/>
    <cellStyle name="20% - Accent5 4 2 2 2 2 2 2 2 3" xfId="16415"/>
    <cellStyle name="20% - Accent5 4 2 2 2 2 2 2 3" xfId="16416"/>
    <cellStyle name="20% - Accent5 4 2 2 2 2 2 2 3 2" xfId="16417"/>
    <cellStyle name="20% - Accent5 4 2 2 2 2 2 2 3 3" xfId="16418"/>
    <cellStyle name="20% - Accent5 4 2 2 2 2 2 2 4" xfId="16419"/>
    <cellStyle name="20% - Accent5 4 2 2 2 2 2 2 4 2" xfId="16420"/>
    <cellStyle name="20% - Accent5 4 2 2 2 2 2 2 5" xfId="16421"/>
    <cellStyle name="20% - Accent5 4 2 2 2 2 2 2 6" xfId="16422"/>
    <cellStyle name="20% - Accent5 4 2 2 2 2 2 3" xfId="16423"/>
    <cellStyle name="20% - Accent5 4 2 2 2 2 2 3 2" xfId="16424"/>
    <cellStyle name="20% - Accent5 4 2 2 2 2 2 3 2 2" xfId="16425"/>
    <cellStyle name="20% - Accent5 4 2 2 2 2 2 3 2 3" xfId="16426"/>
    <cellStyle name="20% - Accent5 4 2 2 2 2 2 3 3" xfId="16427"/>
    <cellStyle name="20% - Accent5 4 2 2 2 2 2 3 3 2" xfId="16428"/>
    <cellStyle name="20% - Accent5 4 2 2 2 2 2 3 3 3" xfId="16429"/>
    <cellStyle name="20% - Accent5 4 2 2 2 2 2 3 4" xfId="16430"/>
    <cellStyle name="20% - Accent5 4 2 2 2 2 2 3 4 2" xfId="16431"/>
    <cellStyle name="20% - Accent5 4 2 2 2 2 2 3 5" xfId="16432"/>
    <cellStyle name="20% - Accent5 4 2 2 2 2 2 3 6" xfId="16433"/>
    <cellStyle name="20% - Accent5 4 2 2 2 2 2 4" xfId="16434"/>
    <cellStyle name="20% - Accent5 4 2 2 2 2 2 4 2" xfId="16435"/>
    <cellStyle name="20% - Accent5 4 2 2 2 2 2 4 2 2" xfId="16436"/>
    <cellStyle name="20% - Accent5 4 2 2 2 2 2 4 2 3" xfId="16437"/>
    <cellStyle name="20% - Accent5 4 2 2 2 2 2 4 3" xfId="16438"/>
    <cellStyle name="20% - Accent5 4 2 2 2 2 2 4 3 2" xfId="16439"/>
    <cellStyle name="20% - Accent5 4 2 2 2 2 2 4 4" xfId="16440"/>
    <cellStyle name="20% - Accent5 4 2 2 2 2 2 4 5" xfId="16441"/>
    <cellStyle name="20% - Accent5 4 2 2 2 2 2 5" xfId="16442"/>
    <cellStyle name="20% - Accent5 4 2 2 2 2 2 5 2" xfId="16443"/>
    <cellStyle name="20% - Accent5 4 2 2 2 2 2 5 3" xfId="16444"/>
    <cellStyle name="20% - Accent5 4 2 2 2 2 2 6" xfId="16445"/>
    <cellStyle name="20% - Accent5 4 2 2 2 2 2 6 2" xfId="16446"/>
    <cellStyle name="20% - Accent5 4 2 2 2 2 2 6 3" xfId="16447"/>
    <cellStyle name="20% - Accent5 4 2 2 2 2 2 7" xfId="16448"/>
    <cellStyle name="20% - Accent5 4 2 2 2 2 2 7 2" xfId="16449"/>
    <cellStyle name="20% - Accent5 4 2 2 2 2 2 8" xfId="16450"/>
    <cellStyle name="20% - Accent5 4 2 2 2 2 2 9" xfId="16451"/>
    <cellStyle name="20% - Accent5 4 2 2 2 2 3" xfId="16452"/>
    <cellStyle name="20% - Accent5 4 2 2 2 2 3 2" xfId="16453"/>
    <cellStyle name="20% - Accent5 4 2 2 2 2 3 2 2" xfId="16454"/>
    <cellStyle name="20% - Accent5 4 2 2 2 2 3 2 3" xfId="16455"/>
    <cellStyle name="20% - Accent5 4 2 2 2 2 3 3" xfId="16456"/>
    <cellStyle name="20% - Accent5 4 2 2 2 2 3 3 2" xfId="16457"/>
    <cellStyle name="20% - Accent5 4 2 2 2 2 3 3 3" xfId="16458"/>
    <cellStyle name="20% - Accent5 4 2 2 2 2 3 4" xfId="16459"/>
    <cellStyle name="20% - Accent5 4 2 2 2 2 3 4 2" xfId="16460"/>
    <cellStyle name="20% - Accent5 4 2 2 2 2 3 5" xfId="16461"/>
    <cellStyle name="20% - Accent5 4 2 2 2 2 3 6" xfId="16462"/>
    <cellStyle name="20% - Accent5 4 2 2 2 2 4" xfId="16463"/>
    <cellStyle name="20% - Accent5 4 2 2 2 2 4 2" xfId="16464"/>
    <cellStyle name="20% - Accent5 4 2 2 2 2 4 2 2" xfId="16465"/>
    <cellStyle name="20% - Accent5 4 2 2 2 2 4 2 3" xfId="16466"/>
    <cellStyle name="20% - Accent5 4 2 2 2 2 4 3" xfId="16467"/>
    <cellStyle name="20% - Accent5 4 2 2 2 2 4 3 2" xfId="16468"/>
    <cellStyle name="20% - Accent5 4 2 2 2 2 4 3 3" xfId="16469"/>
    <cellStyle name="20% - Accent5 4 2 2 2 2 4 4" xfId="16470"/>
    <cellStyle name="20% - Accent5 4 2 2 2 2 4 4 2" xfId="16471"/>
    <cellStyle name="20% - Accent5 4 2 2 2 2 4 5" xfId="16472"/>
    <cellStyle name="20% - Accent5 4 2 2 2 2 4 6" xfId="16473"/>
    <cellStyle name="20% - Accent5 4 2 2 2 2 5" xfId="16474"/>
    <cellStyle name="20% - Accent5 4 2 2 2 2 5 2" xfId="16475"/>
    <cellStyle name="20% - Accent5 4 2 2 2 2 5 2 2" xfId="16476"/>
    <cellStyle name="20% - Accent5 4 2 2 2 2 5 2 3" xfId="16477"/>
    <cellStyle name="20% - Accent5 4 2 2 2 2 5 3" xfId="16478"/>
    <cellStyle name="20% - Accent5 4 2 2 2 2 5 3 2" xfId="16479"/>
    <cellStyle name="20% - Accent5 4 2 2 2 2 5 4" xfId="16480"/>
    <cellStyle name="20% - Accent5 4 2 2 2 2 5 5" xfId="16481"/>
    <cellStyle name="20% - Accent5 4 2 2 2 2 6" xfId="16482"/>
    <cellStyle name="20% - Accent5 4 2 2 2 2 6 2" xfId="16483"/>
    <cellStyle name="20% - Accent5 4 2 2 2 2 6 3" xfId="16484"/>
    <cellStyle name="20% - Accent5 4 2 2 2 2 7" xfId="16485"/>
    <cellStyle name="20% - Accent5 4 2 2 2 2 7 2" xfId="16486"/>
    <cellStyle name="20% - Accent5 4 2 2 2 2 7 3" xfId="16487"/>
    <cellStyle name="20% - Accent5 4 2 2 2 2 8" xfId="16488"/>
    <cellStyle name="20% - Accent5 4 2 2 2 2 8 2" xfId="16489"/>
    <cellStyle name="20% - Accent5 4 2 2 2 2 9" xfId="16490"/>
    <cellStyle name="20% - Accent5 4 2 2 2 3" xfId="1134"/>
    <cellStyle name="20% - Accent5 4 2 2 2 3 2" xfId="16491"/>
    <cellStyle name="20% - Accent5 4 2 2 2 3 2 2" xfId="16492"/>
    <cellStyle name="20% - Accent5 4 2 2 2 3 2 2 2" xfId="16493"/>
    <cellStyle name="20% - Accent5 4 2 2 2 3 2 2 3" xfId="16494"/>
    <cellStyle name="20% - Accent5 4 2 2 2 3 2 3" xfId="16495"/>
    <cellStyle name="20% - Accent5 4 2 2 2 3 2 3 2" xfId="16496"/>
    <cellStyle name="20% - Accent5 4 2 2 2 3 2 3 3" xfId="16497"/>
    <cellStyle name="20% - Accent5 4 2 2 2 3 2 4" xfId="16498"/>
    <cellStyle name="20% - Accent5 4 2 2 2 3 2 4 2" xfId="16499"/>
    <cellStyle name="20% - Accent5 4 2 2 2 3 2 5" xfId="16500"/>
    <cellStyle name="20% - Accent5 4 2 2 2 3 2 6" xfId="16501"/>
    <cellStyle name="20% - Accent5 4 2 2 2 3 3" xfId="16502"/>
    <cellStyle name="20% - Accent5 4 2 2 2 3 3 2" xfId="16503"/>
    <cellStyle name="20% - Accent5 4 2 2 2 3 3 2 2" xfId="16504"/>
    <cellStyle name="20% - Accent5 4 2 2 2 3 3 2 3" xfId="16505"/>
    <cellStyle name="20% - Accent5 4 2 2 2 3 3 3" xfId="16506"/>
    <cellStyle name="20% - Accent5 4 2 2 2 3 3 3 2" xfId="16507"/>
    <cellStyle name="20% - Accent5 4 2 2 2 3 3 3 3" xfId="16508"/>
    <cellStyle name="20% - Accent5 4 2 2 2 3 3 4" xfId="16509"/>
    <cellStyle name="20% - Accent5 4 2 2 2 3 3 4 2" xfId="16510"/>
    <cellStyle name="20% - Accent5 4 2 2 2 3 3 5" xfId="16511"/>
    <cellStyle name="20% - Accent5 4 2 2 2 3 3 6" xfId="16512"/>
    <cellStyle name="20% - Accent5 4 2 2 2 3 4" xfId="16513"/>
    <cellStyle name="20% - Accent5 4 2 2 2 3 4 2" xfId="16514"/>
    <cellStyle name="20% - Accent5 4 2 2 2 3 4 2 2" xfId="16515"/>
    <cellStyle name="20% - Accent5 4 2 2 2 3 4 2 3" xfId="16516"/>
    <cellStyle name="20% - Accent5 4 2 2 2 3 4 3" xfId="16517"/>
    <cellStyle name="20% - Accent5 4 2 2 2 3 4 3 2" xfId="16518"/>
    <cellStyle name="20% - Accent5 4 2 2 2 3 4 4" xfId="16519"/>
    <cellStyle name="20% - Accent5 4 2 2 2 3 4 5" xfId="16520"/>
    <cellStyle name="20% - Accent5 4 2 2 2 3 5" xfId="16521"/>
    <cellStyle name="20% - Accent5 4 2 2 2 3 5 2" xfId="16522"/>
    <cellStyle name="20% - Accent5 4 2 2 2 3 5 3" xfId="16523"/>
    <cellStyle name="20% - Accent5 4 2 2 2 3 6" xfId="16524"/>
    <cellStyle name="20% - Accent5 4 2 2 2 3 6 2" xfId="16525"/>
    <cellStyle name="20% - Accent5 4 2 2 2 3 6 3" xfId="16526"/>
    <cellStyle name="20% - Accent5 4 2 2 2 3 7" xfId="16527"/>
    <cellStyle name="20% - Accent5 4 2 2 2 3 7 2" xfId="16528"/>
    <cellStyle name="20% - Accent5 4 2 2 2 3 8" xfId="16529"/>
    <cellStyle name="20% - Accent5 4 2 2 2 3 9" xfId="16530"/>
    <cellStyle name="20% - Accent5 4 2 2 2 4" xfId="16531"/>
    <cellStyle name="20% - Accent5 4 2 2 2 4 2" xfId="16532"/>
    <cellStyle name="20% - Accent5 4 2 2 2 4 2 2" xfId="16533"/>
    <cellStyle name="20% - Accent5 4 2 2 2 4 2 2 2" xfId="16534"/>
    <cellStyle name="20% - Accent5 4 2 2 2 4 2 2 3" xfId="16535"/>
    <cellStyle name="20% - Accent5 4 2 2 2 4 2 3" xfId="16536"/>
    <cellStyle name="20% - Accent5 4 2 2 2 4 2 3 2" xfId="16537"/>
    <cellStyle name="20% - Accent5 4 2 2 2 4 2 3 3" xfId="16538"/>
    <cellStyle name="20% - Accent5 4 2 2 2 4 2 4" xfId="16539"/>
    <cellStyle name="20% - Accent5 4 2 2 2 4 2 4 2" xfId="16540"/>
    <cellStyle name="20% - Accent5 4 2 2 2 4 2 5" xfId="16541"/>
    <cellStyle name="20% - Accent5 4 2 2 2 4 2 6" xfId="16542"/>
    <cellStyle name="20% - Accent5 4 2 2 2 4 3" xfId="16543"/>
    <cellStyle name="20% - Accent5 4 2 2 2 4 3 2" xfId="16544"/>
    <cellStyle name="20% - Accent5 4 2 2 2 4 3 2 2" xfId="16545"/>
    <cellStyle name="20% - Accent5 4 2 2 2 4 3 2 3" xfId="16546"/>
    <cellStyle name="20% - Accent5 4 2 2 2 4 3 3" xfId="16547"/>
    <cellStyle name="20% - Accent5 4 2 2 2 4 3 3 2" xfId="16548"/>
    <cellStyle name="20% - Accent5 4 2 2 2 4 3 3 3" xfId="16549"/>
    <cellStyle name="20% - Accent5 4 2 2 2 4 3 4" xfId="16550"/>
    <cellStyle name="20% - Accent5 4 2 2 2 4 3 4 2" xfId="16551"/>
    <cellStyle name="20% - Accent5 4 2 2 2 4 3 5" xfId="16552"/>
    <cellStyle name="20% - Accent5 4 2 2 2 4 3 6" xfId="16553"/>
    <cellStyle name="20% - Accent5 4 2 2 2 4 4" xfId="16554"/>
    <cellStyle name="20% - Accent5 4 2 2 2 4 4 2" xfId="16555"/>
    <cellStyle name="20% - Accent5 4 2 2 2 4 4 2 2" xfId="16556"/>
    <cellStyle name="20% - Accent5 4 2 2 2 4 4 2 3" xfId="16557"/>
    <cellStyle name="20% - Accent5 4 2 2 2 4 4 3" xfId="16558"/>
    <cellStyle name="20% - Accent5 4 2 2 2 4 4 3 2" xfId="16559"/>
    <cellStyle name="20% - Accent5 4 2 2 2 4 4 4" xfId="16560"/>
    <cellStyle name="20% - Accent5 4 2 2 2 4 4 5" xfId="16561"/>
    <cellStyle name="20% - Accent5 4 2 2 2 4 5" xfId="16562"/>
    <cellStyle name="20% - Accent5 4 2 2 2 4 5 2" xfId="16563"/>
    <cellStyle name="20% - Accent5 4 2 2 2 4 5 3" xfId="16564"/>
    <cellStyle name="20% - Accent5 4 2 2 2 4 6" xfId="16565"/>
    <cellStyle name="20% - Accent5 4 2 2 2 4 6 2" xfId="16566"/>
    <cellStyle name="20% - Accent5 4 2 2 2 4 6 3" xfId="16567"/>
    <cellStyle name="20% - Accent5 4 2 2 2 4 7" xfId="16568"/>
    <cellStyle name="20% - Accent5 4 2 2 2 4 7 2" xfId="16569"/>
    <cellStyle name="20% - Accent5 4 2 2 2 4 8" xfId="16570"/>
    <cellStyle name="20% - Accent5 4 2 2 2 4 9" xfId="16571"/>
    <cellStyle name="20% - Accent5 4 2 2 2 5" xfId="16572"/>
    <cellStyle name="20% - Accent5 4 2 2 2 5 2" xfId="16573"/>
    <cellStyle name="20% - Accent5 4 2 2 2 5 2 2" xfId="16574"/>
    <cellStyle name="20% - Accent5 4 2 2 2 5 2 3" xfId="16575"/>
    <cellStyle name="20% - Accent5 4 2 2 2 5 3" xfId="16576"/>
    <cellStyle name="20% - Accent5 4 2 2 2 5 3 2" xfId="16577"/>
    <cellStyle name="20% - Accent5 4 2 2 2 5 3 3" xfId="16578"/>
    <cellStyle name="20% - Accent5 4 2 2 2 5 4" xfId="16579"/>
    <cellStyle name="20% - Accent5 4 2 2 2 5 4 2" xfId="16580"/>
    <cellStyle name="20% - Accent5 4 2 2 2 5 5" xfId="16581"/>
    <cellStyle name="20% - Accent5 4 2 2 2 5 6" xfId="16582"/>
    <cellStyle name="20% - Accent5 4 2 2 2 6" xfId="16583"/>
    <cellStyle name="20% - Accent5 4 2 2 2 6 2" xfId="16584"/>
    <cellStyle name="20% - Accent5 4 2 2 2 6 2 2" xfId="16585"/>
    <cellStyle name="20% - Accent5 4 2 2 2 6 2 3" xfId="16586"/>
    <cellStyle name="20% - Accent5 4 2 2 2 6 3" xfId="16587"/>
    <cellStyle name="20% - Accent5 4 2 2 2 6 3 2" xfId="16588"/>
    <cellStyle name="20% - Accent5 4 2 2 2 6 3 3" xfId="16589"/>
    <cellStyle name="20% - Accent5 4 2 2 2 6 4" xfId="16590"/>
    <cellStyle name="20% - Accent5 4 2 2 2 6 4 2" xfId="16591"/>
    <cellStyle name="20% - Accent5 4 2 2 2 6 5" xfId="16592"/>
    <cellStyle name="20% - Accent5 4 2 2 2 6 6" xfId="16593"/>
    <cellStyle name="20% - Accent5 4 2 2 2 7" xfId="16594"/>
    <cellStyle name="20% - Accent5 4 2 2 2 7 2" xfId="16595"/>
    <cellStyle name="20% - Accent5 4 2 2 2 7 2 2" xfId="16596"/>
    <cellStyle name="20% - Accent5 4 2 2 2 7 2 3" xfId="16597"/>
    <cellStyle name="20% - Accent5 4 2 2 2 7 3" xfId="16598"/>
    <cellStyle name="20% - Accent5 4 2 2 2 7 3 2" xfId="16599"/>
    <cellStyle name="20% - Accent5 4 2 2 2 7 4" xfId="16600"/>
    <cellStyle name="20% - Accent5 4 2 2 2 7 5" xfId="16601"/>
    <cellStyle name="20% - Accent5 4 2 2 2 8" xfId="16602"/>
    <cellStyle name="20% - Accent5 4 2 2 2 8 2" xfId="16603"/>
    <cellStyle name="20% - Accent5 4 2 2 2 8 3" xfId="16604"/>
    <cellStyle name="20% - Accent5 4 2 2 2 9" xfId="16605"/>
    <cellStyle name="20% - Accent5 4 2 2 2 9 2" xfId="16606"/>
    <cellStyle name="20% - Accent5 4 2 2 2 9 3" xfId="16607"/>
    <cellStyle name="20% - Accent5 4 2 2 3" xfId="1135"/>
    <cellStyle name="20% - Accent5 4 2 2 3 10" xfId="16608"/>
    <cellStyle name="20% - Accent5 4 2 2 3 2" xfId="1136"/>
    <cellStyle name="20% - Accent5 4 2 2 3 2 2" xfId="16609"/>
    <cellStyle name="20% - Accent5 4 2 2 3 2 2 2" xfId="16610"/>
    <cellStyle name="20% - Accent5 4 2 2 3 2 2 2 2" xfId="16611"/>
    <cellStyle name="20% - Accent5 4 2 2 3 2 2 2 3" xfId="16612"/>
    <cellStyle name="20% - Accent5 4 2 2 3 2 2 3" xfId="16613"/>
    <cellStyle name="20% - Accent5 4 2 2 3 2 2 3 2" xfId="16614"/>
    <cellStyle name="20% - Accent5 4 2 2 3 2 2 3 3" xfId="16615"/>
    <cellStyle name="20% - Accent5 4 2 2 3 2 2 4" xfId="16616"/>
    <cellStyle name="20% - Accent5 4 2 2 3 2 2 4 2" xfId="16617"/>
    <cellStyle name="20% - Accent5 4 2 2 3 2 2 5" xfId="16618"/>
    <cellStyle name="20% - Accent5 4 2 2 3 2 2 6" xfId="16619"/>
    <cellStyle name="20% - Accent5 4 2 2 3 2 3" xfId="16620"/>
    <cellStyle name="20% - Accent5 4 2 2 3 2 3 2" xfId="16621"/>
    <cellStyle name="20% - Accent5 4 2 2 3 2 3 2 2" xfId="16622"/>
    <cellStyle name="20% - Accent5 4 2 2 3 2 3 2 3" xfId="16623"/>
    <cellStyle name="20% - Accent5 4 2 2 3 2 3 3" xfId="16624"/>
    <cellStyle name="20% - Accent5 4 2 2 3 2 3 3 2" xfId="16625"/>
    <cellStyle name="20% - Accent5 4 2 2 3 2 3 3 3" xfId="16626"/>
    <cellStyle name="20% - Accent5 4 2 2 3 2 3 4" xfId="16627"/>
    <cellStyle name="20% - Accent5 4 2 2 3 2 3 4 2" xfId="16628"/>
    <cellStyle name="20% - Accent5 4 2 2 3 2 3 5" xfId="16629"/>
    <cellStyle name="20% - Accent5 4 2 2 3 2 3 6" xfId="16630"/>
    <cellStyle name="20% - Accent5 4 2 2 3 2 4" xfId="16631"/>
    <cellStyle name="20% - Accent5 4 2 2 3 2 4 2" xfId="16632"/>
    <cellStyle name="20% - Accent5 4 2 2 3 2 4 2 2" xfId="16633"/>
    <cellStyle name="20% - Accent5 4 2 2 3 2 4 2 3" xfId="16634"/>
    <cellStyle name="20% - Accent5 4 2 2 3 2 4 3" xfId="16635"/>
    <cellStyle name="20% - Accent5 4 2 2 3 2 4 3 2" xfId="16636"/>
    <cellStyle name="20% - Accent5 4 2 2 3 2 4 4" xfId="16637"/>
    <cellStyle name="20% - Accent5 4 2 2 3 2 4 5" xfId="16638"/>
    <cellStyle name="20% - Accent5 4 2 2 3 2 5" xfId="16639"/>
    <cellStyle name="20% - Accent5 4 2 2 3 2 5 2" xfId="16640"/>
    <cellStyle name="20% - Accent5 4 2 2 3 2 5 3" xfId="16641"/>
    <cellStyle name="20% - Accent5 4 2 2 3 2 6" xfId="16642"/>
    <cellStyle name="20% - Accent5 4 2 2 3 2 6 2" xfId="16643"/>
    <cellStyle name="20% - Accent5 4 2 2 3 2 6 3" xfId="16644"/>
    <cellStyle name="20% - Accent5 4 2 2 3 2 7" xfId="16645"/>
    <cellStyle name="20% - Accent5 4 2 2 3 2 7 2" xfId="16646"/>
    <cellStyle name="20% - Accent5 4 2 2 3 2 8" xfId="16647"/>
    <cellStyle name="20% - Accent5 4 2 2 3 2 9" xfId="16648"/>
    <cellStyle name="20% - Accent5 4 2 2 3 3" xfId="16649"/>
    <cellStyle name="20% - Accent5 4 2 2 3 3 2" xfId="16650"/>
    <cellStyle name="20% - Accent5 4 2 2 3 3 2 2" xfId="16651"/>
    <cellStyle name="20% - Accent5 4 2 2 3 3 2 3" xfId="16652"/>
    <cellStyle name="20% - Accent5 4 2 2 3 3 3" xfId="16653"/>
    <cellStyle name="20% - Accent5 4 2 2 3 3 3 2" xfId="16654"/>
    <cellStyle name="20% - Accent5 4 2 2 3 3 3 3" xfId="16655"/>
    <cellStyle name="20% - Accent5 4 2 2 3 3 4" xfId="16656"/>
    <cellStyle name="20% - Accent5 4 2 2 3 3 4 2" xfId="16657"/>
    <cellStyle name="20% - Accent5 4 2 2 3 3 5" xfId="16658"/>
    <cellStyle name="20% - Accent5 4 2 2 3 3 6" xfId="16659"/>
    <cellStyle name="20% - Accent5 4 2 2 3 4" xfId="16660"/>
    <cellStyle name="20% - Accent5 4 2 2 3 4 2" xfId="16661"/>
    <cellStyle name="20% - Accent5 4 2 2 3 4 2 2" xfId="16662"/>
    <cellStyle name="20% - Accent5 4 2 2 3 4 2 3" xfId="16663"/>
    <cellStyle name="20% - Accent5 4 2 2 3 4 3" xfId="16664"/>
    <cellStyle name="20% - Accent5 4 2 2 3 4 3 2" xfId="16665"/>
    <cellStyle name="20% - Accent5 4 2 2 3 4 3 3" xfId="16666"/>
    <cellStyle name="20% - Accent5 4 2 2 3 4 4" xfId="16667"/>
    <cellStyle name="20% - Accent5 4 2 2 3 4 4 2" xfId="16668"/>
    <cellStyle name="20% - Accent5 4 2 2 3 4 5" xfId="16669"/>
    <cellStyle name="20% - Accent5 4 2 2 3 4 6" xfId="16670"/>
    <cellStyle name="20% - Accent5 4 2 2 3 5" xfId="16671"/>
    <cellStyle name="20% - Accent5 4 2 2 3 5 2" xfId="16672"/>
    <cellStyle name="20% - Accent5 4 2 2 3 5 2 2" xfId="16673"/>
    <cellStyle name="20% - Accent5 4 2 2 3 5 2 3" xfId="16674"/>
    <cellStyle name="20% - Accent5 4 2 2 3 5 3" xfId="16675"/>
    <cellStyle name="20% - Accent5 4 2 2 3 5 3 2" xfId="16676"/>
    <cellStyle name="20% - Accent5 4 2 2 3 5 4" xfId="16677"/>
    <cellStyle name="20% - Accent5 4 2 2 3 5 5" xfId="16678"/>
    <cellStyle name="20% - Accent5 4 2 2 3 6" xfId="16679"/>
    <cellStyle name="20% - Accent5 4 2 2 3 6 2" xfId="16680"/>
    <cellStyle name="20% - Accent5 4 2 2 3 6 3" xfId="16681"/>
    <cellStyle name="20% - Accent5 4 2 2 3 7" xfId="16682"/>
    <cellStyle name="20% - Accent5 4 2 2 3 7 2" xfId="16683"/>
    <cellStyle name="20% - Accent5 4 2 2 3 7 3" xfId="16684"/>
    <cellStyle name="20% - Accent5 4 2 2 3 8" xfId="16685"/>
    <cellStyle name="20% - Accent5 4 2 2 3 8 2" xfId="16686"/>
    <cellStyle name="20% - Accent5 4 2 2 3 9" xfId="16687"/>
    <cellStyle name="20% - Accent5 4 2 2 4" xfId="1137"/>
    <cellStyle name="20% - Accent5 4 2 2 4 2" xfId="16688"/>
    <cellStyle name="20% - Accent5 4 2 2 4 2 2" xfId="16689"/>
    <cellStyle name="20% - Accent5 4 2 2 4 2 2 2" xfId="16690"/>
    <cellStyle name="20% - Accent5 4 2 2 4 2 2 3" xfId="16691"/>
    <cellStyle name="20% - Accent5 4 2 2 4 2 3" xfId="16692"/>
    <cellStyle name="20% - Accent5 4 2 2 4 2 3 2" xfId="16693"/>
    <cellStyle name="20% - Accent5 4 2 2 4 2 3 3" xfId="16694"/>
    <cellStyle name="20% - Accent5 4 2 2 4 2 4" xfId="16695"/>
    <cellStyle name="20% - Accent5 4 2 2 4 2 4 2" xfId="16696"/>
    <cellStyle name="20% - Accent5 4 2 2 4 2 5" xfId="16697"/>
    <cellStyle name="20% - Accent5 4 2 2 4 2 6" xfId="16698"/>
    <cellStyle name="20% - Accent5 4 2 2 4 3" xfId="16699"/>
    <cellStyle name="20% - Accent5 4 2 2 4 3 2" xfId="16700"/>
    <cellStyle name="20% - Accent5 4 2 2 4 3 2 2" xfId="16701"/>
    <cellStyle name="20% - Accent5 4 2 2 4 3 2 3" xfId="16702"/>
    <cellStyle name="20% - Accent5 4 2 2 4 3 3" xfId="16703"/>
    <cellStyle name="20% - Accent5 4 2 2 4 3 3 2" xfId="16704"/>
    <cellStyle name="20% - Accent5 4 2 2 4 3 3 3" xfId="16705"/>
    <cellStyle name="20% - Accent5 4 2 2 4 3 4" xfId="16706"/>
    <cellStyle name="20% - Accent5 4 2 2 4 3 4 2" xfId="16707"/>
    <cellStyle name="20% - Accent5 4 2 2 4 3 5" xfId="16708"/>
    <cellStyle name="20% - Accent5 4 2 2 4 3 6" xfId="16709"/>
    <cellStyle name="20% - Accent5 4 2 2 4 4" xfId="16710"/>
    <cellStyle name="20% - Accent5 4 2 2 4 4 2" xfId="16711"/>
    <cellStyle name="20% - Accent5 4 2 2 4 4 2 2" xfId="16712"/>
    <cellStyle name="20% - Accent5 4 2 2 4 4 2 3" xfId="16713"/>
    <cellStyle name="20% - Accent5 4 2 2 4 4 3" xfId="16714"/>
    <cellStyle name="20% - Accent5 4 2 2 4 4 3 2" xfId="16715"/>
    <cellStyle name="20% - Accent5 4 2 2 4 4 4" xfId="16716"/>
    <cellStyle name="20% - Accent5 4 2 2 4 4 5" xfId="16717"/>
    <cellStyle name="20% - Accent5 4 2 2 4 5" xfId="16718"/>
    <cellStyle name="20% - Accent5 4 2 2 4 5 2" xfId="16719"/>
    <cellStyle name="20% - Accent5 4 2 2 4 5 3" xfId="16720"/>
    <cellStyle name="20% - Accent5 4 2 2 4 6" xfId="16721"/>
    <cellStyle name="20% - Accent5 4 2 2 4 6 2" xfId="16722"/>
    <cellStyle name="20% - Accent5 4 2 2 4 6 3" xfId="16723"/>
    <cellStyle name="20% - Accent5 4 2 2 4 7" xfId="16724"/>
    <cellStyle name="20% - Accent5 4 2 2 4 7 2" xfId="16725"/>
    <cellStyle name="20% - Accent5 4 2 2 4 8" xfId="16726"/>
    <cellStyle name="20% - Accent5 4 2 2 4 9" xfId="16727"/>
    <cellStyle name="20% - Accent5 4 2 2 5" xfId="16728"/>
    <cellStyle name="20% - Accent5 4 2 2 5 2" xfId="16729"/>
    <cellStyle name="20% - Accent5 4 2 2 5 2 2" xfId="16730"/>
    <cellStyle name="20% - Accent5 4 2 2 5 2 2 2" xfId="16731"/>
    <cellStyle name="20% - Accent5 4 2 2 5 2 2 3" xfId="16732"/>
    <cellStyle name="20% - Accent5 4 2 2 5 2 3" xfId="16733"/>
    <cellStyle name="20% - Accent5 4 2 2 5 2 3 2" xfId="16734"/>
    <cellStyle name="20% - Accent5 4 2 2 5 2 3 3" xfId="16735"/>
    <cellStyle name="20% - Accent5 4 2 2 5 2 4" xfId="16736"/>
    <cellStyle name="20% - Accent5 4 2 2 5 2 4 2" xfId="16737"/>
    <cellStyle name="20% - Accent5 4 2 2 5 2 5" xfId="16738"/>
    <cellStyle name="20% - Accent5 4 2 2 5 2 6" xfId="16739"/>
    <cellStyle name="20% - Accent5 4 2 2 5 3" xfId="16740"/>
    <cellStyle name="20% - Accent5 4 2 2 5 3 2" xfId="16741"/>
    <cellStyle name="20% - Accent5 4 2 2 5 3 2 2" xfId="16742"/>
    <cellStyle name="20% - Accent5 4 2 2 5 3 2 3" xfId="16743"/>
    <cellStyle name="20% - Accent5 4 2 2 5 3 3" xfId="16744"/>
    <cellStyle name="20% - Accent5 4 2 2 5 3 3 2" xfId="16745"/>
    <cellStyle name="20% - Accent5 4 2 2 5 3 3 3" xfId="16746"/>
    <cellStyle name="20% - Accent5 4 2 2 5 3 4" xfId="16747"/>
    <cellStyle name="20% - Accent5 4 2 2 5 3 4 2" xfId="16748"/>
    <cellStyle name="20% - Accent5 4 2 2 5 3 5" xfId="16749"/>
    <cellStyle name="20% - Accent5 4 2 2 5 3 6" xfId="16750"/>
    <cellStyle name="20% - Accent5 4 2 2 5 4" xfId="16751"/>
    <cellStyle name="20% - Accent5 4 2 2 5 4 2" xfId="16752"/>
    <cellStyle name="20% - Accent5 4 2 2 5 4 2 2" xfId="16753"/>
    <cellStyle name="20% - Accent5 4 2 2 5 4 2 3" xfId="16754"/>
    <cellStyle name="20% - Accent5 4 2 2 5 4 3" xfId="16755"/>
    <cellStyle name="20% - Accent5 4 2 2 5 4 3 2" xfId="16756"/>
    <cellStyle name="20% - Accent5 4 2 2 5 4 4" xfId="16757"/>
    <cellStyle name="20% - Accent5 4 2 2 5 4 5" xfId="16758"/>
    <cellStyle name="20% - Accent5 4 2 2 5 5" xfId="16759"/>
    <cellStyle name="20% - Accent5 4 2 2 5 5 2" xfId="16760"/>
    <cellStyle name="20% - Accent5 4 2 2 5 5 3" xfId="16761"/>
    <cellStyle name="20% - Accent5 4 2 2 5 6" xfId="16762"/>
    <cellStyle name="20% - Accent5 4 2 2 5 6 2" xfId="16763"/>
    <cellStyle name="20% - Accent5 4 2 2 5 6 3" xfId="16764"/>
    <cellStyle name="20% - Accent5 4 2 2 5 7" xfId="16765"/>
    <cellStyle name="20% - Accent5 4 2 2 5 7 2" xfId="16766"/>
    <cellStyle name="20% - Accent5 4 2 2 5 8" xfId="16767"/>
    <cellStyle name="20% - Accent5 4 2 2 5 9" xfId="16768"/>
    <cellStyle name="20% - Accent5 4 2 2 6" xfId="16769"/>
    <cellStyle name="20% - Accent5 4 2 2 6 2" xfId="16770"/>
    <cellStyle name="20% - Accent5 4 2 2 6 2 2" xfId="16771"/>
    <cellStyle name="20% - Accent5 4 2 2 6 2 3" xfId="16772"/>
    <cellStyle name="20% - Accent5 4 2 2 6 3" xfId="16773"/>
    <cellStyle name="20% - Accent5 4 2 2 6 3 2" xfId="16774"/>
    <cellStyle name="20% - Accent5 4 2 2 6 3 3" xfId="16775"/>
    <cellStyle name="20% - Accent5 4 2 2 6 4" xfId="16776"/>
    <cellStyle name="20% - Accent5 4 2 2 6 4 2" xfId="16777"/>
    <cellStyle name="20% - Accent5 4 2 2 6 5" xfId="16778"/>
    <cellStyle name="20% - Accent5 4 2 2 6 6" xfId="16779"/>
    <cellStyle name="20% - Accent5 4 2 2 7" xfId="16780"/>
    <cellStyle name="20% - Accent5 4 2 2 7 2" xfId="16781"/>
    <cellStyle name="20% - Accent5 4 2 2 7 2 2" xfId="16782"/>
    <cellStyle name="20% - Accent5 4 2 2 7 2 3" xfId="16783"/>
    <cellStyle name="20% - Accent5 4 2 2 7 3" xfId="16784"/>
    <cellStyle name="20% - Accent5 4 2 2 7 3 2" xfId="16785"/>
    <cellStyle name="20% - Accent5 4 2 2 7 3 3" xfId="16786"/>
    <cellStyle name="20% - Accent5 4 2 2 7 4" xfId="16787"/>
    <cellStyle name="20% - Accent5 4 2 2 7 4 2" xfId="16788"/>
    <cellStyle name="20% - Accent5 4 2 2 7 5" xfId="16789"/>
    <cellStyle name="20% - Accent5 4 2 2 7 6" xfId="16790"/>
    <cellStyle name="20% - Accent5 4 2 2 8" xfId="16791"/>
    <cellStyle name="20% - Accent5 4 2 2 8 2" xfId="16792"/>
    <cellStyle name="20% - Accent5 4 2 2 8 2 2" xfId="16793"/>
    <cellStyle name="20% - Accent5 4 2 2 8 2 3" xfId="16794"/>
    <cellStyle name="20% - Accent5 4 2 2 8 3" xfId="16795"/>
    <cellStyle name="20% - Accent5 4 2 2 8 3 2" xfId="16796"/>
    <cellStyle name="20% - Accent5 4 2 2 8 4" xfId="16797"/>
    <cellStyle name="20% - Accent5 4 2 2 8 5" xfId="16798"/>
    <cellStyle name="20% - Accent5 4 2 2 9" xfId="16799"/>
    <cellStyle name="20% - Accent5 4 2 2 9 2" xfId="16800"/>
    <cellStyle name="20% - Accent5 4 2 2 9 3" xfId="16801"/>
    <cellStyle name="20% - Accent5 4 2 3" xfId="1138"/>
    <cellStyle name="20% - Accent5 4 2 3 10" xfId="16802"/>
    <cellStyle name="20% - Accent5 4 2 3 10 2" xfId="16803"/>
    <cellStyle name="20% - Accent5 4 2 3 11" xfId="16804"/>
    <cellStyle name="20% - Accent5 4 2 3 12" xfId="16805"/>
    <cellStyle name="20% - Accent5 4 2 3 2" xfId="1139"/>
    <cellStyle name="20% - Accent5 4 2 3 2 10" xfId="16806"/>
    <cellStyle name="20% - Accent5 4 2 3 2 2" xfId="1140"/>
    <cellStyle name="20% - Accent5 4 2 3 2 2 2" xfId="16807"/>
    <cellStyle name="20% - Accent5 4 2 3 2 2 2 2" xfId="16808"/>
    <cellStyle name="20% - Accent5 4 2 3 2 2 2 2 2" xfId="16809"/>
    <cellStyle name="20% - Accent5 4 2 3 2 2 2 2 3" xfId="16810"/>
    <cellStyle name="20% - Accent5 4 2 3 2 2 2 3" xfId="16811"/>
    <cellStyle name="20% - Accent5 4 2 3 2 2 2 3 2" xfId="16812"/>
    <cellStyle name="20% - Accent5 4 2 3 2 2 2 3 3" xfId="16813"/>
    <cellStyle name="20% - Accent5 4 2 3 2 2 2 4" xfId="16814"/>
    <cellStyle name="20% - Accent5 4 2 3 2 2 2 4 2" xfId="16815"/>
    <cellStyle name="20% - Accent5 4 2 3 2 2 2 5" xfId="16816"/>
    <cellStyle name="20% - Accent5 4 2 3 2 2 2 6" xfId="16817"/>
    <cellStyle name="20% - Accent5 4 2 3 2 2 3" xfId="16818"/>
    <cellStyle name="20% - Accent5 4 2 3 2 2 3 2" xfId="16819"/>
    <cellStyle name="20% - Accent5 4 2 3 2 2 3 2 2" xfId="16820"/>
    <cellStyle name="20% - Accent5 4 2 3 2 2 3 2 3" xfId="16821"/>
    <cellStyle name="20% - Accent5 4 2 3 2 2 3 3" xfId="16822"/>
    <cellStyle name="20% - Accent5 4 2 3 2 2 3 3 2" xfId="16823"/>
    <cellStyle name="20% - Accent5 4 2 3 2 2 3 3 3" xfId="16824"/>
    <cellStyle name="20% - Accent5 4 2 3 2 2 3 4" xfId="16825"/>
    <cellStyle name="20% - Accent5 4 2 3 2 2 3 4 2" xfId="16826"/>
    <cellStyle name="20% - Accent5 4 2 3 2 2 3 5" xfId="16827"/>
    <cellStyle name="20% - Accent5 4 2 3 2 2 3 6" xfId="16828"/>
    <cellStyle name="20% - Accent5 4 2 3 2 2 4" xfId="16829"/>
    <cellStyle name="20% - Accent5 4 2 3 2 2 4 2" xfId="16830"/>
    <cellStyle name="20% - Accent5 4 2 3 2 2 4 2 2" xfId="16831"/>
    <cellStyle name="20% - Accent5 4 2 3 2 2 4 2 3" xfId="16832"/>
    <cellStyle name="20% - Accent5 4 2 3 2 2 4 3" xfId="16833"/>
    <cellStyle name="20% - Accent5 4 2 3 2 2 4 3 2" xfId="16834"/>
    <cellStyle name="20% - Accent5 4 2 3 2 2 4 4" xfId="16835"/>
    <cellStyle name="20% - Accent5 4 2 3 2 2 4 5" xfId="16836"/>
    <cellStyle name="20% - Accent5 4 2 3 2 2 5" xfId="16837"/>
    <cellStyle name="20% - Accent5 4 2 3 2 2 5 2" xfId="16838"/>
    <cellStyle name="20% - Accent5 4 2 3 2 2 5 3" xfId="16839"/>
    <cellStyle name="20% - Accent5 4 2 3 2 2 6" xfId="16840"/>
    <cellStyle name="20% - Accent5 4 2 3 2 2 6 2" xfId="16841"/>
    <cellStyle name="20% - Accent5 4 2 3 2 2 6 3" xfId="16842"/>
    <cellStyle name="20% - Accent5 4 2 3 2 2 7" xfId="16843"/>
    <cellStyle name="20% - Accent5 4 2 3 2 2 7 2" xfId="16844"/>
    <cellStyle name="20% - Accent5 4 2 3 2 2 8" xfId="16845"/>
    <cellStyle name="20% - Accent5 4 2 3 2 2 9" xfId="16846"/>
    <cellStyle name="20% - Accent5 4 2 3 2 3" xfId="16847"/>
    <cellStyle name="20% - Accent5 4 2 3 2 3 2" xfId="16848"/>
    <cellStyle name="20% - Accent5 4 2 3 2 3 2 2" xfId="16849"/>
    <cellStyle name="20% - Accent5 4 2 3 2 3 2 3" xfId="16850"/>
    <cellStyle name="20% - Accent5 4 2 3 2 3 3" xfId="16851"/>
    <cellStyle name="20% - Accent5 4 2 3 2 3 3 2" xfId="16852"/>
    <cellStyle name="20% - Accent5 4 2 3 2 3 3 3" xfId="16853"/>
    <cellStyle name="20% - Accent5 4 2 3 2 3 4" xfId="16854"/>
    <cellStyle name="20% - Accent5 4 2 3 2 3 4 2" xfId="16855"/>
    <cellStyle name="20% - Accent5 4 2 3 2 3 5" xfId="16856"/>
    <cellStyle name="20% - Accent5 4 2 3 2 3 6" xfId="16857"/>
    <cellStyle name="20% - Accent5 4 2 3 2 4" xfId="16858"/>
    <cellStyle name="20% - Accent5 4 2 3 2 4 2" xfId="16859"/>
    <cellStyle name="20% - Accent5 4 2 3 2 4 2 2" xfId="16860"/>
    <cellStyle name="20% - Accent5 4 2 3 2 4 2 3" xfId="16861"/>
    <cellStyle name="20% - Accent5 4 2 3 2 4 3" xfId="16862"/>
    <cellStyle name="20% - Accent5 4 2 3 2 4 3 2" xfId="16863"/>
    <cellStyle name="20% - Accent5 4 2 3 2 4 3 3" xfId="16864"/>
    <cellStyle name="20% - Accent5 4 2 3 2 4 4" xfId="16865"/>
    <cellStyle name="20% - Accent5 4 2 3 2 4 4 2" xfId="16866"/>
    <cellStyle name="20% - Accent5 4 2 3 2 4 5" xfId="16867"/>
    <cellStyle name="20% - Accent5 4 2 3 2 4 6" xfId="16868"/>
    <cellStyle name="20% - Accent5 4 2 3 2 5" xfId="16869"/>
    <cellStyle name="20% - Accent5 4 2 3 2 5 2" xfId="16870"/>
    <cellStyle name="20% - Accent5 4 2 3 2 5 2 2" xfId="16871"/>
    <cellStyle name="20% - Accent5 4 2 3 2 5 2 3" xfId="16872"/>
    <cellStyle name="20% - Accent5 4 2 3 2 5 3" xfId="16873"/>
    <cellStyle name="20% - Accent5 4 2 3 2 5 3 2" xfId="16874"/>
    <cellStyle name="20% - Accent5 4 2 3 2 5 4" xfId="16875"/>
    <cellStyle name="20% - Accent5 4 2 3 2 5 5" xfId="16876"/>
    <cellStyle name="20% - Accent5 4 2 3 2 6" xfId="16877"/>
    <cellStyle name="20% - Accent5 4 2 3 2 6 2" xfId="16878"/>
    <cellStyle name="20% - Accent5 4 2 3 2 6 3" xfId="16879"/>
    <cellStyle name="20% - Accent5 4 2 3 2 7" xfId="16880"/>
    <cellStyle name="20% - Accent5 4 2 3 2 7 2" xfId="16881"/>
    <cellStyle name="20% - Accent5 4 2 3 2 7 3" xfId="16882"/>
    <cellStyle name="20% - Accent5 4 2 3 2 8" xfId="16883"/>
    <cellStyle name="20% - Accent5 4 2 3 2 8 2" xfId="16884"/>
    <cellStyle name="20% - Accent5 4 2 3 2 9" xfId="16885"/>
    <cellStyle name="20% - Accent5 4 2 3 3" xfId="1141"/>
    <cellStyle name="20% - Accent5 4 2 3 3 2" xfId="16886"/>
    <cellStyle name="20% - Accent5 4 2 3 3 2 2" xfId="16887"/>
    <cellStyle name="20% - Accent5 4 2 3 3 2 2 2" xfId="16888"/>
    <cellStyle name="20% - Accent5 4 2 3 3 2 2 3" xfId="16889"/>
    <cellStyle name="20% - Accent5 4 2 3 3 2 3" xfId="16890"/>
    <cellStyle name="20% - Accent5 4 2 3 3 2 3 2" xfId="16891"/>
    <cellStyle name="20% - Accent5 4 2 3 3 2 3 3" xfId="16892"/>
    <cellStyle name="20% - Accent5 4 2 3 3 2 4" xfId="16893"/>
    <cellStyle name="20% - Accent5 4 2 3 3 2 4 2" xfId="16894"/>
    <cellStyle name="20% - Accent5 4 2 3 3 2 5" xfId="16895"/>
    <cellStyle name="20% - Accent5 4 2 3 3 2 6" xfId="16896"/>
    <cellStyle name="20% - Accent5 4 2 3 3 3" xfId="16897"/>
    <cellStyle name="20% - Accent5 4 2 3 3 3 2" xfId="16898"/>
    <cellStyle name="20% - Accent5 4 2 3 3 3 2 2" xfId="16899"/>
    <cellStyle name="20% - Accent5 4 2 3 3 3 2 3" xfId="16900"/>
    <cellStyle name="20% - Accent5 4 2 3 3 3 3" xfId="16901"/>
    <cellStyle name="20% - Accent5 4 2 3 3 3 3 2" xfId="16902"/>
    <cellStyle name="20% - Accent5 4 2 3 3 3 3 3" xfId="16903"/>
    <cellStyle name="20% - Accent5 4 2 3 3 3 4" xfId="16904"/>
    <cellStyle name="20% - Accent5 4 2 3 3 3 4 2" xfId="16905"/>
    <cellStyle name="20% - Accent5 4 2 3 3 3 5" xfId="16906"/>
    <cellStyle name="20% - Accent5 4 2 3 3 3 6" xfId="16907"/>
    <cellStyle name="20% - Accent5 4 2 3 3 4" xfId="16908"/>
    <cellStyle name="20% - Accent5 4 2 3 3 4 2" xfId="16909"/>
    <cellStyle name="20% - Accent5 4 2 3 3 4 2 2" xfId="16910"/>
    <cellStyle name="20% - Accent5 4 2 3 3 4 2 3" xfId="16911"/>
    <cellStyle name="20% - Accent5 4 2 3 3 4 3" xfId="16912"/>
    <cellStyle name="20% - Accent5 4 2 3 3 4 3 2" xfId="16913"/>
    <cellStyle name="20% - Accent5 4 2 3 3 4 4" xfId="16914"/>
    <cellStyle name="20% - Accent5 4 2 3 3 4 5" xfId="16915"/>
    <cellStyle name="20% - Accent5 4 2 3 3 5" xfId="16916"/>
    <cellStyle name="20% - Accent5 4 2 3 3 5 2" xfId="16917"/>
    <cellStyle name="20% - Accent5 4 2 3 3 5 3" xfId="16918"/>
    <cellStyle name="20% - Accent5 4 2 3 3 6" xfId="16919"/>
    <cellStyle name="20% - Accent5 4 2 3 3 6 2" xfId="16920"/>
    <cellStyle name="20% - Accent5 4 2 3 3 6 3" xfId="16921"/>
    <cellStyle name="20% - Accent5 4 2 3 3 7" xfId="16922"/>
    <cellStyle name="20% - Accent5 4 2 3 3 7 2" xfId="16923"/>
    <cellStyle name="20% - Accent5 4 2 3 3 8" xfId="16924"/>
    <cellStyle name="20% - Accent5 4 2 3 3 9" xfId="16925"/>
    <cellStyle name="20% - Accent5 4 2 3 4" xfId="16926"/>
    <cellStyle name="20% - Accent5 4 2 3 4 2" xfId="16927"/>
    <cellStyle name="20% - Accent5 4 2 3 4 2 2" xfId="16928"/>
    <cellStyle name="20% - Accent5 4 2 3 4 2 2 2" xfId="16929"/>
    <cellStyle name="20% - Accent5 4 2 3 4 2 2 3" xfId="16930"/>
    <cellStyle name="20% - Accent5 4 2 3 4 2 3" xfId="16931"/>
    <cellStyle name="20% - Accent5 4 2 3 4 2 3 2" xfId="16932"/>
    <cellStyle name="20% - Accent5 4 2 3 4 2 3 3" xfId="16933"/>
    <cellStyle name="20% - Accent5 4 2 3 4 2 4" xfId="16934"/>
    <cellStyle name="20% - Accent5 4 2 3 4 2 4 2" xfId="16935"/>
    <cellStyle name="20% - Accent5 4 2 3 4 2 5" xfId="16936"/>
    <cellStyle name="20% - Accent5 4 2 3 4 2 6" xfId="16937"/>
    <cellStyle name="20% - Accent5 4 2 3 4 3" xfId="16938"/>
    <cellStyle name="20% - Accent5 4 2 3 4 3 2" xfId="16939"/>
    <cellStyle name="20% - Accent5 4 2 3 4 3 2 2" xfId="16940"/>
    <cellStyle name="20% - Accent5 4 2 3 4 3 2 3" xfId="16941"/>
    <cellStyle name="20% - Accent5 4 2 3 4 3 3" xfId="16942"/>
    <cellStyle name="20% - Accent5 4 2 3 4 3 3 2" xfId="16943"/>
    <cellStyle name="20% - Accent5 4 2 3 4 3 3 3" xfId="16944"/>
    <cellStyle name="20% - Accent5 4 2 3 4 3 4" xfId="16945"/>
    <cellStyle name="20% - Accent5 4 2 3 4 3 4 2" xfId="16946"/>
    <cellStyle name="20% - Accent5 4 2 3 4 3 5" xfId="16947"/>
    <cellStyle name="20% - Accent5 4 2 3 4 3 6" xfId="16948"/>
    <cellStyle name="20% - Accent5 4 2 3 4 4" xfId="16949"/>
    <cellStyle name="20% - Accent5 4 2 3 4 4 2" xfId="16950"/>
    <cellStyle name="20% - Accent5 4 2 3 4 4 2 2" xfId="16951"/>
    <cellStyle name="20% - Accent5 4 2 3 4 4 2 3" xfId="16952"/>
    <cellStyle name="20% - Accent5 4 2 3 4 4 3" xfId="16953"/>
    <cellStyle name="20% - Accent5 4 2 3 4 4 3 2" xfId="16954"/>
    <cellStyle name="20% - Accent5 4 2 3 4 4 4" xfId="16955"/>
    <cellStyle name="20% - Accent5 4 2 3 4 4 5" xfId="16956"/>
    <cellStyle name="20% - Accent5 4 2 3 4 5" xfId="16957"/>
    <cellStyle name="20% - Accent5 4 2 3 4 5 2" xfId="16958"/>
    <cellStyle name="20% - Accent5 4 2 3 4 5 3" xfId="16959"/>
    <cellStyle name="20% - Accent5 4 2 3 4 6" xfId="16960"/>
    <cellStyle name="20% - Accent5 4 2 3 4 6 2" xfId="16961"/>
    <cellStyle name="20% - Accent5 4 2 3 4 6 3" xfId="16962"/>
    <cellStyle name="20% - Accent5 4 2 3 4 7" xfId="16963"/>
    <cellStyle name="20% - Accent5 4 2 3 4 7 2" xfId="16964"/>
    <cellStyle name="20% - Accent5 4 2 3 4 8" xfId="16965"/>
    <cellStyle name="20% - Accent5 4 2 3 4 9" xfId="16966"/>
    <cellStyle name="20% - Accent5 4 2 3 5" xfId="16967"/>
    <cellStyle name="20% - Accent5 4 2 3 5 2" xfId="16968"/>
    <cellStyle name="20% - Accent5 4 2 3 5 2 2" xfId="16969"/>
    <cellStyle name="20% - Accent5 4 2 3 5 2 3" xfId="16970"/>
    <cellStyle name="20% - Accent5 4 2 3 5 3" xfId="16971"/>
    <cellStyle name="20% - Accent5 4 2 3 5 3 2" xfId="16972"/>
    <cellStyle name="20% - Accent5 4 2 3 5 3 3" xfId="16973"/>
    <cellStyle name="20% - Accent5 4 2 3 5 4" xfId="16974"/>
    <cellStyle name="20% - Accent5 4 2 3 5 4 2" xfId="16975"/>
    <cellStyle name="20% - Accent5 4 2 3 5 5" xfId="16976"/>
    <cellStyle name="20% - Accent5 4 2 3 5 6" xfId="16977"/>
    <cellStyle name="20% - Accent5 4 2 3 6" xfId="16978"/>
    <cellStyle name="20% - Accent5 4 2 3 6 2" xfId="16979"/>
    <cellStyle name="20% - Accent5 4 2 3 6 2 2" xfId="16980"/>
    <cellStyle name="20% - Accent5 4 2 3 6 2 3" xfId="16981"/>
    <cellStyle name="20% - Accent5 4 2 3 6 3" xfId="16982"/>
    <cellStyle name="20% - Accent5 4 2 3 6 3 2" xfId="16983"/>
    <cellStyle name="20% - Accent5 4 2 3 6 3 3" xfId="16984"/>
    <cellStyle name="20% - Accent5 4 2 3 6 4" xfId="16985"/>
    <cellStyle name="20% - Accent5 4 2 3 6 4 2" xfId="16986"/>
    <cellStyle name="20% - Accent5 4 2 3 6 5" xfId="16987"/>
    <cellStyle name="20% - Accent5 4 2 3 6 6" xfId="16988"/>
    <cellStyle name="20% - Accent5 4 2 3 7" xfId="16989"/>
    <cellStyle name="20% - Accent5 4 2 3 7 2" xfId="16990"/>
    <cellStyle name="20% - Accent5 4 2 3 7 2 2" xfId="16991"/>
    <cellStyle name="20% - Accent5 4 2 3 7 2 3" xfId="16992"/>
    <cellStyle name="20% - Accent5 4 2 3 7 3" xfId="16993"/>
    <cellStyle name="20% - Accent5 4 2 3 7 3 2" xfId="16994"/>
    <cellStyle name="20% - Accent5 4 2 3 7 4" xfId="16995"/>
    <cellStyle name="20% - Accent5 4 2 3 7 5" xfId="16996"/>
    <cellStyle name="20% - Accent5 4 2 3 8" xfId="16997"/>
    <cellStyle name="20% - Accent5 4 2 3 8 2" xfId="16998"/>
    <cellStyle name="20% - Accent5 4 2 3 8 3" xfId="16999"/>
    <cellStyle name="20% - Accent5 4 2 3 9" xfId="17000"/>
    <cellStyle name="20% - Accent5 4 2 3 9 2" xfId="17001"/>
    <cellStyle name="20% - Accent5 4 2 3 9 3" xfId="17002"/>
    <cellStyle name="20% - Accent5 4 2 4" xfId="1142"/>
    <cellStyle name="20% - Accent5 4 2 4 10" xfId="17003"/>
    <cellStyle name="20% - Accent5 4 2 4 2" xfId="1143"/>
    <cellStyle name="20% - Accent5 4 2 4 2 2" xfId="17004"/>
    <cellStyle name="20% - Accent5 4 2 4 2 2 2" xfId="17005"/>
    <cellStyle name="20% - Accent5 4 2 4 2 2 2 2" xfId="17006"/>
    <cellStyle name="20% - Accent5 4 2 4 2 2 2 3" xfId="17007"/>
    <cellStyle name="20% - Accent5 4 2 4 2 2 3" xfId="17008"/>
    <cellStyle name="20% - Accent5 4 2 4 2 2 3 2" xfId="17009"/>
    <cellStyle name="20% - Accent5 4 2 4 2 2 3 3" xfId="17010"/>
    <cellStyle name="20% - Accent5 4 2 4 2 2 4" xfId="17011"/>
    <cellStyle name="20% - Accent5 4 2 4 2 2 4 2" xfId="17012"/>
    <cellStyle name="20% - Accent5 4 2 4 2 2 5" xfId="17013"/>
    <cellStyle name="20% - Accent5 4 2 4 2 2 6" xfId="17014"/>
    <cellStyle name="20% - Accent5 4 2 4 2 3" xfId="17015"/>
    <cellStyle name="20% - Accent5 4 2 4 2 3 2" xfId="17016"/>
    <cellStyle name="20% - Accent5 4 2 4 2 3 2 2" xfId="17017"/>
    <cellStyle name="20% - Accent5 4 2 4 2 3 2 3" xfId="17018"/>
    <cellStyle name="20% - Accent5 4 2 4 2 3 3" xfId="17019"/>
    <cellStyle name="20% - Accent5 4 2 4 2 3 3 2" xfId="17020"/>
    <cellStyle name="20% - Accent5 4 2 4 2 3 3 3" xfId="17021"/>
    <cellStyle name="20% - Accent5 4 2 4 2 3 4" xfId="17022"/>
    <cellStyle name="20% - Accent5 4 2 4 2 3 4 2" xfId="17023"/>
    <cellStyle name="20% - Accent5 4 2 4 2 3 5" xfId="17024"/>
    <cellStyle name="20% - Accent5 4 2 4 2 3 6" xfId="17025"/>
    <cellStyle name="20% - Accent5 4 2 4 2 4" xfId="17026"/>
    <cellStyle name="20% - Accent5 4 2 4 2 4 2" xfId="17027"/>
    <cellStyle name="20% - Accent5 4 2 4 2 4 2 2" xfId="17028"/>
    <cellStyle name="20% - Accent5 4 2 4 2 4 2 3" xfId="17029"/>
    <cellStyle name="20% - Accent5 4 2 4 2 4 3" xfId="17030"/>
    <cellStyle name="20% - Accent5 4 2 4 2 4 3 2" xfId="17031"/>
    <cellStyle name="20% - Accent5 4 2 4 2 4 4" xfId="17032"/>
    <cellStyle name="20% - Accent5 4 2 4 2 4 5" xfId="17033"/>
    <cellStyle name="20% - Accent5 4 2 4 2 5" xfId="17034"/>
    <cellStyle name="20% - Accent5 4 2 4 2 5 2" xfId="17035"/>
    <cellStyle name="20% - Accent5 4 2 4 2 5 3" xfId="17036"/>
    <cellStyle name="20% - Accent5 4 2 4 2 6" xfId="17037"/>
    <cellStyle name="20% - Accent5 4 2 4 2 6 2" xfId="17038"/>
    <cellStyle name="20% - Accent5 4 2 4 2 6 3" xfId="17039"/>
    <cellStyle name="20% - Accent5 4 2 4 2 7" xfId="17040"/>
    <cellStyle name="20% - Accent5 4 2 4 2 7 2" xfId="17041"/>
    <cellStyle name="20% - Accent5 4 2 4 2 8" xfId="17042"/>
    <cellStyle name="20% - Accent5 4 2 4 2 9" xfId="17043"/>
    <cellStyle name="20% - Accent5 4 2 4 3" xfId="17044"/>
    <cellStyle name="20% - Accent5 4 2 4 3 2" xfId="17045"/>
    <cellStyle name="20% - Accent5 4 2 4 3 2 2" xfId="17046"/>
    <cellStyle name="20% - Accent5 4 2 4 3 2 3" xfId="17047"/>
    <cellStyle name="20% - Accent5 4 2 4 3 3" xfId="17048"/>
    <cellStyle name="20% - Accent5 4 2 4 3 3 2" xfId="17049"/>
    <cellStyle name="20% - Accent5 4 2 4 3 3 3" xfId="17050"/>
    <cellStyle name="20% - Accent5 4 2 4 3 4" xfId="17051"/>
    <cellStyle name="20% - Accent5 4 2 4 3 4 2" xfId="17052"/>
    <cellStyle name="20% - Accent5 4 2 4 3 5" xfId="17053"/>
    <cellStyle name="20% - Accent5 4 2 4 3 6" xfId="17054"/>
    <cellStyle name="20% - Accent5 4 2 4 4" xfId="17055"/>
    <cellStyle name="20% - Accent5 4 2 4 4 2" xfId="17056"/>
    <cellStyle name="20% - Accent5 4 2 4 4 2 2" xfId="17057"/>
    <cellStyle name="20% - Accent5 4 2 4 4 2 3" xfId="17058"/>
    <cellStyle name="20% - Accent5 4 2 4 4 3" xfId="17059"/>
    <cellStyle name="20% - Accent5 4 2 4 4 3 2" xfId="17060"/>
    <cellStyle name="20% - Accent5 4 2 4 4 3 3" xfId="17061"/>
    <cellStyle name="20% - Accent5 4 2 4 4 4" xfId="17062"/>
    <cellStyle name="20% - Accent5 4 2 4 4 4 2" xfId="17063"/>
    <cellStyle name="20% - Accent5 4 2 4 4 5" xfId="17064"/>
    <cellStyle name="20% - Accent5 4 2 4 4 6" xfId="17065"/>
    <cellStyle name="20% - Accent5 4 2 4 5" xfId="17066"/>
    <cellStyle name="20% - Accent5 4 2 4 5 2" xfId="17067"/>
    <cellStyle name="20% - Accent5 4 2 4 5 2 2" xfId="17068"/>
    <cellStyle name="20% - Accent5 4 2 4 5 2 3" xfId="17069"/>
    <cellStyle name="20% - Accent5 4 2 4 5 3" xfId="17070"/>
    <cellStyle name="20% - Accent5 4 2 4 5 3 2" xfId="17071"/>
    <cellStyle name="20% - Accent5 4 2 4 5 4" xfId="17072"/>
    <cellStyle name="20% - Accent5 4 2 4 5 5" xfId="17073"/>
    <cellStyle name="20% - Accent5 4 2 4 6" xfId="17074"/>
    <cellStyle name="20% - Accent5 4 2 4 6 2" xfId="17075"/>
    <cellStyle name="20% - Accent5 4 2 4 6 3" xfId="17076"/>
    <cellStyle name="20% - Accent5 4 2 4 7" xfId="17077"/>
    <cellStyle name="20% - Accent5 4 2 4 7 2" xfId="17078"/>
    <cellStyle name="20% - Accent5 4 2 4 7 3" xfId="17079"/>
    <cellStyle name="20% - Accent5 4 2 4 8" xfId="17080"/>
    <cellStyle name="20% - Accent5 4 2 4 8 2" xfId="17081"/>
    <cellStyle name="20% - Accent5 4 2 4 9" xfId="17082"/>
    <cellStyle name="20% - Accent5 4 2 5" xfId="1144"/>
    <cellStyle name="20% - Accent5 4 2 5 2" xfId="17083"/>
    <cellStyle name="20% - Accent5 4 2 5 2 2" xfId="17084"/>
    <cellStyle name="20% - Accent5 4 2 5 2 2 2" xfId="17085"/>
    <cellStyle name="20% - Accent5 4 2 5 2 2 3" xfId="17086"/>
    <cellStyle name="20% - Accent5 4 2 5 2 3" xfId="17087"/>
    <cellStyle name="20% - Accent5 4 2 5 2 3 2" xfId="17088"/>
    <cellStyle name="20% - Accent5 4 2 5 2 3 3" xfId="17089"/>
    <cellStyle name="20% - Accent5 4 2 5 2 4" xfId="17090"/>
    <cellStyle name="20% - Accent5 4 2 5 2 4 2" xfId="17091"/>
    <cellStyle name="20% - Accent5 4 2 5 2 5" xfId="17092"/>
    <cellStyle name="20% - Accent5 4 2 5 2 6" xfId="17093"/>
    <cellStyle name="20% - Accent5 4 2 5 3" xfId="17094"/>
    <cellStyle name="20% - Accent5 4 2 5 3 2" xfId="17095"/>
    <cellStyle name="20% - Accent5 4 2 5 3 2 2" xfId="17096"/>
    <cellStyle name="20% - Accent5 4 2 5 3 2 3" xfId="17097"/>
    <cellStyle name="20% - Accent5 4 2 5 3 3" xfId="17098"/>
    <cellStyle name="20% - Accent5 4 2 5 3 3 2" xfId="17099"/>
    <cellStyle name="20% - Accent5 4 2 5 3 3 3" xfId="17100"/>
    <cellStyle name="20% - Accent5 4 2 5 3 4" xfId="17101"/>
    <cellStyle name="20% - Accent5 4 2 5 3 4 2" xfId="17102"/>
    <cellStyle name="20% - Accent5 4 2 5 3 5" xfId="17103"/>
    <cellStyle name="20% - Accent5 4 2 5 3 6" xfId="17104"/>
    <cellStyle name="20% - Accent5 4 2 5 4" xfId="17105"/>
    <cellStyle name="20% - Accent5 4 2 5 4 2" xfId="17106"/>
    <cellStyle name="20% - Accent5 4 2 5 4 2 2" xfId="17107"/>
    <cellStyle name="20% - Accent5 4 2 5 4 2 3" xfId="17108"/>
    <cellStyle name="20% - Accent5 4 2 5 4 3" xfId="17109"/>
    <cellStyle name="20% - Accent5 4 2 5 4 3 2" xfId="17110"/>
    <cellStyle name="20% - Accent5 4 2 5 4 4" xfId="17111"/>
    <cellStyle name="20% - Accent5 4 2 5 4 5" xfId="17112"/>
    <cellStyle name="20% - Accent5 4 2 5 5" xfId="17113"/>
    <cellStyle name="20% - Accent5 4 2 5 5 2" xfId="17114"/>
    <cellStyle name="20% - Accent5 4 2 5 5 3" xfId="17115"/>
    <cellStyle name="20% - Accent5 4 2 5 6" xfId="17116"/>
    <cellStyle name="20% - Accent5 4 2 5 6 2" xfId="17117"/>
    <cellStyle name="20% - Accent5 4 2 5 6 3" xfId="17118"/>
    <cellStyle name="20% - Accent5 4 2 5 7" xfId="17119"/>
    <cellStyle name="20% - Accent5 4 2 5 7 2" xfId="17120"/>
    <cellStyle name="20% - Accent5 4 2 5 8" xfId="17121"/>
    <cellStyle name="20% - Accent5 4 2 5 9" xfId="17122"/>
    <cellStyle name="20% - Accent5 4 2 6" xfId="17123"/>
    <cellStyle name="20% - Accent5 4 2 6 2" xfId="17124"/>
    <cellStyle name="20% - Accent5 4 2 6 2 2" xfId="17125"/>
    <cellStyle name="20% - Accent5 4 2 6 2 2 2" xfId="17126"/>
    <cellStyle name="20% - Accent5 4 2 6 2 2 3" xfId="17127"/>
    <cellStyle name="20% - Accent5 4 2 6 2 3" xfId="17128"/>
    <cellStyle name="20% - Accent5 4 2 6 2 3 2" xfId="17129"/>
    <cellStyle name="20% - Accent5 4 2 6 2 3 3" xfId="17130"/>
    <cellStyle name="20% - Accent5 4 2 6 2 4" xfId="17131"/>
    <cellStyle name="20% - Accent5 4 2 6 2 4 2" xfId="17132"/>
    <cellStyle name="20% - Accent5 4 2 6 2 5" xfId="17133"/>
    <cellStyle name="20% - Accent5 4 2 6 2 6" xfId="17134"/>
    <cellStyle name="20% - Accent5 4 2 6 3" xfId="17135"/>
    <cellStyle name="20% - Accent5 4 2 6 3 2" xfId="17136"/>
    <cellStyle name="20% - Accent5 4 2 6 3 2 2" xfId="17137"/>
    <cellStyle name="20% - Accent5 4 2 6 3 2 3" xfId="17138"/>
    <cellStyle name="20% - Accent5 4 2 6 3 3" xfId="17139"/>
    <cellStyle name="20% - Accent5 4 2 6 3 3 2" xfId="17140"/>
    <cellStyle name="20% - Accent5 4 2 6 3 3 3" xfId="17141"/>
    <cellStyle name="20% - Accent5 4 2 6 3 4" xfId="17142"/>
    <cellStyle name="20% - Accent5 4 2 6 3 4 2" xfId="17143"/>
    <cellStyle name="20% - Accent5 4 2 6 3 5" xfId="17144"/>
    <cellStyle name="20% - Accent5 4 2 6 3 6" xfId="17145"/>
    <cellStyle name="20% - Accent5 4 2 6 4" xfId="17146"/>
    <cellStyle name="20% - Accent5 4 2 6 4 2" xfId="17147"/>
    <cellStyle name="20% - Accent5 4 2 6 4 2 2" xfId="17148"/>
    <cellStyle name="20% - Accent5 4 2 6 4 2 3" xfId="17149"/>
    <cellStyle name="20% - Accent5 4 2 6 4 3" xfId="17150"/>
    <cellStyle name="20% - Accent5 4 2 6 4 3 2" xfId="17151"/>
    <cellStyle name="20% - Accent5 4 2 6 4 4" xfId="17152"/>
    <cellStyle name="20% - Accent5 4 2 6 4 5" xfId="17153"/>
    <cellStyle name="20% - Accent5 4 2 6 5" xfId="17154"/>
    <cellStyle name="20% - Accent5 4 2 6 5 2" xfId="17155"/>
    <cellStyle name="20% - Accent5 4 2 6 5 3" xfId="17156"/>
    <cellStyle name="20% - Accent5 4 2 6 6" xfId="17157"/>
    <cellStyle name="20% - Accent5 4 2 6 6 2" xfId="17158"/>
    <cellStyle name="20% - Accent5 4 2 6 6 3" xfId="17159"/>
    <cellStyle name="20% - Accent5 4 2 6 7" xfId="17160"/>
    <cellStyle name="20% - Accent5 4 2 6 7 2" xfId="17161"/>
    <cellStyle name="20% - Accent5 4 2 6 8" xfId="17162"/>
    <cellStyle name="20% - Accent5 4 2 6 9" xfId="17163"/>
    <cellStyle name="20% - Accent5 4 2 7" xfId="17164"/>
    <cellStyle name="20% - Accent5 4 2 7 2" xfId="17165"/>
    <cellStyle name="20% - Accent5 4 2 7 2 2" xfId="17166"/>
    <cellStyle name="20% - Accent5 4 2 7 2 3" xfId="17167"/>
    <cellStyle name="20% - Accent5 4 2 7 3" xfId="17168"/>
    <cellStyle name="20% - Accent5 4 2 7 3 2" xfId="17169"/>
    <cellStyle name="20% - Accent5 4 2 7 3 3" xfId="17170"/>
    <cellStyle name="20% - Accent5 4 2 7 4" xfId="17171"/>
    <cellStyle name="20% - Accent5 4 2 7 4 2" xfId="17172"/>
    <cellStyle name="20% - Accent5 4 2 7 5" xfId="17173"/>
    <cellStyle name="20% - Accent5 4 2 7 6" xfId="17174"/>
    <cellStyle name="20% - Accent5 4 2 8" xfId="17175"/>
    <cellStyle name="20% - Accent5 4 2 8 2" xfId="17176"/>
    <cellStyle name="20% - Accent5 4 2 8 2 2" xfId="17177"/>
    <cellStyle name="20% - Accent5 4 2 8 2 3" xfId="17178"/>
    <cellStyle name="20% - Accent5 4 2 8 3" xfId="17179"/>
    <cellStyle name="20% - Accent5 4 2 8 3 2" xfId="17180"/>
    <cellStyle name="20% - Accent5 4 2 8 3 3" xfId="17181"/>
    <cellStyle name="20% - Accent5 4 2 8 4" xfId="17182"/>
    <cellStyle name="20% - Accent5 4 2 8 4 2" xfId="17183"/>
    <cellStyle name="20% - Accent5 4 2 8 5" xfId="17184"/>
    <cellStyle name="20% - Accent5 4 2 8 6" xfId="17185"/>
    <cellStyle name="20% - Accent5 4 2 9" xfId="17186"/>
    <cellStyle name="20% - Accent5 4 2 9 2" xfId="17187"/>
    <cellStyle name="20% - Accent5 4 2 9 2 2" xfId="17188"/>
    <cellStyle name="20% - Accent5 4 2 9 2 3" xfId="17189"/>
    <cellStyle name="20% - Accent5 4 2 9 3" xfId="17190"/>
    <cellStyle name="20% - Accent5 4 2 9 3 2" xfId="17191"/>
    <cellStyle name="20% - Accent5 4 2 9 4" xfId="17192"/>
    <cellStyle name="20% - Accent5 4 2 9 5" xfId="17193"/>
    <cellStyle name="20% - Accent5 4 3" xfId="1145"/>
    <cellStyle name="20% - Accent5 4 3 10" xfId="17194"/>
    <cellStyle name="20% - Accent5 4 3 10 2" xfId="17195"/>
    <cellStyle name="20% - Accent5 4 3 10 3" xfId="17196"/>
    <cellStyle name="20% - Accent5 4 3 11" xfId="17197"/>
    <cellStyle name="20% - Accent5 4 3 11 2" xfId="17198"/>
    <cellStyle name="20% - Accent5 4 3 12" xfId="17199"/>
    <cellStyle name="20% - Accent5 4 3 13" xfId="17200"/>
    <cellStyle name="20% - Accent5 4 3 14" xfId="17201"/>
    <cellStyle name="20% - Accent5 4 3 2" xfId="1146"/>
    <cellStyle name="20% - Accent5 4 3 2 10" xfId="17202"/>
    <cellStyle name="20% - Accent5 4 3 2 10 2" xfId="17203"/>
    <cellStyle name="20% - Accent5 4 3 2 11" xfId="17204"/>
    <cellStyle name="20% - Accent5 4 3 2 12" xfId="17205"/>
    <cellStyle name="20% - Accent5 4 3 2 2" xfId="1147"/>
    <cellStyle name="20% - Accent5 4 3 2 2 10" xfId="17206"/>
    <cellStyle name="20% - Accent5 4 3 2 2 2" xfId="1148"/>
    <cellStyle name="20% - Accent5 4 3 2 2 2 2" xfId="17207"/>
    <cellStyle name="20% - Accent5 4 3 2 2 2 2 2" xfId="17208"/>
    <cellStyle name="20% - Accent5 4 3 2 2 2 2 2 2" xfId="17209"/>
    <cellStyle name="20% - Accent5 4 3 2 2 2 2 2 3" xfId="17210"/>
    <cellStyle name="20% - Accent5 4 3 2 2 2 2 3" xfId="17211"/>
    <cellStyle name="20% - Accent5 4 3 2 2 2 2 3 2" xfId="17212"/>
    <cellStyle name="20% - Accent5 4 3 2 2 2 2 3 3" xfId="17213"/>
    <cellStyle name="20% - Accent5 4 3 2 2 2 2 4" xfId="17214"/>
    <cellStyle name="20% - Accent5 4 3 2 2 2 2 4 2" xfId="17215"/>
    <cellStyle name="20% - Accent5 4 3 2 2 2 2 5" xfId="17216"/>
    <cellStyle name="20% - Accent5 4 3 2 2 2 2 6" xfId="17217"/>
    <cellStyle name="20% - Accent5 4 3 2 2 2 3" xfId="17218"/>
    <cellStyle name="20% - Accent5 4 3 2 2 2 3 2" xfId="17219"/>
    <cellStyle name="20% - Accent5 4 3 2 2 2 3 2 2" xfId="17220"/>
    <cellStyle name="20% - Accent5 4 3 2 2 2 3 2 3" xfId="17221"/>
    <cellStyle name="20% - Accent5 4 3 2 2 2 3 3" xfId="17222"/>
    <cellStyle name="20% - Accent5 4 3 2 2 2 3 3 2" xfId="17223"/>
    <cellStyle name="20% - Accent5 4 3 2 2 2 3 3 3" xfId="17224"/>
    <cellStyle name="20% - Accent5 4 3 2 2 2 3 4" xfId="17225"/>
    <cellStyle name="20% - Accent5 4 3 2 2 2 3 4 2" xfId="17226"/>
    <cellStyle name="20% - Accent5 4 3 2 2 2 3 5" xfId="17227"/>
    <cellStyle name="20% - Accent5 4 3 2 2 2 3 6" xfId="17228"/>
    <cellStyle name="20% - Accent5 4 3 2 2 2 4" xfId="17229"/>
    <cellStyle name="20% - Accent5 4 3 2 2 2 4 2" xfId="17230"/>
    <cellStyle name="20% - Accent5 4 3 2 2 2 4 2 2" xfId="17231"/>
    <cellStyle name="20% - Accent5 4 3 2 2 2 4 2 3" xfId="17232"/>
    <cellStyle name="20% - Accent5 4 3 2 2 2 4 3" xfId="17233"/>
    <cellStyle name="20% - Accent5 4 3 2 2 2 4 3 2" xfId="17234"/>
    <cellStyle name="20% - Accent5 4 3 2 2 2 4 4" xfId="17235"/>
    <cellStyle name="20% - Accent5 4 3 2 2 2 4 5" xfId="17236"/>
    <cellStyle name="20% - Accent5 4 3 2 2 2 5" xfId="17237"/>
    <cellStyle name="20% - Accent5 4 3 2 2 2 5 2" xfId="17238"/>
    <cellStyle name="20% - Accent5 4 3 2 2 2 5 3" xfId="17239"/>
    <cellStyle name="20% - Accent5 4 3 2 2 2 6" xfId="17240"/>
    <cellStyle name="20% - Accent5 4 3 2 2 2 6 2" xfId="17241"/>
    <cellStyle name="20% - Accent5 4 3 2 2 2 6 3" xfId="17242"/>
    <cellStyle name="20% - Accent5 4 3 2 2 2 7" xfId="17243"/>
    <cellStyle name="20% - Accent5 4 3 2 2 2 7 2" xfId="17244"/>
    <cellStyle name="20% - Accent5 4 3 2 2 2 8" xfId="17245"/>
    <cellStyle name="20% - Accent5 4 3 2 2 2 9" xfId="17246"/>
    <cellStyle name="20% - Accent5 4 3 2 2 3" xfId="17247"/>
    <cellStyle name="20% - Accent5 4 3 2 2 3 2" xfId="17248"/>
    <cellStyle name="20% - Accent5 4 3 2 2 3 2 2" xfId="17249"/>
    <cellStyle name="20% - Accent5 4 3 2 2 3 2 3" xfId="17250"/>
    <cellStyle name="20% - Accent5 4 3 2 2 3 3" xfId="17251"/>
    <cellStyle name="20% - Accent5 4 3 2 2 3 3 2" xfId="17252"/>
    <cellStyle name="20% - Accent5 4 3 2 2 3 3 3" xfId="17253"/>
    <cellStyle name="20% - Accent5 4 3 2 2 3 4" xfId="17254"/>
    <cellStyle name="20% - Accent5 4 3 2 2 3 4 2" xfId="17255"/>
    <cellStyle name="20% - Accent5 4 3 2 2 3 5" xfId="17256"/>
    <cellStyle name="20% - Accent5 4 3 2 2 3 6" xfId="17257"/>
    <cellStyle name="20% - Accent5 4 3 2 2 4" xfId="17258"/>
    <cellStyle name="20% - Accent5 4 3 2 2 4 2" xfId="17259"/>
    <cellStyle name="20% - Accent5 4 3 2 2 4 2 2" xfId="17260"/>
    <cellStyle name="20% - Accent5 4 3 2 2 4 2 3" xfId="17261"/>
    <cellStyle name="20% - Accent5 4 3 2 2 4 3" xfId="17262"/>
    <cellStyle name="20% - Accent5 4 3 2 2 4 3 2" xfId="17263"/>
    <cellStyle name="20% - Accent5 4 3 2 2 4 3 3" xfId="17264"/>
    <cellStyle name="20% - Accent5 4 3 2 2 4 4" xfId="17265"/>
    <cellStyle name="20% - Accent5 4 3 2 2 4 4 2" xfId="17266"/>
    <cellStyle name="20% - Accent5 4 3 2 2 4 5" xfId="17267"/>
    <cellStyle name="20% - Accent5 4 3 2 2 4 6" xfId="17268"/>
    <cellStyle name="20% - Accent5 4 3 2 2 5" xfId="17269"/>
    <cellStyle name="20% - Accent5 4 3 2 2 5 2" xfId="17270"/>
    <cellStyle name="20% - Accent5 4 3 2 2 5 2 2" xfId="17271"/>
    <cellStyle name="20% - Accent5 4 3 2 2 5 2 3" xfId="17272"/>
    <cellStyle name="20% - Accent5 4 3 2 2 5 3" xfId="17273"/>
    <cellStyle name="20% - Accent5 4 3 2 2 5 3 2" xfId="17274"/>
    <cellStyle name="20% - Accent5 4 3 2 2 5 4" xfId="17275"/>
    <cellStyle name="20% - Accent5 4 3 2 2 5 5" xfId="17276"/>
    <cellStyle name="20% - Accent5 4 3 2 2 6" xfId="17277"/>
    <cellStyle name="20% - Accent5 4 3 2 2 6 2" xfId="17278"/>
    <cellStyle name="20% - Accent5 4 3 2 2 6 3" xfId="17279"/>
    <cellStyle name="20% - Accent5 4 3 2 2 7" xfId="17280"/>
    <cellStyle name="20% - Accent5 4 3 2 2 7 2" xfId="17281"/>
    <cellStyle name="20% - Accent5 4 3 2 2 7 3" xfId="17282"/>
    <cellStyle name="20% - Accent5 4 3 2 2 8" xfId="17283"/>
    <cellStyle name="20% - Accent5 4 3 2 2 8 2" xfId="17284"/>
    <cellStyle name="20% - Accent5 4 3 2 2 9" xfId="17285"/>
    <cellStyle name="20% - Accent5 4 3 2 3" xfId="1149"/>
    <cellStyle name="20% - Accent5 4 3 2 3 2" xfId="17286"/>
    <cellStyle name="20% - Accent5 4 3 2 3 2 2" xfId="17287"/>
    <cellStyle name="20% - Accent5 4 3 2 3 2 2 2" xfId="17288"/>
    <cellStyle name="20% - Accent5 4 3 2 3 2 2 3" xfId="17289"/>
    <cellStyle name="20% - Accent5 4 3 2 3 2 3" xfId="17290"/>
    <cellStyle name="20% - Accent5 4 3 2 3 2 3 2" xfId="17291"/>
    <cellStyle name="20% - Accent5 4 3 2 3 2 3 3" xfId="17292"/>
    <cellStyle name="20% - Accent5 4 3 2 3 2 4" xfId="17293"/>
    <cellStyle name="20% - Accent5 4 3 2 3 2 4 2" xfId="17294"/>
    <cellStyle name="20% - Accent5 4 3 2 3 2 5" xfId="17295"/>
    <cellStyle name="20% - Accent5 4 3 2 3 2 6" xfId="17296"/>
    <cellStyle name="20% - Accent5 4 3 2 3 3" xfId="17297"/>
    <cellStyle name="20% - Accent5 4 3 2 3 3 2" xfId="17298"/>
    <cellStyle name="20% - Accent5 4 3 2 3 3 2 2" xfId="17299"/>
    <cellStyle name="20% - Accent5 4 3 2 3 3 2 3" xfId="17300"/>
    <cellStyle name="20% - Accent5 4 3 2 3 3 3" xfId="17301"/>
    <cellStyle name="20% - Accent5 4 3 2 3 3 3 2" xfId="17302"/>
    <cellStyle name="20% - Accent5 4 3 2 3 3 3 3" xfId="17303"/>
    <cellStyle name="20% - Accent5 4 3 2 3 3 4" xfId="17304"/>
    <cellStyle name="20% - Accent5 4 3 2 3 3 4 2" xfId="17305"/>
    <cellStyle name="20% - Accent5 4 3 2 3 3 5" xfId="17306"/>
    <cellStyle name="20% - Accent5 4 3 2 3 3 6" xfId="17307"/>
    <cellStyle name="20% - Accent5 4 3 2 3 4" xfId="17308"/>
    <cellStyle name="20% - Accent5 4 3 2 3 4 2" xfId="17309"/>
    <cellStyle name="20% - Accent5 4 3 2 3 4 2 2" xfId="17310"/>
    <cellStyle name="20% - Accent5 4 3 2 3 4 2 3" xfId="17311"/>
    <cellStyle name="20% - Accent5 4 3 2 3 4 3" xfId="17312"/>
    <cellStyle name="20% - Accent5 4 3 2 3 4 3 2" xfId="17313"/>
    <cellStyle name="20% - Accent5 4 3 2 3 4 4" xfId="17314"/>
    <cellStyle name="20% - Accent5 4 3 2 3 4 5" xfId="17315"/>
    <cellStyle name="20% - Accent5 4 3 2 3 5" xfId="17316"/>
    <cellStyle name="20% - Accent5 4 3 2 3 5 2" xfId="17317"/>
    <cellStyle name="20% - Accent5 4 3 2 3 5 3" xfId="17318"/>
    <cellStyle name="20% - Accent5 4 3 2 3 6" xfId="17319"/>
    <cellStyle name="20% - Accent5 4 3 2 3 6 2" xfId="17320"/>
    <cellStyle name="20% - Accent5 4 3 2 3 6 3" xfId="17321"/>
    <cellStyle name="20% - Accent5 4 3 2 3 7" xfId="17322"/>
    <cellStyle name="20% - Accent5 4 3 2 3 7 2" xfId="17323"/>
    <cellStyle name="20% - Accent5 4 3 2 3 8" xfId="17324"/>
    <cellStyle name="20% - Accent5 4 3 2 3 9" xfId="17325"/>
    <cellStyle name="20% - Accent5 4 3 2 4" xfId="17326"/>
    <cellStyle name="20% - Accent5 4 3 2 4 2" xfId="17327"/>
    <cellStyle name="20% - Accent5 4 3 2 4 2 2" xfId="17328"/>
    <cellStyle name="20% - Accent5 4 3 2 4 2 2 2" xfId="17329"/>
    <cellStyle name="20% - Accent5 4 3 2 4 2 2 3" xfId="17330"/>
    <cellStyle name="20% - Accent5 4 3 2 4 2 3" xfId="17331"/>
    <cellStyle name="20% - Accent5 4 3 2 4 2 3 2" xfId="17332"/>
    <cellStyle name="20% - Accent5 4 3 2 4 2 3 3" xfId="17333"/>
    <cellStyle name="20% - Accent5 4 3 2 4 2 4" xfId="17334"/>
    <cellStyle name="20% - Accent5 4 3 2 4 2 4 2" xfId="17335"/>
    <cellStyle name="20% - Accent5 4 3 2 4 2 5" xfId="17336"/>
    <cellStyle name="20% - Accent5 4 3 2 4 2 6" xfId="17337"/>
    <cellStyle name="20% - Accent5 4 3 2 4 3" xfId="17338"/>
    <cellStyle name="20% - Accent5 4 3 2 4 3 2" xfId="17339"/>
    <cellStyle name="20% - Accent5 4 3 2 4 3 2 2" xfId="17340"/>
    <cellStyle name="20% - Accent5 4 3 2 4 3 2 3" xfId="17341"/>
    <cellStyle name="20% - Accent5 4 3 2 4 3 3" xfId="17342"/>
    <cellStyle name="20% - Accent5 4 3 2 4 3 3 2" xfId="17343"/>
    <cellStyle name="20% - Accent5 4 3 2 4 3 3 3" xfId="17344"/>
    <cellStyle name="20% - Accent5 4 3 2 4 3 4" xfId="17345"/>
    <cellStyle name="20% - Accent5 4 3 2 4 3 4 2" xfId="17346"/>
    <cellStyle name="20% - Accent5 4 3 2 4 3 5" xfId="17347"/>
    <cellStyle name="20% - Accent5 4 3 2 4 3 6" xfId="17348"/>
    <cellStyle name="20% - Accent5 4 3 2 4 4" xfId="17349"/>
    <cellStyle name="20% - Accent5 4 3 2 4 4 2" xfId="17350"/>
    <cellStyle name="20% - Accent5 4 3 2 4 4 2 2" xfId="17351"/>
    <cellStyle name="20% - Accent5 4 3 2 4 4 2 3" xfId="17352"/>
    <cellStyle name="20% - Accent5 4 3 2 4 4 3" xfId="17353"/>
    <cellStyle name="20% - Accent5 4 3 2 4 4 3 2" xfId="17354"/>
    <cellStyle name="20% - Accent5 4 3 2 4 4 4" xfId="17355"/>
    <cellStyle name="20% - Accent5 4 3 2 4 4 5" xfId="17356"/>
    <cellStyle name="20% - Accent5 4 3 2 4 5" xfId="17357"/>
    <cellStyle name="20% - Accent5 4 3 2 4 5 2" xfId="17358"/>
    <cellStyle name="20% - Accent5 4 3 2 4 5 3" xfId="17359"/>
    <cellStyle name="20% - Accent5 4 3 2 4 6" xfId="17360"/>
    <cellStyle name="20% - Accent5 4 3 2 4 6 2" xfId="17361"/>
    <cellStyle name="20% - Accent5 4 3 2 4 6 3" xfId="17362"/>
    <cellStyle name="20% - Accent5 4 3 2 4 7" xfId="17363"/>
    <cellStyle name="20% - Accent5 4 3 2 4 7 2" xfId="17364"/>
    <cellStyle name="20% - Accent5 4 3 2 4 8" xfId="17365"/>
    <cellStyle name="20% - Accent5 4 3 2 4 9" xfId="17366"/>
    <cellStyle name="20% - Accent5 4 3 2 5" xfId="17367"/>
    <cellStyle name="20% - Accent5 4 3 2 5 2" xfId="17368"/>
    <cellStyle name="20% - Accent5 4 3 2 5 2 2" xfId="17369"/>
    <cellStyle name="20% - Accent5 4 3 2 5 2 3" xfId="17370"/>
    <cellStyle name="20% - Accent5 4 3 2 5 3" xfId="17371"/>
    <cellStyle name="20% - Accent5 4 3 2 5 3 2" xfId="17372"/>
    <cellStyle name="20% - Accent5 4 3 2 5 3 3" xfId="17373"/>
    <cellStyle name="20% - Accent5 4 3 2 5 4" xfId="17374"/>
    <cellStyle name="20% - Accent5 4 3 2 5 4 2" xfId="17375"/>
    <cellStyle name="20% - Accent5 4 3 2 5 5" xfId="17376"/>
    <cellStyle name="20% - Accent5 4 3 2 5 6" xfId="17377"/>
    <cellStyle name="20% - Accent5 4 3 2 6" xfId="17378"/>
    <cellStyle name="20% - Accent5 4 3 2 6 2" xfId="17379"/>
    <cellStyle name="20% - Accent5 4 3 2 6 2 2" xfId="17380"/>
    <cellStyle name="20% - Accent5 4 3 2 6 2 3" xfId="17381"/>
    <cellStyle name="20% - Accent5 4 3 2 6 3" xfId="17382"/>
    <cellStyle name="20% - Accent5 4 3 2 6 3 2" xfId="17383"/>
    <cellStyle name="20% - Accent5 4 3 2 6 3 3" xfId="17384"/>
    <cellStyle name="20% - Accent5 4 3 2 6 4" xfId="17385"/>
    <cellStyle name="20% - Accent5 4 3 2 6 4 2" xfId="17386"/>
    <cellStyle name="20% - Accent5 4 3 2 6 5" xfId="17387"/>
    <cellStyle name="20% - Accent5 4 3 2 6 6" xfId="17388"/>
    <cellStyle name="20% - Accent5 4 3 2 7" xfId="17389"/>
    <cellStyle name="20% - Accent5 4 3 2 7 2" xfId="17390"/>
    <cellStyle name="20% - Accent5 4 3 2 7 2 2" xfId="17391"/>
    <cellStyle name="20% - Accent5 4 3 2 7 2 3" xfId="17392"/>
    <cellStyle name="20% - Accent5 4 3 2 7 3" xfId="17393"/>
    <cellStyle name="20% - Accent5 4 3 2 7 3 2" xfId="17394"/>
    <cellStyle name="20% - Accent5 4 3 2 7 4" xfId="17395"/>
    <cellStyle name="20% - Accent5 4 3 2 7 5" xfId="17396"/>
    <cellStyle name="20% - Accent5 4 3 2 8" xfId="17397"/>
    <cellStyle name="20% - Accent5 4 3 2 8 2" xfId="17398"/>
    <cellStyle name="20% - Accent5 4 3 2 8 3" xfId="17399"/>
    <cellStyle name="20% - Accent5 4 3 2 9" xfId="17400"/>
    <cellStyle name="20% - Accent5 4 3 2 9 2" xfId="17401"/>
    <cellStyle name="20% - Accent5 4 3 2 9 3" xfId="17402"/>
    <cellStyle name="20% - Accent5 4 3 3" xfId="1150"/>
    <cellStyle name="20% - Accent5 4 3 3 10" xfId="17403"/>
    <cellStyle name="20% - Accent5 4 3 3 2" xfId="1151"/>
    <cellStyle name="20% - Accent5 4 3 3 2 2" xfId="17404"/>
    <cellStyle name="20% - Accent5 4 3 3 2 2 2" xfId="17405"/>
    <cellStyle name="20% - Accent5 4 3 3 2 2 2 2" xfId="17406"/>
    <cellStyle name="20% - Accent5 4 3 3 2 2 2 3" xfId="17407"/>
    <cellStyle name="20% - Accent5 4 3 3 2 2 3" xfId="17408"/>
    <cellStyle name="20% - Accent5 4 3 3 2 2 3 2" xfId="17409"/>
    <cellStyle name="20% - Accent5 4 3 3 2 2 3 3" xfId="17410"/>
    <cellStyle name="20% - Accent5 4 3 3 2 2 4" xfId="17411"/>
    <cellStyle name="20% - Accent5 4 3 3 2 2 4 2" xfId="17412"/>
    <cellStyle name="20% - Accent5 4 3 3 2 2 5" xfId="17413"/>
    <cellStyle name="20% - Accent5 4 3 3 2 2 6" xfId="17414"/>
    <cellStyle name="20% - Accent5 4 3 3 2 3" xfId="17415"/>
    <cellStyle name="20% - Accent5 4 3 3 2 3 2" xfId="17416"/>
    <cellStyle name="20% - Accent5 4 3 3 2 3 2 2" xfId="17417"/>
    <cellStyle name="20% - Accent5 4 3 3 2 3 2 3" xfId="17418"/>
    <cellStyle name="20% - Accent5 4 3 3 2 3 3" xfId="17419"/>
    <cellStyle name="20% - Accent5 4 3 3 2 3 3 2" xfId="17420"/>
    <cellStyle name="20% - Accent5 4 3 3 2 3 3 3" xfId="17421"/>
    <cellStyle name="20% - Accent5 4 3 3 2 3 4" xfId="17422"/>
    <cellStyle name="20% - Accent5 4 3 3 2 3 4 2" xfId="17423"/>
    <cellStyle name="20% - Accent5 4 3 3 2 3 5" xfId="17424"/>
    <cellStyle name="20% - Accent5 4 3 3 2 3 6" xfId="17425"/>
    <cellStyle name="20% - Accent5 4 3 3 2 4" xfId="17426"/>
    <cellStyle name="20% - Accent5 4 3 3 2 4 2" xfId="17427"/>
    <cellStyle name="20% - Accent5 4 3 3 2 4 2 2" xfId="17428"/>
    <cellStyle name="20% - Accent5 4 3 3 2 4 2 3" xfId="17429"/>
    <cellStyle name="20% - Accent5 4 3 3 2 4 3" xfId="17430"/>
    <cellStyle name="20% - Accent5 4 3 3 2 4 3 2" xfId="17431"/>
    <cellStyle name="20% - Accent5 4 3 3 2 4 4" xfId="17432"/>
    <cellStyle name="20% - Accent5 4 3 3 2 4 5" xfId="17433"/>
    <cellStyle name="20% - Accent5 4 3 3 2 5" xfId="17434"/>
    <cellStyle name="20% - Accent5 4 3 3 2 5 2" xfId="17435"/>
    <cellStyle name="20% - Accent5 4 3 3 2 5 3" xfId="17436"/>
    <cellStyle name="20% - Accent5 4 3 3 2 6" xfId="17437"/>
    <cellStyle name="20% - Accent5 4 3 3 2 6 2" xfId="17438"/>
    <cellStyle name="20% - Accent5 4 3 3 2 6 3" xfId="17439"/>
    <cellStyle name="20% - Accent5 4 3 3 2 7" xfId="17440"/>
    <cellStyle name="20% - Accent5 4 3 3 2 7 2" xfId="17441"/>
    <cellStyle name="20% - Accent5 4 3 3 2 8" xfId="17442"/>
    <cellStyle name="20% - Accent5 4 3 3 2 9" xfId="17443"/>
    <cellStyle name="20% - Accent5 4 3 3 3" xfId="17444"/>
    <cellStyle name="20% - Accent5 4 3 3 3 2" xfId="17445"/>
    <cellStyle name="20% - Accent5 4 3 3 3 2 2" xfId="17446"/>
    <cellStyle name="20% - Accent5 4 3 3 3 2 3" xfId="17447"/>
    <cellStyle name="20% - Accent5 4 3 3 3 3" xfId="17448"/>
    <cellStyle name="20% - Accent5 4 3 3 3 3 2" xfId="17449"/>
    <cellStyle name="20% - Accent5 4 3 3 3 3 3" xfId="17450"/>
    <cellStyle name="20% - Accent5 4 3 3 3 4" xfId="17451"/>
    <cellStyle name="20% - Accent5 4 3 3 3 4 2" xfId="17452"/>
    <cellStyle name="20% - Accent5 4 3 3 3 5" xfId="17453"/>
    <cellStyle name="20% - Accent5 4 3 3 3 6" xfId="17454"/>
    <cellStyle name="20% - Accent5 4 3 3 4" xfId="17455"/>
    <cellStyle name="20% - Accent5 4 3 3 4 2" xfId="17456"/>
    <cellStyle name="20% - Accent5 4 3 3 4 2 2" xfId="17457"/>
    <cellStyle name="20% - Accent5 4 3 3 4 2 3" xfId="17458"/>
    <cellStyle name="20% - Accent5 4 3 3 4 3" xfId="17459"/>
    <cellStyle name="20% - Accent5 4 3 3 4 3 2" xfId="17460"/>
    <cellStyle name="20% - Accent5 4 3 3 4 3 3" xfId="17461"/>
    <cellStyle name="20% - Accent5 4 3 3 4 4" xfId="17462"/>
    <cellStyle name="20% - Accent5 4 3 3 4 4 2" xfId="17463"/>
    <cellStyle name="20% - Accent5 4 3 3 4 5" xfId="17464"/>
    <cellStyle name="20% - Accent5 4 3 3 4 6" xfId="17465"/>
    <cellStyle name="20% - Accent5 4 3 3 5" xfId="17466"/>
    <cellStyle name="20% - Accent5 4 3 3 5 2" xfId="17467"/>
    <cellStyle name="20% - Accent5 4 3 3 5 2 2" xfId="17468"/>
    <cellStyle name="20% - Accent5 4 3 3 5 2 3" xfId="17469"/>
    <cellStyle name="20% - Accent5 4 3 3 5 3" xfId="17470"/>
    <cellStyle name="20% - Accent5 4 3 3 5 3 2" xfId="17471"/>
    <cellStyle name="20% - Accent5 4 3 3 5 4" xfId="17472"/>
    <cellStyle name="20% - Accent5 4 3 3 5 5" xfId="17473"/>
    <cellStyle name="20% - Accent5 4 3 3 6" xfId="17474"/>
    <cellStyle name="20% - Accent5 4 3 3 6 2" xfId="17475"/>
    <cellStyle name="20% - Accent5 4 3 3 6 3" xfId="17476"/>
    <cellStyle name="20% - Accent5 4 3 3 7" xfId="17477"/>
    <cellStyle name="20% - Accent5 4 3 3 7 2" xfId="17478"/>
    <cellStyle name="20% - Accent5 4 3 3 7 3" xfId="17479"/>
    <cellStyle name="20% - Accent5 4 3 3 8" xfId="17480"/>
    <cellStyle name="20% - Accent5 4 3 3 8 2" xfId="17481"/>
    <cellStyle name="20% - Accent5 4 3 3 9" xfId="17482"/>
    <cellStyle name="20% - Accent5 4 3 4" xfId="1152"/>
    <cellStyle name="20% - Accent5 4 3 4 2" xfId="17483"/>
    <cellStyle name="20% - Accent5 4 3 4 2 2" xfId="17484"/>
    <cellStyle name="20% - Accent5 4 3 4 2 2 2" xfId="17485"/>
    <cellStyle name="20% - Accent5 4 3 4 2 2 3" xfId="17486"/>
    <cellStyle name="20% - Accent5 4 3 4 2 3" xfId="17487"/>
    <cellStyle name="20% - Accent5 4 3 4 2 3 2" xfId="17488"/>
    <cellStyle name="20% - Accent5 4 3 4 2 3 3" xfId="17489"/>
    <cellStyle name="20% - Accent5 4 3 4 2 4" xfId="17490"/>
    <cellStyle name="20% - Accent5 4 3 4 2 4 2" xfId="17491"/>
    <cellStyle name="20% - Accent5 4 3 4 2 5" xfId="17492"/>
    <cellStyle name="20% - Accent5 4 3 4 2 6" xfId="17493"/>
    <cellStyle name="20% - Accent5 4 3 4 3" xfId="17494"/>
    <cellStyle name="20% - Accent5 4 3 4 3 2" xfId="17495"/>
    <cellStyle name="20% - Accent5 4 3 4 3 2 2" xfId="17496"/>
    <cellStyle name="20% - Accent5 4 3 4 3 2 3" xfId="17497"/>
    <cellStyle name="20% - Accent5 4 3 4 3 3" xfId="17498"/>
    <cellStyle name="20% - Accent5 4 3 4 3 3 2" xfId="17499"/>
    <cellStyle name="20% - Accent5 4 3 4 3 3 3" xfId="17500"/>
    <cellStyle name="20% - Accent5 4 3 4 3 4" xfId="17501"/>
    <cellStyle name="20% - Accent5 4 3 4 3 4 2" xfId="17502"/>
    <cellStyle name="20% - Accent5 4 3 4 3 5" xfId="17503"/>
    <cellStyle name="20% - Accent5 4 3 4 3 6" xfId="17504"/>
    <cellStyle name="20% - Accent5 4 3 4 4" xfId="17505"/>
    <cellStyle name="20% - Accent5 4 3 4 4 2" xfId="17506"/>
    <cellStyle name="20% - Accent5 4 3 4 4 2 2" xfId="17507"/>
    <cellStyle name="20% - Accent5 4 3 4 4 2 3" xfId="17508"/>
    <cellStyle name="20% - Accent5 4 3 4 4 3" xfId="17509"/>
    <cellStyle name="20% - Accent5 4 3 4 4 3 2" xfId="17510"/>
    <cellStyle name="20% - Accent5 4 3 4 4 4" xfId="17511"/>
    <cellStyle name="20% - Accent5 4 3 4 4 5" xfId="17512"/>
    <cellStyle name="20% - Accent5 4 3 4 5" xfId="17513"/>
    <cellStyle name="20% - Accent5 4 3 4 5 2" xfId="17514"/>
    <cellStyle name="20% - Accent5 4 3 4 5 3" xfId="17515"/>
    <cellStyle name="20% - Accent5 4 3 4 6" xfId="17516"/>
    <cellStyle name="20% - Accent5 4 3 4 6 2" xfId="17517"/>
    <cellStyle name="20% - Accent5 4 3 4 6 3" xfId="17518"/>
    <cellStyle name="20% - Accent5 4 3 4 7" xfId="17519"/>
    <cellStyle name="20% - Accent5 4 3 4 7 2" xfId="17520"/>
    <cellStyle name="20% - Accent5 4 3 4 8" xfId="17521"/>
    <cellStyle name="20% - Accent5 4 3 4 9" xfId="17522"/>
    <cellStyle name="20% - Accent5 4 3 5" xfId="17523"/>
    <cellStyle name="20% - Accent5 4 3 5 2" xfId="17524"/>
    <cellStyle name="20% - Accent5 4 3 5 2 2" xfId="17525"/>
    <cellStyle name="20% - Accent5 4 3 5 2 2 2" xfId="17526"/>
    <cellStyle name="20% - Accent5 4 3 5 2 2 3" xfId="17527"/>
    <cellStyle name="20% - Accent5 4 3 5 2 3" xfId="17528"/>
    <cellStyle name="20% - Accent5 4 3 5 2 3 2" xfId="17529"/>
    <cellStyle name="20% - Accent5 4 3 5 2 3 3" xfId="17530"/>
    <cellStyle name="20% - Accent5 4 3 5 2 4" xfId="17531"/>
    <cellStyle name="20% - Accent5 4 3 5 2 4 2" xfId="17532"/>
    <cellStyle name="20% - Accent5 4 3 5 2 5" xfId="17533"/>
    <cellStyle name="20% - Accent5 4 3 5 2 6" xfId="17534"/>
    <cellStyle name="20% - Accent5 4 3 5 3" xfId="17535"/>
    <cellStyle name="20% - Accent5 4 3 5 3 2" xfId="17536"/>
    <cellStyle name="20% - Accent5 4 3 5 3 2 2" xfId="17537"/>
    <cellStyle name="20% - Accent5 4 3 5 3 2 3" xfId="17538"/>
    <cellStyle name="20% - Accent5 4 3 5 3 3" xfId="17539"/>
    <cellStyle name="20% - Accent5 4 3 5 3 3 2" xfId="17540"/>
    <cellStyle name="20% - Accent5 4 3 5 3 3 3" xfId="17541"/>
    <cellStyle name="20% - Accent5 4 3 5 3 4" xfId="17542"/>
    <cellStyle name="20% - Accent5 4 3 5 3 4 2" xfId="17543"/>
    <cellStyle name="20% - Accent5 4 3 5 3 5" xfId="17544"/>
    <cellStyle name="20% - Accent5 4 3 5 3 6" xfId="17545"/>
    <cellStyle name="20% - Accent5 4 3 5 4" xfId="17546"/>
    <cellStyle name="20% - Accent5 4 3 5 4 2" xfId="17547"/>
    <cellStyle name="20% - Accent5 4 3 5 4 2 2" xfId="17548"/>
    <cellStyle name="20% - Accent5 4 3 5 4 2 3" xfId="17549"/>
    <cellStyle name="20% - Accent5 4 3 5 4 3" xfId="17550"/>
    <cellStyle name="20% - Accent5 4 3 5 4 3 2" xfId="17551"/>
    <cellStyle name="20% - Accent5 4 3 5 4 4" xfId="17552"/>
    <cellStyle name="20% - Accent5 4 3 5 4 5" xfId="17553"/>
    <cellStyle name="20% - Accent5 4 3 5 5" xfId="17554"/>
    <cellStyle name="20% - Accent5 4 3 5 5 2" xfId="17555"/>
    <cellStyle name="20% - Accent5 4 3 5 5 3" xfId="17556"/>
    <cellStyle name="20% - Accent5 4 3 5 6" xfId="17557"/>
    <cellStyle name="20% - Accent5 4 3 5 6 2" xfId="17558"/>
    <cellStyle name="20% - Accent5 4 3 5 6 3" xfId="17559"/>
    <cellStyle name="20% - Accent5 4 3 5 7" xfId="17560"/>
    <cellStyle name="20% - Accent5 4 3 5 7 2" xfId="17561"/>
    <cellStyle name="20% - Accent5 4 3 5 8" xfId="17562"/>
    <cellStyle name="20% - Accent5 4 3 5 9" xfId="17563"/>
    <cellStyle name="20% - Accent5 4 3 6" xfId="17564"/>
    <cellStyle name="20% - Accent5 4 3 6 2" xfId="17565"/>
    <cellStyle name="20% - Accent5 4 3 6 2 2" xfId="17566"/>
    <cellStyle name="20% - Accent5 4 3 6 2 3" xfId="17567"/>
    <cellStyle name="20% - Accent5 4 3 6 3" xfId="17568"/>
    <cellStyle name="20% - Accent5 4 3 6 3 2" xfId="17569"/>
    <cellStyle name="20% - Accent5 4 3 6 3 3" xfId="17570"/>
    <cellStyle name="20% - Accent5 4 3 6 4" xfId="17571"/>
    <cellStyle name="20% - Accent5 4 3 6 4 2" xfId="17572"/>
    <cellStyle name="20% - Accent5 4 3 6 5" xfId="17573"/>
    <cellStyle name="20% - Accent5 4 3 6 6" xfId="17574"/>
    <cellStyle name="20% - Accent5 4 3 7" xfId="17575"/>
    <cellStyle name="20% - Accent5 4 3 7 2" xfId="17576"/>
    <cellStyle name="20% - Accent5 4 3 7 2 2" xfId="17577"/>
    <cellStyle name="20% - Accent5 4 3 7 2 3" xfId="17578"/>
    <cellStyle name="20% - Accent5 4 3 7 3" xfId="17579"/>
    <cellStyle name="20% - Accent5 4 3 7 3 2" xfId="17580"/>
    <cellStyle name="20% - Accent5 4 3 7 3 3" xfId="17581"/>
    <cellStyle name="20% - Accent5 4 3 7 4" xfId="17582"/>
    <cellStyle name="20% - Accent5 4 3 7 4 2" xfId="17583"/>
    <cellStyle name="20% - Accent5 4 3 7 5" xfId="17584"/>
    <cellStyle name="20% - Accent5 4 3 7 6" xfId="17585"/>
    <cellStyle name="20% - Accent5 4 3 8" xfId="17586"/>
    <cellStyle name="20% - Accent5 4 3 8 2" xfId="17587"/>
    <cellStyle name="20% - Accent5 4 3 8 2 2" xfId="17588"/>
    <cellStyle name="20% - Accent5 4 3 8 2 3" xfId="17589"/>
    <cellStyle name="20% - Accent5 4 3 8 3" xfId="17590"/>
    <cellStyle name="20% - Accent5 4 3 8 3 2" xfId="17591"/>
    <cellStyle name="20% - Accent5 4 3 8 4" xfId="17592"/>
    <cellStyle name="20% - Accent5 4 3 8 5" xfId="17593"/>
    <cellStyle name="20% - Accent5 4 3 9" xfId="17594"/>
    <cellStyle name="20% - Accent5 4 3 9 2" xfId="17595"/>
    <cellStyle name="20% - Accent5 4 3 9 3" xfId="17596"/>
    <cellStyle name="20% - Accent5 4 4" xfId="1153"/>
    <cellStyle name="20% - Accent5 4 4 10" xfId="17597"/>
    <cellStyle name="20% - Accent5 4 4 10 2" xfId="17598"/>
    <cellStyle name="20% - Accent5 4 4 11" xfId="17599"/>
    <cellStyle name="20% - Accent5 4 4 12" xfId="17600"/>
    <cellStyle name="20% - Accent5 4 4 2" xfId="1154"/>
    <cellStyle name="20% - Accent5 4 4 2 10" xfId="17601"/>
    <cellStyle name="20% - Accent5 4 4 2 2" xfId="1155"/>
    <cellStyle name="20% - Accent5 4 4 2 2 2" xfId="17602"/>
    <cellStyle name="20% - Accent5 4 4 2 2 2 2" xfId="17603"/>
    <cellStyle name="20% - Accent5 4 4 2 2 2 2 2" xfId="17604"/>
    <cellStyle name="20% - Accent5 4 4 2 2 2 2 3" xfId="17605"/>
    <cellStyle name="20% - Accent5 4 4 2 2 2 3" xfId="17606"/>
    <cellStyle name="20% - Accent5 4 4 2 2 2 3 2" xfId="17607"/>
    <cellStyle name="20% - Accent5 4 4 2 2 2 3 3" xfId="17608"/>
    <cellStyle name="20% - Accent5 4 4 2 2 2 4" xfId="17609"/>
    <cellStyle name="20% - Accent5 4 4 2 2 2 4 2" xfId="17610"/>
    <cellStyle name="20% - Accent5 4 4 2 2 2 5" xfId="17611"/>
    <cellStyle name="20% - Accent5 4 4 2 2 2 6" xfId="17612"/>
    <cellStyle name="20% - Accent5 4 4 2 2 3" xfId="17613"/>
    <cellStyle name="20% - Accent5 4 4 2 2 3 2" xfId="17614"/>
    <cellStyle name="20% - Accent5 4 4 2 2 3 2 2" xfId="17615"/>
    <cellStyle name="20% - Accent5 4 4 2 2 3 2 3" xfId="17616"/>
    <cellStyle name="20% - Accent5 4 4 2 2 3 3" xfId="17617"/>
    <cellStyle name="20% - Accent5 4 4 2 2 3 3 2" xfId="17618"/>
    <cellStyle name="20% - Accent5 4 4 2 2 3 3 3" xfId="17619"/>
    <cellStyle name="20% - Accent5 4 4 2 2 3 4" xfId="17620"/>
    <cellStyle name="20% - Accent5 4 4 2 2 3 4 2" xfId="17621"/>
    <cellStyle name="20% - Accent5 4 4 2 2 3 5" xfId="17622"/>
    <cellStyle name="20% - Accent5 4 4 2 2 3 6" xfId="17623"/>
    <cellStyle name="20% - Accent5 4 4 2 2 4" xfId="17624"/>
    <cellStyle name="20% - Accent5 4 4 2 2 4 2" xfId="17625"/>
    <cellStyle name="20% - Accent5 4 4 2 2 4 2 2" xfId="17626"/>
    <cellStyle name="20% - Accent5 4 4 2 2 4 2 3" xfId="17627"/>
    <cellStyle name="20% - Accent5 4 4 2 2 4 3" xfId="17628"/>
    <cellStyle name="20% - Accent5 4 4 2 2 4 3 2" xfId="17629"/>
    <cellStyle name="20% - Accent5 4 4 2 2 4 4" xfId="17630"/>
    <cellStyle name="20% - Accent5 4 4 2 2 4 5" xfId="17631"/>
    <cellStyle name="20% - Accent5 4 4 2 2 5" xfId="17632"/>
    <cellStyle name="20% - Accent5 4 4 2 2 5 2" xfId="17633"/>
    <cellStyle name="20% - Accent5 4 4 2 2 5 3" xfId="17634"/>
    <cellStyle name="20% - Accent5 4 4 2 2 6" xfId="17635"/>
    <cellStyle name="20% - Accent5 4 4 2 2 6 2" xfId="17636"/>
    <cellStyle name="20% - Accent5 4 4 2 2 6 3" xfId="17637"/>
    <cellStyle name="20% - Accent5 4 4 2 2 7" xfId="17638"/>
    <cellStyle name="20% - Accent5 4 4 2 2 7 2" xfId="17639"/>
    <cellStyle name="20% - Accent5 4 4 2 2 8" xfId="17640"/>
    <cellStyle name="20% - Accent5 4 4 2 2 9" xfId="17641"/>
    <cellStyle name="20% - Accent5 4 4 2 3" xfId="17642"/>
    <cellStyle name="20% - Accent5 4 4 2 3 2" xfId="17643"/>
    <cellStyle name="20% - Accent5 4 4 2 3 2 2" xfId="17644"/>
    <cellStyle name="20% - Accent5 4 4 2 3 2 3" xfId="17645"/>
    <cellStyle name="20% - Accent5 4 4 2 3 3" xfId="17646"/>
    <cellStyle name="20% - Accent5 4 4 2 3 3 2" xfId="17647"/>
    <cellStyle name="20% - Accent5 4 4 2 3 3 3" xfId="17648"/>
    <cellStyle name="20% - Accent5 4 4 2 3 4" xfId="17649"/>
    <cellStyle name="20% - Accent5 4 4 2 3 4 2" xfId="17650"/>
    <cellStyle name="20% - Accent5 4 4 2 3 5" xfId="17651"/>
    <cellStyle name="20% - Accent5 4 4 2 3 6" xfId="17652"/>
    <cellStyle name="20% - Accent5 4 4 2 4" xfId="17653"/>
    <cellStyle name="20% - Accent5 4 4 2 4 2" xfId="17654"/>
    <cellStyle name="20% - Accent5 4 4 2 4 2 2" xfId="17655"/>
    <cellStyle name="20% - Accent5 4 4 2 4 2 3" xfId="17656"/>
    <cellStyle name="20% - Accent5 4 4 2 4 3" xfId="17657"/>
    <cellStyle name="20% - Accent5 4 4 2 4 3 2" xfId="17658"/>
    <cellStyle name="20% - Accent5 4 4 2 4 3 3" xfId="17659"/>
    <cellStyle name="20% - Accent5 4 4 2 4 4" xfId="17660"/>
    <cellStyle name="20% - Accent5 4 4 2 4 4 2" xfId="17661"/>
    <cellStyle name="20% - Accent5 4 4 2 4 5" xfId="17662"/>
    <cellStyle name="20% - Accent5 4 4 2 4 6" xfId="17663"/>
    <cellStyle name="20% - Accent5 4 4 2 5" xfId="17664"/>
    <cellStyle name="20% - Accent5 4 4 2 5 2" xfId="17665"/>
    <cellStyle name="20% - Accent5 4 4 2 5 2 2" xfId="17666"/>
    <cellStyle name="20% - Accent5 4 4 2 5 2 3" xfId="17667"/>
    <cellStyle name="20% - Accent5 4 4 2 5 3" xfId="17668"/>
    <cellStyle name="20% - Accent5 4 4 2 5 3 2" xfId="17669"/>
    <cellStyle name="20% - Accent5 4 4 2 5 4" xfId="17670"/>
    <cellStyle name="20% - Accent5 4 4 2 5 5" xfId="17671"/>
    <cellStyle name="20% - Accent5 4 4 2 6" xfId="17672"/>
    <cellStyle name="20% - Accent5 4 4 2 6 2" xfId="17673"/>
    <cellStyle name="20% - Accent5 4 4 2 6 3" xfId="17674"/>
    <cellStyle name="20% - Accent5 4 4 2 7" xfId="17675"/>
    <cellStyle name="20% - Accent5 4 4 2 7 2" xfId="17676"/>
    <cellStyle name="20% - Accent5 4 4 2 7 3" xfId="17677"/>
    <cellStyle name="20% - Accent5 4 4 2 8" xfId="17678"/>
    <cellStyle name="20% - Accent5 4 4 2 8 2" xfId="17679"/>
    <cellStyle name="20% - Accent5 4 4 2 9" xfId="17680"/>
    <cellStyle name="20% - Accent5 4 4 3" xfId="1156"/>
    <cellStyle name="20% - Accent5 4 4 3 2" xfId="17681"/>
    <cellStyle name="20% - Accent5 4 4 3 2 2" xfId="17682"/>
    <cellStyle name="20% - Accent5 4 4 3 2 2 2" xfId="17683"/>
    <cellStyle name="20% - Accent5 4 4 3 2 2 3" xfId="17684"/>
    <cellStyle name="20% - Accent5 4 4 3 2 3" xfId="17685"/>
    <cellStyle name="20% - Accent5 4 4 3 2 3 2" xfId="17686"/>
    <cellStyle name="20% - Accent5 4 4 3 2 3 3" xfId="17687"/>
    <cellStyle name="20% - Accent5 4 4 3 2 4" xfId="17688"/>
    <cellStyle name="20% - Accent5 4 4 3 2 4 2" xfId="17689"/>
    <cellStyle name="20% - Accent5 4 4 3 2 5" xfId="17690"/>
    <cellStyle name="20% - Accent5 4 4 3 2 6" xfId="17691"/>
    <cellStyle name="20% - Accent5 4 4 3 3" xfId="17692"/>
    <cellStyle name="20% - Accent5 4 4 3 3 2" xfId="17693"/>
    <cellStyle name="20% - Accent5 4 4 3 3 2 2" xfId="17694"/>
    <cellStyle name="20% - Accent5 4 4 3 3 2 3" xfId="17695"/>
    <cellStyle name="20% - Accent5 4 4 3 3 3" xfId="17696"/>
    <cellStyle name="20% - Accent5 4 4 3 3 3 2" xfId="17697"/>
    <cellStyle name="20% - Accent5 4 4 3 3 3 3" xfId="17698"/>
    <cellStyle name="20% - Accent5 4 4 3 3 4" xfId="17699"/>
    <cellStyle name="20% - Accent5 4 4 3 3 4 2" xfId="17700"/>
    <cellStyle name="20% - Accent5 4 4 3 3 5" xfId="17701"/>
    <cellStyle name="20% - Accent5 4 4 3 3 6" xfId="17702"/>
    <cellStyle name="20% - Accent5 4 4 3 4" xfId="17703"/>
    <cellStyle name="20% - Accent5 4 4 3 4 2" xfId="17704"/>
    <cellStyle name="20% - Accent5 4 4 3 4 2 2" xfId="17705"/>
    <cellStyle name="20% - Accent5 4 4 3 4 2 3" xfId="17706"/>
    <cellStyle name="20% - Accent5 4 4 3 4 3" xfId="17707"/>
    <cellStyle name="20% - Accent5 4 4 3 4 3 2" xfId="17708"/>
    <cellStyle name="20% - Accent5 4 4 3 4 4" xfId="17709"/>
    <cellStyle name="20% - Accent5 4 4 3 4 5" xfId="17710"/>
    <cellStyle name="20% - Accent5 4 4 3 5" xfId="17711"/>
    <cellStyle name="20% - Accent5 4 4 3 5 2" xfId="17712"/>
    <cellStyle name="20% - Accent5 4 4 3 5 3" xfId="17713"/>
    <cellStyle name="20% - Accent5 4 4 3 6" xfId="17714"/>
    <cellStyle name="20% - Accent5 4 4 3 6 2" xfId="17715"/>
    <cellStyle name="20% - Accent5 4 4 3 6 3" xfId="17716"/>
    <cellStyle name="20% - Accent5 4 4 3 7" xfId="17717"/>
    <cellStyle name="20% - Accent5 4 4 3 7 2" xfId="17718"/>
    <cellStyle name="20% - Accent5 4 4 3 8" xfId="17719"/>
    <cellStyle name="20% - Accent5 4 4 3 9" xfId="17720"/>
    <cellStyle name="20% - Accent5 4 4 4" xfId="17721"/>
    <cellStyle name="20% - Accent5 4 4 4 2" xfId="17722"/>
    <cellStyle name="20% - Accent5 4 4 4 2 2" xfId="17723"/>
    <cellStyle name="20% - Accent5 4 4 4 2 2 2" xfId="17724"/>
    <cellStyle name="20% - Accent5 4 4 4 2 2 3" xfId="17725"/>
    <cellStyle name="20% - Accent5 4 4 4 2 3" xfId="17726"/>
    <cellStyle name="20% - Accent5 4 4 4 2 3 2" xfId="17727"/>
    <cellStyle name="20% - Accent5 4 4 4 2 3 3" xfId="17728"/>
    <cellStyle name="20% - Accent5 4 4 4 2 4" xfId="17729"/>
    <cellStyle name="20% - Accent5 4 4 4 2 4 2" xfId="17730"/>
    <cellStyle name="20% - Accent5 4 4 4 2 5" xfId="17731"/>
    <cellStyle name="20% - Accent5 4 4 4 2 6" xfId="17732"/>
    <cellStyle name="20% - Accent5 4 4 4 3" xfId="17733"/>
    <cellStyle name="20% - Accent5 4 4 4 3 2" xfId="17734"/>
    <cellStyle name="20% - Accent5 4 4 4 3 2 2" xfId="17735"/>
    <cellStyle name="20% - Accent5 4 4 4 3 2 3" xfId="17736"/>
    <cellStyle name="20% - Accent5 4 4 4 3 3" xfId="17737"/>
    <cellStyle name="20% - Accent5 4 4 4 3 3 2" xfId="17738"/>
    <cellStyle name="20% - Accent5 4 4 4 3 3 3" xfId="17739"/>
    <cellStyle name="20% - Accent5 4 4 4 3 4" xfId="17740"/>
    <cellStyle name="20% - Accent5 4 4 4 3 4 2" xfId="17741"/>
    <cellStyle name="20% - Accent5 4 4 4 3 5" xfId="17742"/>
    <cellStyle name="20% - Accent5 4 4 4 3 6" xfId="17743"/>
    <cellStyle name="20% - Accent5 4 4 4 4" xfId="17744"/>
    <cellStyle name="20% - Accent5 4 4 4 4 2" xfId="17745"/>
    <cellStyle name="20% - Accent5 4 4 4 4 2 2" xfId="17746"/>
    <cellStyle name="20% - Accent5 4 4 4 4 2 3" xfId="17747"/>
    <cellStyle name="20% - Accent5 4 4 4 4 3" xfId="17748"/>
    <cellStyle name="20% - Accent5 4 4 4 4 3 2" xfId="17749"/>
    <cellStyle name="20% - Accent5 4 4 4 4 4" xfId="17750"/>
    <cellStyle name="20% - Accent5 4 4 4 4 5" xfId="17751"/>
    <cellStyle name="20% - Accent5 4 4 4 5" xfId="17752"/>
    <cellStyle name="20% - Accent5 4 4 4 5 2" xfId="17753"/>
    <cellStyle name="20% - Accent5 4 4 4 5 3" xfId="17754"/>
    <cellStyle name="20% - Accent5 4 4 4 6" xfId="17755"/>
    <cellStyle name="20% - Accent5 4 4 4 6 2" xfId="17756"/>
    <cellStyle name="20% - Accent5 4 4 4 6 3" xfId="17757"/>
    <cellStyle name="20% - Accent5 4 4 4 7" xfId="17758"/>
    <cellStyle name="20% - Accent5 4 4 4 7 2" xfId="17759"/>
    <cellStyle name="20% - Accent5 4 4 4 8" xfId="17760"/>
    <cellStyle name="20% - Accent5 4 4 4 9" xfId="17761"/>
    <cellStyle name="20% - Accent5 4 4 5" xfId="17762"/>
    <cellStyle name="20% - Accent5 4 4 5 2" xfId="17763"/>
    <cellStyle name="20% - Accent5 4 4 5 2 2" xfId="17764"/>
    <cellStyle name="20% - Accent5 4 4 5 2 3" xfId="17765"/>
    <cellStyle name="20% - Accent5 4 4 5 3" xfId="17766"/>
    <cellStyle name="20% - Accent5 4 4 5 3 2" xfId="17767"/>
    <cellStyle name="20% - Accent5 4 4 5 3 3" xfId="17768"/>
    <cellStyle name="20% - Accent5 4 4 5 4" xfId="17769"/>
    <cellStyle name="20% - Accent5 4 4 5 4 2" xfId="17770"/>
    <cellStyle name="20% - Accent5 4 4 5 5" xfId="17771"/>
    <cellStyle name="20% - Accent5 4 4 5 6" xfId="17772"/>
    <cellStyle name="20% - Accent5 4 4 6" xfId="17773"/>
    <cellStyle name="20% - Accent5 4 4 6 2" xfId="17774"/>
    <cellStyle name="20% - Accent5 4 4 6 2 2" xfId="17775"/>
    <cellStyle name="20% - Accent5 4 4 6 2 3" xfId="17776"/>
    <cellStyle name="20% - Accent5 4 4 6 3" xfId="17777"/>
    <cellStyle name="20% - Accent5 4 4 6 3 2" xfId="17778"/>
    <cellStyle name="20% - Accent5 4 4 6 3 3" xfId="17779"/>
    <cellStyle name="20% - Accent5 4 4 6 4" xfId="17780"/>
    <cellStyle name="20% - Accent5 4 4 6 4 2" xfId="17781"/>
    <cellStyle name="20% - Accent5 4 4 6 5" xfId="17782"/>
    <cellStyle name="20% - Accent5 4 4 6 6" xfId="17783"/>
    <cellStyle name="20% - Accent5 4 4 7" xfId="17784"/>
    <cellStyle name="20% - Accent5 4 4 7 2" xfId="17785"/>
    <cellStyle name="20% - Accent5 4 4 7 2 2" xfId="17786"/>
    <cellStyle name="20% - Accent5 4 4 7 2 3" xfId="17787"/>
    <cellStyle name="20% - Accent5 4 4 7 3" xfId="17788"/>
    <cellStyle name="20% - Accent5 4 4 7 3 2" xfId="17789"/>
    <cellStyle name="20% - Accent5 4 4 7 4" xfId="17790"/>
    <cellStyle name="20% - Accent5 4 4 7 5" xfId="17791"/>
    <cellStyle name="20% - Accent5 4 4 8" xfId="17792"/>
    <cellStyle name="20% - Accent5 4 4 8 2" xfId="17793"/>
    <cellStyle name="20% - Accent5 4 4 8 3" xfId="17794"/>
    <cellStyle name="20% - Accent5 4 4 9" xfId="17795"/>
    <cellStyle name="20% - Accent5 4 4 9 2" xfId="17796"/>
    <cellStyle name="20% - Accent5 4 4 9 3" xfId="17797"/>
    <cellStyle name="20% - Accent5 4 5" xfId="1157"/>
    <cellStyle name="20% - Accent5 4 5 10" xfId="17798"/>
    <cellStyle name="20% - Accent5 4 5 2" xfId="1158"/>
    <cellStyle name="20% - Accent5 4 5 2 2" xfId="17799"/>
    <cellStyle name="20% - Accent5 4 5 2 2 2" xfId="17800"/>
    <cellStyle name="20% - Accent5 4 5 2 2 2 2" xfId="17801"/>
    <cellStyle name="20% - Accent5 4 5 2 2 2 3" xfId="17802"/>
    <cellStyle name="20% - Accent5 4 5 2 2 3" xfId="17803"/>
    <cellStyle name="20% - Accent5 4 5 2 2 3 2" xfId="17804"/>
    <cellStyle name="20% - Accent5 4 5 2 2 3 3" xfId="17805"/>
    <cellStyle name="20% - Accent5 4 5 2 2 4" xfId="17806"/>
    <cellStyle name="20% - Accent5 4 5 2 2 4 2" xfId="17807"/>
    <cellStyle name="20% - Accent5 4 5 2 2 5" xfId="17808"/>
    <cellStyle name="20% - Accent5 4 5 2 2 6" xfId="17809"/>
    <cellStyle name="20% - Accent5 4 5 2 3" xfId="17810"/>
    <cellStyle name="20% - Accent5 4 5 2 3 2" xfId="17811"/>
    <cellStyle name="20% - Accent5 4 5 2 3 2 2" xfId="17812"/>
    <cellStyle name="20% - Accent5 4 5 2 3 2 3" xfId="17813"/>
    <cellStyle name="20% - Accent5 4 5 2 3 3" xfId="17814"/>
    <cellStyle name="20% - Accent5 4 5 2 3 3 2" xfId="17815"/>
    <cellStyle name="20% - Accent5 4 5 2 3 3 3" xfId="17816"/>
    <cellStyle name="20% - Accent5 4 5 2 3 4" xfId="17817"/>
    <cellStyle name="20% - Accent5 4 5 2 3 4 2" xfId="17818"/>
    <cellStyle name="20% - Accent5 4 5 2 3 5" xfId="17819"/>
    <cellStyle name="20% - Accent5 4 5 2 3 6" xfId="17820"/>
    <cellStyle name="20% - Accent5 4 5 2 4" xfId="17821"/>
    <cellStyle name="20% - Accent5 4 5 2 4 2" xfId="17822"/>
    <cellStyle name="20% - Accent5 4 5 2 4 2 2" xfId="17823"/>
    <cellStyle name="20% - Accent5 4 5 2 4 2 3" xfId="17824"/>
    <cellStyle name="20% - Accent5 4 5 2 4 3" xfId="17825"/>
    <cellStyle name="20% - Accent5 4 5 2 4 3 2" xfId="17826"/>
    <cellStyle name="20% - Accent5 4 5 2 4 4" xfId="17827"/>
    <cellStyle name="20% - Accent5 4 5 2 4 5" xfId="17828"/>
    <cellStyle name="20% - Accent5 4 5 2 5" xfId="17829"/>
    <cellStyle name="20% - Accent5 4 5 2 5 2" xfId="17830"/>
    <cellStyle name="20% - Accent5 4 5 2 5 3" xfId="17831"/>
    <cellStyle name="20% - Accent5 4 5 2 6" xfId="17832"/>
    <cellStyle name="20% - Accent5 4 5 2 6 2" xfId="17833"/>
    <cellStyle name="20% - Accent5 4 5 2 6 3" xfId="17834"/>
    <cellStyle name="20% - Accent5 4 5 2 7" xfId="17835"/>
    <cellStyle name="20% - Accent5 4 5 2 7 2" xfId="17836"/>
    <cellStyle name="20% - Accent5 4 5 2 8" xfId="17837"/>
    <cellStyle name="20% - Accent5 4 5 2 9" xfId="17838"/>
    <cellStyle name="20% - Accent5 4 5 3" xfId="17839"/>
    <cellStyle name="20% - Accent5 4 5 3 2" xfId="17840"/>
    <cellStyle name="20% - Accent5 4 5 3 2 2" xfId="17841"/>
    <cellStyle name="20% - Accent5 4 5 3 2 3" xfId="17842"/>
    <cellStyle name="20% - Accent5 4 5 3 3" xfId="17843"/>
    <cellStyle name="20% - Accent5 4 5 3 3 2" xfId="17844"/>
    <cellStyle name="20% - Accent5 4 5 3 3 3" xfId="17845"/>
    <cellStyle name="20% - Accent5 4 5 3 4" xfId="17846"/>
    <cellStyle name="20% - Accent5 4 5 3 4 2" xfId="17847"/>
    <cellStyle name="20% - Accent5 4 5 3 5" xfId="17848"/>
    <cellStyle name="20% - Accent5 4 5 3 6" xfId="17849"/>
    <cellStyle name="20% - Accent5 4 5 4" xfId="17850"/>
    <cellStyle name="20% - Accent5 4 5 4 2" xfId="17851"/>
    <cellStyle name="20% - Accent5 4 5 4 2 2" xfId="17852"/>
    <cellStyle name="20% - Accent5 4 5 4 2 3" xfId="17853"/>
    <cellStyle name="20% - Accent5 4 5 4 3" xfId="17854"/>
    <cellStyle name="20% - Accent5 4 5 4 3 2" xfId="17855"/>
    <cellStyle name="20% - Accent5 4 5 4 3 3" xfId="17856"/>
    <cellStyle name="20% - Accent5 4 5 4 4" xfId="17857"/>
    <cellStyle name="20% - Accent5 4 5 4 4 2" xfId="17858"/>
    <cellStyle name="20% - Accent5 4 5 4 5" xfId="17859"/>
    <cellStyle name="20% - Accent5 4 5 4 6" xfId="17860"/>
    <cellStyle name="20% - Accent5 4 5 5" xfId="17861"/>
    <cellStyle name="20% - Accent5 4 5 5 2" xfId="17862"/>
    <cellStyle name="20% - Accent5 4 5 5 2 2" xfId="17863"/>
    <cellStyle name="20% - Accent5 4 5 5 2 3" xfId="17864"/>
    <cellStyle name="20% - Accent5 4 5 5 3" xfId="17865"/>
    <cellStyle name="20% - Accent5 4 5 5 3 2" xfId="17866"/>
    <cellStyle name="20% - Accent5 4 5 5 4" xfId="17867"/>
    <cellStyle name="20% - Accent5 4 5 5 5" xfId="17868"/>
    <cellStyle name="20% - Accent5 4 5 6" xfId="17869"/>
    <cellStyle name="20% - Accent5 4 5 6 2" xfId="17870"/>
    <cellStyle name="20% - Accent5 4 5 6 3" xfId="17871"/>
    <cellStyle name="20% - Accent5 4 5 7" xfId="17872"/>
    <cellStyle name="20% - Accent5 4 5 7 2" xfId="17873"/>
    <cellStyle name="20% - Accent5 4 5 7 3" xfId="17874"/>
    <cellStyle name="20% - Accent5 4 5 8" xfId="17875"/>
    <cellStyle name="20% - Accent5 4 5 8 2" xfId="17876"/>
    <cellStyle name="20% - Accent5 4 5 9" xfId="17877"/>
    <cellStyle name="20% - Accent5 4 6" xfId="1159"/>
    <cellStyle name="20% - Accent5 4 6 2" xfId="17878"/>
    <cellStyle name="20% - Accent5 4 6 2 2" xfId="17879"/>
    <cellStyle name="20% - Accent5 4 6 2 2 2" xfId="17880"/>
    <cellStyle name="20% - Accent5 4 6 2 2 3" xfId="17881"/>
    <cellStyle name="20% - Accent5 4 6 2 3" xfId="17882"/>
    <cellStyle name="20% - Accent5 4 6 2 3 2" xfId="17883"/>
    <cellStyle name="20% - Accent5 4 6 2 3 3" xfId="17884"/>
    <cellStyle name="20% - Accent5 4 6 2 4" xfId="17885"/>
    <cellStyle name="20% - Accent5 4 6 2 4 2" xfId="17886"/>
    <cellStyle name="20% - Accent5 4 6 2 5" xfId="17887"/>
    <cellStyle name="20% - Accent5 4 6 2 6" xfId="17888"/>
    <cellStyle name="20% - Accent5 4 6 3" xfId="17889"/>
    <cellStyle name="20% - Accent5 4 6 3 2" xfId="17890"/>
    <cellStyle name="20% - Accent5 4 6 3 2 2" xfId="17891"/>
    <cellStyle name="20% - Accent5 4 6 3 2 3" xfId="17892"/>
    <cellStyle name="20% - Accent5 4 6 3 3" xfId="17893"/>
    <cellStyle name="20% - Accent5 4 6 3 3 2" xfId="17894"/>
    <cellStyle name="20% - Accent5 4 6 3 3 3" xfId="17895"/>
    <cellStyle name="20% - Accent5 4 6 3 4" xfId="17896"/>
    <cellStyle name="20% - Accent5 4 6 3 4 2" xfId="17897"/>
    <cellStyle name="20% - Accent5 4 6 3 5" xfId="17898"/>
    <cellStyle name="20% - Accent5 4 6 3 6" xfId="17899"/>
    <cellStyle name="20% - Accent5 4 6 4" xfId="17900"/>
    <cellStyle name="20% - Accent5 4 6 4 2" xfId="17901"/>
    <cellStyle name="20% - Accent5 4 6 4 2 2" xfId="17902"/>
    <cellStyle name="20% - Accent5 4 6 4 2 3" xfId="17903"/>
    <cellStyle name="20% - Accent5 4 6 4 3" xfId="17904"/>
    <cellStyle name="20% - Accent5 4 6 4 3 2" xfId="17905"/>
    <cellStyle name="20% - Accent5 4 6 4 4" xfId="17906"/>
    <cellStyle name="20% - Accent5 4 6 4 5" xfId="17907"/>
    <cellStyle name="20% - Accent5 4 6 5" xfId="17908"/>
    <cellStyle name="20% - Accent5 4 6 5 2" xfId="17909"/>
    <cellStyle name="20% - Accent5 4 6 5 3" xfId="17910"/>
    <cellStyle name="20% - Accent5 4 6 6" xfId="17911"/>
    <cellStyle name="20% - Accent5 4 6 6 2" xfId="17912"/>
    <cellStyle name="20% - Accent5 4 6 6 3" xfId="17913"/>
    <cellStyle name="20% - Accent5 4 6 7" xfId="17914"/>
    <cellStyle name="20% - Accent5 4 6 7 2" xfId="17915"/>
    <cellStyle name="20% - Accent5 4 6 8" xfId="17916"/>
    <cellStyle name="20% - Accent5 4 6 9" xfId="17917"/>
    <cellStyle name="20% - Accent5 4 7" xfId="8932"/>
    <cellStyle name="20% - Accent5 4 7 2" xfId="17918"/>
    <cellStyle name="20% - Accent5 4 7 2 2" xfId="17919"/>
    <cellStyle name="20% - Accent5 4 7 2 2 2" xfId="17920"/>
    <cellStyle name="20% - Accent5 4 7 2 2 3" xfId="17921"/>
    <cellStyle name="20% - Accent5 4 7 2 3" xfId="17922"/>
    <cellStyle name="20% - Accent5 4 7 2 3 2" xfId="17923"/>
    <cellStyle name="20% - Accent5 4 7 2 3 3" xfId="17924"/>
    <cellStyle name="20% - Accent5 4 7 2 4" xfId="17925"/>
    <cellStyle name="20% - Accent5 4 7 2 4 2" xfId="17926"/>
    <cellStyle name="20% - Accent5 4 7 2 5" xfId="17927"/>
    <cellStyle name="20% - Accent5 4 7 2 6" xfId="17928"/>
    <cellStyle name="20% - Accent5 4 7 3" xfId="17929"/>
    <cellStyle name="20% - Accent5 4 7 3 2" xfId="17930"/>
    <cellStyle name="20% - Accent5 4 7 3 2 2" xfId="17931"/>
    <cellStyle name="20% - Accent5 4 7 3 2 3" xfId="17932"/>
    <cellStyle name="20% - Accent5 4 7 3 3" xfId="17933"/>
    <cellStyle name="20% - Accent5 4 7 3 3 2" xfId="17934"/>
    <cellStyle name="20% - Accent5 4 7 3 3 3" xfId="17935"/>
    <cellStyle name="20% - Accent5 4 7 3 4" xfId="17936"/>
    <cellStyle name="20% - Accent5 4 7 3 4 2" xfId="17937"/>
    <cellStyle name="20% - Accent5 4 7 3 5" xfId="17938"/>
    <cellStyle name="20% - Accent5 4 7 3 6" xfId="17939"/>
    <cellStyle name="20% - Accent5 4 7 4" xfId="17940"/>
    <cellStyle name="20% - Accent5 4 7 4 2" xfId="17941"/>
    <cellStyle name="20% - Accent5 4 7 4 2 2" xfId="17942"/>
    <cellStyle name="20% - Accent5 4 7 4 2 3" xfId="17943"/>
    <cellStyle name="20% - Accent5 4 7 4 3" xfId="17944"/>
    <cellStyle name="20% - Accent5 4 7 4 3 2" xfId="17945"/>
    <cellStyle name="20% - Accent5 4 7 4 4" xfId="17946"/>
    <cellStyle name="20% - Accent5 4 7 4 5" xfId="17947"/>
    <cellStyle name="20% - Accent5 4 7 5" xfId="17948"/>
    <cellStyle name="20% - Accent5 4 7 5 2" xfId="17949"/>
    <cellStyle name="20% - Accent5 4 7 5 3" xfId="17950"/>
    <cellStyle name="20% - Accent5 4 7 6" xfId="17951"/>
    <cellStyle name="20% - Accent5 4 7 6 2" xfId="17952"/>
    <cellStyle name="20% - Accent5 4 7 6 3" xfId="17953"/>
    <cellStyle name="20% - Accent5 4 7 7" xfId="17954"/>
    <cellStyle name="20% - Accent5 4 7 7 2" xfId="17955"/>
    <cellStyle name="20% - Accent5 4 7 8" xfId="17956"/>
    <cellStyle name="20% - Accent5 4 7 9" xfId="17957"/>
    <cellStyle name="20% - Accent5 4 8" xfId="17958"/>
    <cellStyle name="20% - Accent5 4 8 2" xfId="17959"/>
    <cellStyle name="20% - Accent5 4 8 2 2" xfId="17960"/>
    <cellStyle name="20% - Accent5 4 8 2 3" xfId="17961"/>
    <cellStyle name="20% - Accent5 4 8 3" xfId="17962"/>
    <cellStyle name="20% - Accent5 4 8 3 2" xfId="17963"/>
    <cellStyle name="20% - Accent5 4 8 3 3" xfId="17964"/>
    <cellStyle name="20% - Accent5 4 8 4" xfId="17965"/>
    <cellStyle name="20% - Accent5 4 8 4 2" xfId="17966"/>
    <cellStyle name="20% - Accent5 4 8 5" xfId="17967"/>
    <cellStyle name="20% - Accent5 4 8 6" xfId="17968"/>
    <cellStyle name="20% - Accent5 4 9" xfId="17969"/>
    <cellStyle name="20% - Accent5 4 9 2" xfId="17970"/>
    <cellStyle name="20% - Accent5 4 9 2 2" xfId="17971"/>
    <cellStyle name="20% - Accent5 4 9 2 3" xfId="17972"/>
    <cellStyle name="20% - Accent5 4 9 3" xfId="17973"/>
    <cellStyle name="20% - Accent5 4 9 3 2" xfId="17974"/>
    <cellStyle name="20% - Accent5 4 9 3 3" xfId="17975"/>
    <cellStyle name="20% - Accent5 4 9 4" xfId="17976"/>
    <cellStyle name="20% - Accent5 4 9 4 2" xfId="17977"/>
    <cellStyle name="20% - Accent5 4 9 5" xfId="17978"/>
    <cellStyle name="20% - Accent5 4 9 6" xfId="17979"/>
    <cellStyle name="20% - Accent5 5" xfId="1160"/>
    <cellStyle name="20% - Accent5 5 2" xfId="1161"/>
    <cellStyle name="20% - Accent5 5 2 2" xfId="1162"/>
    <cellStyle name="20% - Accent5 5 2 2 2" xfId="1163"/>
    <cellStyle name="20% - Accent5 5 2 2 2 2" xfId="1164"/>
    <cellStyle name="20% - Accent5 5 2 2 3" xfId="1165"/>
    <cellStyle name="20% - Accent5 5 2 3" xfId="1166"/>
    <cellStyle name="20% - Accent5 5 2 3 2" xfId="1167"/>
    <cellStyle name="20% - Accent5 5 2 4" xfId="1168"/>
    <cellStyle name="20% - Accent5 5 2 5" xfId="57952"/>
    <cellStyle name="20% - Accent5 5 3" xfId="1169"/>
    <cellStyle name="20% - Accent5 5 3 2" xfId="1170"/>
    <cellStyle name="20% - Accent5 5 3 2 2" xfId="1171"/>
    <cellStyle name="20% - Accent5 5 3 3" xfId="1172"/>
    <cellStyle name="20% - Accent5 5 4" xfId="1173"/>
    <cellStyle name="20% - Accent5 5 4 2" xfId="1174"/>
    <cellStyle name="20% - Accent5 5 5" xfId="1175"/>
    <cellStyle name="20% - Accent5 5 6" xfId="8933"/>
    <cellStyle name="20% - Accent5 6" xfId="1176"/>
    <cellStyle name="20% - Accent5 6 2" xfId="1177"/>
    <cellStyle name="20% - Accent5 6 2 2" xfId="1178"/>
    <cellStyle name="20% - Accent5 6 2 2 2" xfId="1179"/>
    <cellStyle name="20% - Accent5 6 2 3" xfId="1180"/>
    <cellStyle name="20% - Accent5 6 2 4" xfId="57953"/>
    <cellStyle name="20% - Accent5 6 2 5" xfId="57954"/>
    <cellStyle name="20% - Accent5 6 3" xfId="1181"/>
    <cellStyle name="20% - Accent5 6 3 2" xfId="1182"/>
    <cellStyle name="20% - Accent5 6 4" xfId="1183"/>
    <cellStyle name="20% - Accent5 6 5" xfId="57955"/>
    <cellStyle name="20% - Accent5 7" xfId="1184"/>
    <cellStyle name="20% - Accent5 7 2" xfId="1185"/>
    <cellStyle name="20% - Accent5 7 2 2" xfId="1186"/>
    <cellStyle name="20% - Accent5 7 2 2 2" xfId="1187"/>
    <cellStyle name="20% - Accent5 7 2 3" xfId="1188"/>
    <cellStyle name="20% - Accent5 7 3" xfId="1189"/>
    <cellStyle name="20% - Accent5 7 3 2" xfId="1190"/>
    <cellStyle name="20% - Accent5 7 4" xfId="1191"/>
    <cellStyle name="20% - Accent5 7 5" xfId="57956"/>
    <cellStyle name="20% - Accent5 8" xfId="1192"/>
    <cellStyle name="20% - Accent5 8 2" xfId="1193"/>
    <cellStyle name="20% - Accent5 8 2 2" xfId="1194"/>
    <cellStyle name="20% - Accent5 8 2 2 2" xfId="1195"/>
    <cellStyle name="20% - Accent5 8 2 3" xfId="1196"/>
    <cellStyle name="20% - Accent5 8 3" xfId="1197"/>
    <cellStyle name="20% - Accent5 8 3 2" xfId="1198"/>
    <cellStyle name="20% - Accent5 8 4" xfId="1199"/>
    <cellStyle name="20% - Accent5 8 5" xfId="57957"/>
    <cellStyle name="20% - Accent5 9" xfId="1200"/>
    <cellStyle name="20% - Accent5 9 2" xfId="1201"/>
    <cellStyle name="20% - Accent5 9 2 2" xfId="1202"/>
    <cellStyle name="20% - Accent5 9 3" xfId="1203"/>
    <cellStyle name="20% - Accent5 9 4" xfId="57958"/>
    <cellStyle name="20% - Accent6 10" xfId="1204"/>
    <cellStyle name="20% - Accent6 10 2" xfId="1205"/>
    <cellStyle name="20% - Accent6 10 2 2" xfId="1206"/>
    <cellStyle name="20% - Accent6 10 3" xfId="1207"/>
    <cellStyle name="20% - Accent6 10 4" xfId="57959"/>
    <cellStyle name="20% - Accent6 11" xfId="1208"/>
    <cellStyle name="20% - Accent6 11 2" xfId="1209"/>
    <cellStyle name="20% - Accent6 11 2 2" xfId="1210"/>
    <cellStyle name="20% - Accent6 11 3" xfId="1211"/>
    <cellStyle name="20% - Accent6 11 4" xfId="57960"/>
    <cellStyle name="20% - Accent6 12" xfId="1212"/>
    <cellStyle name="20% - Accent6 12 2" xfId="1213"/>
    <cellStyle name="20% - Accent6 12 3" xfId="57961"/>
    <cellStyle name="20% - Accent6 13" xfId="1214"/>
    <cellStyle name="20% - Accent6 13 2" xfId="57962"/>
    <cellStyle name="20% - Accent6 14" xfId="8934"/>
    <cellStyle name="20% - Accent6 15" xfId="9393"/>
    <cellStyle name="20% - Accent6 16" xfId="9394"/>
    <cellStyle name="20% - Accent6 17" xfId="9395"/>
    <cellStyle name="20% - Accent6 17 2" xfId="57963"/>
    <cellStyle name="20% - Accent6 18" xfId="57964"/>
    <cellStyle name="20% - Accent6 19" xfId="57965"/>
    <cellStyle name="20% - Accent6 2" xfId="1215"/>
    <cellStyle name="20% - Accent6 2 2" xfId="1216"/>
    <cellStyle name="20% - Accent6 2 2 2" xfId="1217"/>
    <cellStyle name="20% - Accent6 2 2 2 2" xfId="1218"/>
    <cellStyle name="20% - Accent6 2 2 2 2 2" xfId="1219"/>
    <cellStyle name="20% - Accent6 2 2 2 2 2 2" xfId="1220"/>
    <cellStyle name="20% - Accent6 2 2 2 2 2 2 2" xfId="1221"/>
    <cellStyle name="20% - Accent6 2 2 2 2 2 3" xfId="1222"/>
    <cellStyle name="20% - Accent6 2 2 2 2 3" xfId="1223"/>
    <cellStyle name="20% - Accent6 2 2 2 2 3 2" xfId="1224"/>
    <cellStyle name="20% - Accent6 2 2 2 2 4" xfId="1225"/>
    <cellStyle name="20% - Accent6 2 2 2 2 5" xfId="57966"/>
    <cellStyle name="20% - Accent6 2 2 2 3" xfId="1226"/>
    <cellStyle name="20% - Accent6 2 2 2 3 2" xfId="1227"/>
    <cellStyle name="20% - Accent6 2 2 2 3 2 2" xfId="1228"/>
    <cellStyle name="20% - Accent6 2 2 2 3 3" xfId="1229"/>
    <cellStyle name="20% - Accent6 2 2 2 4" xfId="1230"/>
    <cellStyle name="20% - Accent6 2 2 2 4 2" xfId="1231"/>
    <cellStyle name="20% - Accent6 2 2 2 5" xfId="1232"/>
    <cellStyle name="20% - Accent6 2 2 2 6" xfId="57967"/>
    <cellStyle name="20% - Accent6 2 2 3" xfId="1233"/>
    <cellStyle name="20% - Accent6 2 2 3 2" xfId="1234"/>
    <cellStyle name="20% - Accent6 2 2 3 2 2" xfId="1235"/>
    <cellStyle name="20% - Accent6 2 2 3 2 2 2" xfId="1236"/>
    <cellStyle name="20% - Accent6 2 2 3 2 3" xfId="1237"/>
    <cellStyle name="20% - Accent6 2 2 3 3" xfId="1238"/>
    <cellStyle name="20% - Accent6 2 2 3 3 2" xfId="1239"/>
    <cellStyle name="20% - Accent6 2 2 3 4" xfId="1240"/>
    <cellStyle name="20% - Accent6 2 2 3 5" xfId="57968"/>
    <cellStyle name="20% - Accent6 2 2 4" xfId="1241"/>
    <cellStyle name="20% - Accent6 2 2 4 2" xfId="1242"/>
    <cellStyle name="20% - Accent6 2 2 4 2 2" xfId="1243"/>
    <cellStyle name="20% - Accent6 2 2 4 3" xfId="1244"/>
    <cellStyle name="20% - Accent6 2 2 5" xfId="1245"/>
    <cellStyle name="20% - Accent6 2 2 5 2" xfId="1246"/>
    <cellStyle name="20% - Accent6 2 2 6" xfId="1247"/>
    <cellStyle name="20% - Accent6 2 2 7" xfId="57969"/>
    <cellStyle name="20% - Accent6 2 3" xfId="1248"/>
    <cellStyle name="20% - Accent6 2 3 2" xfId="1249"/>
    <cellStyle name="20% - Accent6 2 3 2 2" xfId="1250"/>
    <cellStyle name="20% - Accent6 2 3 2 2 2" xfId="1251"/>
    <cellStyle name="20% - Accent6 2 3 2 2 2 2" xfId="1252"/>
    <cellStyle name="20% - Accent6 2 3 2 2 3" xfId="1253"/>
    <cellStyle name="20% - Accent6 2 3 2 3" xfId="1254"/>
    <cellStyle name="20% - Accent6 2 3 2 3 2" xfId="1255"/>
    <cellStyle name="20% - Accent6 2 3 2 4" xfId="1256"/>
    <cellStyle name="20% - Accent6 2 3 3" xfId="1257"/>
    <cellStyle name="20% - Accent6 2 3 3 2" xfId="1258"/>
    <cellStyle name="20% - Accent6 2 3 3 2 2" xfId="1259"/>
    <cellStyle name="20% - Accent6 2 3 3 3" xfId="1260"/>
    <cellStyle name="20% - Accent6 2 3 4" xfId="1261"/>
    <cellStyle name="20% - Accent6 2 3 4 2" xfId="1262"/>
    <cellStyle name="20% - Accent6 2 3 5" xfId="1263"/>
    <cellStyle name="20% - Accent6 2 3 6" xfId="57970"/>
    <cellStyle name="20% - Accent6 2 4" xfId="1264"/>
    <cellStyle name="20% - Accent6 2 4 2" xfId="1265"/>
    <cellStyle name="20% - Accent6 2 4 2 2" xfId="1266"/>
    <cellStyle name="20% - Accent6 2 4 2 2 2" xfId="1267"/>
    <cellStyle name="20% - Accent6 2 4 2 3" xfId="1268"/>
    <cellStyle name="20% - Accent6 2 4 3" xfId="1269"/>
    <cellStyle name="20% - Accent6 2 4 3 2" xfId="1270"/>
    <cellStyle name="20% - Accent6 2 4 4" xfId="1271"/>
    <cellStyle name="20% - Accent6 2 4 5" xfId="57971"/>
    <cellStyle name="20% - Accent6 2 5" xfId="1272"/>
    <cellStyle name="20% - Accent6 2 5 2" xfId="1273"/>
    <cellStyle name="20% - Accent6 2 5 2 2" xfId="1274"/>
    <cellStyle name="20% - Accent6 2 5 3" xfId="1275"/>
    <cellStyle name="20% - Accent6 2 5 4" xfId="57972"/>
    <cellStyle name="20% - Accent6 2 6" xfId="1276"/>
    <cellStyle name="20% - Accent6 2 6 2" xfId="1277"/>
    <cellStyle name="20% - Accent6 2 6 3" xfId="57973"/>
    <cellStyle name="20% - Accent6 2 7" xfId="1278"/>
    <cellStyle name="20% - Accent6 2 8" xfId="1279"/>
    <cellStyle name="20% - Accent6 2 9" xfId="57974"/>
    <cellStyle name="20% - Accent6 20" xfId="57975"/>
    <cellStyle name="20% - Accent6 21" xfId="57976"/>
    <cellStyle name="20% - Accent6 3" xfId="1280"/>
    <cellStyle name="20% - Accent6 3 2" xfId="1281"/>
    <cellStyle name="20% - Accent6 3 2 2" xfId="1282"/>
    <cellStyle name="20% - Accent6 3 2 2 2" xfId="1283"/>
    <cellStyle name="20% - Accent6 3 2 2 2 2" xfId="1284"/>
    <cellStyle name="20% - Accent6 3 2 2 2 2 2" xfId="1285"/>
    <cellStyle name="20% - Accent6 3 2 2 2 2 2 2" xfId="1286"/>
    <cellStyle name="20% - Accent6 3 2 2 2 2 3" xfId="1287"/>
    <cellStyle name="20% - Accent6 3 2 2 2 3" xfId="1288"/>
    <cellStyle name="20% - Accent6 3 2 2 2 3 2" xfId="1289"/>
    <cellStyle name="20% - Accent6 3 2 2 2 4" xfId="1290"/>
    <cellStyle name="20% - Accent6 3 2 2 2 5" xfId="8935"/>
    <cellStyle name="20% - Accent6 3 2 2 3" xfId="1291"/>
    <cellStyle name="20% - Accent6 3 2 2 3 2" xfId="1292"/>
    <cellStyle name="20% - Accent6 3 2 2 3 2 2" xfId="1293"/>
    <cellStyle name="20% - Accent6 3 2 2 3 3" xfId="1294"/>
    <cellStyle name="20% - Accent6 3 2 2 4" xfId="1295"/>
    <cellStyle name="20% - Accent6 3 2 2 4 2" xfId="1296"/>
    <cellStyle name="20% - Accent6 3 2 2 5" xfId="1297"/>
    <cellStyle name="20% - Accent6 3 2 2 6" xfId="8936"/>
    <cellStyle name="20% - Accent6 3 2 3" xfId="1298"/>
    <cellStyle name="20% - Accent6 3 2 3 2" xfId="1299"/>
    <cellStyle name="20% - Accent6 3 2 3 2 2" xfId="1300"/>
    <cellStyle name="20% - Accent6 3 2 3 2 2 2" xfId="1301"/>
    <cellStyle name="20% - Accent6 3 2 3 2 3" xfId="1302"/>
    <cellStyle name="20% - Accent6 3 2 3 3" xfId="1303"/>
    <cellStyle name="20% - Accent6 3 2 3 3 2" xfId="1304"/>
    <cellStyle name="20% - Accent6 3 2 3 4" xfId="1305"/>
    <cellStyle name="20% - Accent6 3 2 3 5" xfId="8937"/>
    <cellStyle name="20% - Accent6 3 2 4" xfId="1306"/>
    <cellStyle name="20% - Accent6 3 2 4 2" xfId="1307"/>
    <cellStyle name="20% - Accent6 3 2 4 2 2" xfId="1308"/>
    <cellStyle name="20% - Accent6 3 2 4 3" xfId="1309"/>
    <cellStyle name="20% - Accent6 3 2 5" xfId="1310"/>
    <cellStyle name="20% - Accent6 3 2 5 2" xfId="1311"/>
    <cellStyle name="20% - Accent6 3 2 6" xfId="1312"/>
    <cellStyle name="20% - Accent6 3 2 7" xfId="8938"/>
    <cellStyle name="20% - Accent6 3 3" xfId="1313"/>
    <cellStyle name="20% - Accent6 3 3 2" xfId="1314"/>
    <cellStyle name="20% - Accent6 3 3 2 2" xfId="1315"/>
    <cellStyle name="20% - Accent6 3 3 2 2 2" xfId="1316"/>
    <cellStyle name="20% - Accent6 3 3 2 2 2 2" xfId="1317"/>
    <cellStyle name="20% - Accent6 3 3 2 2 3" xfId="1318"/>
    <cellStyle name="20% - Accent6 3 3 2 3" xfId="1319"/>
    <cellStyle name="20% - Accent6 3 3 2 3 2" xfId="1320"/>
    <cellStyle name="20% - Accent6 3 3 2 4" xfId="1321"/>
    <cellStyle name="20% - Accent6 3 3 2 5" xfId="8939"/>
    <cellStyle name="20% - Accent6 3 3 3" xfId="1322"/>
    <cellStyle name="20% - Accent6 3 3 3 2" xfId="1323"/>
    <cellStyle name="20% - Accent6 3 3 3 2 2" xfId="1324"/>
    <cellStyle name="20% - Accent6 3 3 3 3" xfId="1325"/>
    <cellStyle name="20% - Accent6 3 3 4" xfId="1326"/>
    <cellStyle name="20% - Accent6 3 3 4 2" xfId="1327"/>
    <cellStyle name="20% - Accent6 3 3 5" xfId="1328"/>
    <cellStyle name="20% - Accent6 3 3 6" xfId="8940"/>
    <cellStyle name="20% - Accent6 3 4" xfId="1329"/>
    <cellStyle name="20% - Accent6 3 4 2" xfId="1330"/>
    <cellStyle name="20% - Accent6 3 4 2 2" xfId="1331"/>
    <cellStyle name="20% - Accent6 3 4 2 2 2" xfId="1332"/>
    <cellStyle name="20% - Accent6 3 4 2 3" xfId="1333"/>
    <cellStyle name="20% - Accent6 3 4 3" xfId="1334"/>
    <cellStyle name="20% - Accent6 3 4 3 2" xfId="1335"/>
    <cellStyle name="20% - Accent6 3 4 4" xfId="1336"/>
    <cellStyle name="20% - Accent6 3 4 5" xfId="8941"/>
    <cellStyle name="20% - Accent6 3 5" xfId="1337"/>
    <cellStyle name="20% - Accent6 3 5 2" xfId="1338"/>
    <cellStyle name="20% - Accent6 3 5 2 2" xfId="1339"/>
    <cellStyle name="20% - Accent6 3 5 3" xfId="1340"/>
    <cellStyle name="20% - Accent6 3 6" xfId="1341"/>
    <cellStyle name="20% - Accent6 3 6 2" xfId="1342"/>
    <cellStyle name="20% - Accent6 3 7" xfId="1343"/>
    <cellStyle name="20% - Accent6 3 8" xfId="1344"/>
    <cellStyle name="20% - Accent6 3 9" xfId="8942"/>
    <cellStyle name="20% - Accent6 4" xfId="1345"/>
    <cellStyle name="20% - Accent6 4 10" xfId="17980"/>
    <cellStyle name="20% - Accent6 4 10 2" xfId="17981"/>
    <cellStyle name="20% - Accent6 4 10 2 2" xfId="17982"/>
    <cellStyle name="20% - Accent6 4 10 2 3" xfId="17983"/>
    <cellStyle name="20% - Accent6 4 10 3" xfId="17984"/>
    <cellStyle name="20% - Accent6 4 10 3 2" xfId="17985"/>
    <cellStyle name="20% - Accent6 4 10 4" xfId="17986"/>
    <cellStyle name="20% - Accent6 4 10 5" xfId="17987"/>
    <cellStyle name="20% - Accent6 4 11" xfId="17988"/>
    <cellStyle name="20% - Accent6 4 11 2" xfId="17989"/>
    <cellStyle name="20% - Accent6 4 11 3" xfId="17990"/>
    <cellStyle name="20% - Accent6 4 12" xfId="17991"/>
    <cellStyle name="20% - Accent6 4 12 2" xfId="17992"/>
    <cellStyle name="20% - Accent6 4 12 3" xfId="17993"/>
    <cellStyle name="20% - Accent6 4 13" xfId="17994"/>
    <cellStyle name="20% - Accent6 4 13 2" xfId="17995"/>
    <cellStyle name="20% - Accent6 4 14" xfId="17996"/>
    <cellStyle name="20% - Accent6 4 15" xfId="17997"/>
    <cellStyle name="20% - Accent6 4 16" xfId="17998"/>
    <cellStyle name="20% - Accent6 4 2" xfId="1346"/>
    <cellStyle name="20% - Accent6 4 2 10" xfId="17999"/>
    <cellStyle name="20% - Accent6 4 2 10 2" xfId="18000"/>
    <cellStyle name="20% - Accent6 4 2 10 3" xfId="18001"/>
    <cellStyle name="20% - Accent6 4 2 11" xfId="18002"/>
    <cellStyle name="20% - Accent6 4 2 11 2" xfId="18003"/>
    <cellStyle name="20% - Accent6 4 2 11 3" xfId="18004"/>
    <cellStyle name="20% - Accent6 4 2 12" xfId="18005"/>
    <cellStyle name="20% - Accent6 4 2 12 2" xfId="18006"/>
    <cellStyle name="20% - Accent6 4 2 13" xfId="18007"/>
    <cellStyle name="20% - Accent6 4 2 14" xfId="18008"/>
    <cellStyle name="20% - Accent6 4 2 15" xfId="18009"/>
    <cellStyle name="20% - Accent6 4 2 2" xfId="1347"/>
    <cellStyle name="20% - Accent6 4 2 2 10" xfId="18010"/>
    <cellStyle name="20% - Accent6 4 2 2 10 2" xfId="18011"/>
    <cellStyle name="20% - Accent6 4 2 2 10 3" xfId="18012"/>
    <cellStyle name="20% - Accent6 4 2 2 11" xfId="18013"/>
    <cellStyle name="20% - Accent6 4 2 2 11 2" xfId="18014"/>
    <cellStyle name="20% - Accent6 4 2 2 12" xfId="18015"/>
    <cellStyle name="20% - Accent6 4 2 2 13" xfId="18016"/>
    <cellStyle name="20% - Accent6 4 2 2 2" xfId="1348"/>
    <cellStyle name="20% - Accent6 4 2 2 2 10" xfId="18017"/>
    <cellStyle name="20% - Accent6 4 2 2 2 10 2" xfId="18018"/>
    <cellStyle name="20% - Accent6 4 2 2 2 11" xfId="18019"/>
    <cellStyle name="20% - Accent6 4 2 2 2 12" xfId="18020"/>
    <cellStyle name="20% - Accent6 4 2 2 2 2" xfId="1349"/>
    <cellStyle name="20% - Accent6 4 2 2 2 2 10" xfId="18021"/>
    <cellStyle name="20% - Accent6 4 2 2 2 2 2" xfId="1350"/>
    <cellStyle name="20% - Accent6 4 2 2 2 2 2 2" xfId="18022"/>
    <cellStyle name="20% - Accent6 4 2 2 2 2 2 2 2" xfId="18023"/>
    <cellStyle name="20% - Accent6 4 2 2 2 2 2 2 2 2" xfId="18024"/>
    <cellStyle name="20% - Accent6 4 2 2 2 2 2 2 2 3" xfId="18025"/>
    <cellStyle name="20% - Accent6 4 2 2 2 2 2 2 3" xfId="18026"/>
    <cellStyle name="20% - Accent6 4 2 2 2 2 2 2 3 2" xfId="18027"/>
    <cellStyle name="20% - Accent6 4 2 2 2 2 2 2 3 3" xfId="18028"/>
    <cellStyle name="20% - Accent6 4 2 2 2 2 2 2 4" xfId="18029"/>
    <cellStyle name="20% - Accent6 4 2 2 2 2 2 2 4 2" xfId="18030"/>
    <cellStyle name="20% - Accent6 4 2 2 2 2 2 2 5" xfId="18031"/>
    <cellStyle name="20% - Accent6 4 2 2 2 2 2 2 6" xfId="18032"/>
    <cellStyle name="20% - Accent6 4 2 2 2 2 2 3" xfId="18033"/>
    <cellStyle name="20% - Accent6 4 2 2 2 2 2 3 2" xfId="18034"/>
    <cellStyle name="20% - Accent6 4 2 2 2 2 2 3 2 2" xfId="18035"/>
    <cellStyle name="20% - Accent6 4 2 2 2 2 2 3 2 3" xfId="18036"/>
    <cellStyle name="20% - Accent6 4 2 2 2 2 2 3 3" xfId="18037"/>
    <cellStyle name="20% - Accent6 4 2 2 2 2 2 3 3 2" xfId="18038"/>
    <cellStyle name="20% - Accent6 4 2 2 2 2 2 3 3 3" xfId="18039"/>
    <cellStyle name="20% - Accent6 4 2 2 2 2 2 3 4" xfId="18040"/>
    <cellStyle name="20% - Accent6 4 2 2 2 2 2 3 4 2" xfId="18041"/>
    <cellStyle name="20% - Accent6 4 2 2 2 2 2 3 5" xfId="18042"/>
    <cellStyle name="20% - Accent6 4 2 2 2 2 2 3 6" xfId="18043"/>
    <cellStyle name="20% - Accent6 4 2 2 2 2 2 4" xfId="18044"/>
    <cellStyle name="20% - Accent6 4 2 2 2 2 2 4 2" xfId="18045"/>
    <cellStyle name="20% - Accent6 4 2 2 2 2 2 4 2 2" xfId="18046"/>
    <cellStyle name="20% - Accent6 4 2 2 2 2 2 4 2 3" xfId="18047"/>
    <cellStyle name="20% - Accent6 4 2 2 2 2 2 4 3" xfId="18048"/>
    <cellStyle name="20% - Accent6 4 2 2 2 2 2 4 3 2" xfId="18049"/>
    <cellStyle name="20% - Accent6 4 2 2 2 2 2 4 4" xfId="18050"/>
    <cellStyle name="20% - Accent6 4 2 2 2 2 2 4 5" xfId="18051"/>
    <cellStyle name="20% - Accent6 4 2 2 2 2 2 5" xfId="18052"/>
    <cellStyle name="20% - Accent6 4 2 2 2 2 2 5 2" xfId="18053"/>
    <cellStyle name="20% - Accent6 4 2 2 2 2 2 5 3" xfId="18054"/>
    <cellStyle name="20% - Accent6 4 2 2 2 2 2 6" xfId="18055"/>
    <cellStyle name="20% - Accent6 4 2 2 2 2 2 6 2" xfId="18056"/>
    <cellStyle name="20% - Accent6 4 2 2 2 2 2 6 3" xfId="18057"/>
    <cellStyle name="20% - Accent6 4 2 2 2 2 2 7" xfId="18058"/>
    <cellStyle name="20% - Accent6 4 2 2 2 2 2 7 2" xfId="18059"/>
    <cellStyle name="20% - Accent6 4 2 2 2 2 2 8" xfId="18060"/>
    <cellStyle name="20% - Accent6 4 2 2 2 2 2 9" xfId="18061"/>
    <cellStyle name="20% - Accent6 4 2 2 2 2 3" xfId="18062"/>
    <cellStyle name="20% - Accent6 4 2 2 2 2 3 2" xfId="18063"/>
    <cellStyle name="20% - Accent6 4 2 2 2 2 3 2 2" xfId="18064"/>
    <cellStyle name="20% - Accent6 4 2 2 2 2 3 2 3" xfId="18065"/>
    <cellStyle name="20% - Accent6 4 2 2 2 2 3 3" xfId="18066"/>
    <cellStyle name="20% - Accent6 4 2 2 2 2 3 3 2" xfId="18067"/>
    <cellStyle name="20% - Accent6 4 2 2 2 2 3 3 3" xfId="18068"/>
    <cellStyle name="20% - Accent6 4 2 2 2 2 3 4" xfId="18069"/>
    <cellStyle name="20% - Accent6 4 2 2 2 2 3 4 2" xfId="18070"/>
    <cellStyle name="20% - Accent6 4 2 2 2 2 3 5" xfId="18071"/>
    <cellStyle name="20% - Accent6 4 2 2 2 2 3 6" xfId="18072"/>
    <cellStyle name="20% - Accent6 4 2 2 2 2 4" xfId="18073"/>
    <cellStyle name="20% - Accent6 4 2 2 2 2 4 2" xfId="18074"/>
    <cellStyle name="20% - Accent6 4 2 2 2 2 4 2 2" xfId="18075"/>
    <cellStyle name="20% - Accent6 4 2 2 2 2 4 2 3" xfId="18076"/>
    <cellStyle name="20% - Accent6 4 2 2 2 2 4 3" xfId="18077"/>
    <cellStyle name="20% - Accent6 4 2 2 2 2 4 3 2" xfId="18078"/>
    <cellStyle name="20% - Accent6 4 2 2 2 2 4 3 3" xfId="18079"/>
    <cellStyle name="20% - Accent6 4 2 2 2 2 4 4" xfId="18080"/>
    <cellStyle name="20% - Accent6 4 2 2 2 2 4 4 2" xfId="18081"/>
    <cellStyle name="20% - Accent6 4 2 2 2 2 4 5" xfId="18082"/>
    <cellStyle name="20% - Accent6 4 2 2 2 2 4 6" xfId="18083"/>
    <cellStyle name="20% - Accent6 4 2 2 2 2 5" xfId="18084"/>
    <cellStyle name="20% - Accent6 4 2 2 2 2 5 2" xfId="18085"/>
    <cellStyle name="20% - Accent6 4 2 2 2 2 5 2 2" xfId="18086"/>
    <cellStyle name="20% - Accent6 4 2 2 2 2 5 2 3" xfId="18087"/>
    <cellStyle name="20% - Accent6 4 2 2 2 2 5 3" xfId="18088"/>
    <cellStyle name="20% - Accent6 4 2 2 2 2 5 3 2" xfId="18089"/>
    <cellStyle name="20% - Accent6 4 2 2 2 2 5 4" xfId="18090"/>
    <cellStyle name="20% - Accent6 4 2 2 2 2 5 5" xfId="18091"/>
    <cellStyle name="20% - Accent6 4 2 2 2 2 6" xfId="18092"/>
    <cellStyle name="20% - Accent6 4 2 2 2 2 6 2" xfId="18093"/>
    <cellStyle name="20% - Accent6 4 2 2 2 2 6 3" xfId="18094"/>
    <cellStyle name="20% - Accent6 4 2 2 2 2 7" xfId="18095"/>
    <cellStyle name="20% - Accent6 4 2 2 2 2 7 2" xfId="18096"/>
    <cellStyle name="20% - Accent6 4 2 2 2 2 7 3" xfId="18097"/>
    <cellStyle name="20% - Accent6 4 2 2 2 2 8" xfId="18098"/>
    <cellStyle name="20% - Accent6 4 2 2 2 2 8 2" xfId="18099"/>
    <cellStyle name="20% - Accent6 4 2 2 2 2 9" xfId="18100"/>
    <cellStyle name="20% - Accent6 4 2 2 2 3" xfId="1351"/>
    <cellStyle name="20% - Accent6 4 2 2 2 3 2" xfId="18101"/>
    <cellStyle name="20% - Accent6 4 2 2 2 3 2 2" xfId="18102"/>
    <cellStyle name="20% - Accent6 4 2 2 2 3 2 2 2" xfId="18103"/>
    <cellStyle name="20% - Accent6 4 2 2 2 3 2 2 3" xfId="18104"/>
    <cellStyle name="20% - Accent6 4 2 2 2 3 2 3" xfId="18105"/>
    <cellStyle name="20% - Accent6 4 2 2 2 3 2 3 2" xfId="18106"/>
    <cellStyle name="20% - Accent6 4 2 2 2 3 2 3 3" xfId="18107"/>
    <cellStyle name="20% - Accent6 4 2 2 2 3 2 4" xfId="18108"/>
    <cellStyle name="20% - Accent6 4 2 2 2 3 2 4 2" xfId="18109"/>
    <cellStyle name="20% - Accent6 4 2 2 2 3 2 5" xfId="18110"/>
    <cellStyle name="20% - Accent6 4 2 2 2 3 2 6" xfId="18111"/>
    <cellStyle name="20% - Accent6 4 2 2 2 3 3" xfId="18112"/>
    <cellStyle name="20% - Accent6 4 2 2 2 3 3 2" xfId="18113"/>
    <cellStyle name="20% - Accent6 4 2 2 2 3 3 2 2" xfId="18114"/>
    <cellStyle name="20% - Accent6 4 2 2 2 3 3 2 3" xfId="18115"/>
    <cellStyle name="20% - Accent6 4 2 2 2 3 3 3" xfId="18116"/>
    <cellStyle name="20% - Accent6 4 2 2 2 3 3 3 2" xfId="18117"/>
    <cellStyle name="20% - Accent6 4 2 2 2 3 3 3 3" xfId="18118"/>
    <cellStyle name="20% - Accent6 4 2 2 2 3 3 4" xfId="18119"/>
    <cellStyle name="20% - Accent6 4 2 2 2 3 3 4 2" xfId="18120"/>
    <cellStyle name="20% - Accent6 4 2 2 2 3 3 5" xfId="18121"/>
    <cellStyle name="20% - Accent6 4 2 2 2 3 3 6" xfId="18122"/>
    <cellStyle name="20% - Accent6 4 2 2 2 3 4" xfId="18123"/>
    <cellStyle name="20% - Accent6 4 2 2 2 3 4 2" xfId="18124"/>
    <cellStyle name="20% - Accent6 4 2 2 2 3 4 2 2" xfId="18125"/>
    <cellStyle name="20% - Accent6 4 2 2 2 3 4 2 3" xfId="18126"/>
    <cellStyle name="20% - Accent6 4 2 2 2 3 4 3" xfId="18127"/>
    <cellStyle name="20% - Accent6 4 2 2 2 3 4 3 2" xfId="18128"/>
    <cellStyle name="20% - Accent6 4 2 2 2 3 4 4" xfId="18129"/>
    <cellStyle name="20% - Accent6 4 2 2 2 3 4 5" xfId="18130"/>
    <cellStyle name="20% - Accent6 4 2 2 2 3 5" xfId="18131"/>
    <cellStyle name="20% - Accent6 4 2 2 2 3 5 2" xfId="18132"/>
    <cellStyle name="20% - Accent6 4 2 2 2 3 5 3" xfId="18133"/>
    <cellStyle name="20% - Accent6 4 2 2 2 3 6" xfId="18134"/>
    <cellStyle name="20% - Accent6 4 2 2 2 3 6 2" xfId="18135"/>
    <cellStyle name="20% - Accent6 4 2 2 2 3 6 3" xfId="18136"/>
    <cellStyle name="20% - Accent6 4 2 2 2 3 7" xfId="18137"/>
    <cellStyle name="20% - Accent6 4 2 2 2 3 7 2" xfId="18138"/>
    <cellStyle name="20% - Accent6 4 2 2 2 3 8" xfId="18139"/>
    <cellStyle name="20% - Accent6 4 2 2 2 3 9" xfId="18140"/>
    <cellStyle name="20% - Accent6 4 2 2 2 4" xfId="18141"/>
    <cellStyle name="20% - Accent6 4 2 2 2 4 2" xfId="18142"/>
    <cellStyle name="20% - Accent6 4 2 2 2 4 2 2" xfId="18143"/>
    <cellStyle name="20% - Accent6 4 2 2 2 4 2 2 2" xfId="18144"/>
    <cellStyle name="20% - Accent6 4 2 2 2 4 2 2 3" xfId="18145"/>
    <cellStyle name="20% - Accent6 4 2 2 2 4 2 3" xfId="18146"/>
    <cellStyle name="20% - Accent6 4 2 2 2 4 2 3 2" xfId="18147"/>
    <cellStyle name="20% - Accent6 4 2 2 2 4 2 3 3" xfId="18148"/>
    <cellStyle name="20% - Accent6 4 2 2 2 4 2 4" xfId="18149"/>
    <cellStyle name="20% - Accent6 4 2 2 2 4 2 4 2" xfId="18150"/>
    <cellStyle name="20% - Accent6 4 2 2 2 4 2 5" xfId="18151"/>
    <cellStyle name="20% - Accent6 4 2 2 2 4 2 6" xfId="18152"/>
    <cellStyle name="20% - Accent6 4 2 2 2 4 3" xfId="18153"/>
    <cellStyle name="20% - Accent6 4 2 2 2 4 3 2" xfId="18154"/>
    <cellStyle name="20% - Accent6 4 2 2 2 4 3 2 2" xfId="18155"/>
    <cellStyle name="20% - Accent6 4 2 2 2 4 3 2 3" xfId="18156"/>
    <cellStyle name="20% - Accent6 4 2 2 2 4 3 3" xfId="18157"/>
    <cellStyle name="20% - Accent6 4 2 2 2 4 3 3 2" xfId="18158"/>
    <cellStyle name="20% - Accent6 4 2 2 2 4 3 3 3" xfId="18159"/>
    <cellStyle name="20% - Accent6 4 2 2 2 4 3 4" xfId="18160"/>
    <cellStyle name="20% - Accent6 4 2 2 2 4 3 4 2" xfId="18161"/>
    <cellStyle name="20% - Accent6 4 2 2 2 4 3 5" xfId="18162"/>
    <cellStyle name="20% - Accent6 4 2 2 2 4 3 6" xfId="18163"/>
    <cellStyle name="20% - Accent6 4 2 2 2 4 4" xfId="18164"/>
    <cellStyle name="20% - Accent6 4 2 2 2 4 4 2" xfId="18165"/>
    <cellStyle name="20% - Accent6 4 2 2 2 4 4 2 2" xfId="18166"/>
    <cellStyle name="20% - Accent6 4 2 2 2 4 4 2 3" xfId="18167"/>
    <cellStyle name="20% - Accent6 4 2 2 2 4 4 3" xfId="18168"/>
    <cellStyle name="20% - Accent6 4 2 2 2 4 4 3 2" xfId="18169"/>
    <cellStyle name="20% - Accent6 4 2 2 2 4 4 4" xfId="18170"/>
    <cellStyle name="20% - Accent6 4 2 2 2 4 4 5" xfId="18171"/>
    <cellStyle name="20% - Accent6 4 2 2 2 4 5" xfId="18172"/>
    <cellStyle name="20% - Accent6 4 2 2 2 4 5 2" xfId="18173"/>
    <cellStyle name="20% - Accent6 4 2 2 2 4 5 3" xfId="18174"/>
    <cellStyle name="20% - Accent6 4 2 2 2 4 6" xfId="18175"/>
    <cellStyle name="20% - Accent6 4 2 2 2 4 6 2" xfId="18176"/>
    <cellStyle name="20% - Accent6 4 2 2 2 4 6 3" xfId="18177"/>
    <cellStyle name="20% - Accent6 4 2 2 2 4 7" xfId="18178"/>
    <cellStyle name="20% - Accent6 4 2 2 2 4 7 2" xfId="18179"/>
    <cellStyle name="20% - Accent6 4 2 2 2 4 8" xfId="18180"/>
    <cellStyle name="20% - Accent6 4 2 2 2 4 9" xfId="18181"/>
    <cellStyle name="20% - Accent6 4 2 2 2 5" xfId="18182"/>
    <cellStyle name="20% - Accent6 4 2 2 2 5 2" xfId="18183"/>
    <cellStyle name="20% - Accent6 4 2 2 2 5 2 2" xfId="18184"/>
    <cellStyle name="20% - Accent6 4 2 2 2 5 2 3" xfId="18185"/>
    <cellStyle name="20% - Accent6 4 2 2 2 5 3" xfId="18186"/>
    <cellStyle name="20% - Accent6 4 2 2 2 5 3 2" xfId="18187"/>
    <cellStyle name="20% - Accent6 4 2 2 2 5 3 3" xfId="18188"/>
    <cellStyle name="20% - Accent6 4 2 2 2 5 4" xfId="18189"/>
    <cellStyle name="20% - Accent6 4 2 2 2 5 4 2" xfId="18190"/>
    <cellStyle name="20% - Accent6 4 2 2 2 5 5" xfId="18191"/>
    <cellStyle name="20% - Accent6 4 2 2 2 5 6" xfId="18192"/>
    <cellStyle name="20% - Accent6 4 2 2 2 6" xfId="18193"/>
    <cellStyle name="20% - Accent6 4 2 2 2 6 2" xfId="18194"/>
    <cellStyle name="20% - Accent6 4 2 2 2 6 2 2" xfId="18195"/>
    <cellStyle name="20% - Accent6 4 2 2 2 6 2 3" xfId="18196"/>
    <cellStyle name="20% - Accent6 4 2 2 2 6 3" xfId="18197"/>
    <cellStyle name="20% - Accent6 4 2 2 2 6 3 2" xfId="18198"/>
    <cellStyle name="20% - Accent6 4 2 2 2 6 3 3" xfId="18199"/>
    <cellStyle name="20% - Accent6 4 2 2 2 6 4" xfId="18200"/>
    <cellStyle name="20% - Accent6 4 2 2 2 6 4 2" xfId="18201"/>
    <cellStyle name="20% - Accent6 4 2 2 2 6 5" xfId="18202"/>
    <cellStyle name="20% - Accent6 4 2 2 2 6 6" xfId="18203"/>
    <cellStyle name="20% - Accent6 4 2 2 2 7" xfId="18204"/>
    <cellStyle name="20% - Accent6 4 2 2 2 7 2" xfId="18205"/>
    <cellStyle name="20% - Accent6 4 2 2 2 7 2 2" xfId="18206"/>
    <cellStyle name="20% - Accent6 4 2 2 2 7 2 3" xfId="18207"/>
    <cellStyle name="20% - Accent6 4 2 2 2 7 3" xfId="18208"/>
    <cellStyle name="20% - Accent6 4 2 2 2 7 3 2" xfId="18209"/>
    <cellStyle name="20% - Accent6 4 2 2 2 7 4" xfId="18210"/>
    <cellStyle name="20% - Accent6 4 2 2 2 7 5" xfId="18211"/>
    <cellStyle name="20% - Accent6 4 2 2 2 8" xfId="18212"/>
    <cellStyle name="20% - Accent6 4 2 2 2 8 2" xfId="18213"/>
    <cellStyle name="20% - Accent6 4 2 2 2 8 3" xfId="18214"/>
    <cellStyle name="20% - Accent6 4 2 2 2 9" xfId="18215"/>
    <cellStyle name="20% - Accent6 4 2 2 2 9 2" xfId="18216"/>
    <cellStyle name="20% - Accent6 4 2 2 2 9 3" xfId="18217"/>
    <cellStyle name="20% - Accent6 4 2 2 3" xfId="1352"/>
    <cellStyle name="20% - Accent6 4 2 2 3 10" xfId="18218"/>
    <cellStyle name="20% - Accent6 4 2 2 3 2" xfId="1353"/>
    <cellStyle name="20% - Accent6 4 2 2 3 2 2" xfId="18219"/>
    <cellStyle name="20% - Accent6 4 2 2 3 2 2 2" xfId="18220"/>
    <cellStyle name="20% - Accent6 4 2 2 3 2 2 2 2" xfId="18221"/>
    <cellStyle name="20% - Accent6 4 2 2 3 2 2 2 3" xfId="18222"/>
    <cellStyle name="20% - Accent6 4 2 2 3 2 2 3" xfId="18223"/>
    <cellStyle name="20% - Accent6 4 2 2 3 2 2 3 2" xfId="18224"/>
    <cellStyle name="20% - Accent6 4 2 2 3 2 2 3 3" xfId="18225"/>
    <cellStyle name="20% - Accent6 4 2 2 3 2 2 4" xfId="18226"/>
    <cellStyle name="20% - Accent6 4 2 2 3 2 2 4 2" xfId="18227"/>
    <cellStyle name="20% - Accent6 4 2 2 3 2 2 5" xfId="18228"/>
    <cellStyle name="20% - Accent6 4 2 2 3 2 2 6" xfId="18229"/>
    <cellStyle name="20% - Accent6 4 2 2 3 2 3" xfId="18230"/>
    <cellStyle name="20% - Accent6 4 2 2 3 2 3 2" xfId="18231"/>
    <cellStyle name="20% - Accent6 4 2 2 3 2 3 2 2" xfId="18232"/>
    <cellStyle name="20% - Accent6 4 2 2 3 2 3 2 3" xfId="18233"/>
    <cellStyle name="20% - Accent6 4 2 2 3 2 3 3" xfId="18234"/>
    <cellStyle name="20% - Accent6 4 2 2 3 2 3 3 2" xfId="18235"/>
    <cellStyle name="20% - Accent6 4 2 2 3 2 3 3 3" xfId="18236"/>
    <cellStyle name="20% - Accent6 4 2 2 3 2 3 4" xfId="18237"/>
    <cellStyle name="20% - Accent6 4 2 2 3 2 3 4 2" xfId="18238"/>
    <cellStyle name="20% - Accent6 4 2 2 3 2 3 5" xfId="18239"/>
    <cellStyle name="20% - Accent6 4 2 2 3 2 3 6" xfId="18240"/>
    <cellStyle name="20% - Accent6 4 2 2 3 2 4" xfId="18241"/>
    <cellStyle name="20% - Accent6 4 2 2 3 2 4 2" xfId="18242"/>
    <cellStyle name="20% - Accent6 4 2 2 3 2 4 2 2" xfId="18243"/>
    <cellStyle name="20% - Accent6 4 2 2 3 2 4 2 3" xfId="18244"/>
    <cellStyle name="20% - Accent6 4 2 2 3 2 4 3" xfId="18245"/>
    <cellStyle name="20% - Accent6 4 2 2 3 2 4 3 2" xfId="18246"/>
    <cellStyle name="20% - Accent6 4 2 2 3 2 4 4" xfId="18247"/>
    <cellStyle name="20% - Accent6 4 2 2 3 2 4 5" xfId="18248"/>
    <cellStyle name="20% - Accent6 4 2 2 3 2 5" xfId="18249"/>
    <cellStyle name="20% - Accent6 4 2 2 3 2 5 2" xfId="18250"/>
    <cellStyle name="20% - Accent6 4 2 2 3 2 5 3" xfId="18251"/>
    <cellStyle name="20% - Accent6 4 2 2 3 2 6" xfId="18252"/>
    <cellStyle name="20% - Accent6 4 2 2 3 2 6 2" xfId="18253"/>
    <cellStyle name="20% - Accent6 4 2 2 3 2 6 3" xfId="18254"/>
    <cellStyle name="20% - Accent6 4 2 2 3 2 7" xfId="18255"/>
    <cellStyle name="20% - Accent6 4 2 2 3 2 7 2" xfId="18256"/>
    <cellStyle name="20% - Accent6 4 2 2 3 2 8" xfId="18257"/>
    <cellStyle name="20% - Accent6 4 2 2 3 2 9" xfId="18258"/>
    <cellStyle name="20% - Accent6 4 2 2 3 3" xfId="18259"/>
    <cellStyle name="20% - Accent6 4 2 2 3 3 2" xfId="18260"/>
    <cellStyle name="20% - Accent6 4 2 2 3 3 2 2" xfId="18261"/>
    <cellStyle name="20% - Accent6 4 2 2 3 3 2 3" xfId="18262"/>
    <cellStyle name="20% - Accent6 4 2 2 3 3 3" xfId="18263"/>
    <cellStyle name="20% - Accent6 4 2 2 3 3 3 2" xfId="18264"/>
    <cellStyle name="20% - Accent6 4 2 2 3 3 3 3" xfId="18265"/>
    <cellStyle name="20% - Accent6 4 2 2 3 3 4" xfId="18266"/>
    <cellStyle name="20% - Accent6 4 2 2 3 3 4 2" xfId="18267"/>
    <cellStyle name="20% - Accent6 4 2 2 3 3 5" xfId="18268"/>
    <cellStyle name="20% - Accent6 4 2 2 3 3 6" xfId="18269"/>
    <cellStyle name="20% - Accent6 4 2 2 3 4" xfId="18270"/>
    <cellStyle name="20% - Accent6 4 2 2 3 4 2" xfId="18271"/>
    <cellStyle name="20% - Accent6 4 2 2 3 4 2 2" xfId="18272"/>
    <cellStyle name="20% - Accent6 4 2 2 3 4 2 3" xfId="18273"/>
    <cellStyle name="20% - Accent6 4 2 2 3 4 3" xfId="18274"/>
    <cellStyle name="20% - Accent6 4 2 2 3 4 3 2" xfId="18275"/>
    <cellStyle name="20% - Accent6 4 2 2 3 4 3 3" xfId="18276"/>
    <cellStyle name="20% - Accent6 4 2 2 3 4 4" xfId="18277"/>
    <cellStyle name="20% - Accent6 4 2 2 3 4 4 2" xfId="18278"/>
    <cellStyle name="20% - Accent6 4 2 2 3 4 5" xfId="18279"/>
    <cellStyle name="20% - Accent6 4 2 2 3 4 6" xfId="18280"/>
    <cellStyle name="20% - Accent6 4 2 2 3 5" xfId="18281"/>
    <cellStyle name="20% - Accent6 4 2 2 3 5 2" xfId="18282"/>
    <cellStyle name="20% - Accent6 4 2 2 3 5 2 2" xfId="18283"/>
    <cellStyle name="20% - Accent6 4 2 2 3 5 2 3" xfId="18284"/>
    <cellStyle name="20% - Accent6 4 2 2 3 5 3" xfId="18285"/>
    <cellStyle name="20% - Accent6 4 2 2 3 5 3 2" xfId="18286"/>
    <cellStyle name="20% - Accent6 4 2 2 3 5 4" xfId="18287"/>
    <cellStyle name="20% - Accent6 4 2 2 3 5 5" xfId="18288"/>
    <cellStyle name="20% - Accent6 4 2 2 3 6" xfId="18289"/>
    <cellStyle name="20% - Accent6 4 2 2 3 6 2" xfId="18290"/>
    <cellStyle name="20% - Accent6 4 2 2 3 6 3" xfId="18291"/>
    <cellStyle name="20% - Accent6 4 2 2 3 7" xfId="18292"/>
    <cellStyle name="20% - Accent6 4 2 2 3 7 2" xfId="18293"/>
    <cellStyle name="20% - Accent6 4 2 2 3 7 3" xfId="18294"/>
    <cellStyle name="20% - Accent6 4 2 2 3 8" xfId="18295"/>
    <cellStyle name="20% - Accent6 4 2 2 3 8 2" xfId="18296"/>
    <cellStyle name="20% - Accent6 4 2 2 3 9" xfId="18297"/>
    <cellStyle name="20% - Accent6 4 2 2 4" xfId="1354"/>
    <cellStyle name="20% - Accent6 4 2 2 4 2" xfId="18298"/>
    <cellStyle name="20% - Accent6 4 2 2 4 2 2" xfId="18299"/>
    <cellStyle name="20% - Accent6 4 2 2 4 2 2 2" xfId="18300"/>
    <cellStyle name="20% - Accent6 4 2 2 4 2 2 3" xfId="18301"/>
    <cellStyle name="20% - Accent6 4 2 2 4 2 3" xfId="18302"/>
    <cellStyle name="20% - Accent6 4 2 2 4 2 3 2" xfId="18303"/>
    <cellStyle name="20% - Accent6 4 2 2 4 2 3 3" xfId="18304"/>
    <cellStyle name="20% - Accent6 4 2 2 4 2 4" xfId="18305"/>
    <cellStyle name="20% - Accent6 4 2 2 4 2 4 2" xfId="18306"/>
    <cellStyle name="20% - Accent6 4 2 2 4 2 5" xfId="18307"/>
    <cellStyle name="20% - Accent6 4 2 2 4 2 6" xfId="18308"/>
    <cellStyle name="20% - Accent6 4 2 2 4 3" xfId="18309"/>
    <cellStyle name="20% - Accent6 4 2 2 4 3 2" xfId="18310"/>
    <cellStyle name="20% - Accent6 4 2 2 4 3 2 2" xfId="18311"/>
    <cellStyle name="20% - Accent6 4 2 2 4 3 2 3" xfId="18312"/>
    <cellStyle name="20% - Accent6 4 2 2 4 3 3" xfId="18313"/>
    <cellStyle name="20% - Accent6 4 2 2 4 3 3 2" xfId="18314"/>
    <cellStyle name="20% - Accent6 4 2 2 4 3 3 3" xfId="18315"/>
    <cellStyle name="20% - Accent6 4 2 2 4 3 4" xfId="18316"/>
    <cellStyle name="20% - Accent6 4 2 2 4 3 4 2" xfId="18317"/>
    <cellStyle name="20% - Accent6 4 2 2 4 3 5" xfId="18318"/>
    <cellStyle name="20% - Accent6 4 2 2 4 3 6" xfId="18319"/>
    <cellStyle name="20% - Accent6 4 2 2 4 4" xfId="18320"/>
    <cellStyle name="20% - Accent6 4 2 2 4 4 2" xfId="18321"/>
    <cellStyle name="20% - Accent6 4 2 2 4 4 2 2" xfId="18322"/>
    <cellStyle name="20% - Accent6 4 2 2 4 4 2 3" xfId="18323"/>
    <cellStyle name="20% - Accent6 4 2 2 4 4 3" xfId="18324"/>
    <cellStyle name="20% - Accent6 4 2 2 4 4 3 2" xfId="18325"/>
    <cellStyle name="20% - Accent6 4 2 2 4 4 4" xfId="18326"/>
    <cellStyle name="20% - Accent6 4 2 2 4 4 5" xfId="18327"/>
    <cellStyle name="20% - Accent6 4 2 2 4 5" xfId="18328"/>
    <cellStyle name="20% - Accent6 4 2 2 4 5 2" xfId="18329"/>
    <cellStyle name="20% - Accent6 4 2 2 4 5 3" xfId="18330"/>
    <cellStyle name="20% - Accent6 4 2 2 4 6" xfId="18331"/>
    <cellStyle name="20% - Accent6 4 2 2 4 6 2" xfId="18332"/>
    <cellStyle name="20% - Accent6 4 2 2 4 6 3" xfId="18333"/>
    <cellStyle name="20% - Accent6 4 2 2 4 7" xfId="18334"/>
    <cellStyle name="20% - Accent6 4 2 2 4 7 2" xfId="18335"/>
    <cellStyle name="20% - Accent6 4 2 2 4 8" xfId="18336"/>
    <cellStyle name="20% - Accent6 4 2 2 4 9" xfId="18337"/>
    <cellStyle name="20% - Accent6 4 2 2 5" xfId="18338"/>
    <cellStyle name="20% - Accent6 4 2 2 5 2" xfId="18339"/>
    <cellStyle name="20% - Accent6 4 2 2 5 2 2" xfId="18340"/>
    <cellStyle name="20% - Accent6 4 2 2 5 2 2 2" xfId="18341"/>
    <cellStyle name="20% - Accent6 4 2 2 5 2 2 3" xfId="18342"/>
    <cellStyle name="20% - Accent6 4 2 2 5 2 3" xfId="18343"/>
    <cellStyle name="20% - Accent6 4 2 2 5 2 3 2" xfId="18344"/>
    <cellStyle name="20% - Accent6 4 2 2 5 2 3 3" xfId="18345"/>
    <cellStyle name="20% - Accent6 4 2 2 5 2 4" xfId="18346"/>
    <cellStyle name="20% - Accent6 4 2 2 5 2 4 2" xfId="18347"/>
    <cellStyle name="20% - Accent6 4 2 2 5 2 5" xfId="18348"/>
    <cellStyle name="20% - Accent6 4 2 2 5 2 6" xfId="18349"/>
    <cellStyle name="20% - Accent6 4 2 2 5 3" xfId="18350"/>
    <cellStyle name="20% - Accent6 4 2 2 5 3 2" xfId="18351"/>
    <cellStyle name="20% - Accent6 4 2 2 5 3 2 2" xfId="18352"/>
    <cellStyle name="20% - Accent6 4 2 2 5 3 2 3" xfId="18353"/>
    <cellStyle name="20% - Accent6 4 2 2 5 3 3" xfId="18354"/>
    <cellStyle name="20% - Accent6 4 2 2 5 3 3 2" xfId="18355"/>
    <cellStyle name="20% - Accent6 4 2 2 5 3 3 3" xfId="18356"/>
    <cellStyle name="20% - Accent6 4 2 2 5 3 4" xfId="18357"/>
    <cellStyle name="20% - Accent6 4 2 2 5 3 4 2" xfId="18358"/>
    <cellStyle name="20% - Accent6 4 2 2 5 3 5" xfId="18359"/>
    <cellStyle name="20% - Accent6 4 2 2 5 3 6" xfId="18360"/>
    <cellStyle name="20% - Accent6 4 2 2 5 4" xfId="18361"/>
    <cellStyle name="20% - Accent6 4 2 2 5 4 2" xfId="18362"/>
    <cellStyle name="20% - Accent6 4 2 2 5 4 2 2" xfId="18363"/>
    <cellStyle name="20% - Accent6 4 2 2 5 4 2 3" xfId="18364"/>
    <cellStyle name="20% - Accent6 4 2 2 5 4 3" xfId="18365"/>
    <cellStyle name="20% - Accent6 4 2 2 5 4 3 2" xfId="18366"/>
    <cellStyle name="20% - Accent6 4 2 2 5 4 4" xfId="18367"/>
    <cellStyle name="20% - Accent6 4 2 2 5 4 5" xfId="18368"/>
    <cellStyle name="20% - Accent6 4 2 2 5 5" xfId="18369"/>
    <cellStyle name="20% - Accent6 4 2 2 5 5 2" xfId="18370"/>
    <cellStyle name="20% - Accent6 4 2 2 5 5 3" xfId="18371"/>
    <cellStyle name="20% - Accent6 4 2 2 5 6" xfId="18372"/>
    <cellStyle name="20% - Accent6 4 2 2 5 6 2" xfId="18373"/>
    <cellStyle name="20% - Accent6 4 2 2 5 6 3" xfId="18374"/>
    <cellStyle name="20% - Accent6 4 2 2 5 7" xfId="18375"/>
    <cellStyle name="20% - Accent6 4 2 2 5 7 2" xfId="18376"/>
    <cellStyle name="20% - Accent6 4 2 2 5 8" xfId="18377"/>
    <cellStyle name="20% - Accent6 4 2 2 5 9" xfId="18378"/>
    <cellStyle name="20% - Accent6 4 2 2 6" xfId="18379"/>
    <cellStyle name="20% - Accent6 4 2 2 6 2" xfId="18380"/>
    <cellStyle name="20% - Accent6 4 2 2 6 2 2" xfId="18381"/>
    <cellStyle name="20% - Accent6 4 2 2 6 2 3" xfId="18382"/>
    <cellStyle name="20% - Accent6 4 2 2 6 3" xfId="18383"/>
    <cellStyle name="20% - Accent6 4 2 2 6 3 2" xfId="18384"/>
    <cellStyle name="20% - Accent6 4 2 2 6 3 3" xfId="18385"/>
    <cellStyle name="20% - Accent6 4 2 2 6 4" xfId="18386"/>
    <cellStyle name="20% - Accent6 4 2 2 6 4 2" xfId="18387"/>
    <cellStyle name="20% - Accent6 4 2 2 6 5" xfId="18388"/>
    <cellStyle name="20% - Accent6 4 2 2 6 6" xfId="18389"/>
    <cellStyle name="20% - Accent6 4 2 2 7" xfId="18390"/>
    <cellStyle name="20% - Accent6 4 2 2 7 2" xfId="18391"/>
    <cellStyle name="20% - Accent6 4 2 2 7 2 2" xfId="18392"/>
    <cellStyle name="20% - Accent6 4 2 2 7 2 3" xfId="18393"/>
    <cellStyle name="20% - Accent6 4 2 2 7 3" xfId="18394"/>
    <cellStyle name="20% - Accent6 4 2 2 7 3 2" xfId="18395"/>
    <cellStyle name="20% - Accent6 4 2 2 7 3 3" xfId="18396"/>
    <cellStyle name="20% - Accent6 4 2 2 7 4" xfId="18397"/>
    <cellStyle name="20% - Accent6 4 2 2 7 4 2" xfId="18398"/>
    <cellStyle name="20% - Accent6 4 2 2 7 5" xfId="18399"/>
    <cellStyle name="20% - Accent6 4 2 2 7 6" xfId="18400"/>
    <cellStyle name="20% - Accent6 4 2 2 8" xfId="18401"/>
    <cellStyle name="20% - Accent6 4 2 2 8 2" xfId="18402"/>
    <cellStyle name="20% - Accent6 4 2 2 8 2 2" xfId="18403"/>
    <cellStyle name="20% - Accent6 4 2 2 8 2 3" xfId="18404"/>
    <cellStyle name="20% - Accent6 4 2 2 8 3" xfId="18405"/>
    <cellStyle name="20% - Accent6 4 2 2 8 3 2" xfId="18406"/>
    <cellStyle name="20% - Accent6 4 2 2 8 4" xfId="18407"/>
    <cellStyle name="20% - Accent6 4 2 2 8 5" xfId="18408"/>
    <cellStyle name="20% - Accent6 4 2 2 9" xfId="18409"/>
    <cellStyle name="20% - Accent6 4 2 2 9 2" xfId="18410"/>
    <cellStyle name="20% - Accent6 4 2 2 9 3" xfId="18411"/>
    <cellStyle name="20% - Accent6 4 2 3" xfId="1355"/>
    <cellStyle name="20% - Accent6 4 2 3 10" xfId="18412"/>
    <cellStyle name="20% - Accent6 4 2 3 10 2" xfId="18413"/>
    <cellStyle name="20% - Accent6 4 2 3 11" xfId="18414"/>
    <cellStyle name="20% - Accent6 4 2 3 12" xfId="18415"/>
    <cellStyle name="20% - Accent6 4 2 3 2" xfId="1356"/>
    <cellStyle name="20% - Accent6 4 2 3 2 10" xfId="18416"/>
    <cellStyle name="20% - Accent6 4 2 3 2 2" xfId="1357"/>
    <cellStyle name="20% - Accent6 4 2 3 2 2 2" xfId="18417"/>
    <cellStyle name="20% - Accent6 4 2 3 2 2 2 2" xfId="18418"/>
    <cellStyle name="20% - Accent6 4 2 3 2 2 2 2 2" xfId="18419"/>
    <cellStyle name="20% - Accent6 4 2 3 2 2 2 2 3" xfId="18420"/>
    <cellStyle name="20% - Accent6 4 2 3 2 2 2 3" xfId="18421"/>
    <cellStyle name="20% - Accent6 4 2 3 2 2 2 3 2" xfId="18422"/>
    <cellStyle name="20% - Accent6 4 2 3 2 2 2 3 3" xfId="18423"/>
    <cellStyle name="20% - Accent6 4 2 3 2 2 2 4" xfId="18424"/>
    <cellStyle name="20% - Accent6 4 2 3 2 2 2 4 2" xfId="18425"/>
    <cellStyle name="20% - Accent6 4 2 3 2 2 2 5" xfId="18426"/>
    <cellStyle name="20% - Accent6 4 2 3 2 2 2 6" xfId="18427"/>
    <cellStyle name="20% - Accent6 4 2 3 2 2 3" xfId="18428"/>
    <cellStyle name="20% - Accent6 4 2 3 2 2 3 2" xfId="18429"/>
    <cellStyle name="20% - Accent6 4 2 3 2 2 3 2 2" xfId="18430"/>
    <cellStyle name="20% - Accent6 4 2 3 2 2 3 2 3" xfId="18431"/>
    <cellStyle name="20% - Accent6 4 2 3 2 2 3 3" xfId="18432"/>
    <cellStyle name="20% - Accent6 4 2 3 2 2 3 3 2" xfId="18433"/>
    <cellStyle name="20% - Accent6 4 2 3 2 2 3 3 3" xfId="18434"/>
    <cellStyle name="20% - Accent6 4 2 3 2 2 3 4" xfId="18435"/>
    <cellStyle name="20% - Accent6 4 2 3 2 2 3 4 2" xfId="18436"/>
    <cellStyle name="20% - Accent6 4 2 3 2 2 3 5" xfId="18437"/>
    <cellStyle name="20% - Accent6 4 2 3 2 2 3 6" xfId="18438"/>
    <cellStyle name="20% - Accent6 4 2 3 2 2 4" xfId="18439"/>
    <cellStyle name="20% - Accent6 4 2 3 2 2 4 2" xfId="18440"/>
    <cellStyle name="20% - Accent6 4 2 3 2 2 4 2 2" xfId="18441"/>
    <cellStyle name="20% - Accent6 4 2 3 2 2 4 2 3" xfId="18442"/>
    <cellStyle name="20% - Accent6 4 2 3 2 2 4 3" xfId="18443"/>
    <cellStyle name="20% - Accent6 4 2 3 2 2 4 3 2" xfId="18444"/>
    <cellStyle name="20% - Accent6 4 2 3 2 2 4 4" xfId="18445"/>
    <cellStyle name="20% - Accent6 4 2 3 2 2 4 5" xfId="18446"/>
    <cellStyle name="20% - Accent6 4 2 3 2 2 5" xfId="18447"/>
    <cellStyle name="20% - Accent6 4 2 3 2 2 5 2" xfId="18448"/>
    <cellStyle name="20% - Accent6 4 2 3 2 2 5 3" xfId="18449"/>
    <cellStyle name="20% - Accent6 4 2 3 2 2 6" xfId="18450"/>
    <cellStyle name="20% - Accent6 4 2 3 2 2 6 2" xfId="18451"/>
    <cellStyle name="20% - Accent6 4 2 3 2 2 6 3" xfId="18452"/>
    <cellStyle name="20% - Accent6 4 2 3 2 2 7" xfId="18453"/>
    <cellStyle name="20% - Accent6 4 2 3 2 2 7 2" xfId="18454"/>
    <cellStyle name="20% - Accent6 4 2 3 2 2 8" xfId="18455"/>
    <cellStyle name="20% - Accent6 4 2 3 2 2 9" xfId="18456"/>
    <cellStyle name="20% - Accent6 4 2 3 2 3" xfId="18457"/>
    <cellStyle name="20% - Accent6 4 2 3 2 3 2" xfId="18458"/>
    <cellStyle name="20% - Accent6 4 2 3 2 3 2 2" xfId="18459"/>
    <cellStyle name="20% - Accent6 4 2 3 2 3 2 3" xfId="18460"/>
    <cellStyle name="20% - Accent6 4 2 3 2 3 3" xfId="18461"/>
    <cellStyle name="20% - Accent6 4 2 3 2 3 3 2" xfId="18462"/>
    <cellStyle name="20% - Accent6 4 2 3 2 3 3 3" xfId="18463"/>
    <cellStyle name="20% - Accent6 4 2 3 2 3 4" xfId="18464"/>
    <cellStyle name="20% - Accent6 4 2 3 2 3 4 2" xfId="18465"/>
    <cellStyle name="20% - Accent6 4 2 3 2 3 5" xfId="18466"/>
    <cellStyle name="20% - Accent6 4 2 3 2 3 6" xfId="18467"/>
    <cellStyle name="20% - Accent6 4 2 3 2 4" xfId="18468"/>
    <cellStyle name="20% - Accent6 4 2 3 2 4 2" xfId="18469"/>
    <cellStyle name="20% - Accent6 4 2 3 2 4 2 2" xfId="18470"/>
    <cellStyle name="20% - Accent6 4 2 3 2 4 2 3" xfId="18471"/>
    <cellStyle name="20% - Accent6 4 2 3 2 4 3" xfId="18472"/>
    <cellStyle name="20% - Accent6 4 2 3 2 4 3 2" xfId="18473"/>
    <cellStyle name="20% - Accent6 4 2 3 2 4 3 3" xfId="18474"/>
    <cellStyle name="20% - Accent6 4 2 3 2 4 4" xfId="18475"/>
    <cellStyle name="20% - Accent6 4 2 3 2 4 4 2" xfId="18476"/>
    <cellStyle name="20% - Accent6 4 2 3 2 4 5" xfId="18477"/>
    <cellStyle name="20% - Accent6 4 2 3 2 4 6" xfId="18478"/>
    <cellStyle name="20% - Accent6 4 2 3 2 5" xfId="18479"/>
    <cellStyle name="20% - Accent6 4 2 3 2 5 2" xfId="18480"/>
    <cellStyle name="20% - Accent6 4 2 3 2 5 2 2" xfId="18481"/>
    <cellStyle name="20% - Accent6 4 2 3 2 5 2 3" xfId="18482"/>
    <cellStyle name="20% - Accent6 4 2 3 2 5 3" xfId="18483"/>
    <cellStyle name="20% - Accent6 4 2 3 2 5 3 2" xfId="18484"/>
    <cellStyle name="20% - Accent6 4 2 3 2 5 4" xfId="18485"/>
    <cellStyle name="20% - Accent6 4 2 3 2 5 5" xfId="18486"/>
    <cellStyle name="20% - Accent6 4 2 3 2 6" xfId="18487"/>
    <cellStyle name="20% - Accent6 4 2 3 2 6 2" xfId="18488"/>
    <cellStyle name="20% - Accent6 4 2 3 2 6 3" xfId="18489"/>
    <cellStyle name="20% - Accent6 4 2 3 2 7" xfId="18490"/>
    <cellStyle name="20% - Accent6 4 2 3 2 7 2" xfId="18491"/>
    <cellStyle name="20% - Accent6 4 2 3 2 7 3" xfId="18492"/>
    <cellStyle name="20% - Accent6 4 2 3 2 8" xfId="18493"/>
    <cellStyle name="20% - Accent6 4 2 3 2 8 2" xfId="18494"/>
    <cellStyle name="20% - Accent6 4 2 3 2 9" xfId="18495"/>
    <cellStyle name="20% - Accent6 4 2 3 3" xfId="1358"/>
    <cellStyle name="20% - Accent6 4 2 3 3 2" xfId="18496"/>
    <cellStyle name="20% - Accent6 4 2 3 3 2 2" xfId="18497"/>
    <cellStyle name="20% - Accent6 4 2 3 3 2 2 2" xfId="18498"/>
    <cellStyle name="20% - Accent6 4 2 3 3 2 2 3" xfId="18499"/>
    <cellStyle name="20% - Accent6 4 2 3 3 2 3" xfId="18500"/>
    <cellStyle name="20% - Accent6 4 2 3 3 2 3 2" xfId="18501"/>
    <cellStyle name="20% - Accent6 4 2 3 3 2 3 3" xfId="18502"/>
    <cellStyle name="20% - Accent6 4 2 3 3 2 4" xfId="18503"/>
    <cellStyle name="20% - Accent6 4 2 3 3 2 4 2" xfId="18504"/>
    <cellStyle name="20% - Accent6 4 2 3 3 2 5" xfId="18505"/>
    <cellStyle name="20% - Accent6 4 2 3 3 2 6" xfId="18506"/>
    <cellStyle name="20% - Accent6 4 2 3 3 3" xfId="18507"/>
    <cellStyle name="20% - Accent6 4 2 3 3 3 2" xfId="18508"/>
    <cellStyle name="20% - Accent6 4 2 3 3 3 2 2" xfId="18509"/>
    <cellStyle name="20% - Accent6 4 2 3 3 3 2 3" xfId="18510"/>
    <cellStyle name="20% - Accent6 4 2 3 3 3 3" xfId="18511"/>
    <cellStyle name="20% - Accent6 4 2 3 3 3 3 2" xfId="18512"/>
    <cellStyle name="20% - Accent6 4 2 3 3 3 3 3" xfId="18513"/>
    <cellStyle name="20% - Accent6 4 2 3 3 3 4" xfId="18514"/>
    <cellStyle name="20% - Accent6 4 2 3 3 3 4 2" xfId="18515"/>
    <cellStyle name="20% - Accent6 4 2 3 3 3 5" xfId="18516"/>
    <cellStyle name="20% - Accent6 4 2 3 3 3 6" xfId="18517"/>
    <cellStyle name="20% - Accent6 4 2 3 3 4" xfId="18518"/>
    <cellStyle name="20% - Accent6 4 2 3 3 4 2" xfId="18519"/>
    <cellStyle name="20% - Accent6 4 2 3 3 4 2 2" xfId="18520"/>
    <cellStyle name="20% - Accent6 4 2 3 3 4 2 3" xfId="18521"/>
    <cellStyle name="20% - Accent6 4 2 3 3 4 3" xfId="18522"/>
    <cellStyle name="20% - Accent6 4 2 3 3 4 3 2" xfId="18523"/>
    <cellStyle name="20% - Accent6 4 2 3 3 4 4" xfId="18524"/>
    <cellStyle name="20% - Accent6 4 2 3 3 4 5" xfId="18525"/>
    <cellStyle name="20% - Accent6 4 2 3 3 5" xfId="18526"/>
    <cellStyle name="20% - Accent6 4 2 3 3 5 2" xfId="18527"/>
    <cellStyle name="20% - Accent6 4 2 3 3 5 3" xfId="18528"/>
    <cellStyle name="20% - Accent6 4 2 3 3 6" xfId="18529"/>
    <cellStyle name="20% - Accent6 4 2 3 3 6 2" xfId="18530"/>
    <cellStyle name="20% - Accent6 4 2 3 3 6 3" xfId="18531"/>
    <cellStyle name="20% - Accent6 4 2 3 3 7" xfId="18532"/>
    <cellStyle name="20% - Accent6 4 2 3 3 7 2" xfId="18533"/>
    <cellStyle name="20% - Accent6 4 2 3 3 8" xfId="18534"/>
    <cellStyle name="20% - Accent6 4 2 3 3 9" xfId="18535"/>
    <cellStyle name="20% - Accent6 4 2 3 4" xfId="18536"/>
    <cellStyle name="20% - Accent6 4 2 3 4 2" xfId="18537"/>
    <cellStyle name="20% - Accent6 4 2 3 4 2 2" xfId="18538"/>
    <cellStyle name="20% - Accent6 4 2 3 4 2 2 2" xfId="18539"/>
    <cellStyle name="20% - Accent6 4 2 3 4 2 2 3" xfId="18540"/>
    <cellStyle name="20% - Accent6 4 2 3 4 2 3" xfId="18541"/>
    <cellStyle name="20% - Accent6 4 2 3 4 2 3 2" xfId="18542"/>
    <cellStyle name="20% - Accent6 4 2 3 4 2 3 3" xfId="18543"/>
    <cellStyle name="20% - Accent6 4 2 3 4 2 4" xfId="18544"/>
    <cellStyle name="20% - Accent6 4 2 3 4 2 4 2" xfId="18545"/>
    <cellStyle name="20% - Accent6 4 2 3 4 2 5" xfId="18546"/>
    <cellStyle name="20% - Accent6 4 2 3 4 2 6" xfId="18547"/>
    <cellStyle name="20% - Accent6 4 2 3 4 3" xfId="18548"/>
    <cellStyle name="20% - Accent6 4 2 3 4 3 2" xfId="18549"/>
    <cellStyle name="20% - Accent6 4 2 3 4 3 2 2" xfId="18550"/>
    <cellStyle name="20% - Accent6 4 2 3 4 3 2 3" xfId="18551"/>
    <cellStyle name="20% - Accent6 4 2 3 4 3 3" xfId="18552"/>
    <cellStyle name="20% - Accent6 4 2 3 4 3 3 2" xfId="18553"/>
    <cellStyle name="20% - Accent6 4 2 3 4 3 3 3" xfId="18554"/>
    <cellStyle name="20% - Accent6 4 2 3 4 3 4" xfId="18555"/>
    <cellStyle name="20% - Accent6 4 2 3 4 3 4 2" xfId="18556"/>
    <cellStyle name="20% - Accent6 4 2 3 4 3 5" xfId="18557"/>
    <cellStyle name="20% - Accent6 4 2 3 4 3 6" xfId="18558"/>
    <cellStyle name="20% - Accent6 4 2 3 4 4" xfId="18559"/>
    <cellStyle name="20% - Accent6 4 2 3 4 4 2" xfId="18560"/>
    <cellStyle name="20% - Accent6 4 2 3 4 4 2 2" xfId="18561"/>
    <cellStyle name="20% - Accent6 4 2 3 4 4 2 3" xfId="18562"/>
    <cellStyle name="20% - Accent6 4 2 3 4 4 3" xfId="18563"/>
    <cellStyle name="20% - Accent6 4 2 3 4 4 3 2" xfId="18564"/>
    <cellStyle name="20% - Accent6 4 2 3 4 4 4" xfId="18565"/>
    <cellStyle name="20% - Accent6 4 2 3 4 4 5" xfId="18566"/>
    <cellStyle name="20% - Accent6 4 2 3 4 5" xfId="18567"/>
    <cellStyle name="20% - Accent6 4 2 3 4 5 2" xfId="18568"/>
    <cellStyle name="20% - Accent6 4 2 3 4 5 3" xfId="18569"/>
    <cellStyle name="20% - Accent6 4 2 3 4 6" xfId="18570"/>
    <cellStyle name="20% - Accent6 4 2 3 4 6 2" xfId="18571"/>
    <cellStyle name="20% - Accent6 4 2 3 4 6 3" xfId="18572"/>
    <cellStyle name="20% - Accent6 4 2 3 4 7" xfId="18573"/>
    <cellStyle name="20% - Accent6 4 2 3 4 7 2" xfId="18574"/>
    <cellStyle name="20% - Accent6 4 2 3 4 8" xfId="18575"/>
    <cellStyle name="20% - Accent6 4 2 3 4 9" xfId="18576"/>
    <cellStyle name="20% - Accent6 4 2 3 5" xfId="18577"/>
    <cellStyle name="20% - Accent6 4 2 3 5 2" xfId="18578"/>
    <cellStyle name="20% - Accent6 4 2 3 5 2 2" xfId="18579"/>
    <cellStyle name="20% - Accent6 4 2 3 5 2 3" xfId="18580"/>
    <cellStyle name="20% - Accent6 4 2 3 5 3" xfId="18581"/>
    <cellStyle name="20% - Accent6 4 2 3 5 3 2" xfId="18582"/>
    <cellStyle name="20% - Accent6 4 2 3 5 3 3" xfId="18583"/>
    <cellStyle name="20% - Accent6 4 2 3 5 4" xfId="18584"/>
    <cellStyle name="20% - Accent6 4 2 3 5 4 2" xfId="18585"/>
    <cellStyle name="20% - Accent6 4 2 3 5 5" xfId="18586"/>
    <cellStyle name="20% - Accent6 4 2 3 5 6" xfId="18587"/>
    <cellStyle name="20% - Accent6 4 2 3 6" xfId="18588"/>
    <cellStyle name="20% - Accent6 4 2 3 6 2" xfId="18589"/>
    <cellStyle name="20% - Accent6 4 2 3 6 2 2" xfId="18590"/>
    <cellStyle name="20% - Accent6 4 2 3 6 2 3" xfId="18591"/>
    <cellStyle name="20% - Accent6 4 2 3 6 3" xfId="18592"/>
    <cellStyle name="20% - Accent6 4 2 3 6 3 2" xfId="18593"/>
    <cellStyle name="20% - Accent6 4 2 3 6 3 3" xfId="18594"/>
    <cellStyle name="20% - Accent6 4 2 3 6 4" xfId="18595"/>
    <cellStyle name="20% - Accent6 4 2 3 6 4 2" xfId="18596"/>
    <cellStyle name="20% - Accent6 4 2 3 6 5" xfId="18597"/>
    <cellStyle name="20% - Accent6 4 2 3 6 6" xfId="18598"/>
    <cellStyle name="20% - Accent6 4 2 3 7" xfId="18599"/>
    <cellStyle name="20% - Accent6 4 2 3 7 2" xfId="18600"/>
    <cellStyle name="20% - Accent6 4 2 3 7 2 2" xfId="18601"/>
    <cellStyle name="20% - Accent6 4 2 3 7 2 3" xfId="18602"/>
    <cellStyle name="20% - Accent6 4 2 3 7 3" xfId="18603"/>
    <cellStyle name="20% - Accent6 4 2 3 7 3 2" xfId="18604"/>
    <cellStyle name="20% - Accent6 4 2 3 7 4" xfId="18605"/>
    <cellStyle name="20% - Accent6 4 2 3 7 5" xfId="18606"/>
    <cellStyle name="20% - Accent6 4 2 3 8" xfId="18607"/>
    <cellStyle name="20% - Accent6 4 2 3 8 2" xfId="18608"/>
    <cellStyle name="20% - Accent6 4 2 3 8 3" xfId="18609"/>
    <cellStyle name="20% - Accent6 4 2 3 9" xfId="18610"/>
    <cellStyle name="20% - Accent6 4 2 3 9 2" xfId="18611"/>
    <cellStyle name="20% - Accent6 4 2 3 9 3" xfId="18612"/>
    <cellStyle name="20% - Accent6 4 2 4" xfId="1359"/>
    <cellStyle name="20% - Accent6 4 2 4 10" xfId="18613"/>
    <cellStyle name="20% - Accent6 4 2 4 2" xfId="1360"/>
    <cellStyle name="20% - Accent6 4 2 4 2 2" xfId="18614"/>
    <cellStyle name="20% - Accent6 4 2 4 2 2 2" xfId="18615"/>
    <cellStyle name="20% - Accent6 4 2 4 2 2 2 2" xfId="18616"/>
    <cellStyle name="20% - Accent6 4 2 4 2 2 2 3" xfId="18617"/>
    <cellStyle name="20% - Accent6 4 2 4 2 2 3" xfId="18618"/>
    <cellStyle name="20% - Accent6 4 2 4 2 2 3 2" xfId="18619"/>
    <cellStyle name="20% - Accent6 4 2 4 2 2 3 3" xfId="18620"/>
    <cellStyle name="20% - Accent6 4 2 4 2 2 4" xfId="18621"/>
    <cellStyle name="20% - Accent6 4 2 4 2 2 4 2" xfId="18622"/>
    <cellStyle name="20% - Accent6 4 2 4 2 2 5" xfId="18623"/>
    <cellStyle name="20% - Accent6 4 2 4 2 2 6" xfId="18624"/>
    <cellStyle name="20% - Accent6 4 2 4 2 3" xfId="18625"/>
    <cellStyle name="20% - Accent6 4 2 4 2 3 2" xfId="18626"/>
    <cellStyle name="20% - Accent6 4 2 4 2 3 2 2" xfId="18627"/>
    <cellStyle name="20% - Accent6 4 2 4 2 3 2 3" xfId="18628"/>
    <cellStyle name="20% - Accent6 4 2 4 2 3 3" xfId="18629"/>
    <cellStyle name="20% - Accent6 4 2 4 2 3 3 2" xfId="18630"/>
    <cellStyle name="20% - Accent6 4 2 4 2 3 3 3" xfId="18631"/>
    <cellStyle name="20% - Accent6 4 2 4 2 3 4" xfId="18632"/>
    <cellStyle name="20% - Accent6 4 2 4 2 3 4 2" xfId="18633"/>
    <cellStyle name="20% - Accent6 4 2 4 2 3 5" xfId="18634"/>
    <cellStyle name="20% - Accent6 4 2 4 2 3 6" xfId="18635"/>
    <cellStyle name="20% - Accent6 4 2 4 2 4" xfId="18636"/>
    <cellStyle name="20% - Accent6 4 2 4 2 4 2" xfId="18637"/>
    <cellStyle name="20% - Accent6 4 2 4 2 4 2 2" xfId="18638"/>
    <cellStyle name="20% - Accent6 4 2 4 2 4 2 3" xfId="18639"/>
    <cellStyle name="20% - Accent6 4 2 4 2 4 3" xfId="18640"/>
    <cellStyle name="20% - Accent6 4 2 4 2 4 3 2" xfId="18641"/>
    <cellStyle name="20% - Accent6 4 2 4 2 4 4" xfId="18642"/>
    <cellStyle name="20% - Accent6 4 2 4 2 4 5" xfId="18643"/>
    <cellStyle name="20% - Accent6 4 2 4 2 5" xfId="18644"/>
    <cellStyle name="20% - Accent6 4 2 4 2 5 2" xfId="18645"/>
    <cellStyle name="20% - Accent6 4 2 4 2 5 3" xfId="18646"/>
    <cellStyle name="20% - Accent6 4 2 4 2 6" xfId="18647"/>
    <cellStyle name="20% - Accent6 4 2 4 2 6 2" xfId="18648"/>
    <cellStyle name="20% - Accent6 4 2 4 2 6 3" xfId="18649"/>
    <cellStyle name="20% - Accent6 4 2 4 2 7" xfId="18650"/>
    <cellStyle name="20% - Accent6 4 2 4 2 7 2" xfId="18651"/>
    <cellStyle name="20% - Accent6 4 2 4 2 8" xfId="18652"/>
    <cellStyle name="20% - Accent6 4 2 4 2 9" xfId="18653"/>
    <cellStyle name="20% - Accent6 4 2 4 3" xfId="18654"/>
    <cellStyle name="20% - Accent6 4 2 4 3 2" xfId="18655"/>
    <cellStyle name="20% - Accent6 4 2 4 3 2 2" xfId="18656"/>
    <cellStyle name="20% - Accent6 4 2 4 3 2 3" xfId="18657"/>
    <cellStyle name="20% - Accent6 4 2 4 3 3" xfId="18658"/>
    <cellStyle name="20% - Accent6 4 2 4 3 3 2" xfId="18659"/>
    <cellStyle name="20% - Accent6 4 2 4 3 3 3" xfId="18660"/>
    <cellStyle name="20% - Accent6 4 2 4 3 4" xfId="18661"/>
    <cellStyle name="20% - Accent6 4 2 4 3 4 2" xfId="18662"/>
    <cellStyle name="20% - Accent6 4 2 4 3 5" xfId="18663"/>
    <cellStyle name="20% - Accent6 4 2 4 3 6" xfId="18664"/>
    <cellStyle name="20% - Accent6 4 2 4 4" xfId="18665"/>
    <cellStyle name="20% - Accent6 4 2 4 4 2" xfId="18666"/>
    <cellStyle name="20% - Accent6 4 2 4 4 2 2" xfId="18667"/>
    <cellStyle name="20% - Accent6 4 2 4 4 2 3" xfId="18668"/>
    <cellStyle name="20% - Accent6 4 2 4 4 3" xfId="18669"/>
    <cellStyle name="20% - Accent6 4 2 4 4 3 2" xfId="18670"/>
    <cellStyle name="20% - Accent6 4 2 4 4 3 3" xfId="18671"/>
    <cellStyle name="20% - Accent6 4 2 4 4 4" xfId="18672"/>
    <cellStyle name="20% - Accent6 4 2 4 4 4 2" xfId="18673"/>
    <cellStyle name="20% - Accent6 4 2 4 4 5" xfId="18674"/>
    <cellStyle name="20% - Accent6 4 2 4 4 6" xfId="18675"/>
    <cellStyle name="20% - Accent6 4 2 4 5" xfId="18676"/>
    <cellStyle name="20% - Accent6 4 2 4 5 2" xfId="18677"/>
    <cellStyle name="20% - Accent6 4 2 4 5 2 2" xfId="18678"/>
    <cellStyle name="20% - Accent6 4 2 4 5 2 3" xfId="18679"/>
    <cellStyle name="20% - Accent6 4 2 4 5 3" xfId="18680"/>
    <cellStyle name="20% - Accent6 4 2 4 5 3 2" xfId="18681"/>
    <cellStyle name="20% - Accent6 4 2 4 5 4" xfId="18682"/>
    <cellStyle name="20% - Accent6 4 2 4 5 5" xfId="18683"/>
    <cellStyle name="20% - Accent6 4 2 4 6" xfId="18684"/>
    <cellStyle name="20% - Accent6 4 2 4 6 2" xfId="18685"/>
    <cellStyle name="20% - Accent6 4 2 4 6 3" xfId="18686"/>
    <cellStyle name="20% - Accent6 4 2 4 7" xfId="18687"/>
    <cellStyle name="20% - Accent6 4 2 4 7 2" xfId="18688"/>
    <cellStyle name="20% - Accent6 4 2 4 7 3" xfId="18689"/>
    <cellStyle name="20% - Accent6 4 2 4 8" xfId="18690"/>
    <cellStyle name="20% - Accent6 4 2 4 8 2" xfId="18691"/>
    <cellStyle name="20% - Accent6 4 2 4 9" xfId="18692"/>
    <cellStyle name="20% - Accent6 4 2 5" xfId="1361"/>
    <cellStyle name="20% - Accent6 4 2 5 2" xfId="18693"/>
    <cellStyle name="20% - Accent6 4 2 5 2 2" xfId="18694"/>
    <cellStyle name="20% - Accent6 4 2 5 2 2 2" xfId="18695"/>
    <cellStyle name="20% - Accent6 4 2 5 2 2 3" xfId="18696"/>
    <cellStyle name="20% - Accent6 4 2 5 2 3" xfId="18697"/>
    <cellStyle name="20% - Accent6 4 2 5 2 3 2" xfId="18698"/>
    <cellStyle name="20% - Accent6 4 2 5 2 3 3" xfId="18699"/>
    <cellStyle name="20% - Accent6 4 2 5 2 4" xfId="18700"/>
    <cellStyle name="20% - Accent6 4 2 5 2 4 2" xfId="18701"/>
    <cellStyle name="20% - Accent6 4 2 5 2 5" xfId="18702"/>
    <cellStyle name="20% - Accent6 4 2 5 2 6" xfId="18703"/>
    <cellStyle name="20% - Accent6 4 2 5 3" xfId="18704"/>
    <cellStyle name="20% - Accent6 4 2 5 3 2" xfId="18705"/>
    <cellStyle name="20% - Accent6 4 2 5 3 2 2" xfId="18706"/>
    <cellStyle name="20% - Accent6 4 2 5 3 2 3" xfId="18707"/>
    <cellStyle name="20% - Accent6 4 2 5 3 3" xfId="18708"/>
    <cellStyle name="20% - Accent6 4 2 5 3 3 2" xfId="18709"/>
    <cellStyle name="20% - Accent6 4 2 5 3 3 3" xfId="18710"/>
    <cellStyle name="20% - Accent6 4 2 5 3 4" xfId="18711"/>
    <cellStyle name="20% - Accent6 4 2 5 3 4 2" xfId="18712"/>
    <cellStyle name="20% - Accent6 4 2 5 3 5" xfId="18713"/>
    <cellStyle name="20% - Accent6 4 2 5 3 6" xfId="18714"/>
    <cellStyle name="20% - Accent6 4 2 5 4" xfId="18715"/>
    <cellStyle name="20% - Accent6 4 2 5 4 2" xfId="18716"/>
    <cellStyle name="20% - Accent6 4 2 5 4 2 2" xfId="18717"/>
    <cellStyle name="20% - Accent6 4 2 5 4 2 3" xfId="18718"/>
    <cellStyle name="20% - Accent6 4 2 5 4 3" xfId="18719"/>
    <cellStyle name="20% - Accent6 4 2 5 4 3 2" xfId="18720"/>
    <cellStyle name="20% - Accent6 4 2 5 4 4" xfId="18721"/>
    <cellStyle name="20% - Accent6 4 2 5 4 5" xfId="18722"/>
    <cellStyle name="20% - Accent6 4 2 5 5" xfId="18723"/>
    <cellStyle name="20% - Accent6 4 2 5 5 2" xfId="18724"/>
    <cellStyle name="20% - Accent6 4 2 5 5 3" xfId="18725"/>
    <cellStyle name="20% - Accent6 4 2 5 6" xfId="18726"/>
    <cellStyle name="20% - Accent6 4 2 5 6 2" xfId="18727"/>
    <cellStyle name="20% - Accent6 4 2 5 6 3" xfId="18728"/>
    <cellStyle name="20% - Accent6 4 2 5 7" xfId="18729"/>
    <cellStyle name="20% - Accent6 4 2 5 7 2" xfId="18730"/>
    <cellStyle name="20% - Accent6 4 2 5 8" xfId="18731"/>
    <cellStyle name="20% - Accent6 4 2 5 9" xfId="18732"/>
    <cellStyle name="20% - Accent6 4 2 6" xfId="18733"/>
    <cellStyle name="20% - Accent6 4 2 6 2" xfId="18734"/>
    <cellStyle name="20% - Accent6 4 2 6 2 2" xfId="18735"/>
    <cellStyle name="20% - Accent6 4 2 6 2 2 2" xfId="18736"/>
    <cellStyle name="20% - Accent6 4 2 6 2 2 3" xfId="18737"/>
    <cellStyle name="20% - Accent6 4 2 6 2 3" xfId="18738"/>
    <cellStyle name="20% - Accent6 4 2 6 2 3 2" xfId="18739"/>
    <cellStyle name="20% - Accent6 4 2 6 2 3 3" xfId="18740"/>
    <cellStyle name="20% - Accent6 4 2 6 2 4" xfId="18741"/>
    <cellStyle name="20% - Accent6 4 2 6 2 4 2" xfId="18742"/>
    <cellStyle name="20% - Accent6 4 2 6 2 5" xfId="18743"/>
    <cellStyle name="20% - Accent6 4 2 6 2 6" xfId="18744"/>
    <cellStyle name="20% - Accent6 4 2 6 3" xfId="18745"/>
    <cellStyle name="20% - Accent6 4 2 6 3 2" xfId="18746"/>
    <cellStyle name="20% - Accent6 4 2 6 3 2 2" xfId="18747"/>
    <cellStyle name="20% - Accent6 4 2 6 3 2 3" xfId="18748"/>
    <cellStyle name="20% - Accent6 4 2 6 3 3" xfId="18749"/>
    <cellStyle name="20% - Accent6 4 2 6 3 3 2" xfId="18750"/>
    <cellStyle name="20% - Accent6 4 2 6 3 3 3" xfId="18751"/>
    <cellStyle name="20% - Accent6 4 2 6 3 4" xfId="18752"/>
    <cellStyle name="20% - Accent6 4 2 6 3 4 2" xfId="18753"/>
    <cellStyle name="20% - Accent6 4 2 6 3 5" xfId="18754"/>
    <cellStyle name="20% - Accent6 4 2 6 3 6" xfId="18755"/>
    <cellStyle name="20% - Accent6 4 2 6 4" xfId="18756"/>
    <cellStyle name="20% - Accent6 4 2 6 4 2" xfId="18757"/>
    <cellStyle name="20% - Accent6 4 2 6 4 2 2" xfId="18758"/>
    <cellStyle name="20% - Accent6 4 2 6 4 2 3" xfId="18759"/>
    <cellStyle name="20% - Accent6 4 2 6 4 3" xfId="18760"/>
    <cellStyle name="20% - Accent6 4 2 6 4 3 2" xfId="18761"/>
    <cellStyle name="20% - Accent6 4 2 6 4 4" xfId="18762"/>
    <cellStyle name="20% - Accent6 4 2 6 4 5" xfId="18763"/>
    <cellStyle name="20% - Accent6 4 2 6 5" xfId="18764"/>
    <cellStyle name="20% - Accent6 4 2 6 5 2" xfId="18765"/>
    <cellStyle name="20% - Accent6 4 2 6 5 3" xfId="18766"/>
    <cellStyle name="20% - Accent6 4 2 6 6" xfId="18767"/>
    <cellStyle name="20% - Accent6 4 2 6 6 2" xfId="18768"/>
    <cellStyle name="20% - Accent6 4 2 6 6 3" xfId="18769"/>
    <cellStyle name="20% - Accent6 4 2 6 7" xfId="18770"/>
    <cellStyle name="20% - Accent6 4 2 6 7 2" xfId="18771"/>
    <cellStyle name="20% - Accent6 4 2 6 8" xfId="18772"/>
    <cellStyle name="20% - Accent6 4 2 6 9" xfId="18773"/>
    <cellStyle name="20% - Accent6 4 2 7" xfId="18774"/>
    <cellStyle name="20% - Accent6 4 2 7 2" xfId="18775"/>
    <cellStyle name="20% - Accent6 4 2 7 2 2" xfId="18776"/>
    <cellStyle name="20% - Accent6 4 2 7 2 3" xfId="18777"/>
    <cellStyle name="20% - Accent6 4 2 7 3" xfId="18778"/>
    <cellStyle name="20% - Accent6 4 2 7 3 2" xfId="18779"/>
    <cellStyle name="20% - Accent6 4 2 7 3 3" xfId="18780"/>
    <cellStyle name="20% - Accent6 4 2 7 4" xfId="18781"/>
    <cellStyle name="20% - Accent6 4 2 7 4 2" xfId="18782"/>
    <cellStyle name="20% - Accent6 4 2 7 5" xfId="18783"/>
    <cellStyle name="20% - Accent6 4 2 7 6" xfId="18784"/>
    <cellStyle name="20% - Accent6 4 2 8" xfId="18785"/>
    <cellStyle name="20% - Accent6 4 2 8 2" xfId="18786"/>
    <cellStyle name="20% - Accent6 4 2 8 2 2" xfId="18787"/>
    <cellStyle name="20% - Accent6 4 2 8 2 3" xfId="18788"/>
    <cellStyle name="20% - Accent6 4 2 8 3" xfId="18789"/>
    <cellStyle name="20% - Accent6 4 2 8 3 2" xfId="18790"/>
    <cellStyle name="20% - Accent6 4 2 8 3 3" xfId="18791"/>
    <cellStyle name="20% - Accent6 4 2 8 4" xfId="18792"/>
    <cellStyle name="20% - Accent6 4 2 8 4 2" xfId="18793"/>
    <cellStyle name="20% - Accent6 4 2 8 5" xfId="18794"/>
    <cellStyle name="20% - Accent6 4 2 8 6" xfId="18795"/>
    <cellStyle name="20% - Accent6 4 2 9" xfId="18796"/>
    <cellStyle name="20% - Accent6 4 2 9 2" xfId="18797"/>
    <cellStyle name="20% - Accent6 4 2 9 2 2" xfId="18798"/>
    <cellStyle name="20% - Accent6 4 2 9 2 3" xfId="18799"/>
    <cellStyle name="20% - Accent6 4 2 9 3" xfId="18800"/>
    <cellStyle name="20% - Accent6 4 2 9 3 2" xfId="18801"/>
    <cellStyle name="20% - Accent6 4 2 9 4" xfId="18802"/>
    <cellStyle name="20% - Accent6 4 2 9 5" xfId="18803"/>
    <cellStyle name="20% - Accent6 4 3" xfId="1362"/>
    <cellStyle name="20% - Accent6 4 3 10" xfId="18804"/>
    <cellStyle name="20% - Accent6 4 3 10 2" xfId="18805"/>
    <cellStyle name="20% - Accent6 4 3 10 3" xfId="18806"/>
    <cellStyle name="20% - Accent6 4 3 11" xfId="18807"/>
    <cellStyle name="20% - Accent6 4 3 11 2" xfId="18808"/>
    <cellStyle name="20% - Accent6 4 3 12" xfId="18809"/>
    <cellStyle name="20% - Accent6 4 3 13" xfId="18810"/>
    <cellStyle name="20% - Accent6 4 3 14" xfId="18811"/>
    <cellStyle name="20% - Accent6 4 3 2" xfId="1363"/>
    <cellStyle name="20% - Accent6 4 3 2 10" xfId="18812"/>
    <cellStyle name="20% - Accent6 4 3 2 10 2" xfId="18813"/>
    <cellStyle name="20% - Accent6 4 3 2 11" xfId="18814"/>
    <cellStyle name="20% - Accent6 4 3 2 12" xfId="18815"/>
    <cellStyle name="20% - Accent6 4 3 2 2" xfId="1364"/>
    <cellStyle name="20% - Accent6 4 3 2 2 10" xfId="18816"/>
    <cellStyle name="20% - Accent6 4 3 2 2 2" xfId="1365"/>
    <cellStyle name="20% - Accent6 4 3 2 2 2 2" xfId="18817"/>
    <cellStyle name="20% - Accent6 4 3 2 2 2 2 2" xfId="18818"/>
    <cellStyle name="20% - Accent6 4 3 2 2 2 2 2 2" xfId="18819"/>
    <cellStyle name="20% - Accent6 4 3 2 2 2 2 2 3" xfId="18820"/>
    <cellStyle name="20% - Accent6 4 3 2 2 2 2 3" xfId="18821"/>
    <cellStyle name="20% - Accent6 4 3 2 2 2 2 3 2" xfId="18822"/>
    <cellStyle name="20% - Accent6 4 3 2 2 2 2 3 3" xfId="18823"/>
    <cellStyle name="20% - Accent6 4 3 2 2 2 2 4" xfId="18824"/>
    <cellStyle name="20% - Accent6 4 3 2 2 2 2 4 2" xfId="18825"/>
    <cellStyle name="20% - Accent6 4 3 2 2 2 2 5" xfId="18826"/>
    <cellStyle name="20% - Accent6 4 3 2 2 2 2 6" xfId="18827"/>
    <cellStyle name="20% - Accent6 4 3 2 2 2 3" xfId="18828"/>
    <cellStyle name="20% - Accent6 4 3 2 2 2 3 2" xfId="18829"/>
    <cellStyle name="20% - Accent6 4 3 2 2 2 3 2 2" xfId="18830"/>
    <cellStyle name="20% - Accent6 4 3 2 2 2 3 2 3" xfId="18831"/>
    <cellStyle name="20% - Accent6 4 3 2 2 2 3 3" xfId="18832"/>
    <cellStyle name="20% - Accent6 4 3 2 2 2 3 3 2" xfId="18833"/>
    <cellStyle name="20% - Accent6 4 3 2 2 2 3 3 3" xfId="18834"/>
    <cellStyle name="20% - Accent6 4 3 2 2 2 3 4" xfId="18835"/>
    <cellStyle name="20% - Accent6 4 3 2 2 2 3 4 2" xfId="18836"/>
    <cellStyle name="20% - Accent6 4 3 2 2 2 3 5" xfId="18837"/>
    <cellStyle name="20% - Accent6 4 3 2 2 2 3 6" xfId="18838"/>
    <cellStyle name="20% - Accent6 4 3 2 2 2 4" xfId="18839"/>
    <cellStyle name="20% - Accent6 4 3 2 2 2 4 2" xfId="18840"/>
    <cellStyle name="20% - Accent6 4 3 2 2 2 4 2 2" xfId="18841"/>
    <cellStyle name="20% - Accent6 4 3 2 2 2 4 2 3" xfId="18842"/>
    <cellStyle name="20% - Accent6 4 3 2 2 2 4 3" xfId="18843"/>
    <cellStyle name="20% - Accent6 4 3 2 2 2 4 3 2" xfId="18844"/>
    <cellStyle name="20% - Accent6 4 3 2 2 2 4 4" xfId="18845"/>
    <cellStyle name="20% - Accent6 4 3 2 2 2 4 5" xfId="18846"/>
    <cellStyle name="20% - Accent6 4 3 2 2 2 5" xfId="18847"/>
    <cellStyle name="20% - Accent6 4 3 2 2 2 5 2" xfId="18848"/>
    <cellStyle name="20% - Accent6 4 3 2 2 2 5 3" xfId="18849"/>
    <cellStyle name="20% - Accent6 4 3 2 2 2 6" xfId="18850"/>
    <cellStyle name="20% - Accent6 4 3 2 2 2 6 2" xfId="18851"/>
    <cellStyle name="20% - Accent6 4 3 2 2 2 6 3" xfId="18852"/>
    <cellStyle name="20% - Accent6 4 3 2 2 2 7" xfId="18853"/>
    <cellStyle name="20% - Accent6 4 3 2 2 2 7 2" xfId="18854"/>
    <cellStyle name="20% - Accent6 4 3 2 2 2 8" xfId="18855"/>
    <cellStyle name="20% - Accent6 4 3 2 2 2 9" xfId="18856"/>
    <cellStyle name="20% - Accent6 4 3 2 2 3" xfId="18857"/>
    <cellStyle name="20% - Accent6 4 3 2 2 3 2" xfId="18858"/>
    <cellStyle name="20% - Accent6 4 3 2 2 3 2 2" xfId="18859"/>
    <cellStyle name="20% - Accent6 4 3 2 2 3 2 3" xfId="18860"/>
    <cellStyle name="20% - Accent6 4 3 2 2 3 3" xfId="18861"/>
    <cellStyle name="20% - Accent6 4 3 2 2 3 3 2" xfId="18862"/>
    <cellStyle name="20% - Accent6 4 3 2 2 3 3 3" xfId="18863"/>
    <cellStyle name="20% - Accent6 4 3 2 2 3 4" xfId="18864"/>
    <cellStyle name="20% - Accent6 4 3 2 2 3 4 2" xfId="18865"/>
    <cellStyle name="20% - Accent6 4 3 2 2 3 5" xfId="18866"/>
    <cellStyle name="20% - Accent6 4 3 2 2 3 6" xfId="18867"/>
    <cellStyle name="20% - Accent6 4 3 2 2 4" xfId="18868"/>
    <cellStyle name="20% - Accent6 4 3 2 2 4 2" xfId="18869"/>
    <cellStyle name="20% - Accent6 4 3 2 2 4 2 2" xfId="18870"/>
    <cellStyle name="20% - Accent6 4 3 2 2 4 2 3" xfId="18871"/>
    <cellStyle name="20% - Accent6 4 3 2 2 4 3" xfId="18872"/>
    <cellStyle name="20% - Accent6 4 3 2 2 4 3 2" xfId="18873"/>
    <cellStyle name="20% - Accent6 4 3 2 2 4 3 3" xfId="18874"/>
    <cellStyle name="20% - Accent6 4 3 2 2 4 4" xfId="18875"/>
    <cellStyle name="20% - Accent6 4 3 2 2 4 4 2" xfId="18876"/>
    <cellStyle name="20% - Accent6 4 3 2 2 4 5" xfId="18877"/>
    <cellStyle name="20% - Accent6 4 3 2 2 4 6" xfId="18878"/>
    <cellStyle name="20% - Accent6 4 3 2 2 5" xfId="18879"/>
    <cellStyle name="20% - Accent6 4 3 2 2 5 2" xfId="18880"/>
    <cellStyle name="20% - Accent6 4 3 2 2 5 2 2" xfId="18881"/>
    <cellStyle name="20% - Accent6 4 3 2 2 5 2 3" xfId="18882"/>
    <cellStyle name="20% - Accent6 4 3 2 2 5 3" xfId="18883"/>
    <cellStyle name="20% - Accent6 4 3 2 2 5 3 2" xfId="18884"/>
    <cellStyle name="20% - Accent6 4 3 2 2 5 4" xfId="18885"/>
    <cellStyle name="20% - Accent6 4 3 2 2 5 5" xfId="18886"/>
    <cellStyle name="20% - Accent6 4 3 2 2 6" xfId="18887"/>
    <cellStyle name="20% - Accent6 4 3 2 2 6 2" xfId="18888"/>
    <cellStyle name="20% - Accent6 4 3 2 2 6 3" xfId="18889"/>
    <cellStyle name="20% - Accent6 4 3 2 2 7" xfId="18890"/>
    <cellStyle name="20% - Accent6 4 3 2 2 7 2" xfId="18891"/>
    <cellStyle name="20% - Accent6 4 3 2 2 7 3" xfId="18892"/>
    <cellStyle name="20% - Accent6 4 3 2 2 8" xfId="18893"/>
    <cellStyle name="20% - Accent6 4 3 2 2 8 2" xfId="18894"/>
    <cellStyle name="20% - Accent6 4 3 2 2 9" xfId="18895"/>
    <cellStyle name="20% - Accent6 4 3 2 3" xfId="1366"/>
    <cellStyle name="20% - Accent6 4 3 2 3 2" xfId="18896"/>
    <cellStyle name="20% - Accent6 4 3 2 3 2 2" xfId="18897"/>
    <cellStyle name="20% - Accent6 4 3 2 3 2 2 2" xfId="18898"/>
    <cellStyle name="20% - Accent6 4 3 2 3 2 2 3" xfId="18899"/>
    <cellStyle name="20% - Accent6 4 3 2 3 2 3" xfId="18900"/>
    <cellStyle name="20% - Accent6 4 3 2 3 2 3 2" xfId="18901"/>
    <cellStyle name="20% - Accent6 4 3 2 3 2 3 3" xfId="18902"/>
    <cellStyle name="20% - Accent6 4 3 2 3 2 4" xfId="18903"/>
    <cellStyle name="20% - Accent6 4 3 2 3 2 4 2" xfId="18904"/>
    <cellStyle name="20% - Accent6 4 3 2 3 2 5" xfId="18905"/>
    <cellStyle name="20% - Accent6 4 3 2 3 2 6" xfId="18906"/>
    <cellStyle name="20% - Accent6 4 3 2 3 3" xfId="18907"/>
    <cellStyle name="20% - Accent6 4 3 2 3 3 2" xfId="18908"/>
    <cellStyle name="20% - Accent6 4 3 2 3 3 2 2" xfId="18909"/>
    <cellStyle name="20% - Accent6 4 3 2 3 3 2 3" xfId="18910"/>
    <cellStyle name="20% - Accent6 4 3 2 3 3 3" xfId="18911"/>
    <cellStyle name="20% - Accent6 4 3 2 3 3 3 2" xfId="18912"/>
    <cellStyle name="20% - Accent6 4 3 2 3 3 3 3" xfId="18913"/>
    <cellStyle name="20% - Accent6 4 3 2 3 3 4" xfId="18914"/>
    <cellStyle name="20% - Accent6 4 3 2 3 3 4 2" xfId="18915"/>
    <cellStyle name="20% - Accent6 4 3 2 3 3 5" xfId="18916"/>
    <cellStyle name="20% - Accent6 4 3 2 3 3 6" xfId="18917"/>
    <cellStyle name="20% - Accent6 4 3 2 3 4" xfId="18918"/>
    <cellStyle name="20% - Accent6 4 3 2 3 4 2" xfId="18919"/>
    <cellStyle name="20% - Accent6 4 3 2 3 4 2 2" xfId="18920"/>
    <cellStyle name="20% - Accent6 4 3 2 3 4 2 3" xfId="18921"/>
    <cellStyle name="20% - Accent6 4 3 2 3 4 3" xfId="18922"/>
    <cellStyle name="20% - Accent6 4 3 2 3 4 3 2" xfId="18923"/>
    <cellStyle name="20% - Accent6 4 3 2 3 4 4" xfId="18924"/>
    <cellStyle name="20% - Accent6 4 3 2 3 4 5" xfId="18925"/>
    <cellStyle name="20% - Accent6 4 3 2 3 5" xfId="18926"/>
    <cellStyle name="20% - Accent6 4 3 2 3 5 2" xfId="18927"/>
    <cellStyle name="20% - Accent6 4 3 2 3 5 3" xfId="18928"/>
    <cellStyle name="20% - Accent6 4 3 2 3 6" xfId="18929"/>
    <cellStyle name="20% - Accent6 4 3 2 3 6 2" xfId="18930"/>
    <cellStyle name="20% - Accent6 4 3 2 3 6 3" xfId="18931"/>
    <cellStyle name="20% - Accent6 4 3 2 3 7" xfId="18932"/>
    <cellStyle name="20% - Accent6 4 3 2 3 7 2" xfId="18933"/>
    <cellStyle name="20% - Accent6 4 3 2 3 8" xfId="18934"/>
    <cellStyle name="20% - Accent6 4 3 2 3 9" xfId="18935"/>
    <cellStyle name="20% - Accent6 4 3 2 4" xfId="18936"/>
    <cellStyle name="20% - Accent6 4 3 2 4 2" xfId="18937"/>
    <cellStyle name="20% - Accent6 4 3 2 4 2 2" xfId="18938"/>
    <cellStyle name="20% - Accent6 4 3 2 4 2 2 2" xfId="18939"/>
    <cellStyle name="20% - Accent6 4 3 2 4 2 2 3" xfId="18940"/>
    <cellStyle name="20% - Accent6 4 3 2 4 2 3" xfId="18941"/>
    <cellStyle name="20% - Accent6 4 3 2 4 2 3 2" xfId="18942"/>
    <cellStyle name="20% - Accent6 4 3 2 4 2 3 3" xfId="18943"/>
    <cellStyle name="20% - Accent6 4 3 2 4 2 4" xfId="18944"/>
    <cellStyle name="20% - Accent6 4 3 2 4 2 4 2" xfId="18945"/>
    <cellStyle name="20% - Accent6 4 3 2 4 2 5" xfId="18946"/>
    <cellStyle name="20% - Accent6 4 3 2 4 2 6" xfId="18947"/>
    <cellStyle name="20% - Accent6 4 3 2 4 3" xfId="18948"/>
    <cellStyle name="20% - Accent6 4 3 2 4 3 2" xfId="18949"/>
    <cellStyle name="20% - Accent6 4 3 2 4 3 2 2" xfId="18950"/>
    <cellStyle name="20% - Accent6 4 3 2 4 3 2 3" xfId="18951"/>
    <cellStyle name="20% - Accent6 4 3 2 4 3 3" xfId="18952"/>
    <cellStyle name="20% - Accent6 4 3 2 4 3 3 2" xfId="18953"/>
    <cellStyle name="20% - Accent6 4 3 2 4 3 3 3" xfId="18954"/>
    <cellStyle name="20% - Accent6 4 3 2 4 3 4" xfId="18955"/>
    <cellStyle name="20% - Accent6 4 3 2 4 3 4 2" xfId="18956"/>
    <cellStyle name="20% - Accent6 4 3 2 4 3 5" xfId="18957"/>
    <cellStyle name="20% - Accent6 4 3 2 4 3 6" xfId="18958"/>
    <cellStyle name="20% - Accent6 4 3 2 4 4" xfId="18959"/>
    <cellStyle name="20% - Accent6 4 3 2 4 4 2" xfId="18960"/>
    <cellStyle name="20% - Accent6 4 3 2 4 4 2 2" xfId="18961"/>
    <cellStyle name="20% - Accent6 4 3 2 4 4 2 3" xfId="18962"/>
    <cellStyle name="20% - Accent6 4 3 2 4 4 3" xfId="18963"/>
    <cellStyle name="20% - Accent6 4 3 2 4 4 3 2" xfId="18964"/>
    <cellStyle name="20% - Accent6 4 3 2 4 4 4" xfId="18965"/>
    <cellStyle name="20% - Accent6 4 3 2 4 4 5" xfId="18966"/>
    <cellStyle name="20% - Accent6 4 3 2 4 5" xfId="18967"/>
    <cellStyle name="20% - Accent6 4 3 2 4 5 2" xfId="18968"/>
    <cellStyle name="20% - Accent6 4 3 2 4 5 3" xfId="18969"/>
    <cellStyle name="20% - Accent6 4 3 2 4 6" xfId="18970"/>
    <cellStyle name="20% - Accent6 4 3 2 4 6 2" xfId="18971"/>
    <cellStyle name="20% - Accent6 4 3 2 4 6 3" xfId="18972"/>
    <cellStyle name="20% - Accent6 4 3 2 4 7" xfId="18973"/>
    <cellStyle name="20% - Accent6 4 3 2 4 7 2" xfId="18974"/>
    <cellStyle name="20% - Accent6 4 3 2 4 8" xfId="18975"/>
    <cellStyle name="20% - Accent6 4 3 2 4 9" xfId="18976"/>
    <cellStyle name="20% - Accent6 4 3 2 5" xfId="18977"/>
    <cellStyle name="20% - Accent6 4 3 2 5 2" xfId="18978"/>
    <cellStyle name="20% - Accent6 4 3 2 5 2 2" xfId="18979"/>
    <cellStyle name="20% - Accent6 4 3 2 5 2 3" xfId="18980"/>
    <cellStyle name="20% - Accent6 4 3 2 5 3" xfId="18981"/>
    <cellStyle name="20% - Accent6 4 3 2 5 3 2" xfId="18982"/>
    <cellStyle name="20% - Accent6 4 3 2 5 3 3" xfId="18983"/>
    <cellStyle name="20% - Accent6 4 3 2 5 4" xfId="18984"/>
    <cellStyle name="20% - Accent6 4 3 2 5 4 2" xfId="18985"/>
    <cellStyle name="20% - Accent6 4 3 2 5 5" xfId="18986"/>
    <cellStyle name="20% - Accent6 4 3 2 5 6" xfId="18987"/>
    <cellStyle name="20% - Accent6 4 3 2 6" xfId="18988"/>
    <cellStyle name="20% - Accent6 4 3 2 6 2" xfId="18989"/>
    <cellStyle name="20% - Accent6 4 3 2 6 2 2" xfId="18990"/>
    <cellStyle name="20% - Accent6 4 3 2 6 2 3" xfId="18991"/>
    <cellStyle name="20% - Accent6 4 3 2 6 3" xfId="18992"/>
    <cellStyle name="20% - Accent6 4 3 2 6 3 2" xfId="18993"/>
    <cellStyle name="20% - Accent6 4 3 2 6 3 3" xfId="18994"/>
    <cellStyle name="20% - Accent6 4 3 2 6 4" xfId="18995"/>
    <cellStyle name="20% - Accent6 4 3 2 6 4 2" xfId="18996"/>
    <cellStyle name="20% - Accent6 4 3 2 6 5" xfId="18997"/>
    <cellStyle name="20% - Accent6 4 3 2 6 6" xfId="18998"/>
    <cellStyle name="20% - Accent6 4 3 2 7" xfId="18999"/>
    <cellStyle name="20% - Accent6 4 3 2 7 2" xfId="19000"/>
    <cellStyle name="20% - Accent6 4 3 2 7 2 2" xfId="19001"/>
    <cellStyle name="20% - Accent6 4 3 2 7 2 3" xfId="19002"/>
    <cellStyle name="20% - Accent6 4 3 2 7 3" xfId="19003"/>
    <cellStyle name="20% - Accent6 4 3 2 7 3 2" xfId="19004"/>
    <cellStyle name="20% - Accent6 4 3 2 7 4" xfId="19005"/>
    <cellStyle name="20% - Accent6 4 3 2 7 5" xfId="19006"/>
    <cellStyle name="20% - Accent6 4 3 2 8" xfId="19007"/>
    <cellStyle name="20% - Accent6 4 3 2 8 2" xfId="19008"/>
    <cellStyle name="20% - Accent6 4 3 2 8 3" xfId="19009"/>
    <cellStyle name="20% - Accent6 4 3 2 9" xfId="19010"/>
    <cellStyle name="20% - Accent6 4 3 2 9 2" xfId="19011"/>
    <cellStyle name="20% - Accent6 4 3 2 9 3" xfId="19012"/>
    <cellStyle name="20% - Accent6 4 3 3" xfId="1367"/>
    <cellStyle name="20% - Accent6 4 3 3 10" xfId="19013"/>
    <cellStyle name="20% - Accent6 4 3 3 2" xfId="1368"/>
    <cellStyle name="20% - Accent6 4 3 3 2 2" xfId="19014"/>
    <cellStyle name="20% - Accent6 4 3 3 2 2 2" xfId="19015"/>
    <cellStyle name="20% - Accent6 4 3 3 2 2 2 2" xfId="19016"/>
    <cellStyle name="20% - Accent6 4 3 3 2 2 2 3" xfId="19017"/>
    <cellStyle name="20% - Accent6 4 3 3 2 2 3" xfId="19018"/>
    <cellStyle name="20% - Accent6 4 3 3 2 2 3 2" xfId="19019"/>
    <cellStyle name="20% - Accent6 4 3 3 2 2 3 3" xfId="19020"/>
    <cellStyle name="20% - Accent6 4 3 3 2 2 4" xfId="19021"/>
    <cellStyle name="20% - Accent6 4 3 3 2 2 4 2" xfId="19022"/>
    <cellStyle name="20% - Accent6 4 3 3 2 2 5" xfId="19023"/>
    <cellStyle name="20% - Accent6 4 3 3 2 2 6" xfId="19024"/>
    <cellStyle name="20% - Accent6 4 3 3 2 3" xfId="19025"/>
    <cellStyle name="20% - Accent6 4 3 3 2 3 2" xfId="19026"/>
    <cellStyle name="20% - Accent6 4 3 3 2 3 2 2" xfId="19027"/>
    <cellStyle name="20% - Accent6 4 3 3 2 3 2 3" xfId="19028"/>
    <cellStyle name="20% - Accent6 4 3 3 2 3 3" xfId="19029"/>
    <cellStyle name="20% - Accent6 4 3 3 2 3 3 2" xfId="19030"/>
    <cellStyle name="20% - Accent6 4 3 3 2 3 3 3" xfId="19031"/>
    <cellStyle name="20% - Accent6 4 3 3 2 3 4" xfId="19032"/>
    <cellStyle name="20% - Accent6 4 3 3 2 3 4 2" xfId="19033"/>
    <cellStyle name="20% - Accent6 4 3 3 2 3 5" xfId="19034"/>
    <cellStyle name="20% - Accent6 4 3 3 2 3 6" xfId="19035"/>
    <cellStyle name="20% - Accent6 4 3 3 2 4" xfId="19036"/>
    <cellStyle name="20% - Accent6 4 3 3 2 4 2" xfId="19037"/>
    <cellStyle name="20% - Accent6 4 3 3 2 4 2 2" xfId="19038"/>
    <cellStyle name="20% - Accent6 4 3 3 2 4 2 3" xfId="19039"/>
    <cellStyle name="20% - Accent6 4 3 3 2 4 3" xfId="19040"/>
    <cellStyle name="20% - Accent6 4 3 3 2 4 3 2" xfId="19041"/>
    <cellStyle name="20% - Accent6 4 3 3 2 4 4" xfId="19042"/>
    <cellStyle name="20% - Accent6 4 3 3 2 4 5" xfId="19043"/>
    <cellStyle name="20% - Accent6 4 3 3 2 5" xfId="19044"/>
    <cellStyle name="20% - Accent6 4 3 3 2 5 2" xfId="19045"/>
    <cellStyle name="20% - Accent6 4 3 3 2 5 3" xfId="19046"/>
    <cellStyle name="20% - Accent6 4 3 3 2 6" xfId="19047"/>
    <cellStyle name="20% - Accent6 4 3 3 2 6 2" xfId="19048"/>
    <cellStyle name="20% - Accent6 4 3 3 2 6 3" xfId="19049"/>
    <cellStyle name="20% - Accent6 4 3 3 2 7" xfId="19050"/>
    <cellStyle name="20% - Accent6 4 3 3 2 7 2" xfId="19051"/>
    <cellStyle name="20% - Accent6 4 3 3 2 8" xfId="19052"/>
    <cellStyle name="20% - Accent6 4 3 3 2 9" xfId="19053"/>
    <cellStyle name="20% - Accent6 4 3 3 3" xfId="19054"/>
    <cellStyle name="20% - Accent6 4 3 3 3 2" xfId="19055"/>
    <cellStyle name="20% - Accent6 4 3 3 3 2 2" xfId="19056"/>
    <cellStyle name="20% - Accent6 4 3 3 3 2 3" xfId="19057"/>
    <cellStyle name="20% - Accent6 4 3 3 3 3" xfId="19058"/>
    <cellStyle name="20% - Accent6 4 3 3 3 3 2" xfId="19059"/>
    <cellStyle name="20% - Accent6 4 3 3 3 3 3" xfId="19060"/>
    <cellStyle name="20% - Accent6 4 3 3 3 4" xfId="19061"/>
    <cellStyle name="20% - Accent6 4 3 3 3 4 2" xfId="19062"/>
    <cellStyle name="20% - Accent6 4 3 3 3 5" xfId="19063"/>
    <cellStyle name="20% - Accent6 4 3 3 3 6" xfId="19064"/>
    <cellStyle name="20% - Accent6 4 3 3 4" xfId="19065"/>
    <cellStyle name="20% - Accent6 4 3 3 4 2" xfId="19066"/>
    <cellStyle name="20% - Accent6 4 3 3 4 2 2" xfId="19067"/>
    <cellStyle name="20% - Accent6 4 3 3 4 2 3" xfId="19068"/>
    <cellStyle name="20% - Accent6 4 3 3 4 3" xfId="19069"/>
    <cellStyle name="20% - Accent6 4 3 3 4 3 2" xfId="19070"/>
    <cellStyle name="20% - Accent6 4 3 3 4 3 3" xfId="19071"/>
    <cellStyle name="20% - Accent6 4 3 3 4 4" xfId="19072"/>
    <cellStyle name="20% - Accent6 4 3 3 4 4 2" xfId="19073"/>
    <cellStyle name="20% - Accent6 4 3 3 4 5" xfId="19074"/>
    <cellStyle name="20% - Accent6 4 3 3 4 6" xfId="19075"/>
    <cellStyle name="20% - Accent6 4 3 3 5" xfId="19076"/>
    <cellStyle name="20% - Accent6 4 3 3 5 2" xfId="19077"/>
    <cellStyle name="20% - Accent6 4 3 3 5 2 2" xfId="19078"/>
    <cellStyle name="20% - Accent6 4 3 3 5 2 3" xfId="19079"/>
    <cellStyle name="20% - Accent6 4 3 3 5 3" xfId="19080"/>
    <cellStyle name="20% - Accent6 4 3 3 5 3 2" xfId="19081"/>
    <cellStyle name="20% - Accent6 4 3 3 5 4" xfId="19082"/>
    <cellStyle name="20% - Accent6 4 3 3 5 5" xfId="19083"/>
    <cellStyle name="20% - Accent6 4 3 3 6" xfId="19084"/>
    <cellStyle name="20% - Accent6 4 3 3 6 2" xfId="19085"/>
    <cellStyle name="20% - Accent6 4 3 3 6 3" xfId="19086"/>
    <cellStyle name="20% - Accent6 4 3 3 7" xfId="19087"/>
    <cellStyle name="20% - Accent6 4 3 3 7 2" xfId="19088"/>
    <cellStyle name="20% - Accent6 4 3 3 7 3" xfId="19089"/>
    <cellStyle name="20% - Accent6 4 3 3 8" xfId="19090"/>
    <cellStyle name="20% - Accent6 4 3 3 8 2" xfId="19091"/>
    <cellStyle name="20% - Accent6 4 3 3 9" xfId="19092"/>
    <cellStyle name="20% - Accent6 4 3 4" xfId="1369"/>
    <cellStyle name="20% - Accent6 4 3 4 2" xfId="19093"/>
    <cellStyle name="20% - Accent6 4 3 4 2 2" xfId="19094"/>
    <cellStyle name="20% - Accent6 4 3 4 2 2 2" xfId="19095"/>
    <cellStyle name="20% - Accent6 4 3 4 2 2 3" xfId="19096"/>
    <cellStyle name="20% - Accent6 4 3 4 2 3" xfId="19097"/>
    <cellStyle name="20% - Accent6 4 3 4 2 3 2" xfId="19098"/>
    <cellStyle name="20% - Accent6 4 3 4 2 3 3" xfId="19099"/>
    <cellStyle name="20% - Accent6 4 3 4 2 4" xfId="19100"/>
    <cellStyle name="20% - Accent6 4 3 4 2 4 2" xfId="19101"/>
    <cellStyle name="20% - Accent6 4 3 4 2 5" xfId="19102"/>
    <cellStyle name="20% - Accent6 4 3 4 2 6" xfId="19103"/>
    <cellStyle name="20% - Accent6 4 3 4 3" xfId="19104"/>
    <cellStyle name="20% - Accent6 4 3 4 3 2" xfId="19105"/>
    <cellStyle name="20% - Accent6 4 3 4 3 2 2" xfId="19106"/>
    <cellStyle name="20% - Accent6 4 3 4 3 2 3" xfId="19107"/>
    <cellStyle name="20% - Accent6 4 3 4 3 3" xfId="19108"/>
    <cellStyle name="20% - Accent6 4 3 4 3 3 2" xfId="19109"/>
    <cellStyle name="20% - Accent6 4 3 4 3 3 3" xfId="19110"/>
    <cellStyle name="20% - Accent6 4 3 4 3 4" xfId="19111"/>
    <cellStyle name="20% - Accent6 4 3 4 3 4 2" xfId="19112"/>
    <cellStyle name="20% - Accent6 4 3 4 3 5" xfId="19113"/>
    <cellStyle name="20% - Accent6 4 3 4 3 6" xfId="19114"/>
    <cellStyle name="20% - Accent6 4 3 4 4" xfId="19115"/>
    <cellStyle name="20% - Accent6 4 3 4 4 2" xfId="19116"/>
    <cellStyle name="20% - Accent6 4 3 4 4 2 2" xfId="19117"/>
    <cellStyle name="20% - Accent6 4 3 4 4 2 3" xfId="19118"/>
    <cellStyle name="20% - Accent6 4 3 4 4 3" xfId="19119"/>
    <cellStyle name="20% - Accent6 4 3 4 4 3 2" xfId="19120"/>
    <cellStyle name="20% - Accent6 4 3 4 4 4" xfId="19121"/>
    <cellStyle name="20% - Accent6 4 3 4 4 5" xfId="19122"/>
    <cellStyle name="20% - Accent6 4 3 4 5" xfId="19123"/>
    <cellStyle name="20% - Accent6 4 3 4 5 2" xfId="19124"/>
    <cellStyle name="20% - Accent6 4 3 4 5 3" xfId="19125"/>
    <cellStyle name="20% - Accent6 4 3 4 6" xfId="19126"/>
    <cellStyle name="20% - Accent6 4 3 4 6 2" xfId="19127"/>
    <cellStyle name="20% - Accent6 4 3 4 6 3" xfId="19128"/>
    <cellStyle name="20% - Accent6 4 3 4 7" xfId="19129"/>
    <cellStyle name="20% - Accent6 4 3 4 7 2" xfId="19130"/>
    <cellStyle name="20% - Accent6 4 3 4 8" xfId="19131"/>
    <cellStyle name="20% - Accent6 4 3 4 9" xfId="19132"/>
    <cellStyle name="20% - Accent6 4 3 5" xfId="19133"/>
    <cellStyle name="20% - Accent6 4 3 5 2" xfId="19134"/>
    <cellStyle name="20% - Accent6 4 3 5 2 2" xfId="19135"/>
    <cellStyle name="20% - Accent6 4 3 5 2 2 2" xfId="19136"/>
    <cellStyle name="20% - Accent6 4 3 5 2 2 3" xfId="19137"/>
    <cellStyle name="20% - Accent6 4 3 5 2 3" xfId="19138"/>
    <cellStyle name="20% - Accent6 4 3 5 2 3 2" xfId="19139"/>
    <cellStyle name="20% - Accent6 4 3 5 2 3 3" xfId="19140"/>
    <cellStyle name="20% - Accent6 4 3 5 2 4" xfId="19141"/>
    <cellStyle name="20% - Accent6 4 3 5 2 4 2" xfId="19142"/>
    <cellStyle name="20% - Accent6 4 3 5 2 5" xfId="19143"/>
    <cellStyle name="20% - Accent6 4 3 5 2 6" xfId="19144"/>
    <cellStyle name="20% - Accent6 4 3 5 3" xfId="19145"/>
    <cellStyle name="20% - Accent6 4 3 5 3 2" xfId="19146"/>
    <cellStyle name="20% - Accent6 4 3 5 3 2 2" xfId="19147"/>
    <cellStyle name="20% - Accent6 4 3 5 3 2 3" xfId="19148"/>
    <cellStyle name="20% - Accent6 4 3 5 3 3" xfId="19149"/>
    <cellStyle name="20% - Accent6 4 3 5 3 3 2" xfId="19150"/>
    <cellStyle name="20% - Accent6 4 3 5 3 3 3" xfId="19151"/>
    <cellStyle name="20% - Accent6 4 3 5 3 4" xfId="19152"/>
    <cellStyle name="20% - Accent6 4 3 5 3 4 2" xfId="19153"/>
    <cellStyle name="20% - Accent6 4 3 5 3 5" xfId="19154"/>
    <cellStyle name="20% - Accent6 4 3 5 3 6" xfId="19155"/>
    <cellStyle name="20% - Accent6 4 3 5 4" xfId="19156"/>
    <cellStyle name="20% - Accent6 4 3 5 4 2" xfId="19157"/>
    <cellStyle name="20% - Accent6 4 3 5 4 2 2" xfId="19158"/>
    <cellStyle name="20% - Accent6 4 3 5 4 2 3" xfId="19159"/>
    <cellStyle name="20% - Accent6 4 3 5 4 3" xfId="19160"/>
    <cellStyle name="20% - Accent6 4 3 5 4 3 2" xfId="19161"/>
    <cellStyle name="20% - Accent6 4 3 5 4 4" xfId="19162"/>
    <cellStyle name="20% - Accent6 4 3 5 4 5" xfId="19163"/>
    <cellStyle name="20% - Accent6 4 3 5 5" xfId="19164"/>
    <cellStyle name="20% - Accent6 4 3 5 5 2" xfId="19165"/>
    <cellStyle name="20% - Accent6 4 3 5 5 3" xfId="19166"/>
    <cellStyle name="20% - Accent6 4 3 5 6" xfId="19167"/>
    <cellStyle name="20% - Accent6 4 3 5 6 2" xfId="19168"/>
    <cellStyle name="20% - Accent6 4 3 5 6 3" xfId="19169"/>
    <cellStyle name="20% - Accent6 4 3 5 7" xfId="19170"/>
    <cellStyle name="20% - Accent6 4 3 5 7 2" xfId="19171"/>
    <cellStyle name="20% - Accent6 4 3 5 8" xfId="19172"/>
    <cellStyle name="20% - Accent6 4 3 5 9" xfId="19173"/>
    <cellStyle name="20% - Accent6 4 3 6" xfId="19174"/>
    <cellStyle name="20% - Accent6 4 3 6 2" xfId="19175"/>
    <cellStyle name="20% - Accent6 4 3 6 2 2" xfId="19176"/>
    <cellStyle name="20% - Accent6 4 3 6 2 3" xfId="19177"/>
    <cellStyle name="20% - Accent6 4 3 6 3" xfId="19178"/>
    <cellStyle name="20% - Accent6 4 3 6 3 2" xfId="19179"/>
    <cellStyle name="20% - Accent6 4 3 6 3 3" xfId="19180"/>
    <cellStyle name="20% - Accent6 4 3 6 4" xfId="19181"/>
    <cellStyle name="20% - Accent6 4 3 6 4 2" xfId="19182"/>
    <cellStyle name="20% - Accent6 4 3 6 5" xfId="19183"/>
    <cellStyle name="20% - Accent6 4 3 6 6" xfId="19184"/>
    <cellStyle name="20% - Accent6 4 3 7" xfId="19185"/>
    <cellStyle name="20% - Accent6 4 3 7 2" xfId="19186"/>
    <cellStyle name="20% - Accent6 4 3 7 2 2" xfId="19187"/>
    <cellStyle name="20% - Accent6 4 3 7 2 3" xfId="19188"/>
    <cellStyle name="20% - Accent6 4 3 7 3" xfId="19189"/>
    <cellStyle name="20% - Accent6 4 3 7 3 2" xfId="19190"/>
    <cellStyle name="20% - Accent6 4 3 7 3 3" xfId="19191"/>
    <cellStyle name="20% - Accent6 4 3 7 4" xfId="19192"/>
    <cellStyle name="20% - Accent6 4 3 7 4 2" xfId="19193"/>
    <cellStyle name="20% - Accent6 4 3 7 5" xfId="19194"/>
    <cellStyle name="20% - Accent6 4 3 7 6" xfId="19195"/>
    <cellStyle name="20% - Accent6 4 3 8" xfId="19196"/>
    <cellStyle name="20% - Accent6 4 3 8 2" xfId="19197"/>
    <cellStyle name="20% - Accent6 4 3 8 2 2" xfId="19198"/>
    <cellStyle name="20% - Accent6 4 3 8 2 3" xfId="19199"/>
    <cellStyle name="20% - Accent6 4 3 8 3" xfId="19200"/>
    <cellStyle name="20% - Accent6 4 3 8 3 2" xfId="19201"/>
    <cellStyle name="20% - Accent6 4 3 8 4" xfId="19202"/>
    <cellStyle name="20% - Accent6 4 3 8 5" xfId="19203"/>
    <cellStyle name="20% - Accent6 4 3 9" xfId="19204"/>
    <cellStyle name="20% - Accent6 4 3 9 2" xfId="19205"/>
    <cellStyle name="20% - Accent6 4 3 9 3" xfId="19206"/>
    <cellStyle name="20% - Accent6 4 4" xfId="1370"/>
    <cellStyle name="20% - Accent6 4 4 10" xfId="19207"/>
    <cellStyle name="20% - Accent6 4 4 10 2" xfId="19208"/>
    <cellStyle name="20% - Accent6 4 4 11" xfId="19209"/>
    <cellStyle name="20% - Accent6 4 4 12" xfId="19210"/>
    <cellStyle name="20% - Accent6 4 4 2" xfId="1371"/>
    <cellStyle name="20% - Accent6 4 4 2 10" xfId="19211"/>
    <cellStyle name="20% - Accent6 4 4 2 2" xfId="1372"/>
    <cellStyle name="20% - Accent6 4 4 2 2 2" xfId="19212"/>
    <cellStyle name="20% - Accent6 4 4 2 2 2 2" xfId="19213"/>
    <cellStyle name="20% - Accent6 4 4 2 2 2 2 2" xfId="19214"/>
    <cellStyle name="20% - Accent6 4 4 2 2 2 2 3" xfId="19215"/>
    <cellStyle name="20% - Accent6 4 4 2 2 2 3" xfId="19216"/>
    <cellStyle name="20% - Accent6 4 4 2 2 2 3 2" xfId="19217"/>
    <cellStyle name="20% - Accent6 4 4 2 2 2 3 3" xfId="19218"/>
    <cellStyle name="20% - Accent6 4 4 2 2 2 4" xfId="19219"/>
    <cellStyle name="20% - Accent6 4 4 2 2 2 4 2" xfId="19220"/>
    <cellStyle name="20% - Accent6 4 4 2 2 2 5" xfId="19221"/>
    <cellStyle name="20% - Accent6 4 4 2 2 2 6" xfId="19222"/>
    <cellStyle name="20% - Accent6 4 4 2 2 3" xfId="19223"/>
    <cellStyle name="20% - Accent6 4 4 2 2 3 2" xfId="19224"/>
    <cellStyle name="20% - Accent6 4 4 2 2 3 2 2" xfId="19225"/>
    <cellStyle name="20% - Accent6 4 4 2 2 3 2 3" xfId="19226"/>
    <cellStyle name="20% - Accent6 4 4 2 2 3 3" xfId="19227"/>
    <cellStyle name="20% - Accent6 4 4 2 2 3 3 2" xfId="19228"/>
    <cellStyle name="20% - Accent6 4 4 2 2 3 3 3" xfId="19229"/>
    <cellStyle name="20% - Accent6 4 4 2 2 3 4" xfId="19230"/>
    <cellStyle name="20% - Accent6 4 4 2 2 3 4 2" xfId="19231"/>
    <cellStyle name="20% - Accent6 4 4 2 2 3 5" xfId="19232"/>
    <cellStyle name="20% - Accent6 4 4 2 2 3 6" xfId="19233"/>
    <cellStyle name="20% - Accent6 4 4 2 2 4" xfId="19234"/>
    <cellStyle name="20% - Accent6 4 4 2 2 4 2" xfId="19235"/>
    <cellStyle name="20% - Accent6 4 4 2 2 4 2 2" xfId="19236"/>
    <cellStyle name="20% - Accent6 4 4 2 2 4 2 3" xfId="19237"/>
    <cellStyle name="20% - Accent6 4 4 2 2 4 3" xfId="19238"/>
    <cellStyle name="20% - Accent6 4 4 2 2 4 3 2" xfId="19239"/>
    <cellStyle name="20% - Accent6 4 4 2 2 4 4" xfId="19240"/>
    <cellStyle name="20% - Accent6 4 4 2 2 4 5" xfId="19241"/>
    <cellStyle name="20% - Accent6 4 4 2 2 5" xfId="19242"/>
    <cellStyle name="20% - Accent6 4 4 2 2 5 2" xfId="19243"/>
    <cellStyle name="20% - Accent6 4 4 2 2 5 3" xfId="19244"/>
    <cellStyle name="20% - Accent6 4 4 2 2 6" xfId="19245"/>
    <cellStyle name="20% - Accent6 4 4 2 2 6 2" xfId="19246"/>
    <cellStyle name="20% - Accent6 4 4 2 2 6 3" xfId="19247"/>
    <cellStyle name="20% - Accent6 4 4 2 2 7" xfId="19248"/>
    <cellStyle name="20% - Accent6 4 4 2 2 7 2" xfId="19249"/>
    <cellStyle name="20% - Accent6 4 4 2 2 8" xfId="19250"/>
    <cellStyle name="20% - Accent6 4 4 2 2 9" xfId="19251"/>
    <cellStyle name="20% - Accent6 4 4 2 3" xfId="19252"/>
    <cellStyle name="20% - Accent6 4 4 2 3 2" xfId="19253"/>
    <cellStyle name="20% - Accent6 4 4 2 3 2 2" xfId="19254"/>
    <cellStyle name="20% - Accent6 4 4 2 3 2 3" xfId="19255"/>
    <cellStyle name="20% - Accent6 4 4 2 3 3" xfId="19256"/>
    <cellStyle name="20% - Accent6 4 4 2 3 3 2" xfId="19257"/>
    <cellStyle name="20% - Accent6 4 4 2 3 3 3" xfId="19258"/>
    <cellStyle name="20% - Accent6 4 4 2 3 4" xfId="19259"/>
    <cellStyle name="20% - Accent6 4 4 2 3 4 2" xfId="19260"/>
    <cellStyle name="20% - Accent6 4 4 2 3 5" xfId="19261"/>
    <cellStyle name="20% - Accent6 4 4 2 3 6" xfId="19262"/>
    <cellStyle name="20% - Accent6 4 4 2 4" xfId="19263"/>
    <cellStyle name="20% - Accent6 4 4 2 4 2" xfId="19264"/>
    <cellStyle name="20% - Accent6 4 4 2 4 2 2" xfId="19265"/>
    <cellStyle name="20% - Accent6 4 4 2 4 2 3" xfId="19266"/>
    <cellStyle name="20% - Accent6 4 4 2 4 3" xfId="19267"/>
    <cellStyle name="20% - Accent6 4 4 2 4 3 2" xfId="19268"/>
    <cellStyle name="20% - Accent6 4 4 2 4 3 3" xfId="19269"/>
    <cellStyle name="20% - Accent6 4 4 2 4 4" xfId="19270"/>
    <cellStyle name="20% - Accent6 4 4 2 4 4 2" xfId="19271"/>
    <cellStyle name="20% - Accent6 4 4 2 4 5" xfId="19272"/>
    <cellStyle name="20% - Accent6 4 4 2 4 6" xfId="19273"/>
    <cellStyle name="20% - Accent6 4 4 2 5" xfId="19274"/>
    <cellStyle name="20% - Accent6 4 4 2 5 2" xfId="19275"/>
    <cellStyle name="20% - Accent6 4 4 2 5 2 2" xfId="19276"/>
    <cellStyle name="20% - Accent6 4 4 2 5 2 3" xfId="19277"/>
    <cellStyle name="20% - Accent6 4 4 2 5 3" xfId="19278"/>
    <cellStyle name="20% - Accent6 4 4 2 5 3 2" xfId="19279"/>
    <cellStyle name="20% - Accent6 4 4 2 5 4" xfId="19280"/>
    <cellStyle name="20% - Accent6 4 4 2 5 5" xfId="19281"/>
    <cellStyle name="20% - Accent6 4 4 2 6" xfId="19282"/>
    <cellStyle name="20% - Accent6 4 4 2 6 2" xfId="19283"/>
    <cellStyle name="20% - Accent6 4 4 2 6 3" xfId="19284"/>
    <cellStyle name="20% - Accent6 4 4 2 7" xfId="19285"/>
    <cellStyle name="20% - Accent6 4 4 2 7 2" xfId="19286"/>
    <cellStyle name="20% - Accent6 4 4 2 7 3" xfId="19287"/>
    <cellStyle name="20% - Accent6 4 4 2 8" xfId="19288"/>
    <cellStyle name="20% - Accent6 4 4 2 8 2" xfId="19289"/>
    <cellStyle name="20% - Accent6 4 4 2 9" xfId="19290"/>
    <cellStyle name="20% - Accent6 4 4 3" xfId="1373"/>
    <cellStyle name="20% - Accent6 4 4 3 2" xfId="19291"/>
    <cellStyle name="20% - Accent6 4 4 3 2 2" xfId="19292"/>
    <cellStyle name="20% - Accent6 4 4 3 2 2 2" xfId="19293"/>
    <cellStyle name="20% - Accent6 4 4 3 2 2 3" xfId="19294"/>
    <cellStyle name="20% - Accent6 4 4 3 2 3" xfId="19295"/>
    <cellStyle name="20% - Accent6 4 4 3 2 3 2" xfId="19296"/>
    <cellStyle name="20% - Accent6 4 4 3 2 3 3" xfId="19297"/>
    <cellStyle name="20% - Accent6 4 4 3 2 4" xfId="19298"/>
    <cellStyle name="20% - Accent6 4 4 3 2 4 2" xfId="19299"/>
    <cellStyle name="20% - Accent6 4 4 3 2 5" xfId="19300"/>
    <cellStyle name="20% - Accent6 4 4 3 2 6" xfId="19301"/>
    <cellStyle name="20% - Accent6 4 4 3 3" xfId="19302"/>
    <cellStyle name="20% - Accent6 4 4 3 3 2" xfId="19303"/>
    <cellStyle name="20% - Accent6 4 4 3 3 2 2" xfId="19304"/>
    <cellStyle name="20% - Accent6 4 4 3 3 2 3" xfId="19305"/>
    <cellStyle name="20% - Accent6 4 4 3 3 3" xfId="19306"/>
    <cellStyle name="20% - Accent6 4 4 3 3 3 2" xfId="19307"/>
    <cellStyle name="20% - Accent6 4 4 3 3 3 3" xfId="19308"/>
    <cellStyle name="20% - Accent6 4 4 3 3 4" xfId="19309"/>
    <cellStyle name="20% - Accent6 4 4 3 3 4 2" xfId="19310"/>
    <cellStyle name="20% - Accent6 4 4 3 3 5" xfId="19311"/>
    <cellStyle name="20% - Accent6 4 4 3 3 6" xfId="19312"/>
    <cellStyle name="20% - Accent6 4 4 3 4" xfId="19313"/>
    <cellStyle name="20% - Accent6 4 4 3 4 2" xfId="19314"/>
    <cellStyle name="20% - Accent6 4 4 3 4 2 2" xfId="19315"/>
    <cellStyle name="20% - Accent6 4 4 3 4 2 3" xfId="19316"/>
    <cellStyle name="20% - Accent6 4 4 3 4 3" xfId="19317"/>
    <cellStyle name="20% - Accent6 4 4 3 4 3 2" xfId="19318"/>
    <cellStyle name="20% - Accent6 4 4 3 4 4" xfId="19319"/>
    <cellStyle name="20% - Accent6 4 4 3 4 5" xfId="19320"/>
    <cellStyle name="20% - Accent6 4 4 3 5" xfId="19321"/>
    <cellStyle name="20% - Accent6 4 4 3 5 2" xfId="19322"/>
    <cellStyle name="20% - Accent6 4 4 3 5 3" xfId="19323"/>
    <cellStyle name="20% - Accent6 4 4 3 6" xfId="19324"/>
    <cellStyle name="20% - Accent6 4 4 3 6 2" xfId="19325"/>
    <cellStyle name="20% - Accent6 4 4 3 6 3" xfId="19326"/>
    <cellStyle name="20% - Accent6 4 4 3 7" xfId="19327"/>
    <cellStyle name="20% - Accent6 4 4 3 7 2" xfId="19328"/>
    <cellStyle name="20% - Accent6 4 4 3 8" xfId="19329"/>
    <cellStyle name="20% - Accent6 4 4 3 9" xfId="19330"/>
    <cellStyle name="20% - Accent6 4 4 4" xfId="19331"/>
    <cellStyle name="20% - Accent6 4 4 4 2" xfId="19332"/>
    <cellStyle name="20% - Accent6 4 4 4 2 2" xfId="19333"/>
    <cellStyle name="20% - Accent6 4 4 4 2 2 2" xfId="19334"/>
    <cellStyle name="20% - Accent6 4 4 4 2 2 3" xfId="19335"/>
    <cellStyle name="20% - Accent6 4 4 4 2 3" xfId="19336"/>
    <cellStyle name="20% - Accent6 4 4 4 2 3 2" xfId="19337"/>
    <cellStyle name="20% - Accent6 4 4 4 2 3 3" xfId="19338"/>
    <cellStyle name="20% - Accent6 4 4 4 2 4" xfId="19339"/>
    <cellStyle name="20% - Accent6 4 4 4 2 4 2" xfId="19340"/>
    <cellStyle name="20% - Accent6 4 4 4 2 5" xfId="19341"/>
    <cellStyle name="20% - Accent6 4 4 4 2 6" xfId="19342"/>
    <cellStyle name="20% - Accent6 4 4 4 3" xfId="19343"/>
    <cellStyle name="20% - Accent6 4 4 4 3 2" xfId="19344"/>
    <cellStyle name="20% - Accent6 4 4 4 3 2 2" xfId="19345"/>
    <cellStyle name="20% - Accent6 4 4 4 3 2 3" xfId="19346"/>
    <cellStyle name="20% - Accent6 4 4 4 3 3" xfId="19347"/>
    <cellStyle name="20% - Accent6 4 4 4 3 3 2" xfId="19348"/>
    <cellStyle name="20% - Accent6 4 4 4 3 3 3" xfId="19349"/>
    <cellStyle name="20% - Accent6 4 4 4 3 4" xfId="19350"/>
    <cellStyle name="20% - Accent6 4 4 4 3 4 2" xfId="19351"/>
    <cellStyle name="20% - Accent6 4 4 4 3 5" xfId="19352"/>
    <cellStyle name="20% - Accent6 4 4 4 3 6" xfId="19353"/>
    <cellStyle name="20% - Accent6 4 4 4 4" xfId="19354"/>
    <cellStyle name="20% - Accent6 4 4 4 4 2" xfId="19355"/>
    <cellStyle name="20% - Accent6 4 4 4 4 2 2" xfId="19356"/>
    <cellStyle name="20% - Accent6 4 4 4 4 2 3" xfId="19357"/>
    <cellStyle name="20% - Accent6 4 4 4 4 3" xfId="19358"/>
    <cellStyle name="20% - Accent6 4 4 4 4 3 2" xfId="19359"/>
    <cellStyle name="20% - Accent6 4 4 4 4 4" xfId="19360"/>
    <cellStyle name="20% - Accent6 4 4 4 4 5" xfId="19361"/>
    <cellStyle name="20% - Accent6 4 4 4 5" xfId="19362"/>
    <cellStyle name="20% - Accent6 4 4 4 5 2" xfId="19363"/>
    <cellStyle name="20% - Accent6 4 4 4 5 3" xfId="19364"/>
    <cellStyle name="20% - Accent6 4 4 4 6" xfId="19365"/>
    <cellStyle name="20% - Accent6 4 4 4 6 2" xfId="19366"/>
    <cellStyle name="20% - Accent6 4 4 4 6 3" xfId="19367"/>
    <cellStyle name="20% - Accent6 4 4 4 7" xfId="19368"/>
    <cellStyle name="20% - Accent6 4 4 4 7 2" xfId="19369"/>
    <cellStyle name="20% - Accent6 4 4 4 8" xfId="19370"/>
    <cellStyle name="20% - Accent6 4 4 4 9" xfId="19371"/>
    <cellStyle name="20% - Accent6 4 4 5" xfId="19372"/>
    <cellStyle name="20% - Accent6 4 4 5 2" xfId="19373"/>
    <cellStyle name="20% - Accent6 4 4 5 2 2" xfId="19374"/>
    <cellStyle name="20% - Accent6 4 4 5 2 3" xfId="19375"/>
    <cellStyle name="20% - Accent6 4 4 5 3" xfId="19376"/>
    <cellStyle name="20% - Accent6 4 4 5 3 2" xfId="19377"/>
    <cellStyle name="20% - Accent6 4 4 5 3 3" xfId="19378"/>
    <cellStyle name="20% - Accent6 4 4 5 4" xfId="19379"/>
    <cellStyle name="20% - Accent6 4 4 5 4 2" xfId="19380"/>
    <cellStyle name="20% - Accent6 4 4 5 5" xfId="19381"/>
    <cellStyle name="20% - Accent6 4 4 5 6" xfId="19382"/>
    <cellStyle name="20% - Accent6 4 4 6" xfId="19383"/>
    <cellStyle name="20% - Accent6 4 4 6 2" xfId="19384"/>
    <cellStyle name="20% - Accent6 4 4 6 2 2" xfId="19385"/>
    <cellStyle name="20% - Accent6 4 4 6 2 3" xfId="19386"/>
    <cellStyle name="20% - Accent6 4 4 6 3" xfId="19387"/>
    <cellStyle name="20% - Accent6 4 4 6 3 2" xfId="19388"/>
    <cellStyle name="20% - Accent6 4 4 6 3 3" xfId="19389"/>
    <cellStyle name="20% - Accent6 4 4 6 4" xfId="19390"/>
    <cellStyle name="20% - Accent6 4 4 6 4 2" xfId="19391"/>
    <cellStyle name="20% - Accent6 4 4 6 5" xfId="19392"/>
    <cellStyle name="20% - Accent6 4 4 6 6" xfId="19393"/>
    <cellStyle name="20% - Accent6 4 4 7" xfId="19394"/>
    <cellStyle name="20% - Accent6 4 4 7 2" xfId="19395"/>
    <cellStyle name="20% - Accent6 4 4 7 2 2" xfId="19396"/>
    <cellStyle name="20% - Accent6 4 4 7 2 3" xfId="19397"/>
    <cellStyle name="20% - Accent6 4 4 7 3" xfId="19398"/>
    <cellStyle name="20% - Accent6 4 4 7 3 2" xfId="19399"/>
    <cellStyle name="20% - Accent6 4 4 7 4" xfId="19400"/>
    <cellStyle name="20% - Accent6 4 4 7 5" xfId="19401"/>
    <cellStyle name="20% - Accent6 4 4 8" xfId="19402"/>
    <cellStyle name="20% - Accent6 4 4 8 2" xfId="19403"/>
    <cellStyle name="20% - Accent6 4 4 8 3" xfId="19404"/>
    <cellStyle name="20% - Accent6 4 4 9" xfId="19405"/>
    <cellStyle name="20% - Accent6 4 4 9 2" xfId="19406"/>
    <cellStyle name="20% - Accent6 4 4 9 3" xfId="19407"/>
    <cellStyle name="20% - Accent6 4 5" xfId="1374"/>
    <cellStyle name="20% - Accent6 4 5 10" xfId="19408"/>
    <cellStyle name="20% - Accent6 4 5 2" xfId="1375"/>
    <cellStyle name="20% - Accent6 4 5 2 2" xfId="19409"/>
    <cellStyle name="20% - Accent6 4 5 2 2 2" xfId="19410"/>
    <cellStyle name="20% - Accent6 4 5 2 2 2 2" xfId="19411"/>
    <cellStyle name="20% - Accent6 4 5 2 2 2 3" xfId="19412"/>
    <cellStyle name="20% - Accent6 4 5 2 2 3" xfId="19413"/>
    <cellStyle name="20% - Accent6 4 5 2 2 3 2" xfId="19414"/>
    <cellStyle name="20% - Accent6 4 5 2 2 3 3" xfId="19415"/>
    <cellStyle name="20% - Accent6 4 5 2 2 4" xfId="19416"/>
    <cellStyle name="20% - Accent6 4 5 2 2 4 2" xfId="19417"/>
    <cellStyle name="20% - Accent6 4 5 2 2 5" xfId="19418"/>
    <cellStyle name="20% - Accent6 4 5 2 2 6" xfId="19419"/>
    <cellStyle name="20% - Accent6 4 5 2 3" xfId="19420"/>
    <cellStyle name="20% - Accent6 4 5 2 3 2" xfId="19421"/>
    <cellStyle name="20% - Accent6 4 5 2 3 2 2" xfId="19422"/>
    <cellStyle name="20% - Accent6 4 5 2 3 2 3" xfId="19423"/>
    <cellStyle name="20% - Accent6 4 5 2 3 3" xfId="19424"/>
    <cellStyle name="20% - Accent6 4 5 2 3 3 2" xfId="19425"/>
    <cellStyle name="20% - Accent6 4 5 2 3 3 3" xfId="19426"/>
    <cellStyle name="20% - Accent6 4 5 2 3 4" xfId="19427"/>
    <cellStyle name="20% - Accent6 4 5 2 3 4 2" xfId="19428"/>
    <cellStyle name="20% - Accent6 4 5 2 3 5" xfId="19429"/>
    <cellStyle name="20% - Accent6 4 5 2 3 6" xfId="19430"/>
    <cellStyle name="20% - Accent6 4 5 2 4" xfId="19431"/>
    <cellStyle name="20% - Accent6 4 5 2 4 2" xfId="19432"/>
    <cellStyle name="20% - Accent6 4 5 2 4 2 2" xfId="19433"/>
    <cellStyle name="20% - Accent6 4 5 2 4 2 3" xfId="19434"/>
    <cellStyle name="20% - Accent6 4 5 2 4 3" xfId="19435"/>
    <cellStyle name="20% - Accent6 4 5 2 4 3 2" xfId="19436"/>
    <cellStyle name="20% - Accent6 4 5 2 4 4" xfId="19437"/>
    <cellStyle name="20% - Accent6 4 5 2 4 5" xfId="19438"/>
    <cellStyle name="20% - Accent6 4 5 2 5" xfId="19439"/>
    <cellStyle name="20% - Accent6 4 5 2 5 2" xfId="19440"/>
    <cellStyle name="20% - Accent6 4 5 2 5 3" xfId="19441"/>
    <cellStyle name="20% - Accent6 4 5 2 6" xfId="19442"/>
    <cellStyle name="20% - Accent6 4 5 2 6 2" xfId="19443"/>
    <cellStyle name="20% - Accent6 4 5 2 6 3" xfId="19444"/>
    <cellStyle name="20% - Accent6 4 5 2 7" xfId="19445"/>
    <cellStyle name="20% - Accent6 4 5 2 7 2" xfId="19446"/>
    <cellStyle name="20% - Accent6 4 5 2 8" xfId="19447"/>
    <cellStyle name="20% - Accent6 4 5 2 9" xfId="19448"/>
    <cellStyle name="20% - Accent6 4 5 3" xfId="19449"/>
    <cellStyle name="20% - Accent6 4 5 3 2" xfId="19450"/>
    <cellStyle name="20% - Accent6 4 5 3 2 2" xfId="19451"/>
    <cellStyle name="20% - Accent6 4 5 3 2 3" xfId="19452"/>
    <cellStyle name="20% - Accent6 4 5 3 3" xfId="19453"/>
    <cellStyle name="20% - Accent6 4 5 3 3 2" xfId="19454"/>
    <cellStyle name="20% - Accent6 4 5 3 3 3" xfId="19455"/>
    <cellStyle name="20% - Accent6 4 5 3 4" xfId="19456"/>
    <cellStyle name="20% - Accent6 4 5 3 4 2" xfId="19457"/>
    <cellStyle name="20% - Accent6 4 5 3 5" xfId="19458"/>
    <cellStyle name="20% - Accent6 4 5 3 6" xfId="19459"/>
    <cellStyle name="20% - Accent6 4 5 4" xfId="19460"/>
    <cellStyle name="20% - Accent6 4 5 4 2" xfId="19461"/>
    <cellStyle name="20% - Accent6 4 5 4 2 2" xfId="19462"/>
    <cellStyle name="20% - Accent6 4 5 4 2 3" xfId="19463"/>
    <cellStyle name="20% - Accent6 4 5 4 3" xfId="19464"/>
    <cellStyle name="20% - Accent6 4 5 4 3 2" xfId="19465"/>
    <cellStyle name="20% - Accent6 4 5 4 3 3" xfId="19466"/>
    <cellStyle name="20% - Accent6 4 5 4 4" xfId="19467"/>
    <cellStyle name="20% - Accent6 4 5 4 4 2" xfId="19468"/>
    <cellStyle name="20% - Accent6 4 5 4 5" xfId="19469"/>
    <cellStyle name="20% - Accent6 4 5 4 6" xfId="19470"/>
    <cellStyle name="20% - Accent6 4 5 5" xfId="19471"/>
    <cellStyle name="20% - Accent6 4 5 5 2" xfId="19472"/>
    <cellStyle name="20% - Accent6 4 5 5 2 2" xfId="19473"/>
    <cellStyle name="20% - Accent6 4 5 5 2 3" xfId="19474"/>
    <cellStyle name="20% - Accent6 4 5 5 3" xfId="19475"/>
    <cellStyle name="20% - Accent6 4 5 5 3 2" xfId="19476"/>
    <cellStyle name="20% - Accent6 4 5 5 4" xfId="19477"/>
    <cellStyle name="20% - Accent6 4 5 5 5" xfId="19478"/>
    <cellStyle name="20% - Accent6 4 5 6" xfId="19479"/>
    <cellStyle name="20% - Accent6 4 5 6 2" xfId="19480"/>
    <cellStyle name="20% - Accent6 4 5 6 3" xfId="19481"/>
    <cellStyle name="20% - Accent6 4 5 7" xfId="19482"/>
    <cellStyle name="20% - Accent6 4 5 7 2" xfId="19483"/>
    <cellStyle name="20% - Accent6 4 5 7 3" xfId="19484"/>
    <cellStyle name="20% - Accent6 4 5 8" xfId="19485"/>
    <cellStyle name="20% - Accent6 4 5 8 2" xfId="19486"/>
    <cellStyle name="20% - Accent6 4 5 9" xfId="19487"/>
    <cellStyle name="20% - Accent6 4 6" xfId="1376"/>
    <cellStyle name="20% - Accent6 4 6 2" xfId="19488"/>
    <cellStyle name="20% - Accent6 4 6 2 2" xfId="19489"/>
    <cellStyle name="20% - Accent6 4 6 2 2 2" xfId="19490"/>
    <cellStyle name="20% - Accent6 4 6 2 2 3" xfId="19491"/>
    <cellStyle name="20% - Accent6 4 6 2 3" xfId="19492"/>
    <cellStyle name="20% - Accent6 4 6 2 3 2" xfId="19493"/>
    <cellStyle name="20% - Accent6 4 6 2 3 3" xfId="19494"/>
    <cellStyle name="20% - Accent6 4 6 2 4" xfId="19495"/>
    <cellStyle name="20% - Accent6 4 6 2 4 2" xfId="19496"/>
    <cellStyle name="20% - Accent6 4 6 2 5" xfId="19497"/>
    <cellStyle name="20% - Accent6 4 6 2 6" xfId="19498"/>
    <cellStyle name="20% - Accent6 4 6 3" xfId="19499"/>
    <cellStyle name="20% - Accent6 4 6 3 2" xfId="19500"/>
    <cellStyle name="20% - Accent6 4 6 3 2 2" xfId="19501"/>
    <cellStyle name="20% - Accent6 4 6 3 2 3" xfId="19502"/>
    <cellStyle name="20% - Accent6 4 6 3 3" xfId="19503"/>
    <cellStyle name="20% - Accent6 4 6 3 3 2" xfId="19504"/>
    <cellStyle name="20% - Accent6 4 6 3 3 3" xfId="19505"/>
    <cellStyle name="20% - Accent6 4 6 3 4" xfId="19506"/>
    <cellStyle name="20% - Accent6 4 6 3 4 2" xfId="19507"/>
    <cellStyle name="20% - Accent6 4 6 3 5" xfId="19508"/>
    <cellStyle name="20% - Accent6 4 6 3 6" xfId="19509"/>
    <cellStyle name="20% - Accent6 4 6 4" xfId="19510"/>
    <cellStyle name="20% - Accent6 4 6 4 2" xfId="19511"/>
    <cellStyle name="20% - Accent6 4 6 4 2 2" xfId="19512"/>
    <cellStyle name="20% - Accent6 4 6 4 2 3" xfId="19513"/>
    <cellStyle name="20% - Accent6 4 6 4 3" xfId="19514"/>
    <cellStyle name="20% - Accent6 4 6 4 3 2" xfId="19515"/>
    <cellStyle name="20% - Accent6 4 6 4 4" xfId="19516"/>
    <cellStyle name="20% - Accent6 4 6 4 5" xfId="19517"/>
    <cellStyle name="20% - Accent6 4 6 5" xfId="19518"/>
    <cellStyle name="20% - Accent6 4 6 5 2" xfId="19519"/>
    <cellStyle name="20% - Accent6 4 6 5 3" xfId="19520"/>
    <cellStyle name="20% - Accent6 4 6 6" xfId="19521"/>
    <cellStyle name="20% - Accent6 4 6 6 2" xfId="19522"/>
    <cellStyle name="20% - Accent6 4 6 6 3" xfId="19523"/>
    <cellStyle name="20% - Accent6 4 6 7" xfId="19524"/>
    <cellStyle name="20% - Accent6 4 6 7 2" xfId="19525"/>
    <cellStyle name="20% - Accent6 4 6 8" xfId="19526"/>
    <cellStyle name="20% - Accent6 4 6 9" xfId="19527"/>
    <cellStyle name="20% - Accent6 4 7" xfId="8943"/>
    <cellStyle name="20% - Accent6 4 7 2" xfId="19528"/>
    <cellStyle name="20% - Accent6 4 7 2 2" xfId="19529"/>
    <cellStyle name="20% - Accent6 4 7 2 2 2" xfId="19530"/>
    <cellStyle name="20% - Accent6 4 7 2 2 3" xfId="19531"/>
    <cellStyle name="20% - Accent6 4 7 2 3" xfId="19532"/>
    <cellStyle name="20% - Accent6 4 7 2 3 2" xfId="19533"/>
    <cellStyle name="20% - Accent6 4 7 2 3 3" xfId="19534"/>
    <cellStyle name="20% - Accent6 4 7 2 4" xfId="19535"/>
    <cellStyle name="20% - Accent6 4 7 2 4 2" xfId="19536"/>
    <cellStyle name="20% - Accent6 4 7 2 5" xfId="19537"/>
    <cellStyle name="20% - Accent6 4 7 2 6" xfId="19538"/>
    <cellStyle name="20% - Accent6 4 7 3" xfId="19539"/>
    <cellStyle name="20% - Accent6 4 7 3 2" xfId="19540"/>
    <cellStyle name="20% - Accent6 4 7 3 2 2" xfId="19541"/>
    <cellStyle name="20% - Accent6 4 7 3 2 3" xfId="19542"/>
    <cellStyle name="20% - Accent6 4 7 3 3" xfId="19543"/>
    <cellStyle name="20% - Accent6 4 7 3 3 2" xfId="19544"/>
    <cellStyle name="20% - Accent6 4 7 3 3 3" xfId="19545"/>
    <cellStyle name="20% - Accent6 4 7 3 4" xfId="19546"/>
    <cellStyle name="20% - Accent6 4 7 3 4 2" xfId="19547"/>
    <cellStyle name="20% - Accent6 4 7 3 5" xfId="19548"/>
    <cellStyle name="20% - Accent6 4 7 3 6" xfId="19549"/>
    <cellStyle name="20% - Accent6 4 7 4" xfId="19550"/>
    <cellStyle name="20% - Accent6 4 7 4 2" xfId="19551"/>
    <cellStyle name="20% - Accent6 4 7 4 2 2" xfId="19552"/>
    <cellStyle name="20% - Accent6 4 7 4 2 3" xfId="19553"/>
    <cellStyle name="20% - Accent6 4 7 4 3" xfId="19554"/>
    <cellStyle name="20% - Accent6 4 7 4 3 2" xfId="19555"/>
    <cellStyle name="20% - Accent6 4 7 4 4" xfId="19556"/>
    <cellStyle name="20% - Accent6 4 7 4 5" xfId="19557"/>
    <cellStyle name="20% - Accent6 4 7 5" xfId="19558"/>
    <cellStyle name="20% - Accent6 4 7 5 2" xfId="19559"/>
    <cellStyle name="20% - Accent6 4 7 5 3" xfId="19560"/>
    <cellStyle name="20% - Accent6 4 7 6" xfId="19561"/>
    <cellStyle name="20% - Accent6 4 7 6 2" xfId="19562"/>
    <cellStyle name="20% - Accent6 4 7 6 3" xfId="19563"/>
    <cellStyle name="20% - Accent6 4 7 7" xfId="19564"/>
    <cellStyle name="20% - Accent6 4 7 7 2" xfId="19565"/>
    <cellStyle name="20% - Accent6 4 7 8" xfId="19566"/>
    <cellStyle name="20% - Accent6 4 7 9" xfId="19567"/>
    <cellStyle name="20% - Accent6 4 8" xfId="19568"/>
    <cellStyle name="20% - Accent6 4 8 2" xfId="19569"/>
    <cellStyle name="20% - Accent6 4 8 2 2" xfId="19570"/>
    <cellStyle name="20% - Accent6 4 8 2 3" xfId="19571"/>
    <cellStyle name="20% - Accent6 4 8 3" xfId="19572"/>
    <cellStyle name="20% - Accent6 4 8 3 2" xfId="19573"/>
    <cellStyle name="20% - Accent6 4 8 3 3" xfId="19574"/>
    <cellStyle name="20% - Accent6 4 8 4" xfId="19575"/>
    <cellStyle name="20% - Accent6 4 8 4 2" xfId="19576"/>
    <cellStyle name="20% - Accent6 4 8 5" xfId="19577"/>
    <cellStyle name="20% - Accent6 4 8 6" xfId="19578"/>
    <cellStyle name="20% - Accent6 4 9" xfId="19579"/>
    <cellStyle name="20% - Accent6 4 9 2" xfId="19580"/>
    <cellStyle name="20% - Accent6 4 9 2 2" xfId="19581"/>
    <cellStyle name="20% - Accent6 4 9 2 3" xfId="19582"/>
    <cellStyle name="20% - Accent6 4 9 3" xfId="19583"/>
    <cellStyle name="20% - Accent6 4 9 3 2" xfId="19584"/>
    <cellStyle name="20% - Accent6 4 9 3 3" xfId="19585"/>
    <cellStyle name="20% - Accent6 4 9 4" xfId="19586"/>
    <cellStyle name="20% - Accent6 4 9 4 2" xfId="19587"/>
    <cellStyle name="20% - Accent6 4 9 5" xfId="19588"/>
    <cellStyle name="20% - Accent6 4 9 6" xfId="19589"/>
    <cellStyle name="20% - Accent6 5" xfId="1377"/>
    <cellStyle name="20% - Accent6 5 2" xfId="1378"/>
    <cellStyle name="20% - Accent6 5 2 2" xfId="1379"/>
    <cellStyle name="20% - Accent6 5 2 2 2" xfId="1380"/>
    <cellStyle name="20% - Accent6 5 2 2 2 2" xfId="1381"/>
    <cellStyle name="20% - Accent6 5 2 2 3" xfId="1382"/>
    <cellStyle name="20% - Accent6 5 2 3" xfId="1383"/>
    <cellStyle name="20% - Accent6 5 2 3 2" xfId="1384"/>
    <cellStyle name="20% - Accent6 5 2 4" xfId="1385"/>
    <cellStyle name="20% - Accent6 5 2 5" xfId="57977"/>
    <cellStyle name="20% - Accent6 5 3" xfId="1386"/>
    <cellStyle name="20% - Accent6 5 3 2" xfId="1387"/>
    <cellStyle name="20% - Accent6 5 3 2 2" xfId="1388"/>
    <cellStyle name="20% - Accent6 5 3 3" xfId="1389"/>
    <cellStyle name="20% - Accent6 5 4" xfId="1390"/>
    <cellStyle name="20% - Accent6 5 4 2" xfId="1391"/>
    <cellStyle name="20% - Accent6 5 5" xfId="1392"/>
    <cellStyle name="20% - Accent6 5 6" xfId="8944"/>
    <cellStyle name="20% - Accent6 6" xfId="1393"/>
    <cellStyle name="20% - Accent6 6 2" xfId="1394"/>
    <cellStyle name="20% - Accent6 6 2 2" xfId="1395"/>
    <cellStyle name="20% - Accent6 6 2 2 2" xfId="1396"/>
    <cellStyle name="20% - Accent6 6 2 3" xfId="1397"/>
    <cellStyle name="20% - Accent6 6 2 4" xfId="57978"/>
    <cellStyle name="20% - Accent6 6 2 5" xfId="57979"/>
    <cellStyle name="20% - Accent6 6 3" xfId="1398"/>
    <cellStyle name="20% - Accent6 6 3 2" xfId="1399"/>
    <cellStyle name="20% - Accent6 6 4" xfId="1400"/>
    <cellStyle name="20% - Accent6 6 5" xfId="57980"/>
    <cellStyle name="20% - Accent6 7" xfId="1401"/>
    <cellStyle name="20% - Accent6 7 2" xfId="1402"/>
    <cellStyle name="20% - Accent6 7 2 2" xfId="1403"/>
    <cellStyle name="20% - Accent6 7 2 2 2" xfId="1404"/>
    <cellStyle name="20% - Accent6 7 2 3" xfId="1405"/>
    <cellStyle name="20% - Accent6 7 3" xfId="1406"/>
    <cellStyle name="20% - Accent6 7 3 2" xfId="1407"/>
    <cellStyle name="20% - Accent6 7 4" xfId="1408"/>
    <cellStyle name="20% - Accent6 7 5" xfId="57981"/>
    <cellStyle name="20% - Accent6 8" xfId="1409"/>
    <cellStyle name="20% - Accent6 8 2" xfId="1410"/>
    <cellStyle name="20% - Accent6 8 2 2" xfId="1411"/>
    <cellStyle name="20% - Accent6 8 2 2 2" xfId="1412"/>
    <cellStyle name="20% - Accent6 8 2 3" xfId="1413"/>
    <cellStyle name="20% - Accent6 8 3" xfId="1414"/>
    <cellStyle name="20% - Accent6 8 3 2" xfId="1415"/>
    <cellStyle name="20% - Accent6 8 4" xfId="1416"/>
    <cellStyle name="20% - Accent6 8 5" xfId="57982"/>
    <cellStyle name="20% - Accent6 9" xfId="1417"/>
    <cellStyle name="20% - Accent6 9 2" xfId="1418"/>
    <cellStyle name="20% - Accent6 9 2 2" xfId="1419"/>
    <cellStyle name="20% - Accent6 9 3" xfId="1420"/>
    <cellStyle name="20% - Accent6 9 4" xfId="57983"/>
    <cellStyle name="40% - Accent1 10" xfId="1421"/>
    <cellStyle name="40% - Accent1 10 2" xfId="1422"/>
    <cellStyle name="40% - Accent1 10 2 2" xfId="1423"/>
    <cellStyle name="40% - Accent1 10 3" xfId="1424"/>
    <cellStyle name="40% - Accent1 10 4" xfId="57984"/>
    <cellStyle name="40% - Accent1 11" xfId="1425"/>
    <cellStyle name="40% - Accent1 11 2" xfId="1426"/>
    <cellStyle name="40% - Accent1 11 2 2" xfId="1427"/>
    <cellStyle name="40% - Accent1 11 3" xfId="1428"/>
    <cellStyle name="40% - Accent1 11 4" xfId="57985"/>
    <cellStyle name="40% - Accent1 12" xfId="1429"/>
    <cellStyle name="40% - Accent1 12 2" xfId="1430"/>
    <cellStyle name="40% - Accent1 12 3" xfId="57986"/>
    <cellStyle name="40% - Accent1 13" xfId="1431"/>
    <cellStyle name="40% - Accent1 13 2" xfId="57987"/>
    <cellStyle name="40% - Accent1 14" xfId="8945"/>
    <cellStyle name="40% - Accent1 15" xfId="9396"/>
    <cellStyle name="40% - Accent1 16" xfId="9397"/>
    <cellStyle name="40% - Accent1 17" xfId="9398"/>
    <cellStyle name="40% - Accent1 17 2" xfId="57988"/>
    <cellStyle name="40% - Accent1 18" xfId="57989"/>
    <cellStyle name="40% - Accent1 19" xfId="57990"/>
    <cellStyle name="40% - Accent1 2" xfId="1432"/>
    <cellStyle name="40% - Accent1 2 2" xfId="1433"/>
    <cellStyle name="40% - Accent1 2 2 2" xfId="1434"/>
    <cellStyle name="40% - Accent1 2 2 2 2" xfId="1435"/>
    <cellStyle name="40% - Accent1 2 2 2 2 2" xfId="1436"/>
    <cellStyle name="40% - Accent1 2 2 2 2 2 2" xfId="1437"/>
    <cellStyle name="40% - Accent1 2 2 2 2 2 2 2" xfId="1438"/>
    <cellStyle name="40% - Accent1 2 2 2 2 2 3" xfId="1439"/>
    <cellStyle name="40% - Accent1 2 2 2 2 3" xfId="1440"/>
    <cellStyle name="40% - Accent1 2 2 2 2 3 2" xfId="1441"/>
    <cellStyle name="40% - Accent1 2 2 2 2 4" xfId="1442"/>
    <cellStyle name="40% - Accent1 2 2 2 2 5" xfId="57991"/>
    <cellStyle name="40% - Accent1 2 2 2 3" xfId="1443"/>
    <cellStyle name="40% - Accent1 2 2 2 3 2" xfId="1444"/>
    <cellStyle name="40% - Accent1 2 2 2 3 2 2" xfId="1445"/>
    <cellStyle name="40% - Accent1 2 2 2 3 3" xfId="1446"/>
    <cellStyle name="40% - Accent1 2 2 2 4" xfId="1447"/>
    <cellStyle name="40% - Accent1 2 2 2 4 2" xfId="1448"/>
    <cellStyle name="40% - Accent1 2 2 2 5" xfId="1449"/>
    <cellStyle name="40% - Accent1 2 2 2 6" xfId="57992"/>
    <cellStyle name="40% - Accent1 2 2 3" xfId="1450"/>
    <cellStyle name="40% - Accent1 2 2 3 2" xfId="1451"/>
    <cellStyle name="40% - Accent1 2 2 3 2 2" xfId="1452"/>
    <cellStyle name="40% - Accent1 2 2 3 2 2 2" xfId="1453"/>
    <cellStyle name="40% - Accent1 2 2 3 2 3" xfId="1454"/>
    <cellStyle name="40% - Accent1 2 2 3 3" xfId="1455"/>
    <cellStyle name="40% - Accent1 2 2 3 3 2" xfId="1456"/>
    <cellStyle name="40% - Accent1 2 2 3 4" xfId="1457"/>
    <cellStyle name="40% - Accent1 2 2 3 5" xfId="57993"/>
    <cellStyle name="40% - Accent1 2 2 4" xfId="1458"/>
    <cellStyle name="40% - Accent1 2 2 4 2" xfId="1459"/>
    <cellStyle name="40% - Accent1 2 2 4 2 2" xfId="1460"/>
    <cellStyle name="40% - Accent1 2 2 4 3" xfId="1461"/>
    <cellStyle name="40% - Accent1 2 2 5" xfId="1462"/>
    <cellStyle name="40% - Accent1 2 2 5 2" xfId="1463"/>
    <cellStyle name="40% - Accent1 2 2 6" xfId="1464"/>
    <cellStyle name="40% - Accent1 2 2 7" xfId="57994"/>
    <cellStyle name="40% - Accent1 2 3" xfId="1465"/>
    <cellStyle name="40% - Accent1 2 3 2" xfId="1466"/>
    <cellStyle name="40% - Accent1 2 3 2 2" xfId="1467"/>
    <cellStyle name="40% - Accent1 2 3 2 2 2" xfId="1468"/>
    <cellStyle name="40% - Accent1 2 3 2 2 2 2" xfId="1469"/>
    <cellStyle name="40% - Accent1 2 3 2 2 3" xfId="1470"/>
    <cellStyle name="40% - Accent1 2 3 2 3" xfId="1471"/>
    <cellStyle name="40% - Accent1 2 3 2 3 2" xfId="1472"/>
    <cellStyle name="40% - Accent1 2 3 2 4" xfId="1473"/>
    <cellStyle name="40% - Accent1 2 3 3" xfId="1474"/>
    <cellStyle name="40% - Accent1 2 3 3 2" xfId="1475"/>
    <cellStyle name="40% - Accent1 2 3 3 2 2" xfId="1476"/>
    <cellStyle name="40% - Accent1 2 3 3 3" xfId="1477"/>
    <cellStyle name="40% - Accent1 2 3 4" xfId="1478"/>
    <cellStyle name="40% - Accent1 2 3 4 2" xfId="1479"/>
    <cellStyle name="40% - Accent1 2 3 5" xfId="1480"/>
    <cellStyle name="40% - Accent1 2 3 6" xfId="57995"/>
    <cellStyle name="40% - Accent1 2 4" xfId="1481"/>
    <cellStyle name="40% - Accent1 2 4 2" xfId="1482"/>
    <cellStyle name="40% - Accent1 2 4 2 2" xfId="1483"/>
    <cellStyle name="40% - Accent1 2 4 2 2 2" xfId="1484"/>
    <cellStyle name="40% - Accent1 2 4 2 3" xfId="1485"/>
    <cellStyle name="40% - Accent1 2 4 3" xfId="1486"/>
    <cellStyle name="40% - Accent1 2 4 3 2" xfId="1487"/>
    <cellStyle name="40% - Accent1 2 4 4" xfId="1488"/>
    <cellStyle name="40% - Accent1 2 4 5" xfId="57996"/>
    <cellStyle name="40% - Accent1 2 5" xfId="1489"/>
    <cellStyle name="40% - Accent1 2 5 2" xfId="1490"/>
    <cellStyle name="40% - Accent1 2 5 2 2" xfId="1491"/>
    <cellStyle name="40% - Accent1 2 5 3" xfId="1492"/>
    <cellStyle name="40% - Accent1 2 5 4" xfId="57997"/>
    <cellStyle name="40% - Accent1 2 6" xfId="1493"/>
    <cellStyle name="40% - Accent1 2 6 2" xfId="1494"/>
    <cellStyle name="40% - Accent1 2 6 3" xfId="57998"/>
    <cellStyle name="40% - Accent1 2 7" xfId="1495"/>
    <cellStyle name="40% - Accent1 2 8" xfId="1496"/>
    <cellStyle name="40% - Accent1 2 9" xfId="57999"/>
    <cellStyle name="40% - Accent1 20" xfId="58000"/>
    <cellStyle name="40% - Accent1 21" xfId="58001"/>
    <cellStyle name="40% - Accent1 3" xfId="1497"/>
    <cellStyle name="40% - Accent1 3 2" xfId="1498"/>
    <cellStyle name="40% - Accent1 3 2 2" xfId="1499"/>
    <cellStyle name="40% - Accent1 3 2 2 2" xfId="1500"/>
    <cellStyle name="40% - Accent1 3 2 2 2 2" xfId="1501"/>
    <cellStyle name="40% - Accent1 3 2 2 2 2 2" xfId="1502"/>
    <cellStyle name="40% - Accent1 3 2 2 2 2 2 2" xfId="1503"/>
    <cellStyle name="40% - Accent1 3 2 2 2 2 3" xfId="1504"/>
    <cellStyle name="40% - Accent1 3 2 2 2 3" xfId="1505"/>
    <cellStyle name="40% - Accent1 3 2 2 2 3 2" xfId="1506"/>
    <cellStyle name="40% - Accent1 3 2 2 2 4" xfId="1507"/>
    <cellStyle name="40% - Accent1 3 2 2 2 5" xfId="8946"/>
    <cellStyle name="40% - Accent1 3 2 2 3" xfId="1508"/>
    <cellStyle name="40% - Accent1 3 2 2 3 2" xfId="1509"/>
    <cellStyle name="40% - Accent1 3 2 2 3 2 2" xfId="1510"/>
    <cellStyle name="40% - Accent1 3 2 2 3 3" xfId="1511"/>
    <cellStyle name="40% - Accent1 3 2 2 4" xfId="1512"/>
    <cellStyle name="40% - Accent1 3 2 2 4 2" xfId="1513"/>
    <cellStyle name="40% - Accent1 3 2 2 5" xfId="1514"/>
    <cellStyle name="40% - Accent1 3 2 2 6" xfId="8947"/>
    <cellStyle name="40% - Accent1 3 2 3" xfId="1515"/>
    <cellStyle name="40% - Accent1 3 2 3 2" xfId="1516"/>
    <cellStyle name="40% - Accent1 3 2 3 2 2" xfId="1517"/>
    <cellStyle name="40% - Accent1 3 2 3 2 2 2" xfId="1518"/>
    <cellStyle name="40% - Accent1 3 2 3 2 3" xfId="1519"/>
    <cellStyle name="40% - Accent1 3 2 3 3" xfId="1520"/>
    <cellStyle name="40% - Accent1 3 2 3 3 2" xfId="1521"/>
    <cellStyle name="40% - Accent1 3 2 3 4" xfId="1522"/>
    <cellStyle name="40% - Accent1 3 2 3 5" xfId="8948"/>
    <cellStyle name="40% - Accent1 3 2 4" xfId="1523"/>
    <cellStyle name="40% - Accent1 3 2 4 2" xfId="1524"/>
    <cellStyle name="40% - Accent1 3 2 4 2 2" xfId="1525"/>
    <cellStyle name="40% - Accent1 3 2 4 3" xfId="1526"/>
    <cellStyle name="40% - Accent1 3 2 5" xfId="1527"/>
    <cellStyle name="40% - Accent1 3 2 5 2" xfId="1528"/>
    <cellStyle name="40% - Accent1 3 2 6" xfId="1529"/>
    <cellStyle name="40% - Accent1 3 2 7" xfId="8949"/>
    <cellStyle name="40% - Accent1 3 3" xfId="1530"/>
    <cellStyle name="40% - Accent1 3 3 2" xfId="1531"/>
    <cellStyle name="40% - Accent1 3 3 2 2" xfId="1532"/>
    <cellStyle name="40% - Accent1 3 3 2 2 2" xfId="1533"/>
    <cellStyle name="40% - Accent1 3 3 2 2 2 2" xfId="1534"/>
    <cellStyle name="40% - Accent1 3 3 2 2 3" xfId="1535"/>
    <cellStyle name="40% - Accent1 3 3 2 3" xfId="1536"/>
    <cellStyle name="40% - Accent1 3 3 2 3 2" xfId="1537"/>
    <cellStyle name="40% - Accent1 3 3 2 4" xfId="1538"/>
    <cellStyle name="40% - Accent1 3 3 2 5" xfId="8950"/>
    <cellStyle name="40% - Accent1 3 3 3" xfId="1539"/>
    <cellStyle name="40% - Accent1 3 3 3 2" xfId="1540"/>
    <cellStyle name="40% - Accent1 3 3 3 2 2" xfId="1541"/>
    <cellStyle name="40% - Accent1 3 3 3 3" xfId="1542"/>
    <cellStyle name="40% - Accent1 3 3 4" xfId="1543"/>
    <cellStyle name="40% - Accent1 3 3 4 2" xfId="1544"/>
    <cellStyle name="40% - Accent1 3 3 5" xfId="1545"/>
    <cellStyle name="40% - Accent1 3 3 6" xfId="8951"/>
    <cellStyle name="40% - Accent1 3 4" xfId="1546"/>
    <cellStyle name="40% - Accent1 3 4 2" xfId="1547"/>
    <cellStyle name="40% - Accent1 3 4 2 2" xfId="1548"/>
    <cellStyle name="40% - Accent1 3 4 2 2 2" xfId="1549"/>
    <cellStyle name="40% - Accent1 3 4 2 3" xfId="1550"/>
    <cellStyle name="40% - Accent1 3 4 3" xfId="1551"/>
    <cellStyle name="40% - Accent1 3 4 3 2" xfId="1552"/>
    <cellStyle name="40% - Accent1 3 4 4" xfId="1553"/>
    <cellStyle name="40% - Accent1 3 4 5" xfId="8952"/>
    <cellStyle name="40% - Accent1 3 5" xfId="1554"/>
    <cellStyle name="40% - Accent1 3 5 2" xfId="1555"/>
    <cellStyle name="40% - Accent1 3 5 2 2" xfId="1556"/>
    <cellStyle name="40% - Accent1 3 5 3" xfId="1557"/>
    <cellStyle name="40% - Accent1 3 6" xfId="1558"/>
    <cellStyle name="40% - Accent1 3 6 2" xfId="1559"/>
    <cellStyle name="40% - Accent1 3 7" xfId="1560"/>
    <cellStyle name="40% - Accent1 3 8" xfId="1561"/>
    <cellStyle name="40% - Accent1 3 9" xfId="8953"/>
    <cellStyle name="40% - Accent1 4" xfId="1562"/>
    <cellStyle name="40% - Accent1 4 10" xfId="19590"/>
    <cellStyle name="40% - Accent1 4 10 2" xfId="19591"/>
    <cellStyle name="40% - Accent1 4 10 2 2" xfId="19592"/>
    <cellStyle name="40% - Accent1 4 10 2 3" xfId="19593"/>
    <cellStyle name="40% - Accent1 4 10 3" xfId="19594"/>
    <cellStyle name="40% - Accent1 4 10 3 2" xfId="19595"/>
    <cellStyle name="40% - Accent1 4 10 4" xfId="19596"/>
    <cellStyle name="40% - Accent1 4 10 5" xfId="19597"/>
    <cellStyle name="40% - Accent1 4 11" xfId="19598"/>
    <cellStyle name="40% - Accent1 4 11 2" xfId="19599"/>
    <cellStyle name="40% - Accent1 4 11 3" xfId="19600"/>
    <cellStyle name="40% - Accent1 4 12" xfId="19601"/>
    <cellStyle name="40% - Accent1 4 12 2" xfId="19602"/>
    <cellStyle name="40% - Accent1 4 12 3" xfId="19603"/>
    <cellStyle name="40% - Accent1 4 13" xfId="19604"/>
    <cellStyle name="40% - Accent1 4 13 2" xfId="19605"/>
    <cellStyle name="40% - Accent1 4 14" xfId="19606"/>
    <cellStyle name="40% - Accent1 4 15" xfId="19607"/>
    <cellStyle name="40% - Accent1 4 16" xfId="19608"/>
    <cellStyle name="40% - Accent1 4 2" xfId="1563"/>
    <cellStyle name="40% - Accent1 4 2 10" xfId="19609"/>
    <cellStyle name="40% - Accent1 4 2 10 2" xfId="19610"/>
    <cellStyle name="40% - Accent1 4 2 10 3" xfId="19611"/>
    <cellStyle name="40% - Accent1 4 2 11" xfId="19612"/>
    <cellStyle name="40% - Accent1 4 2 11 2" xfId="19613"/>
    <cellStyle name="40% - Accent1 4 2 11 3" xfId="19614"/>
    <cellStyle name="40% - Accent1 4 2 12" xfId="19615"/>
    <cellStyle name="40% - Accent1 4 2 12 2" xfId="19616"/>
    <cellStyle name="40% - Accent1 4 2 13" xfId="19617"/>
    <cellStyle name="40% - Accent1 4 2 14" xfId="19618"/>
    <cellStyle name="40% - Accent1 4 2 15" xfId="19619"/>
    <cellStyle name="40% - Accent1 4 2 2" xfId="1564"/>
    <cellStyle name="40% - Accent1 4 2 2 10" xfId="19620"/>
    <cellStyle name="40% - Accent1 4 2 2 10 2" xfId="19621"/>
    <cellStyle name="40% - Accent1 4 2 2 10 3" xfId="19622"/>
    <cellStyle name="40% - Accent1 4 2 2 11" xfId="19623"/>
    <cellStyle name="40% - Accent1 4 2 2 11 2" xfId="19624"/>
    <cellStyle name="40% - Accent1 4 2 2 12" xfId="19625"/>
    <cellStyle name="40% - Accent1 4 2 2 13" xfId="19626"/>
    <cellStyle name="40% - Accent1 4 2 2 2" xfId="1565"/>
    <cellStyle name="40% - Accent1 4 2 2 2 10" xfId="19627"/>
    <cellStyle name="40% - Accent1 4 2 2 2 10 2" xfId="19628"/>
    <cellStyle name="40% - Accent1 4 2 2 2 11" xfId="19629"/>
    <cellStyle name="40% - Accent1 4 2 2 2 12" xfId="19630"/>
    <cellStyle name="40% - Accent1 4 2 2 2 2" xfId="1566"/>
    <cellStyle name="40% - Accent1 4 2 2 2 2 10" xfId="19631"/>
    <cellStyle name="40% - Accent1 4 2 2 2 2 2" xfId="1567"/>
    <cellStyle name="40% - Accent1 4 2 2 2 2 2 2" xfId="19632"/>
    <cellStyle name="40% - Accent1 4 2 2 2 2 2 2 2" xfId="19633"/>
    <cellStyle name="40% - Accent1 4 2 2 2 2 2 2 2 2" xfId="19634"/>
    <cellStyle name="40% - Accent1 4 2 2 2 2 2 2 2 3" xfId="19635"/>
    <cellStyle name="40% - Accent1 4 2 2 2 2 2 2 3" xfId="19636"/>
    <cellStyle name="40% - Accent1 4 2 2 2 2 2 2 3 2" xfId="19637"/>
    <cellStyle name="40% - Accent1 4 2 2 2 2 2 2 3 3" xfId="19638"/>
    <cellStyle name="40% - Accent1 4 2 2 2 2 2 2 4" xfId="19639"/>
    <cellStyle name="40% - Accent1 4 2 2 2 2 2 2 4 2" xfId="19640"/>
    <cellStyle name="40% - Accent1 4 2 2 2 2 2 2 5" xfId="19641"/>
    <cellStyle name="40% - Accent1 4 2 2 2 2 2 2 6" xfId="19642"/>
    <cellStyle name="40% - Accent1 4 2 2 2 2 2 3" xfId="19643"/>
    <cellStyle name="40% - Accent1 4 2 2 2 2 2 3 2" xfId="19644"/>
    <cellStyle name="40% - Accent1 4 2 2 2 2 2 3 2 2" xfId="19645"/>
    <cellStyle name="40% - Accent1 4 2 2 2 2 2 3 2 3" xfId="19646"/>
    <cellStyle name="40% - Accent1 4 2 2 2 2 2 3 3" xfId="19647"/>
    <cellStyle name="40% - Accent1 4 2 2 2 2 2 3 3 2" xfId="19648"/>
    <cellStyle name="40% - Accent1 4 2 2 2 2 2 3 3 3" xfId="19649"/>
    <cellStyle name="40% - Accent1 4 2 2 2 2 2 3 4" xfId="19650"/>
    <cellStyle name="40% - Accent1 4 2 2 2 2 2 3 4 2" xfId="19651"/>
    <cellStyle name="40% - Accent1 4 2 2 2 2 2 3 5" xfId="19652"/>
    <cellStyle name="40% - Accent1 4 2 2 2 2 2 3 6" xfId="19653"/>
    <cellStyle name="40% - Accent1 4 2 2 2 2 2 4" xfId="19654"/>
    <cellStyle name="40% - Accent1 4 2 2 2 2 2 4 2" xfId="19655"/>
    <cellStyle name="40% - Accent1 4 2 2 2 2 2 4 2 2" xfId="19656"/>
    <cellStyle name="40% - Accent1 4 2 2 2 2 2 4 2 3" xfId="19657"/>
    <cellStyle name="40% - Accent1 4 2 2 2 2 2 4 3" xfId="19658"/>
    <cellStyle name="40% - Accent1 4 2 2 2 2 2 4 3 2" xfId="19659"/>
    <cellStyle name="40% - Accent1 4 2 2 2 2 2 4 4" xfId="19660"/>
    <cellStyle name="40% - Accent1 4 2 2 2 2 2 4 5" xfId="19661"/>
    <cellStyle name="40% - Accent1 4 2 2 2 2 2 5" xfId="19662"/>
    <cellStyle name="40% - Accent1 4 2 2 2 2 2 5 2" xfId="19663"/>
    <cellStyle name="40% - Accent1 4 2 2 2 2 2 5 3" xfId="19664"/>
    <cellStyle name="40% - Accent1 4 2 2 2 2 2 6" xfId="19665"/>
    <cellStyle name="40% - Accent1 4 2 2 2 2 2 6 2" xfId="19666"/>
    <cellStyle name="40% - Accent1 4 2 2 2 2 2 6 3" xfId="19667"/>
    <cellStyle name="40% - Accent1 4 2 2 2 2 2 7" xfId="19668"/>
    <cellStyle name="40% - Accent1 4 2 2 2 2 2 7 2" xfId="19669"/>
    <cellStyle name="40% - Accent1 4 2 2 2 2 2 8" xfId="19670"/>
    <cellStyle name="40% - Accent1 4 2 2 2 2 2 9" xfId="19671"/>
    <cellStyle name="40% - Accent1 4 2 2 2 2 3" xfId="19672"/>
    <cellStyle name="40% - Accent1 4 2 2 2 2 3 2" xfId="19673"/>
    <cellStyle name="40% - Accent1 4 2 2 2 2 3 2 2" xfId="19674"/>
    <cellStyle name="40% - Accent1 4 2 2 2 2 3 2 3" xfId="19675"/>
    <cellStyle name="40% - Accent1 4 2 2 2 2 3 3" xfId="19676"/>
    <cellStyle name="40% - Accent1 4 2 2 2 2 3 3 2" xfId="19677"/>
    <cellStyle name="40% - Accent1 4 2 2 2 2 3 3 3" xfId="19678"/>
    <cellStyle name="40% - Accent1 4 2 2 2 2 3 4" xfId="19679"/>
    <cellStyle name="40% - Accent1 4 2 2 2 2 3 4 2" xfId="19680"/>
    <cellStyle name="40% - Accent1 4 2 2 2 2 3 5" xfId="19681"/>
    <cellStyle name="40% - Accent1 4 2 2 2 2 3 6" xfId="19682"/>
    <cellStyle name="40% - Accent1 4 2 2 2 2 4" xfId="19683"/>
    <cellStyle name="40% - Accent1 4 2 2 2 2 4 2" xfId="19684"/>
    <cellStyle name="40% - Accent1 4 2 2 2 2 4 2 2" xfId="19685"/>
    <cellStyle name="40% - Accent1 4 2 2 2 2 4 2 3" xfId="19686"/>
    <cellStyle name="40% - Accent1 4 2 2 2 2 4 3" xfId="19687"/>
    <cellStyle name="40% - Accent1 4 2 2 2 2 4 3 2" xfId="19688"/>
    <cellStyle name="40% - Accent1 4 2 2 2 2 4 3 3" xfId="19689"/>
    <cellStyle name="40% - Accent1 4 2 2 2 2 4 4" xfId="19690"/>
    <cellStyle name="40% - Accent1 4 2 2 2 2 4 4 2" xfId="19691"/>
    <cellStyle name="40% - Accent1 4 2 2 2 2 4 5" xfId="19692"/>
    <cellStyle name="40% - Accent1 4 2 2 2 2 4 6" xfId="19693"/>
    <cellStyle name="40% - Accent1 4 2 2 2 2 5" xfId="19694"/>
    <cellStyle name="40% - Accent1 4 2 2 2 2 5 2" xfId="19695"/>
    <cellStyle name="40% - Accent1 4 2 2 2 2 5 2 2" xfId="19696"/>
    <cellStyle name="40% - Accent1 4 2 2 2 2 5 2 3" xfId="19697"/>
    <cellStyle name="40% - Accent1 4 2 2 2 2 5 3" xfId="19698"/>
    <cellStyle name="40% - Accent1 4 2 2 2 2 5 3 2" xfId="19699"/>
    <cellStyle name="40% - Accent1 4 2 2 2 2 5 4" xfId="19700"/>
    <cellStyle name="40% - Accent1 4 2 2 2 2 5 5" xfId="19701"/>
    <cellStyle name="40% - Accent1 4 2 2 2 2 6" xfId="19702"/>
    <cellStyle name="40% - Accent1 4 2 2 2 2 6 2" xfId="19703"/>
    <cellStyle name="40% - Accent1 4 2 2 2 2 6 3" xfId="19704"/>
    <cellStyle name="40% - Accent1 4 2 2 2 2 7" xfId="19705"/>
    <cellStyle name="40% - Accent1 4 2 2 2 2 7 2" xfId="19706"/>
    <cellStyle name="40% - Accent1 4 2 2 2 2 7 3" xfId="19707"/>
    <cellStyle name="40% - Accent1 4 2 2 2 2 8" xfId="19708"/>
    <cellStyle name="40% - Accent1 4 2 2 2 2 8 2" xfId="19709"/>
    <cellStyle name="40% - Accent1 4 2 2 2 2 9" xfId="19710"/>
    <cellStyle name="40% - Accent1 4 2 2 2 3" xfId="1568"/>
    <cellStyle name="40% - Accent1 4 2 2 2 3 2" xfId="19711"/>
    <cellStyle name="40% - Accent1 4 2 2 2 3 2 2" xfId="19712"/>
    <cellStyle name="40% - Accent1 4 2 2 2 3 2 2 2" xfId="19713"/>
    <cellStyle name="40% - Accent1 4 2 2 2 3 2 2 3" xfId="19714"/>
    <cellStyle name="40% - Accent1 4 2 2 2 3 2 3" xfId="19715"/>
    <cellStyle name="40% - Accent1 4 2 2 2 3 2 3 2" xfId="19716"/>
    <cellStyle name="40% - Accent1 4 2 2 2 3 2 3 3" xfId="19717"/>
    <cellStyle name="40% - Accent1 4 2 2 2 3 2 4" xfId="19718"/>
    <cellStyle name="40% - Accent1 4 2 2 2 3 2 4 2" xfId="19719"/>
    <cellStyle name="40% - Accent1 4 2 2 2 3 2 5" xfId="19720"/>
    <cellStyle name="40% - Accent1 4 2 2 2 3 2 6" xfId="19721"/>
    <cellStyle name="40% - Accent1 4 2 2 2 3 3" xfId="19722"/>
    <cellStyle name="40% - Accent1 4 2 2 2 3 3 2" xfId="19723"/>
    <cellStyle name="40% - Accent1 4 2 2 2 3 3 2 2" xfId="19724"/>
    <cellStyle name="40% - Accent1 4 2 2 2 3 3 2 3" xfId="19725"/>
    <cellStyle name="40% - Accent1 4 2 2 2 3 3 3" xfId="19726"/>
    <cellStyle name="40% - Accent1 4 2 2 2 3 3 3 2" xfId="19727"/>
    <cellStyle name="40% - Accent1 4 2 2 2 3 3 3 3" xfId="19728"/>
    <cellStyle name="40% - Accent1 4 2 2 2 3 3 4" xfId="19729"/>
    <cellStyle name="40% - Accent1 4 2 2 2 3 3 4 2" xfId="19730"/>
    <cellStyle name="40% - Accent1 4 2 2 2 3 3 5" xfId="19731"/>
    <cellStyle name="40% - Accent1 4 2 2 2 3 3 6" xfId="19732"/>
    <cellStyle name="40% - Accent1 4 2 2 2 3 4" xfId="19733"/>
    <cellStyle name="40% - Accent1 4 2 2 2 3 4 2" xfId="19734"/>
    <cellStyle name="40% - Accent1 4 2 2 2 3 4 2 2" xfId="19735"/>
    <cellStyle name="40% - Accent1 4 2 2 2 3 4 2 3" xfId="19736"/>
    <cellStyle name="40% - Accent1 4 2 2 2 3 4 3" xfId="19737"/>
    <cellStyle name="40% - Accent1 4 2 2 2 3 4 3 2" xfId="19738"/>
    <cellStyle name="40% - Accent1 4 2 2 2 3 4 4" xfId="19739"/>
    <cellStyle name="40% - Accent1 4 2 2 2 3 4 5" xfId="19740"/>
    <cellStyle name="40% - Accent1 4 2 2 2 3 5" xfId="19741"/>
    <cellStyle name="40% - Accent1 4 2 2 2 3 5 2" xfId="19742"/>
    <cellStyle name="40% - Accent1 4 2 2 2 3 5 3" xfId="19743"/>
    <cellStyle name="40% - Accent1 4 2 2 2 3 6" xfId="19744"/>
    <cellStyle name="40% - Accent1 4 2 2 2 3 6 2" xfId="19745"/>
    <cellStyle name="40% - Accent1 4 2 2 2 3 6 3" xfId="19746"/>
    <cellStyle name="40% - Accent1 4 2 2 2 3 7" xfId="19747"/>
    <cellStyle name="40% - Accent1 4 2 2 2 3 7 2" xfId="19748"/>
    <cellStyle name="40% - Accent1 4 2 2 2 3 8" xfId="19749"/>
    <cellStyle name="40% - Accent1 4 2 2 2 3 9" xfId="19750"/>
    <cellStyle name="40% - Accent1 4 2 2 2 4" xfId="19751"/>
    <cellStyle name="40% - Accent1 4 2 2 2 4 2" xfId="19752"/>
    <cellStyle name="40% - Accent1 4 2 2 2 4 2 2" xfId="19753"/>
    <cellStyle name="40% - Accent1 4 2 2 2 4 2 2 2" xfId="19754"/>
    <cellStyle name="40% - Accent1 4 2 2 2 4 2 2 3" xfId="19755"/>
    <cellStyle name="40% - Accent1 4 2 2 2 4 2 3" xfId="19756"/>
    <cellStyle name="40% - Accent1 4 2 2 2 4 2 3 2" xfId="19757"/>
    <cellStyle name="40% - Accent1 4 2 2 2 4 2 3 3" xfId="19758"/>
    <cellStyle name="40% - Accent1 4 2 2 2 4 2 4" xfId="19759"/>
    <cellStyle name="40% - Accent1 4 2 2 2 4 2 4 2" xfId="19760"/>
    <cellStyle name="40% - Accent1 4 2 2 2 4 2 5" xfId="19761"/>
    <cellStyle name="40% - Accent1 4 2 2 2 4 2 6" xfId="19762"/>
    <cellStyle name="40% - Accent1 4 2 2 2 4 3" xfId="19763"/>
    <cellStyle name="40% - Accent1 4 2 2 2 4 3 2" xfId="19764"/>
    <cellStyle name="40% - Accent1 4 2 2 2 4 3 2 2" xfId="19765"/>
    <cellStyle name="40% - Accent1 4 2 2 2 4 3 2 3" xfId="19766"/>
    <cellStyle name="40% - Accent1 4 2 2 2 4 3 3" xfId="19767"/>
    <cellStyle name="40% - Accent1 4 2 2 2 4 3 3 2" xfId="19768"/>
    <cellStyle name="40% - Accent1 4 2 2 2 4 3 3 3" xfId="19769"/>
    <cellStyle name="40% - Accent1 4 2 2 2 4 3 4" xfId="19770"/>
    <cellStyle name="40% - Accent1 4 2 2 2 4 3 4 2" xfId="19771"/>
    <cellStyle name="40% - Accent1 4 2 2 2 4 3 5" xfId="19772"/>
    <cellStyle name="40% - Accent1 4 2 2 2 4 3 6" xfId="19773"/>
    <cellStyle name="40% - Accent1 4 2 2 2 4 4" xfId="19774"/>
    <cellStyle name="40% - Accent1 4 2 2 2 4 4 2" xfId="19775"/>
    <cellStyle name="40% - Accent1 4 2 2 2 4 4 2 2" xfId="19776"/>
    <cellStyle name="40% - Accent1 4 2 2 2 4 4 2 3" xfId="19777"/>
    <cellStyle name="40% - Accent1 4 2 2 2 4 4 3" xfId="19778"/>
    <cellStyle name="40% - Accent1 4 2 2 2 4 4 3 2" xfId="19779"/>
    <cellStyle name="40% - Accent1 4 2 2 2 4 4 4" xfId="19780"/>
    <cellStyle name="40% - Accent1 4 2 2 2 4 4 5" xfId="19781"/>
    <cellStyle name="40% - Accent1 4 2 2 2 4 5" xfId="19782"/>
    <cellStyle name="40% - Accent1 4 2 2 2 4 5 2" xfId="19783"/>
    <cellStyle name="40% - Accent1 4 2 2 2 4 5 3" xfId="19784"/>
    <cellStyle name="40% - Accent1 4 2 2 2 4 6" xfId="19785"/>
    <cellStyle name="40% - Accent1 4 2 2 2 4 6 2" xfId="19786"/>
    <cellStyle name="40% - Accent1 4 2 2 2 4 6 3" xfId="19787"/>
    <cellStyle name="40% - Accent1 4 2 2 2 4 7" xfId="19788"/>
    <cellStyle name="40% - Accent1 4 2 2 2 4 7 2" xfId="19789"/>
    <cellStyle name="40% - Accent1 4 2 2 2 4 8" xfId="19790"/>
    <cellStyle name="40% - Accent1 4 2 2 2 4 9" xfId="19791"/>
    <cellStyle name="40% - Accent1 4 2 2 2 5" xfId="19792"/>
    <cellStyle name="40% - Accent1 4 2 2 2 5 2" xfId="19793"/>
    <cellStyle name="40% - Accent1 4 2 2 2 5 2 2" xfId="19794"/>
    <cellStyle name="40% - Accent1 4 2 2 2 5 2 3" xfId="19795"/>
    <cellStyle name="40% - Accent1 4 2 2 2 5 3" xfId="19796"/>
    <cellStyle name="40% - Accent1 4 2 2 2 5 3 2" xfId="19797"/>
    <cellStyle name="40% - Accent1 4 2 2 2 5 3 3" xfId="19798"/>
    <cellStyle name="40% - Accent1 4 2 2 2 5 4" xfId="19799"/>
    <cellStyle name="40% - Accent1 4 2 2 2 5 4 2" xfId="19800"/>
    <cellStyle name="40% - Accent1 4 2 2 2 5 5" xfId="19801"/>
    <cellStyle name="40% - Accent1 4 2 2 2 5 6" xfId="19802"/>
    <cellStyle name="40% - Accent1 4 2 2 2 6" xfId="19803"/>
    <cellStyle name="40% - Accent1 4 2 2 2 6 2" xfId="19804"/>
    <cellStyle name="40% - Accent1 4 2 2 2 6 2 2" xfId="19805"/>
    <cellStyle name="40% - Accent1 4 2 2 2 6 2 3" xfId="19806"/>
    <cellStyle name="40% - Accent1 4 2 2 2 6 3" xfId="19807"/>
    <cellStyle name="40% - Accent1 4 2 2 2 6 3 2" xfId="19808"/>
    <cellStyle name="40% - Accent1 4 2 2 2 6 3 3" xfId="19809"/>
    <cellStyle name="40% - Accent1 4 2 2 2 6 4" xfId="19810"/>
    <cellStyle name="40% - Accent1 4 2 2 2 6 4 2" xfId="19811"/>
    <cellStyle name="40% - Accent1 4 2 2 2 6 5" xfId="19812"/>
    <cellStyle name="40% - Accent1 4 2 2 2 6 6" xfId="19813"/>
    <cellStyle name="40% - Accent1 4 2 2 2 7" xfId="19814"/>
    <cellStyle name="40% - Accent1 4 2 2 2 7 2" xfId="19815"/>
    <cellStyle name="40% - Accent1 4 2 2 2 7 2 2" xfId="19816"/>
    <cellStyle name="40% - Accent1 4 2 2 2 7 2 3" xfId="19817"/>
    <cellStyle name="40% - Accent1 4 2 2 2 7 3" xfId="19818"/>
    <cellStyle name="40% - Accent1 4 2 2 2 7 3 2" xfId="19819"/>
    <cellStyle name="40% - Accent1 4 2 2 2 7 4" xfId="19820"/>
    <cellStyle name="40% - Accent1 4 2 2 2 7 5" xfId="19821"/>
    <cellStyle name="40% - Accent1 4 2 2 2 8" xfId="19822"/>
    <cellStyle name="40% - Accent1 4 2 2 2 8 2" xfId="19823"/>
    <cellStyle name="40% - Accent1 4 2 2 2 8 3" xfId="19824"/>
    <cellStyle name="40% - Accent1 4 2 2 2 9" xfId="19825"/>
    <cellStyle name="40% - Accent1 4 2 2 2 9 2" xfId="19826"/>
    <cellStyle name="40% - Accent1 4 2 2 2 9 3" xfId="19827"/>
    <cellStyle name="40% - Accent1 4 2 2 3" xfId="1569"/>
    <cellStyle name="40% - Accent1 4 2 2 3 10" xfId="19828"/>
    <cellStyle name="40% - Accent1 4 2 2 3 2" xfId="1570"/>
    <cellStyle name="40% - Accent1 4 2 2 3 2 2" xfId="19829"/>
    <cellStyle name="40% - Accent1 4 2 2 3 2 2 2" xfId="19830"/>
    <cellStyle name="40% - Accent1 4 2 2 3 2 2 2 2" xfId="19831"/>
    <cellStyle name="40% - Accent1 4 2 2 3 2 2 2 3" xfId="19832"/>
    <cellStyle name="40% - Accent1 4 2 2 3 2 2 3" xfId="19833"/>
    <cellStyle name="40% - Accent1 4 2 2 3 2 2 3 2" xfId="19834"/>
    <cellStyle name="40% - Accent1 4 2 2 3 2 2 3 3" xfId="19835"/>
    <cellStyle name="40% - Accent1 4 2 2 3 2 2 4" xfId="19836"/>
    <cellStyle name="40% - Accent1 4 2 2 3 2 2 4 2" xfId="19837"/>
    <cellStyle name="40% - Accent1 4 2 2 3 2 2 5" xfId="19838"/>
    <cellStyle name="40% - Accent1 4 2 2 3 2 2 6" xfId="19839"/>
    <cellStyle name="40% - Accent1 4 2 2 3 2 3" xfId="19840"/>
    <cellStyle name="40% - Accent1 4 2 2 3 2 3 2" xfId="19841"/>
    <cellStyle name="40% - Accent1 4 2 2 3 2 3 2 2" xfId="19842"/>
    <cellStyle name="40% - Accent1 4 2 2 3 2 3 2 3" xfId="19843"/>
    <cellStyle name="40% - Accent1 4 2 2 3 2 3 3" xfId="19844"/>
    <cellStyle name="40% - Accent1 4 2 2 3 2 3 3 2" xfId="19845"/>
    <cellStyle name="40% - Accent1 4 2 2 3 2 3 3 3" xfId="19846"/>
    <cellStyle name="40% - Accent1 4 2 2 3 2 3 4" xfId="19847"/>
    <cellStyle name="40% - Accent1 4 2 2 3 2 3 4 2" xfId="19848"/>
    <cellStyle name="40% - Accent1 4 2 2 3 2 3 5" xfId="19849"/>
    <cellStyle name="40% - Accent1 4 2 2 3 2 3 6" xfId="19850"/>
    <cellStyle name="40% - Accent1 4 2 2 3 2 4" xfId="19851"/>
    <cellStyle name="40% - Accent1 4 2 2 3 2 4 2" xfId="19852"/>
    <cellStyle name="40% - Accent1 4 2 2 3 2 4 2 2" xfId="19853"/>
    <cellStyle name="40% - Accent1 4 2 2 3 2 4 2 3" xfId="19854"/>
    <cellStyle name="40% - Accent1 4 2 2 3 2 4 3" xfId="19855"/>
    <cellStyle name="40% - Accent1 4 2 2 3 2 4 3 2" xfId="19856"/>
    <cellStyle name="40% - Accent1 4 2 2 3 2 4 4" xfId="19857"/>
    <cellStyle name="40% - Accent1 4 2 2 3 2 4 5" xfId="19858"/>
    <cellStyle name="40% - Accent1 4 2 2 3 2 5" xfId="19859"/>
    <cellStyle name="40% - Accent1 4 2 2 3 2 5 2" xfId="19860"/>
    <cellStyle name="40% - Accent1 4 2 2 3 2 5 3" xfId="19861"/>
    <cellStyle name="40% - Accent1 4 2 2 3 2 6" xfId="19862"/>
    <cellStyle name="40% - Accent1 4 2 2 3 2 6 2" xfId="19863"/>
    <cellStyle name="40% - Accent1 4 2 2 3 2 6 3" xfId="19864"/>
    <cellStyle name="40% - Accent1 4 2 2 3 2 7" xfId="19865"/>
    <cellStyle name="40% - Accent1 4 2 2 3 2 7 2" xfId="19866"/>
    <cellStyle name="40% - Accent1 4 2 2 3 2 8" xfId="19867"/>
    <cellStyle name="40% - Accent1 4 2 2 3 2 9" xfId="19868"/>
    <cellStyle name="40% - Accent1 4 2 2 3 3" xfId="19869"/>
    <cellStyle name="40% - Accent1 4 2 2 3 3 2" xfId="19870"/>
    <cellStyle name="40% - Accent1 4 2 2 3 3 2 2" xfId="19871"/>
    <cellStyle name="40% - Accent1 4 2 2 3 3 2 3" xfId="19872"/>
    <cellStyle name="40% - Accent1 4 2 2 3 3 3" xfId="19873"/>
    <cellStyle name="40% - Accent1 4 2 2 3 3 3 2" xfId="19874"/>
    <cellStyle name="40% - Accent1 4 2 2 3 3 3 3" xfId="19875"/>
    <cellStyle name="40% - Accent1 4 2 2 3 3 4" xfId="19876"/>
    <cellStyle name="40% - Accent1 4 2 2 3 3 4 2" xfId="19877"/>
    <cellStyle name="40% - Accent1 4 2 2 3 3 5" xfId="19878"/>
    <cellStyle name="40% - Accent1 4 2 2 3 3 6" xfId="19879"/>
    <cellStyle name="40% - Accent1 4 2 2 3 4" xfId="19880"/>
    <cellStyle name="40% - Accent1 4 2 2 3 4 2" xfId="19881"/>
    <cellStyle name="40% - Accent1 4 2 2 3 4 2 2" xfId="19882"/>
    <cellStyle name="40% - Accent1 4 2 2 3 4 2 3" xfId="19883"/>
    <cellStyle name="40% - Accent1 4 2 2 3 4 3" xfId="19884"/>
    <cellStyle name="40% - Accent1 4 2 2 3 4 3 2" xfId="19885"/>
    <cellStyle name="40% - Accent1 4 2 2 3 4 3 3" xfId="19886"/>
    <cellStyle name="40% - Accent1 4 2 2 3 4 4" xfId="19887"/>
    <cellStyle name="40% - Accent1 4 2 2 3 4 4 2" xfId="19888"/>
    <cellStyle name="40% - Accent1 4 2 2 3 4 5" xfId="19889"/>
    <cellStyle name="40% - Accent1 4 2 2 3 4 6" xfId="19890"/>
    <cellStyle name="40% - Accent1 4 2 2 3 5" xfId="19891"/>
    <cellStyle name="40% - Accent1 4 2 2 3 5 2" xfId="19892"/>
    <cellStyle name="40% - Accent1 4 2 2 3 5 2 2" xfId="19893"/>
    <cellStyle name="40% - Accent1 4 2 2 3 5 2 3" xfId="19894"/>
    <cellStyle name="40% - Accent1 4 2 2 3 5 3" xfId="19895"/>
    <cellStyle name="40% - Accent1 4 2 2 3 5 3 2" xfId="19896"/>
    <cellStyle name="40% - Accent1 4 2 2 3 5 4" xfId="19897"/>
    <cellStyle name="40% - Accent1 4 2 2 3 5 5" xfId="19898"/>
    <cellStyle name="40% - Accent1 4 2 2 3 6" xfId="19899"/>
    <cellStyle name="40% - Accent1 4 2 2 3 6 2" xfId="19900"/>
    <cellStyle name="40% - Accent1 4 2 2 3 6 3" xfId="19901"/>
    <cellStyle name="40% - Accent1 4 2 2 3 7" xfId="19902"/>
    <cellStyle name="40% - Accent1 4 2 2 3 7 2" xfId="19903"/>
    <cellStyle name="40% - Accent1 4 2 2 3 7 3" xfId="19904"/>
    <cellStyle name="40% - Accent1 4 2 2 3 8" xfId="19905"/>
    <cellStyle name="40% - Accent1 4 2 2 3 8 2" xfId="19906"/>
    <cellStyle name="40% - Accent1 4 2 2 3 9" xfId="19907"/>
    <cellStyle name="40% - Accent1 4 2 2 4" xfId="1571"/>
    <cellStyle name="40% - Accent1 4 2 2 4 2" xfId="19908"/>
    <cellStyle name="40% - Accent1 4 2 2 4 2 2" xfId="19909"/>
    <cellStyle name="40% - Accent1 4 2 2 4 2 2 2" xfId="19910"/>
    <cellStyle name="40% - Accent1 4 2 2 4 2 2 3" xfId="19911"/>
    <cellStyle name="40% - Accent1 4 2 2 4 2 3" xfId="19912"/>
    <cellStyle name="40% - Accent1 4 2 2 4 2 3 2" xfId="19913"/>
    <cellStyle name="40% - Accent1 4 2 2 4 2 3 3" xfId="19914"/>
    <cellStyle name="40% - Accent1 4 2 2 4 2 4" xfId="19915"/>
    <cellStyle name="40% - Accent1 4 2 2 4 2 4 2" xfId="19916"/>
    <cellStyle name="40% - Accent1 4 2 2 4 2 5" xfId="19917"/>
    <cellStyle name="40% - Accent1 4 2 2 4 2 6" xfId="19918"/>
    <cellStyle name="40% - Accent1 4 2 2 4 3" xfId="19919"/>
    <cellStyle name="40% - Accent1 4 2 2 4 3 2" xfId="19920"/>
    <cellStyle name="40% - Accent1 4 2 2 4 3 2 2" xfId="19921"/>
    <cellStyle name="40% - Accent1 4 2 2 4 3 2 3" xfId="19922"/>
    <cellStyle name="40% - Accent1 4 2 2 4 3 3" xfId="19923"/>
    <cellStyle name="40% - Accent1 4 2 2 4 3 3 2" xfId="19924"/>
    <cellStyle name="40% - Accent1 4 2 2 4 3 3 3" xfId="19925"/>
    <cellStyle name="40% - Accent1 4 2 2 4 3 4" xfId="19926"/>
    <cellStyle name="40% - Accent1 4 2 2 4 3 4 2" xfId="19927"/>
    <cellStyle name="40% - Accent1 4 2 2 4 3 5" xfId="19928"/>
    <cellStyle name="40% - Accent1 4 2 2 4 3 6" xfId="19929"/>
    <cellStyle name="40% - Accent1 4 2 2 4 4" xfId="19930"/>
    <cellStyle name="40% - Accent1 4 2 2 4 4 2" xfId="19931"/>
    <cellStyle name="40% - Accent1 4 2 2 4 4 2 2" xfId="19932"/>
    <cellStyle name="40% - Accent1 4 2 2 4 4 2 3" xfId="19933"/>
    <cellStyle name="40% - Accent1 4 2 2 4 4 3" xfId="19934"/>
    <cellStyle name="40% - Accent1 4 2 2 4 4 3 2" xfId="19935"/>
    <cellStyle name="40% - Accent1 4 2 2 4 4 4" xfId="19936"/>
    <cellStyle name="40% - Accent1 4 2 2 4 4 5" xfId="19937"/>
    <cellStyle name="40% - Accent1 4 2 2 4 5" xfId="19938"/>
    <cellStyle name="40% - Accent1 4 2 2 4 5 2" xfId="19939"/>
    <cellStyle name="40% - Accent1 4 2 2 4 5 3" xfId="19940"/>
    <cellStyle name="40% - Accent1 4 2 2 4 6" xfId="19941"/>
    <cellStyle name="40% - Accent1 4 2 2 4 6 2" xfId="19942"/>
    <cellStyle name="40% - Accent1 4 2 2 4 6 3" xfId="19943"/>
    <cellStyle name="40% - Accent1 4 2 2 4 7" xfId="19944"/>
    <cellStyle name="40% - Accent1 4 2 2 4 7 2" xfId="19945"/>
    <cellStyle name="40% - Accent1 4 2 2 4 8" xfId="19946"/>
    <cellStyle name="40% - Accent1 4 2 2 4 9" xfId="19947"/>
    <cellStyle name="40% - Accent1 4 2 2 5" xfId="19948"/>
    <cellStyle name="40% - Accent1 4 2 2 5 2" xfId="19949"/>
    <cellStyle name="40% - Accent1 4 2 2 5 2 2" xfId="19950"/>
    <cellStyle name="40% - Accent1 4 2 2 5 2 2 2" xfId="19951"/>
    <cellStyle name="40% - Accent1 4 2 2 5 2 2 3" xfId="19952"/>
    <cellStyle name="40% - Accent1 4 2 2 5 2 3" xfId="19953"/>
    <cellStyle name="40% - Accent1 4 2 2 5 2 3 2" xfId="19954"/>
    <cellStyle name="40% - Accent1 4 2 2 5 2 3 3" xfId="19955"/>
    <cellStyle name="40% - Accent1 4 2 2 5 2 4" xfId="19956"/>
    <cellStyle name="40% - Accent1 4 2 2 5 2 4 2" xfId="19957"/>
    <cellStyle name="40% - Accent1 4 2 2 5 2 5" xfId="19958"/>
    <cellStyle name="40% - Accent1 4 2 2 5 2 6" xfId="19959"/>
    <cellStyle name="40% - Accent1 4 2 2 5 3" xfId="19960"/>
    <cellStyle name="40% - Accent1 4 2 2 5 3 2" xfId="19961"/>
    <cellStyle name="40% - Accent1 4 2 2 5 3 2 2" xfId="19962"/>
    <cellStyle name="40% - Accent1 4 2 2 5 3 2 3" xfId="19963"/>
    <cellStyle name="40% - Accent1 4 2 2 5 3 3" xfId="19964"/>
    <cellStyle name="40% - Accent1 4 2 2 5 3 3 2" xfId="19965"/>
    <cellStyle name="40% - Accent1 4 2 2 5 3 3 3" xfId="19966"/>
    <cellStyle name="40% - Accent1 4 2 2 5 3 4" xfId="19967"/>
    <cellStyle name="40% - Accent1 4 2 2 5 3 4 2" xfId="19968"/>
    <cellStyle name="40% - Accent1 4 2 2 5 3 5" xfId="19969"/>
    <cellStyle name="40% - Accent1 4 2 2 5 3 6" xfId="19970"/>
    <cellStyle name="40% - Accent1 4 2 2 5 4" xfId="19971"/>
    <cellStyle name="40% - Accent1 4 2 2 5 4 2" xfId="19972"/>
    <cellStyle name="40% - Accent1 4 2 2 5 4 2 2" xfId="19973"/>
    <cellStyle name="40% - Accent1 4 2 2 5 4 2 3" xfId="19974"/>
    <cellStyle name="40% - Accent1 4 2 2 5 4 3" xfId="19975"/>
    <cellStyle name="40% - Accent1 4 2 2 5 4 3 2" xfId="19976"/>
    <cellStyle name="40% - Accent1 4 2 2 5 4 4" xfId="19977"/>
    <cellStyle name="40% - Accent1 4 2 2 5 4 5" xfId="19978"/>
    <cellStyle name="40% - Accent1 4 2 2 5 5" xfId="19979"/>
    <cellStyle name="40% - Accent1 4 2 2 5 5 2" xfId="19980"/>
    <cellStyle name="40% - Accent1 4 2 2 5 5 3" xfId="19981"/>
    <cellStyle name="40% - Accent1 4 2 2 5 6" xfId="19982"/>
    <cellStyle name="40% - Accent1 4 2 2 5 6 2" xfId="19983"/>
    <cellStyle name="40% - Accent1 4 2 2 5 6 3" xfId="19984"/>
    <cellStyle name="40% - Accent1 4 2 2 5 7" xfId="19985"/>
    <cellStyle name="40% - Accent1 4 2 2 5 7 2" xfId="19986"/>
    <cellStyle name="40% - Accent1 4 2 2 5 8" xfId="19987"/>
    <cellStyle name="40% - Accent1 4 2 2 5 9" xfId="19988"/>
    <cellStyle name="40% - Accent1 4 2 2 6" xfId="19989"/>
    <cellStyle name="40% - Accent1 4 2 2 6 2" xfId="19990"/>
    <cellStyle name="40% - Accent1 4 2 2 6 2 2" xfId="19991"/>
    <cellStyle name="40% - Accent1 4 2 2 6 2 3" xfId="19992"/>
    <cellStyle name="40% - Accent1 4 2 2 6 3" xfId="19993"/>
    <cellStyle name="40% - Accent1 4 2 2 6 3 2" xfId="19994"/>
    <cellStyle name="40% - Accent1 4 2 2 6 3 3" xfId="19995"/>
    <cellStyle name="40% - Accent1 4 2 2 6 4" xfId="19996"/>
    <cellStyle name="40% - Accent1 4 2 2 6 4 2" xfId="19997"/>
    <cellStyle name="40% - Accent1 4 2 2 6 5" xfId="19998"/>
    <cellStyle name="40% - Accent1 4 2 2 6 6" xfId="19999"/>
    <cellStyle name="40% - Accent1 4 2 2 7" xfId="20000"/>
    <cellStyle name="40% - Accent1 4 2 2 7 2" xfId="20001"/>
    <cellStyle name="40% - Accent1 4 2 2 7 2 2" xfId="20002"/>
    <cellStyle name="40% - Accent1 4 2 2 7 2 3" xfId="20003"/>
    <cellStyle name="40% - Accent1 4 2 2 7 3" xfId="20004"/>
    <cellStyle name="40% - Accent1 4 2 2 7 3 2" xfId="20005"/>
    <cellStyle name="40% - Accent1 4 2 2 7 3 3" xfId="20006"/>
    <cellStyle name="40% - Accent1 4 2 2 7 4" xfId="20007"/>
    <cellStyle name="40% - Accent1 4 2 2 7 4 2" xfId="20008"/>
    <cellStyle name="40% - Accent1 4 2 2 7 5" xfId="20009"/>
    <cellStyle name="40% - Accent1 4 2 2 7 6" xfId="20010"/>
    <cellStyle name="40% - Accent1 4 2 2 8" xfId="20011"/>
    <cellStyle name="40% - Accent1 4 2 2 8 2" xfId="20012"/>
    <cellStyle name="40% - Accent1 4 2 2 8 2 2" xfId="20013"/>
    <cellStyle name="40% - Accent1 4 2 2 8 2 3" xfId="20014"/>
    <cellStyle name="40% - Accent1 4 2 2 8 3" xfId="20015"/>
    <cellStyle name="40% - Accent1 4 2 2 8 3 2" xfId="20016"/>
    <cellStyle name="40% - Accent1 4 2 2 8 4" xfId="20017"/>
    <cellStyle name="40% - Accent1 4 2 2 8 5" xfId="20018"/>
    <cellStyle name="40% - Accent1 4 2 2 9" xfId="20019"/>
    <cellStyle name="40% - Accent1 4 2 2 9 2" xfId="20020"/>
    <cellStyle name="40% - Accent1 4 2 2 9 3" xfId="20021"/>
    <cellStyle name="40% - Accent1 4 2 3" xfId="1572"/>
    <cellStyle name="40% - Accent1 4 2 3 10" xfId="20022"/>
    <cellStyle name="40% - Accent1 4 2 3 10 2" xfId="20023"/>
    <cellStyle name="40% - Accent1 4 2 3 11" xfId="20024"/>
    <cellStyle name="40% - Accent1 4 2 3 12" xfId="20025"/>
    <cellStyle name="40% - Accent1 4 2 3 2" xfId="1573"/>
    <cellStyle name="40% - Accent1 4 2 3 2 10" xfId="20026"/>
    <cellStyle name="40% - Accent1 4 2 3 2 2" xfId="1574"/>
    <cellStyle name="40% - Accent1 4 2 3 2 2 2" xfId="20027"/>
    <cellStyle name="40% - Accent1 4 2 3 2 2 2 2" xfId="20028"/>
    <cellStyle name="40% - Accent1 4 2 3 2 2 2 2 2" xfId="20029"/>
    <cellStyle name="40% - Accent1 4 2 3 2 2 2 2 3" xfId="20030"/>
    <cellStyle name="40% - Accent1 4 2 3 2 2 2 3" xfId="20031"/>
    <cellStyle name="40% - Accent1 4 2 3 2 2 2 3 2" xfId="20032"/>
    <cellStyle name="40% - Accent1 4 2 3 2 2 2 3 3" xfId="20033"/>
    <cellStyle name="40% - Accent1 4 2 3 2 2 2 4" xfId="20034"/>
    <cellStyle name="40% - Accent1 4 2 3 2 2 2 4 2" xfId="20035"/>
    <cellStyle name="40% - Accent1 4 2 3 2 2 2 5" xfId="20036"/>
    <cellStyle name="40% - Accent1 4 2 3 2 2 2 6" xfId="20037"/>
    <cellStyle name="40% - Accent1 4 2 3 2 2 3" xfId="20038"/>
    <cellStyle name="40% - Accent1 4 2 3 2 2 3 2" xfId="20039"/>
    <cellStyle name="40% - Accent1 4 2 3 2 2 3 2 2" xfId="20040"/>
    <cellStyle name="40% - Accent1 4 2 3 2 2 3 2 3" xfId="20041"/>
    <cellStyle name="40% - Accent1 4 2 3 2 2 3 3" xfId="20042"/>
    <cellStyle name="40% - Accent1 4 2 3 2 2 3 3 2" xfId="20043"/>
    <cellStyle name="40% - Accent1 4 2 3 2 2 3 3 3" xfId="20044"/>
    <cellStyle name="40% - Accent1 4 2 3 2 2 3 4" xfId="20045"/>
    <cellStyle name="40% - Accent1 4 2 3 2 2 3 4 2" xfId="20046"/>
    <cellStyle name="40% - Accent1 4 2 3 2 2 3 5" xfId="20047"/>
    <cellStyle name="40% - Accent1 4 2 3 2 2 3 6" xfId="20048"/>
    <cellStyle name="40% - Accent1 4 2 3 2 2 4" xfId="20049"/>
    <cellStyle name="40% - Accent1 4 2 3 2 2 4 2" xfId="20050"/>
    <cellStyle name="40% - Accent1 4 2 3 2 2 4 2 2" xfId="20051"/>
    <cellStyle name="40% - Accent1 4 2 3 2 2 4 2 3" xfId="20052"/>
    <cellStyle name="40% - Accent1 4 2 3 2 2 4 3" xfId="20053"/>
    <cellStyle name="40% - Accent1 4 2 3 2 2 4 3 2" xfId="20054"/>
    <cellStyle name="40% - Accent1 4 2 3 2 2 4 4" xfId="20055"/>
    <cellStyle name="40% - Accent1 4 2 3 2 2 4 5" xfId="20056"/>
    <cellStyle name="40% - Accent1 4 2 3 2 2 5" xfId="20057"/>
    <cellStyle name="40% - Accent1 4 2 3 2 2 5 2" xfId="20058"/>
    <cellStyle name="40% - Accent1 4 2 3 2 2 5 3" xfId="20059"/>
    <cellStyle name="40% - Accent1 4 2 3 2 2 6" xfId="20060"/>
    <cellStyle name="40% - Accent1 4 2 3 2 2 6 2" xfId="20061"/>
    <cellStyle name="40% - Accent1 4 2 3 2 2 6 3" xfId="20062"/>
    <cellStyle name="40% - Accent1 4 2 3 2 2 7" xfId="20063"/>
    <cellStyle name="40% - Accent1 4 2 3 2 2 7 2" xfId="20064"/>
    <cellStyle name="40% - Accent1 4 2 3 2 2 8" xfId="20065"/>
    <cellStyle name="40% - Accent1 4 2 3 2 2 9" xfId="20066"/>
    <cellStyle name="40% - Accent1 4 2 3 2 3" xfId="20067"/>
    <cellStyle name="40% - Accent1 4 2 3 2 3 2" xfId="20068"/>
    <cellStyle name="40% - Accent1 4 2 3 2 3 2 2" xfId="20069"/>
    <cellStyle name="40% - Accent1 4 2 3 2 3 2 3" xfId="20070"/>
    <cellStyle name="40% - Accent1 4 2 3 2 3 3" xfId="20071"/>
    <cellStyle name="40% - Accent1 4 2 3 2 3 3 2" xfId="20072"/>
    <cellStyle name="40% - Accent1 4 2 3 2 3 3 3" xfId="20073"/>
    <cellStyle name="40% - Accent1 4 2 3 2 3 4" xfId="20074"/>
    <cellStyle name="40% - Accent1 4 2 3 2 3 4 2" xfId="20075"/>
    <cellStyle name="40% - Accent1 4 2 3 2 3 5" xfId="20076"/>
    <cellStyle name="40% - Accent1 4 2 3 2 3 6" xfId="20077"/>
    <cellStyle name="40% - Accent1 4 2 3 2 4" xfId="20078"/>
    <cellStyle name="40% - Accent1 4 2 3 2 4 2" xfId="20079"/>
    <cellStyle name="40% - Accent1 4 2 3 2 4 2 2" xfId="20080"/>
    <cellStyle name="40% - Accent1 4 2 3 2 4 2 3" xfId="20081"/>
    <cellStyle name="40% - Accent1 4 2 3 2 4 3" xfId="20082"/>
    <cellStyle name="40% - Accent1 4 2 3 2 4 3 2" xfId="20083"/>
    <cellStyle name="40% - Accent1 4 2 3 2 4 3 3" xfId="20084"/>
    <cellStyle name="40% - Accent1 4 2 3 2 4 4" xfId="20085"/>
    <cellStyle name="40% - Accent1 4 2 3 2 4 4 2" xfId="20086"/>
    <cellStyle name="40% - Accent1 4 2 3 2 4 5" xfId="20087"/>
    <cellStyle name="40% - Accent1 4 2 3 2 4 6" xfId="20088"/>
    <cellStyle name="40% - Accent1 4 2 3 2 5" xfId="20089"/>
    <cellStyle name="40% - Accent1 4 2 3 2 5 2" xfId="20090"/>
    <cellStyle name="40% - Accent1 4 2 3 2 5 2 2" xfId="20091"/>
    <cellStyle name="40% - Accent1 4 2 3 2 5 2 3" xfId="20092"/>
    <cellStyle name="40% - Accent1 4 2 3 2 5 3" xfId="20093"/>
    <cellStyle name="40% - Accent1 4 2 3 2 5 3 2" xfId="20094"/>
    <cellStyle name="40% - Accent1 4 2 3 2 5 4" xfId="20095"/>
    <cellStyle name="40% - Accent1 4 2 3 2 5 5" xfId="20096"/>
    <cellStyle name="40% - Accent1 4 2 3 2 6" xfId="20097"/>
    <cellStyle name="40% - Accent1 4 2 3 2 6 2" xfId="20098"/>
    <cellStyle name="40% - Accent1 4 2 3 2 6 3" xfId="20099"/>
    <cellStyle name="40% - Accent1 4 2 3 2 7" xfId="20100"/>
    <cellStyle name="40% - Accent1 4 2 3 2 7 2" xfId="20101"/>
    <cellStyle name="40% - Accent1 4 2 3 2 7 3" xfId="20102"/>
    <cellStyle name="40% - Accent1 4 2 3 2 8" xfId="20103"/>
    <cellStyle name="40% - Accent1 4 2 3 2 8 2" xfId="20104"/>
    <cellStyle name="40% - Accent1 4 2 3 2 9" xfId="20105"/>
    <cellStyle name="40% - Accent1 4 2 3 3" xfId="1575"/>
    <cellStyle name="40% - Accent1 4 2 3 3 2" xfId="20106"/>
    <cellStyle name="40% - Accent1 4 2 3 3 2 2" xfId="20107"/>
    <cellStyle name="40% - Accent1 4 2 3 3 2 2 2" xfId="20108"/>
    <cellStyle name="40% - Accent1 4 2 3 3 2 2 3" xfId="20109"/>
    <cellStyle name="40% - Accent1 4 2 3 3 2 3" xfId="20110"/>
    <cellStyle name="40% - Accent1 4 2 3 3 2 3 2" xfId="20111"/>
    <cellStyle name="40% - Accent1 4 2 3 3 2 3 3" xfId="20112"/>
    <cellStyle name="40% - Accent1 4 2 3 3 2 4" xfId="20113"/>
    <cellStyle name="40% - Accent1 4 2 3 3 2 4 2" xfId="20114"/>
    <cellStyle name="40% - Accent1 4 2 3 3 2 5" xfId="20115"/>
    <cellStyle name="40% - Accent1 4 2 3 3 2 6" xfId="20116"/>
    <cellStyle name="40% - Accent1 4 2 3 3 3" xfId="20117"/>
    <cellStyle name="40% - Accent1 4 2 3 3 3 2" xfId="20118"/>
    <cellStyle name="40% - Accent1 4 2 3 3 3 2 2" xfId="20119"/>
    <cellStyle name="40% - Accent1 4 2 3 3 3 2 3" xfId="20120"/>
    <cellStyle name="40% - Accent1 4 2 3 3 3 3" xfId="20121"/>
    <cellStyle name="40% - Accent1 4 2 3 3 3 3 2" xfId="20122"/>
    <cellStyle name="40% - Accent1 4 2 3 3 3 3 3" xfId="20123"/>
    <cellStyle name="40% - Accent1 4 2 3 3 3 4" xfId="20124"/>
    <cellStyle name="40% - Accent1 4 2 3 3 3 4 2" xfId="20125"/>
    <cellStyle name="40% - Accent1 4 2 3 3 3 5" xfId="20126"/>
    <cellStyle name="40% - Accent1 4 2 3 3 3 6" xfId="20127"/>
    <cellStyle name="40% - Accent1 4 2 3 3 4" xfId="20128"/>
    <cellStyle name="40% - Accent1 4 2 3 3 4 2" xfId="20129"/>
    <cellStyle name="40% - Accent1 4 2 3 3 4 2 2" xfId="20130"/>
    <cellStyle name="40% - Accent1 4 2 3 3 4 2 3" xfId="20131"/>
    <cellStyle name="40% - Accent1 4 2 3 3 4 3" xfId="20132"/>
    <cellStyle name="40% - Accent1 4 2 3 3 4 3 2" xfId="20133"/>
    <cellStyle name="40% - Accent1 4 2 3 3 4 4" xfId="20134"/>
    <cellStyle name="40% - Accent1 4 2 3 3 4 5" xfId="20135"/>
    <cellStyle name="40% - Accent1 4 2 3 3 5" xfId="20136"/>
    <cellStyle name="40% - Accent1 4 2 3 3 5 2" xfId="20137"/>
    <cellStyle name="40% - Accent1 4 2 3 3 5 3" xfId="20138"/>
    <cellStyle name="40% - Accent1 4 2 3 3 6" xfId="20139"/>
    <cellStyle name="40% - Accent1 4 2 3 3 6 2" xfId="20140"/>
    <cellStyle name="40% - Accent1 4 2 3 3 6 3" xfId="20141"/>
    <cellStyle name="40% - Accent1 4 2 3 3 7" xfId="20142"/>
    <cellStyle name="40% - Accent1 4 2 3 3 7 2" xfId="20143"/>
    <cellStyle name="40% - Accent1 4 2 3 3 8" xfId="20144"/>
    <cellStyle name="40% - Accent1 4 2 3 3 9" xfId="20145"/>
    <cellStyle name="40% - Accent1 4 2 3 4" xfId="20146"/>
    <cellStyle name="40% - Accent1 4 2 3 4 2" xfId="20147"/>
    <cellStyle name="40% - Accent1 4 2 3 4 2 2" xfId="20148"/>
    <cellStyle name="40% - Accent1 4 2 3 4 2 2 2" xfId="20149"/>
    <cellStyle name="40% - Accent1 4 2 3 4 2 2 3" xfId="20150"/>
    <cellStyle name="40% - Accent1 4 2 3 4 2 3" xfId="20151"/>
    <cellStyle name="40% - Accent1 4 2 3 4 2 3 2" xfId="20152"/>
    <cellStyle name="40% - Accent1 4 2 3 4 2 3 3" xfId="20153"/>
    <cellStyle name="40% - Accent1 4 2 3 4 2 4" xfId="20154"/>
    <cellStyle name="40% - Accent1 4 2 3 4 2 4 2" xfId="20155"/>
    <cellStyle name="40% - Accent1 4 2 3 4 2 5" xfId="20156"/>
    <cellStyle name="40% - Accent1 4 2 3 4 2 6" xfId="20157"/>
    <cellStyle name="40% - Accent1 4 2 3 4 3" xfId="20158"/>
    <cellStyle name="40% - Accent1 4 2 3 4 3 2" xfId="20159"/>
    <cellStyle name="40% - Accent1 4 2 3 4 3 2 2" xfId="20160"/>
    <cellStyle name="40% - Accent1 4 2 3 4 3 2 3" xfId="20161"/>
    <cellStyle name="40% - Accent1 4 2 3 4 3 3" xfId="20162"/>
    <cellStyle name="40% - Accent1 4 2 3 4 3 3 2" xfId="20163"/>
    <cellStyle name="40% - Accent1 4 2 3 4 3 3 3" xfId="20164"/>
    <cellStyle name="40% - Accent1 4 2 3 4 3 4" xfId="20165"/>
    <cellStyle name="40% - Accent1 4 2 3 4 3 4 2" xfId="20166"/>
    <cellStyle name="40% - Accent1 4 2 3 4 3 5" xfId="20167"/>
    <cellStyle name="40% - Accent1 4 2 3 4 3 6" xfId="20168"/>
    <cellStyle name="40% - Accent1 4 2 3 4 4" xfId="20169"/>
    <cellStyle name="40% - Accent1 4 2 3 4 4 2" xfId="20170"/>
    <cellStyle name="40% - Accent1 4 2 3 4 4 2 2" xfId="20171"/>
    <cellStyle name="40% - Accent1 4 2 3 4 4 2 3" xfId="20172"/>
    <cellStyle name="40% - Accent1 4 2 3 4 4 3" xfId="20173"/>
    <cellStyle name="40% - Accent1 4 2 3 4 4 3 2" xfId="20174"/>
    <cellStyle name="40% - Accent1 4 2 3 4 4 4" xfId="20175"/>
    <cellStyle name="40% - Accent1 4 2 3 4 4 5" xfId="20176"/>
    <cellStyle name="40% - Accent1 4 2 3 4 5" xfId="20177"/>
    <cellStyle name="40% - Accent1 4 2 3 4 5 2" xfId="20178"/>
    <cellStyle name="40% - Accent1 4 2 3 4 5 3" xfId="20179"/>
    <cellStyle name="40% - Accent1 4 2 3 4 6" xfId="20180"/>
    <cellStyle name="40% - Accent1 4 2 3 4 6 2" xfId="20181"/>
    <cellStyle name="40% - Accent1 4 2 3 4 6 3" xfId="20182"/>
    <cellStyle name="40% - Accent1 4 2 3 4 7" xfId="20183"/>
    <cellStyle name="40% - Accent1 4 2 3 4 7 2" xfId="20184"/>
    <cellStyle name="40% - Accent1 4 2 3 4 8" xfId="20185"/>
    <cellStyle name="40% - Accent1 4 2 3 4 9" xfId="20186"/>
    <cellStyle name="40% - Accent1 4 2 3 5" xfId="20187"/>
    <cellStyle name="40% - Accent1 4 2 3 5 2" xfId="20188"/>
    <cellStyle name="40% - Accent1 4 2 3 5 2 2" xfId="20189"/>
    <cellStyle name="40% - Accent1 4 2 3 5 2 3" xfId="20190"/>
    <cellStyle name="40% - Accent1 4 2 3 5 3" xfId="20191"/>
    <cellStyle name="40% - Accent1 4 2 3 5 3 2" xfId="20192"/>
    <cellStyle name="40% - Accent1 4 2 3 5 3 3" xfId="20193"/>
    <cellStyle name="40% - Accent1 4 2 3 5 4" xfId="20194"/>
    <cellStyle name="40% - Accent1 4 2 3 5 4 2" xfId="20195"/>
    <cellStyle name="40% - Accent1 4 2 3 5 5" xfId="20196"/>
    <cellStyle name="40% - Accent1 4 2 3 5 6" xfId="20197"/>
    <cellStyle name="40% - Accent1 4 2 3 6" xfId="20198"/>
    <cellStyle name="40% - Accent1 4 2 3 6 2" xfId="20199"/>
    <cellStyle name="40% - Accent1 4 2 3 6 2 2" xfId="20200"/>
    <cellStyle name="40% - Accent1 4 2 3 6 2 3" xfId="20201"/>
    <cellStyle name="40% - Accent1 4 2 3 6 3" xfId="20202"/>
    <cellStyle name="40% - Accent1 4 2 3 6 3 2" xfId="20203"/>
    <cellStyle name="40% - Accent1 4 2 3 6 3 3" xfId="20204"/>
    <cellStyle name="40% - Accent1 4 2 3 6 4" xfId="20205"/>
    <cellStyle name="40% - Accent1 4 2 3 6 4 2" xfId="20206"/>
    <cellStyle name="40% - Accent1 4 2 3 6 5" xfId="20207"/>
    <cellStyle name="40% - Accent1 4 2 3 6 6" xfId="20208"/>
    <cellStyle name="40% - Accent1 4 2 3 7" xfId="20209"/>
    <cellStyle name="40% - Accent1 4 2 3 7 2" xfId="20210"/>
    <cellStyle name="40% - Accent1 4 2 3 7 2 2" xfId="20211"/>
    <cellStyle name="40% - Accent1 4 2 3 7 2 3" xfId="20212"/>
    <cellStyle name="40% - Accent1 4 2 3 7 3" xfId="20213"/>
    <cellStyle name="40% - Accent1 4 2 3 7 3 2" xfId="20214"/>
    <cellStyle name="40% - Accent1 4 2 3 7 4" xfId="20215"/>
    <cellStyle name="40% - Accent1 4 2 3 7 5" xfId="20216"/>
    <cellStyle name="40% - Accent1 4 2 3 8" xfId="20217"/>
    <cellStyle name="40% - Accent1 4 2 3 8 2" xfId="20218"/>
    <cellStyle name="40% - Accent1 4 2 3 8 3" xfId="20219"/>
    <cellStyle name="40% - Accent1 4 2 3 9" xfId="20220"/>
    <cellStyle name="40% - Accent1 4 2 3 9 2" xfId="20221"/>
    <cellStyle name="40% - Accent1 4 2 3 9 3" xfId="20222"/>
    <cellStyle name="40% - Accent1 4 2 4" xfId="1576"/>
    <cellStyle name="40% - Accent1 4 2 4 10" xfId="20223"/>
    <cellStyle name="40% - Accent1 4 2 4 2" xfId="1577"/>
    <cellStyle name="40% - Accent1 4 2 4 2 2" xfId="20224"/>
    <cellStyle name="40% - Accent1 4 2 4 2 2 2" xfId="20225"/>
    <cellStyle name="40% - Accent1 4 2 4 2 2 2 2" xfId="20226"/>
    <cellStyle name="40% - Accent1 4 2 4 2 2 2 3" xfId="20227"/>
    <cellStyle name="40% - Accent1 4 2 4 2 2 3" xfId="20228"/>
    <cellStyle name="40% - Accent1 4 2 4 2 2 3 2" xfId="20229"/>
    <cellStyle name="40% - Accent1 4 2 4 2 2 3 3" xfId="20230"/>
    <cellStyle name="40% - Accent1 4 2 4 2 2 4" xfId="20231"/>
    <cellStyle name="40% - Accent1 4 2 4 2 2 4 2" xfId="20232"/>
    <cellStyle name="40% - Accent1 4 2 4 2 2 5" xfId="20233"/>
    <cellStyle name="40% - Accent1 4 2 4 2 2 6" xfId="20234"/>
    <cellStyle name="40% - Accent1 4 2 4 2 3" xfId="20235"/>
    <cellStyle name="40% - Accent1 4 2 4 2 3 2" xfId="20236"/>
    <cellStyle name="40% - Accent1 4 2 4 2 3 2 2" xfId="20237"/>
    <cellStyle name="40% - Accent1 4 2 4 2 3 2 3" xfId="20238"/>
    <cellStyle name="40% - Accent1 4 2 4 2 3 3" xfId="20239"/>
    <cellStyle name="40% - Accent1 4 2 4 2 3 3 2" xfId="20240"/>
    <cellStyle name="40% - Accent1 4 2 4 2 3 3 3" xfId="20241"/>
    <cellStyle name="40% - Accent1 4 2 4 2 3 4" xfId="20242"/>
    <cellStyle name="40% - Accent1 4 2 4 2 3 4 2" xfId="20243"/>
    <cellStyle name="40% - Accent1 4 2 4 2 3 5" xfId="20244"/>
    <cellStyle name="40% - Accent1 4 2 4 2 3 6" xfId="20245"/>
    <cellStyle name="40% - Accent1 4 2 4 2 4" xfId="20246"/>
    <cellStyle name="40% - Accent1 4 2 4 2 4 2" xfId="20247"/>
    <cellStyle name="40% - Accent1 4 2 4 2 4 2 2" xfId="20248"/>
    <cellStyle name="40% - Accent1 4 2 4 2 4 2 3" xfId="20249"/>
    <cellStyle name="40% - Accent1 4 2 4 2 4 3" xfId="20250"/>
    <cellStyle name="40% - Accent1 4 2 4 2 4 3 2" xfId="20251"/>
    <cellStyle name="40% - Accent1 4 2 4 2 4 4" xfId="20252"/>
    <cellStyle name="40% - Accent1 4 2 4 2 4 5" xfId="20253"/>
    <cellStyle name="40% - Accent1 4 2 4 2 5" xfId="20254"/>
    <cellStyle name="40% - Accent1 4 2 4 2 5 2" xfId="20255"/>
    <cellStyle name="40% - Accent1 4 2 4 2 5 3" xfId="20256"/>
    <cellStyle name="40% - Accent1 4 2 4 2 6" xfId="20257"/>
    <cellStyle name="40% - Accent1 4 2 4 2 6 2" xfId="20258"/>
    <cellStyle name="40% - Accent1 4 2 4 2 6 3" xfId="20259"/>
    <cellStyle name="40% - Accent1 4 2 4 2 7" xfId="20260"/>
    <cellStyle name="40% - Accent1 4 2 4 2 7 2" xfId="20261"/>
    <cellStyle name="40% - Accent1 4 2 4 2 8" xfId="20262"/>
    <cellStyle name="40% - Accent1 4 2 4 2 9" xfId="20263"/>
    <cellStyle name="40% - Accent1 4 2 4 3" xfId="20264"/>
    <cellStyle name="40% - Accent1 4 2 4 3 2" xfId="20265"/>
    <cellStyle name="40% - Accent1 4 2 4 3 2 2" xfId="20266"/>
    <cellStyle name="40% - Accent1 4 2 4 3 2 3" xfId="20267"/>
    <cellStyle name="40% - Accent1 4 2 4 3 3" xfId="20268"/>
    <cellStyle name="40% - Accent1 4 2 4 3 3 2" xfId="20269"/>
    <cellStyle name="40% - Accent1 4 2 4 3 3 3" xfId="20270"/>
    <cellStyle name="40% - Accent1 4 2 4 3 4" xfId="20271"/>
    <cellStyle name="40% - Accent1 4 2 4 3 4 2" xfId="20272"/>
    <cellStyle name="40% - Accent1 4 2 4 3 5" xfId="20273"/>
    <cellStyle name="40% - Accent1 4 2 4 3 6" xfId="20274"/>
    <cellStyle name="40% - Accent1 4 2 4 4" xfId="20275"/>
    <cellStyle name="40% - Accent1 4 2 4 4 2" xfId="20276"/>
    <cellStyle name="40% - Accent1 4 2 4 4 2 2" xfId="20277"/>
    <cellStyle name="40% - Accent1 4 2 4 4 2 3" xfId="20278"/>
    <cellStyle name="40% - Accent1 4 2 4 4 3" xfId="20279"/>
    <cellStyle name="40% - Accent1 4 2 4 4 3 2" xfId="20280"/>
    <cellStyle name="40% - Accent1 4 2 4 4 3 3" xfId="20281"/>
    <cellStyle name="40% - Accent1 4 2 4 4 4" xfId="20282"/>
    <cellStyle name="40% - Accent1 4 2 4 4 4 2" xfId="20283"/>
    <cellStyle name="40% - Accent1 4 2 4 4 5" xfId="20284"/>
    <cellStyle name="40% - Accent1 4 2 4 4 6" xfId="20285"/>
    <cellStyle name="40% - Accent1 4 2 4 5" xfId="20286"/>
    <cellStyle name="40% - Accent1 4 2 4 5 2" xfId="20287"/>
    <cellStyle name="40% - Accent1 4 2 4 5 2 2" xfId="20288"/>
    <cellStyle name="40% - Accent1 4 2 4 5 2 3" xfId="20289"/>
    <cellStyle name="40% - Accent1 4 2 4 5 3" xfId="20290"/>
    <cellStyle name="40% - Accent1 4 2 4 5 3 2" xfId="20291"/>
    <cellStyle name="40% - Accent1 4 2 4 5 4" xfId="20292"/>
    <cellStyle name="40% - Accent1 4 2 4 5 5" xfId="20293"/>
    <cellStyle name="40% - Accent1 4 2 4 6" xfId="20294"/>
    <cellStyle name="40% - Accent1 4 2 4 6 2" xfId="20295"/>
    <cellStyle name="40% - Accent1 4 2 4 6 3" xfId="20296"/>
    <cellStyle name="40% - Accent1 4 2 4 7" xfId="20297"/>
    <cellStyle name="40% - Accent1 4 2 4 7 2" xfId="20298"/>
    <cellStyle name="40% - Accent1 4 2 4 7 3" xfId="20299"/>
    <cellStyle name="40% - Accent1 4 2 4 8" xfId="20300"/>
    <cellStyle name="40% - Accent1 4 2 4 8 2" xfId="20301"/>
    <cellStyle name="40% - Accent1 4 2 4 9" xfId="20302"/>
    <cellStyle name="40% - Accent1 4 2 5" xfId="1578"/>
    <cellStyle name="40% - Accent1 4 2 5 2" xfId="20303"/>
    <cellStyle name="40% - Accent1 4 2 5 2 2" xfId="20304"/>
    <cellStyle name="40% - Accent1 4 2 5 2 2 2" xfId="20305"/>
    <cellStyle name="40% - Accent1 4 2 5 2 2 3" xfId="20306"/>
    <cellStyle name="40% - Accent1 4 2 5 2 3" xfId="20307"/>
    <cellStyle name="40% - Accent1 4 2 5 2 3 2" xfId="20308"/>
    <cellStyle name="40% - Accent1 4 2 5 2 3 3" xfId="20309"/>
    <cellStyle name="40% - Accent1 4 2 5 2 4" xfId="20310"/>
    <cellStyle name="40% - Accent1 4 2 5 2 4 2" xfId="20311"/>
    <cellStyle name="40% - Accent1 4 2 5 2 5" xfId="20312"/>
    <cellStyle name="40% - Accent1 4 2 5 2 6" xfId="20313"/>
    <cellStyle name="40% - Accent1 4 2 5 3" xfId="20314"/>
    <cellStyle name="40% - Accent1 4 2 5 3 2" xfId="20315"/>
    <cellStyle name="40% - Accent1 4 2 5 3 2 2" xfId="20316"/>
    <cellStyle name="40% - Accent1 4 2 5 3 2 3" xfId="20317"/>
    <cellStyle name="40% - Accent1 4 2 5 3 3" xfId="20318"/>
    <cellStyle name="40% - Accent1 4 2 5 3 3 2" xfId="20319"/>
    <cellStyle name="40% - Accent1 4 2 5 3 3 3" xfId="20320"/>
    <cellStyle name="40% - Accent1 4 2 5 3 4" xfId="20321"/>
    <cellStyle name="40% - Accent1 4 2 5 3 4 2" xfId="20322"/>
    <cellStyle name="40% - Accent1 4 2 5 3 5" xfId="20323"/>
    <cellStyle name="40% - Accent1 4 2 5 3 6" xfId="20324"/>
    <cellStyle name="40% - Accent1 4 2 5 4" xfId="20325"/>
    <cellStyle name="40% - Accent1 4 2 5 4 2" xfId="20326"/>
    <cellStyle name="40% - Accent1 4 2 5 4 2 2" xfId="20327"/>
    <cellStyle name="40% - Accent1 4 2 5 4 2 3" xfId="20328"/>
    <cellStyle name="40% - Accent1 4 2 5 4 3" xfId="20329"/>
    <cellStyle name="40% - Accent1 4 2 5 4 3 2" xfId="20330"/>
    <cellStyle name="40% - Accent1 4 2 5 4 4" xfId="20331"/>
    <cellStyle name="40% - Accent1 4 2 5 4 5" xfId="20332"/>
    <cellStyle name="40% - Accent1 4 2 5 5" xfId="20333"/>
    <cellStyle name="40% - Accent1 4 2 5 5 2" xfId="20334"/>
    <cellStyle name="40% - Accent1 4 2 5 5 3" xfId="20335"/>
    <cellStyle name="40% - Accent1 4 2 5 6" xfId="20336"/>
    <cellStyle name="40% - Accent1 4 2 5 6 2" xfId="20337"/>
    <cellStyle name="40% - Accent1 4 2 5 6 3" xfId="20338"/>
    <cellStyle name="40% - Accent1 4 2 5 7" xfId="20339"/>
    <cellStyle name="40% - Accent1 4 2 5 7 2" xfId="20340"/>
    <cellStyle name="40% - Accent1 4 2 5 8" xfId="20341"/>
    <cellStyle name="40% - Accent1 4 2 5 9" xfId="20342"/>
    <cellStyle name="40% - Accent1 4 2 6" xfId="20343"/>
    <cellStyle name="40% - Accent1 4 2 6 2" xfId="20344"/>
    <cellStyle name="40% - Accent1 4 2 6 2 2" xfId="20345"/>
    <cellStyle name="40% - Accent1 4 2 6 2 2 2" xfId="20346"/>
    <cellStyle name="40% - Accent1 4 2 6 2 2 3" xfId="20347"/>
    <cellStyle name="40% - Accent1 4 2 6 2 3" xfId="20348"/>
    <cellStyle name="40% - Accent1 4 2 6 2 3 2" xfId="20349"/>
    <cellStyle name="40% - Accent1 4 2 6 2 3 3" xfId="20350"/>
    <cellStyle name="40% - Accent1 4 2 6 2 4" xfId="20351"/>
    <cellStyle name="40% - Accent1 4 2 6 2 4 2" xfId="20352"/>
    <cellStyle name="40% - Accent1 4 2 6 2 5" xfId="20353"/>
    <cellStyle name="40% - Accent1 4 2 6 2 6" xfId="20354"/>
    <cellStyle name="40% - Accent1 4 2 6 3" xfId="20355"/>
    <cellStyle name="40% - Accent1 4 2 6 3 2" xfId="20356"/>
    <cellStyle name="40% - Accent1 4 2 6 3 2 2" xfId="20357"/>
    <cellStyle name="40% - Accent1 4 2 6 3 2 3" xfId="20358"/>
    <cellStyle name="40% - Accent1 4 2 6 3 3" xfId="20359"/>
    <cellStyle name="40% - Accent1 4 2 6 3 3 2" xfId="20360"/>
    <cellStyle name="40% - Accent1 4 2 6 3 3 3" xfId="20361"/>
    <cellStyle name="40% - Accent1 4 2 6 3 4" xfId="20362"/>
    <cellStyle name="40% - Accent1 4 2 6 3 4 2" xfId="20363"/>
    <cellStyle name="40% - Accent1 4 2 6 3 5" xfId="20364"/>
    <cellStyle name="40% - Accent1 4 2 6 3 6" xfId="20365"/>
    <cellStyle name="40% - Accent1 4 2 6 4" xfId="20366"/>
    <cellStyle name="40% - Accent1 4 2 6 4 2" xfId="20367"/>
    <cellStyle name="40% - Accent1 4 2 6 4 2 2" xfId="20368"/>
    <cellStyle name="40% - Accent1 4 2 6 4 2 3" xfId="20369"/>
    <cellStyle name="40% - Accent1 4 2 6 4 3" xfId="20370"/>
    <cellStyle name="40% - Accent1 4 2 6 4 3 2" xfId="20371"/>
    <cellStyle name="40% - Accent1 4 2 6 4 4" xfId="20372"/>
    <cellStyle name="40% - Accent1 4 2 6 4 5" xfId="20373"/>
    <cellStyle name="40% - Accent1 4 2 6 5" xfId="20374"/>
    <cellStyle name="40% - Accent1 4 2 6 5 2" xfId="20375"/>
    <cellStyle name="40% - Accent1 4 2 6 5 3" xfId="20376"/>
    <cellStyle name="40% - Accent1 4 2 6 6" xfId="20377"/>
    <cellStyle name="40% - Accent1 4 2 6 6 2" xfId="20378"/>
    <cellStyle name="40% - Accent1 4 2 6 6 3" xfId="20379"/>
    <cellStyle name="40% - Accent1 4 2 6 7" xfId="20380"/>
    <cellStyle name="40% - Accent1 4 2 6 7 2" xfId="20381"/>
    <cellStyle name="40% - Accent1 4 2 6 8" xfId="20382"/>
    <cellStyle name="40% - Accent1 4 2 6 9" xfId="20383"/>
    <cellStyle name="40% - Accent1 4 2 7" xfId="20384"/>
    <cellStyle name="40% - Accent1 4 2 7 2" xfId="20385"/>
    <cellStyle name="40% - Accent1 4 2 7 2 2" xfId="20386"/>
    <cellStyle name="40% - Accent1 4 2 7 2 3" xfId="20387"/>
    <cellStyle name="40% - Accent1 4 2 7 3" xfId="20388"/>
    <cellStyle name="40% - Accent1 4 2 7 3 2" xfId="20389"/>
    <cellStyle name="40% - Accent1 4 2 7 3 3" xfId="20390"/>
    <cellStyle name="40% - Accent1 4 2 7 4" xfId="20391"/>
    <cellStyle name="40% - Accent1 4 2 7 4 2" xfId="20392"/>
    <cellStyle name="40% - Accent1 4 2 7 5" xfId="20393"/>
    <cellStyle name="40% - Accent1 4 2 7 6" xfId="20394"/>
    <cellStyle name="40% - Accent1 4 2 8" xfId="20395"/>
    <cellStyle name="40% - Accent1 4 2 8 2" xfId="20396"/>
    <cellStyle name="40% - Accent1 4 2 8 2 2" xfId="20397"/>
    <cellStyle name="40% - Accent1 4 2 8 2 3" xfId="20398"/>
    <cellStyle name="40% - Accent1 4 2 8 3" xfId="20399"/>
    <cellStyle name="40% - Accent1 4 2 8 3 2" xfId="20400"/>
    <cellStyle name="40% - Accent1 4 2 8 3 3" xfId="20401"/>
    <cellStyle name="40% - Accent1 4 2 8 4" xfId="20402"/>
    <cellStyle name="40% - Accent1 4 2 8 4 2" xfId="20403"/>
    <cellStyle name="40% - Accent1 4 2 8 5" xfId="20404"/>
    <cellStyle name="40% - Accent1 4 2 8 6" xfId="20405"/>
    <cellStyle name="40% - Accent1 4 2 9" xfId="20406"/>
    <cellStyle name="40% - Accent1 4 2 9 2" xfId="20407"/>
    <cellStyle name="40% - Accent1 4 2 9 2 2" xfId="20408"/>
    <cellStyle name="40% - Accent1 4 2 9 2 3" xfId="20409"/>
    <cellStyle name="40% - Accent1 4 2 9 3" xfId="20410"/>
    <cellStyle name="40% - Accent1 4 2 9 3 2" xfId="20411"/>
    <cellStyle name="40% - Accent1 4 2 9 4" xfId="20412"/>
    <cellStyle name="40% - Accent1 4 2 9 5" xfId="20413"/>
    <cellStyle name="40% - Accent1 4 3" xfId="1579"/>
    <cellStyle name="40% - Accent1 4 3 10" xfId="20414"/>
    <cellStyle name="40% - Accent1 4 3 10 2" xfId="20415"/>
    <cellStyle name="40% - Accent1 4 3 10 3" xfId="20416"/>
    <cellStyle name="40% - Accent1 4 3 11" xfId="20417"/>
    <cellStyle name="40% - Accent1 4 3 11 2" xfId="20418"/>
    <cellStyle name="40% - Accent1 4 3 12" xfId="20419"/>
    <cellStyle name="40% - Accent1 4 3 13" xfId="20420"/>
    <cellStyle name="40% - Accent1 4 3 14" xfId="20421"/>
    <cellStyle name="40% - Accent1 4 3 2" xfId="1580"/>
    <cellStyle name="40% - Accent1 4 3 2 10" xfId="20422"/>
    <cellStyle name="40% - Accent1 4 3 2 10 2" xfId="20423"/>
    <cellStyle name="40% - Accent1 4 3 2 11" xfId="20424"/>
    <cellStyle name="40% - Accent1 4 3 2 12" xfId="20425"/>
    <cellStyle name="40% - Accent1 4 3 2 2" xfId="1581"/>
    <cellStyle name="40% - Accent1 4 3 2 2 10" xfId="20426"/>
    <cellStyle name="40% - Accent1 4 3 2 2 2" xfId="1582"/>
    <cellStyle name="40% - Accent1 4 3 2 2 2 2" xfId="20427"/>
    <cellStyle name="40% - Accent1 4 3 2 2 2 2 2" xfId="20428"/>
    <cellStyle name="40% - Accent1 4 3 2 2 2 2 2 2" xfId="20429"/>
    <cellStyle name="40% - Accent1 4 3 2 2 2 2 2 3" xfId="20430"/>
    <cellStyle name="40% - Accent1 4 3 2 2 2 2 3" xfId="20431"/>
    <cellStyle name="40% - Accent1 4 3 2 2 2 2 3 2" xfId="20432"/>
    <cellStyle name="40% - Accent1 4 3 2 2 2 2 3 3" xfId="20433"/>
    <cellStyle name="40% - Accent1 4 3 2 2 2 2 4" xfId="20434"/>
    <cellStyle name="40% - Accent1 4 3 2 2 2 2 4 2" xfId="20435"/>
    <cellStyle name="40% - Accent1 4 3 2 2 2 2 5" xfId="20436"/>
    <cellStyle name="40% - Accent1 4 3 2 2 2 2 6" xfId="20437"/>
    <cellStyle name="40% - Accent1 4 3 2 2 2 3" xfId="20438"/>
    <cellStyle name="40% - Accent1 4 3 2 2 2 3 2" xfId="20439"/>
    <cellStyle name="40% - Accent1 4 3 2 2 2 3 2 2" xfId="20440"/>
    <cellStyle name="40% - Accent1 4 3 2 2 2 3 2 3" xfId="20441"/>
    <cellStyle name="40% - Accent1 4 3 2 2 2 3 3" xfId="20442"/>
    <cellStyle name="40% - Accent1 4 3 2 2 2 3 3 2" xfId="20443"/>
    <cellStyle name="40% - Accent1 4 3 2 2 2 3 3 3" xfId="20444"/>
    <cellStyle name="40% - Accent1 4 3 2 2 2 3 4" xfId="20445"/>
    <cellStyle name="40% - Accent1 4 3 2 2 2 3 4 2" xfId="20446"/>
    <cellStyle name="40% - Accent1 4 3 2 2 2 3 5" xfId="20447"/>
    <cellStyle name="40% - Accent1 4 3 2 2 2 3 6" xfId="20448"/>
    <cellStyle name="40% - Accent1 4 3 2 2 2 4" xfId="20449"/>
    <cellStyle name="40% - Accent1 4 3 2 2 2 4 2" xfId="20450"/>
    <cellStyle name="40% - Accent1 4 3 2 2 2 4 2 2" xfId="20451"/>
    <cellStyle name="40% - Accent1 4 3 2 2 2 4 2 3" xfId="20452"/>
    <cellStyle name="40% - Accent1 4 3 2 2 2 4 3" xfId="20453"/>
    <cellStyle name="40% - Accent1 4 3 2 2 2 4 3 2" xfId="20454"/>
    <cellStyle name="40% - Accent1 4 3 2 2 2 4 4" xfId="20455"/>
    <cellStyle name="40% - Accent1 4 3 2 2 2 4 5" xfId="20456"/>
    <cellStyle name="40% - Accent1 4 3 2 2 2 5" xfId="20457"/>
    <cellStyle name="40% - Accent1 4 3 2 2 2 5 2" xfId="20458"/>
    <cellStyle name="40% - Accent1 4 3 2 2 2 5 3" xfId="20459"/>
    <cellStyle name="40% - Accent1 4 3 2 2 2 6" xfId="20460"/>
    <cellStyle name="40% - Accent1 4 3 2 2 2 6 2" xfId="20461"/>
    <cellStyle name="40% - Accent1 4 3 2 2 2 6 3" xfId="20462"/>
    <cellStyle name="40% - Accent1 4 3 2 2 2 7" xfId="20463"/>
    <cellStyle name="40% - Accent1 4 3 2 2 2 7 2" xfId="20464"/>
    <cellStyle name="40% - Accent1 4 3 2 2 2 8" xfId="20465"/>
    <cellStyle name="40% - Accent1 4 3 2 2 2 9" xfId="20466"/>
    <cellStyle name="40% - Accent1 4 3 2 2 3" xfId="20467"/>
    <cellStyle name="40% - Accent1 4 3 2 2 3 2" xfId="20468"/>
    <cellStyle name="40% - Accent1 4 3 2 2 3 2 2" xfId="20469"/>
    <cellStyle name="40% - Accent1 4 3 2 2 3 2 3" xfId="20470"/>
    <cellStyle name="40% - Accent1 4 3 2 2 3 3" xfId="20471"/>
    <cellStyle name="40% - Accent1 4 3 2 2 3 3 2" xfId="20472"/>
    <cellStyle name="40% - Accent1 4 3 2 2 3 3 3" xfId="20473"/>
    <cellStyle name="40% - Accent1 4 3 2 2 3 4" xfId="20474"/>
    <cellStyle name="40% - Accent1 4 3 2 2 3 4 2" xfId="20475"/>
    <cellStyle name="40% - Accent1 4 3 2 2 3 5" xfId="20476"/>
    <cellStyle name="40% - Accent1 4 3 2 2 3 6" xfId="20477"/>
    <cellStyle name="40% - Accent1 4 3 2 2 4" xfId="20478"/>
    <cellStyle name="40% - Accent1 4 3 2 2 4 2" xfId="20479"/>
    <cellStyle name="40% - Accent1 4 3 2 2 4 2 2" xfId="20480"/>
    <cellStyle name="40% - Accent1 4 3 2 2 4 2 3" xfId="20481"/>
    <cellStyle name="40% - Accent1 4 3 2 2 4 3" xfId="20482"/>
    <cellStyle name="40% - Accent1 4 3 2 2 4 3 2" xfId="20483"/>
    <cellStyle name="40% - Accent1 4 3 2 2 4 3 3" xfId="20484"/>
    <cellStyle name="40% - Accent1 4 3 2 2 4 4" xfId="20485"/>
    <cellStyle name="40% - Accent1 4 3 2 2 4 4 2" xfId="20486"/>
    <cellStyle name="40% - Accent1 4 3 2 2 4 5" xfId="20487"/>
    <cellStyle name="40% - Accent1 4 3 2 2 4 6" xfId="20488"/>
    <cellStyle name="40% - Accent1 4 3 2 2 5" xfId="20489"/>
    <cellStyle name="40% - Accent1 4 3 2 2 5 2" xfId="20490"/>
    <cellStyle name="40% - Accent1 4 3 2 2 5 2 2" xfId="20491"/>
    <cellStyle name="40% - Accent1 4 3 2 2 5 2 3" xfId="20492"/>
    <cellStyle name="40% - Accent1 4 3 2 2 5 3" xfId="20493"/>
    <cellStyle name="40% - Accent1 4 3 2 2 5 3 2" xfId="20494"/>
    <cellStyle name="40% - Accent1 4 3 2 2 5 4" xfId="20495"/>
    <cellStyle name="40% - Accent1 4 3 2 2 5 5" xfId="20496"/>
    <cellStyle name="40% - Accent1 4 3 2 2 6" xfId="20497"/>
    <cellStyle name="40% - Accent1 4 3 2 2 6 2" xfId="20498"/>
    <cellStyle name="40% - Accent1 4 3 2 2 6 3" xfId="20499"/>
    <cellStyle name="40% - Accent1 4 3 2 2 7" xfId="20500"/>
    <cellStyle name="40% - Accent1 4 3 2 2 7 2" xfId="20501"/>
    <cellStyle name="40% - Accent1 4 3 2 2 7 3" xfId="20502"/>
    <cellStyle name="40% - Accent1 4 3 2 2 8" xfId="20503"/>
    <cellStyle name="40% - Accent1 4 3 2 2 8 2" xfId="20504"/>
    <cellStyle name="40% - Accent1 4 3 2 2 9" xfId="20505"/>
    <cellStyle name="40% - Accent1 4 3 2 3" xfId="1583"/>
    <cellStyle name="40% - Accent1 4 3 2 3 2" xfId="20506"/>
    <cellStyle name="40% - Accent1 4 3 2 3 2 2" xfId="20507"/>
    <cellStyle name="40% - Accent1 4 3 2 3 2 2 2" xfId="20508"/>
    <cellStyle name="40% - Accent1 4 3 2 3 2 2 3" xfId="20509"/>
    <cellStyle name="40% - Accent1 4 3 2 3 2 3" xfId="20510"/>
    <cellStyle name="40% - Accent1 4 3 2 3 2 3 2" xfId="20511"/>
    <cellStyle name="40% - Accent1 4 3 2 3 2 3 3" xfId="20512"/>
    <cellStyle name="40% - Accent1 4 3 2 3 2 4" xfId="20513"/>
    <cellStyle name="40% - Accent1 4 3 2 3 2 4 2" xfId="20514"/>
    <cellStyle name="40% - Accent1 4 3 2 3 2 5" xfId="20515"/>
    <cellStyle name="40% - Accent1 4 3 2 3 2 6" xfId="20516"/>
    <cellStyle name="40% - Accent1 4 3 2 3 3" xfId="20517"/>
    <cellStyle name="40% - Accent1 4 3 2 3 3 2" xfId="20518"/>
    <cellStyle name="40% - Accent1 4 3 2 3 3 2 2" xfId="20519"/>
    <cellStyle name="40% - Accent1 4 3 2 3 3 2 3" xfId="20520"/>
    <cellStyle name="40% - Accent1 4 3 2 3 3 3" xfId="20521"/>
    <cellStyle name="40% - Accent1 4 3 2 3 3 3 2" xfId="20522"/>
    <cellStyle name="40% - Accent1 4 3 2 3 3 3 3" xfId="20523"/>
    <cellStyle name="40% - Accent1 4 3 2 3 3 4" xfId="20524"/>
    <cellStyle name="40% - Accent1 4 3 2 3 3 4 2" xfId="20525"/>
    <cellStyle name="40% - Accent1 4 3 2 3 3 5" xfId="20526"/>
    <cellStyle name="40% - Accent1 4 3 2 3 3 6" xfId="20527"/>
    <cellStyle name="40% - Accent1 4 3 2 3 4" xfId="20528"/>
    <cellStyle name="40% - Accent1 4 3 2 3 4 2" xfId="20529"/>
    <cellStyle name="40% - Accent1 4 3 2 3 4 2 2" xfId="20530"/>
    <cellStyle name="40% - Accent1 4 3 2 3 4 2 3" xfId="20531"/>
    <cellStyle name="40% - Accent1 4 3 2 3 4 3" xfId="20532"/>
    <cellStyle name="40% - Accent1 4 3 2 3 4 3 2" xfId="20533"/>
    <cellStyle name="40% - Accent1 4 3 2 3 4 4" xfId="20534"/>
    <cellStyle name="40% - Accent1 4 3 2 3 4 5" xfId="20535"/>
    <cellStyle name="40% - Accent1 4 3 2 3 5" xfId="20536"/>
    <cellStyle name="40% - Accent1 4 3 2 3 5 2" xfId="20537"/>
    <cellStyle name="40% - Accent1 4 3 2 3 5 3" xfId="20538"/>
    <cellStyle name="40% - Accent1 4 3 2 3 6" xfId="20539"/>
    <cellStyle name="40% - Accent1 4 3 2 3 6 2" xfId="20540"/>
    <cellStyle name="40% - Accent1 4 3 2 3 6 3" xfId="20541"/>
    <cellStyle name="40% - Accent1 4 3 2 3 7" xfId="20542"/>
    <cellStyle name="40% - Accent1 4 3 2 3 7 2" xfId="20543"/>
    <cellStyle name="40% - Accent1 4 3 2 3 8" xfId="20544"/>
    <cellStyle name="40% - Accent1 4 3 2 3 9" xfId="20545"/>
    <cellStyle name="40% - Accent1 4 3 2 4" xfId="20546"/>
    <cellStyle name="40% - Accent1 4 3 2 4 2" xfId="20547"/>
    <cellStyle name="40% - Accent1 4 3 2 4 2 2" xfId="20548"/>
    <cellStyle name="40% - Accent1 4 3 2 4 2 2 2" xfId="20549"/>
    <cellStyle name="40% - Accent1 4 3 2 4 2 2 3" xfId="20550"/>
    <cellStyle name="40% - Accent1 4 3 2 4 2 3" xfId="20551"/>
    <cellStyle name="40% - Accent1 4 3 2 4 2 3 2" xfId="20552"/>
    <cellStyle name="40% - Accent1 4 3 2 4 2 3 3" xfId="20553"/>
    <cellStyle name="40% - Accent1 4 3 2 4 2 4" xfId="20554"/>
    <cellStyle name="40% - Accent1 4 3 2 4 2 4 2" xfId="20555"/>
    <cellStyle name="40% - Accent1 4 3 2 4 2 5" xfId="20556"/>
    <cellStyle name="40% - Accent1 4 3 2 4 2 6" xfId="20557"/>
    <cellStyle name="40% - Accent1 4 3 2 4 3" xfId="20558"/>
    <cellStyle name="40% - Accent1 4 3 2 4 3 2" xfId="20559"/>
    <cellStyle name="40% - Accent1 4 3 2 4 3 2 2" xfId="20560"/>
    <cellStyle name="40% - Accent1 4 3 2 4 3 2 3" xfId="20561"/>
    <cellStyle name="40% - Accent1 4 3 2 4 3 3" xfId="20562"/>
    <cellStyle name="40% - Accent1 4 3 2 4 3 3 2" xfId="20563"/>
    <cellStyle name="40% - Accent1 4 3 2 4 3 3 3" xfId="20564"/>
    <cellStyle name="40% - Accent1 4 3 2 4 3 4" xfId="20565"/>
    <cellStyle name="40% - Accent1 4 3 2 4 3 4 2" xfId="20566"/>
    <cellStyle name="40% - Accent1 4 3 2 4 3 5" xfId="20567"/>
    <cellStyle name="40% - Accent1 4 3 2 4 3 6" xfId="20568"/>
    <cellStyle name="40% - Accent1 4 3 2 4 4" xfId="20569"/>
    <cellStyle name="40% - Accent1 4 3 2 4 4 2" xfId="20570"/>
    <cellStyle name="40% - Accent1 4 3 2 4 4 2 2" xfId="20571"/>
    <cellStyle name="40% - Accent1 4 3 2 4 4 2 3" xfId="20572"/>
    <cellStyle name="40% - Accent1 4 3 2 4 4 3" xfId="20573"/>
    <cellStyle name="40% - Accent1 4 3 2 4 4 3 2" xfId="20574"/>
    <cellStyle name="40% - Accent1 4 3 2 4 4 4" xfId="20575"/>
    <cellStyle name="40% - Accent1 4 3 2 4 4 5" xfId="20576"/>
    <cellStyle name="40% - Accent1 4 3 2 4 5" xfId="20577"/>
    <cellStyle name="40% - Accent1 4 3 2 4 5 2" xfId="20578"/>
    <cellStyle name="40% - Accent1 4 3 2 4 5 3" xfId="20579"/>
    <cellStyle name="40% - Accent1 4 3 2 4 6" xfId="20580"/>
    <cellStyle name="40% - Accent1 4 3 2 4 6 2" xfId="20581"/>
    <cellStyle name="40% - Accent1 4 3 2 4 6 3" xfId="20582"/>
    <cellStyle name="40% - Accent1 4 3 2 4 7" xfId="20583"/>
    <cellStyle name="40% - Accent1 4 3 2 4 7 2" xfId="20584"/>
    <cellStyle name="40% - Accent1 4 3 2 4 8" xfId="20585"/>
    <cellStyle name="40% - Accent1 4 3 2 4 9" xfId="20586"/>
    <cellStyle name="40% - Accent1 4 3 2 5" xfId="20587"/>
    <cellStyle name="40% - Accent1 4 3 2 5 2" xfId="20588"/>
    <cellStyle name="40% - Accent1 4 3 2 5 2 2" xfId="20589"/>
    <cellStyle name="40% - Accent1 4 3 2 5 2 3" xfId="20590"/>
    <cellStyle name="40% - Accent1 4 3 2 5 3" xfId="20591"/>
    <cellStyle name="40% - Accent1 4 3 2 5 3 2" xfId="20592"/>
    <cellStyle name="40% - Accent1 4 3 2 5 3 3" xfId="20593"/>
    <cellStyle name="40% - Accent1 4 3 2 5 4" xfId="20594"/>
    <cellStyle name="40% - Accent1 4 3 2 5 4 2" xfId="20595"/>
    <cellStyle name="40% - Accent1 4 3 2 5 5" xfId="20596"/>
    <cellStyle name="40% - Accent1 4 3 2 5 6" xfId="20597"/>
    <cellStyle name="40% - Accent1 4 3 2 6" xfId="20598"/>
    <cellStyle name="40% - Accent1 4 3 2 6 2" xfId="20599"/>
    <cellStyle name="40% - Accent1 4 3 2 6 2 2" xfId="20600"/>
    <cellStyle name="40% - Accent1 4 3 2 6 2 3" xfId="20601"/>
    <cellStyle name="40% - Accent1 4 3 2 6 3" xfId="20602"/>
    <cellStyle name="40% - Accent1 4 3 2 6 3 2" xfId="20603"/>
    <cellStyle name="40% - Accent1 4 3 2 6 3 3" xfId="20604"/>
    <cellStyle name="40% - Accent1 4 3 2 6 4" xfId="20605"/>
    <cellStyle name="40% - Accent1 4 3 2 6 4 2" xfId="20606"/>
    <cellStyle name="40% - Accent1 4 3 2 6 5" xfId="20607"/>
    <cellStyle name="40% - Accent1 4 3 2 6 6" xfId="20608"/>
    <cellStyle name="40% - Accent1 4 3 2 7" xfId="20609"/>
    <cellStyle name="40% - Accent1 4 3 2 7 2" xfId="20610"/>
    <cellStyle name="40% - Accent1 4 3 2 7 2 2" xfId="20611"/>
    <cellStyle name="40% - Accent1 4 3 2 7 2 3" xfId="20612"/>
    <cellStyle name="40% - Accent1 4 3 2 7 3" xfId="20613"/>
    <cellStyle name="40% - Accent1 4 3 2 7 3 2" xfId="20614"/>
    <cellStyle name="40% - Accent1 4 3 2 7 4" xfId="20615"/>
    <cellStyle name="40% - Accent1 4 3 2 7 5" xfId="20616"/>
    <cellStyle name="40% - Accent1 4 3 2 8" xfId="20617"/>
    <cellStyle name="40% - Accent1 4 3 2 8 2" xfId="20618"/>
    <cellStyle name="40% - Accent1 4 3 2 8 3" xfId="20619"/>
    <cellStyle name="40% - Accent1 4 3 2 9" xfId="20620"/>
    <cellStyle name="40% - Accent1 4 3 2 9 2" xfId="20621"/>
    <cellStyle name="40% - Accent1 4 3 2 9 3" xfId="20622"/>
    <cellStyle name="40% - Accent1 4 3 3" xfId="1584"/>
    <cellStyle name="40% - Accent1 4 3 3 10" xfId="20623"/>
    <cellStyle name="40% - Accent1 4 3 3 2" xfId="1585"/>
    <cellStyle name="40% - Accent1 4 3 3 2 2" xfId="20624"/>
    <cellStyle name="40% - Accent1 4 3 3 2 2 2" xfId="20625"/>
    <cellStyle name="40% - Accent1 4 3 3 2 2 2 2" xfId="20626"/>
    <cellStyle name="40% - Accent1 4 3 3 2 2 2 3" xfId="20627"/>
    <cellStyle name="40% - Accent1 4 3 3 2 2 3" xfId="20628"/>
    <cellStyle name="40% - Accent1 4 3 3 2 2 3 2" xfId="20629"/>
    <cellStyle name="40% - Accent1 4 3 3 2 2 3 3" xfId="20630"/>
    <cellStyle name="40% - Accent1 4 3 3 2 2 4" xfId="20631"/>
    <cellStyle name="40% - Accent1 4 3 3 2 2 4 2" xfId="20632"/>
    <cellStyle name="40% - Accent1 4 3 3 2 2 5" xfId="20633"/>
    <cellStyle name="40% - Accent1 4 3 3 2 2 6" xfId="20634"/>
    <cellStyle name="40% - Accent1 4 3 3 2 3" xfId="20635"/>
    <cellStyle name="40% - Accent1 4 3 3 2 3 2" xfId="20636"/>
    <cellStyle name="40% - Accent1 4 3 3 2 3 2 2" xfId="20637"/>
    <cellStyle name="40% - Accent1 4 3 3 2 3 2 3" xfId="20638"/>
    <cellStyle name="40% - Accent1 4 3 3 2 3 3" xfId="20639"/>
    <cellStyle name="40% - Accent1 4 3 3 2 3 3 2" xfId="20640"/>
    <cellStyle name="40% - Accent1 4 3 3 2 3 3 3" xfId="20641"/>
    <cellStyle name="40% - Accent1 4 3 3 2 3 4" xfId="20642"/>
    <cellStyle name="40% - Accent1 4 3 3 2 3 4 2" xfId="20643"/>
    <cellStyle name="40% - Accent1 4 3 3 2 3 5" xfId="20644"/>
    <cellStyle name="40% - Accent1 4 3 3 2 3 6" xfId="20645"/>
    <cellStyle name="40% - Accent1 4 3 3 2 4" xfId="20646"/>
    <cellStyle name="40% - Accent1 4 3 3 2 4 2" xfId="20647"/>
    <cellStyle name="40% - Accent1 4 3 3 2 4 2 2" xfId="20648"/>
    <cellStyle name="40% - Accent1 4 3 3 2 4 2 3" xfId="20649"/>
    <cellStyle name="40% - Accent1 4 3 3 2 4 3" xfId="20650"/>
    <cellStyle name="40% - Accent1 4 3 3 2 4 3 2" xfId="20651"/>
    <cellStyle name="40% - Accent1 4 3 3 2 4 4" xfId="20652"/>
    <cellStyle name="40% - Accent1 4 3 3 2 4 5" xfId="20653"/>
    <cellStyle name="40% - Accent1 4 3 3 2 5" xfId="20654"/>
    <cellStyle name="40% - Accent1 4 3 3 2 5 2" xfId="20655"/>
    <cellStyle name="40% - Accent1 4 3 3 2 5 3" xfId="20656"/>
    <cellStyle name="40% - Accent1 4 3 3 2 6" xfId="20657"/>
    <cellStyle name="40% - Accent1 4 3 3 2 6 2" xfId="20658"/>
    <cellStyle name="40% - Accent1 4 3 3 2 6 3" xfId="20659"/>
    <cellStyle name="40% - Accent1 4 3 3 2 7" xfId="20660"/>
    <cellStyle name="40% - Accent1 4 3 3 2 7 2" xfId="20661"/>
    <cellStyle name="40% - Accent1 4 3 3 2 8" xfId="20662"/>
    <cellStyle name="40% - Accent1 4 3 3 2 9" xfId="20663"/>
    <cellStyle name="40% - Accent1 4 3 3 3" xfId="20664"/>
    <cellStyle name="40% - Accent1 4 3 3 3 2" xfId="20665"/>
    <cellStyle name="40% - Accent1 4 3 3 3 2 2" xfId="20666"/>
    <cellStyle name="40% - Accent1 4 3 3 3 2 3" xfId="20667"/>
    <cellStyle name="40% - Accent1 4 3 3 3 3" xfId="20668"/>
    <cellStyle name="40% - Accent1 4 3 3 3 3 2" xfId="20669"/>
    <cellStyle name="40% - Accent1 4 3 3 3 3 3" xfId="20670"/>
    <cellStyle name="40% - Accent1 4 3 3 3 4" xfId="20671"/>
    <cellStyle name="40% - Accent1 4 3 3 3 4 2" xfId="20672"/>
    <cellStyle name="40% - Accent1 4 3 3 3 5" xfId="20673"/>
    <cellStyle name="40% - Accent1 4 3 3 3 6" xfId="20674"/>
    <cellStyle name="40% - Accent1 4 3 3 4" xfId="20675"/>
    <cellStyle name="40% - Accent1 4 3 3 4 2" xfId="20676"/>
    <cellStyle name="40% - Accent1 4 3 3 4 2 2" xfId="20677"/>
    <cellStyle name="40% - Accent1 4 3 3 4 2 3" xfId="20678"/>
    <cellStyle name="40% - Accent1 4 3 3 4 3" xfId="20679"/>
    <cellStyle name="40% - Accent1 4 3 3 4 3 2" xfId="20680"/>
    <cellStyle name="40% - Accent1 4 3 3 4 3 3" xfId="20681"/>
    <cellStyle name="40% - Accent1 4 3 3 4 4" xfId="20682"/>
    <cellStyle name="40% - Accent1 4 3 3 4 4 2" xfId="20683"/>
    <cellStyle name="40% - Accent1 4 3 3 4 5" xfId="20684"/>
    <cellStyle name="40% - Accent1 4 3 3 4 6" xfId="20685"/>
    <cellStyle name="40% - Accent1 4 3 3 5" xfId="20686"/>
    <cellStyle name="40% - Accent1 4 3 3 5 2" xfId="20687"/>
    <cellStyle name="40% - Accent1 4 3 3 5 2 2" xfId="20688"/>
    <cellStyle name="40% - Accent1 4 3 3 5 2 3" xfId="20689"/>
    <cellStyle name="40% - Accent1 4 3 3 5 3" xfId="20690"/>
    <cellStyle name="40% - Accent1 4 3 3 5 3 2" xfId="20691"/>
    <cellStyle name="40% - Accent1 4 3 3 5 4" xfId="20692"/>
    <cellStyle name="40% - Accent1 4 3 3 5 5" xfId="20693"/>
    <cellStyle name="40% - Accent1 4 3 3 6" xfId="20694"/>
    <cellStyle name="40% - Accent1 4 3 3 6 2" xfId="20695"/>
    <cellStyle name="40% - Accent1 4 3 3 6 3" xfId="20696"/>
    <cellStyle name="40% - Accent1 4 3 3 7" xfId="20697"/>
    <cellStyle name="40% - Accent1 4 3 3 7 2" xfId="20698"/>
    <cellStyle name="40% - Accent1 4 3 3 7 3" xfId="20699"/>
    <cellStyle name="40% - Accent1 4 3 3 8" xfId="20700"/>
    <cellStyle name="40% - Accent1 4 3 3 8 2" xfId="20701"/>
    <cellStyle name="40% - Accent1 4 3 3 9" xfId="20702"/>
    <cellStyle name="40% - Accent1 4 3 4" xfId="1586"/>
    <cellStyle name="40% - Accent1 4 3 4 2" xfId="20703"/>
    <cellStyle name="40% - Accent1 4 3 4 2 2" xfId="20704"/>
    <cellStyle name="40% - Accent1 4 3 4 2 2 2" xfId="20705"/>
    <cellStyle name="40% - Accent1 4 3 4 2 2 3" xfId="20706"/>
    <cellStyle name="40% - Accent1 4 3 4 2 3" xfId="20707"/>
    <cellStyle name="40% - Accent1 4 3 4 2 3 2" xfId="20708"/>
    <cellStyle name="40% - Accent1 4 3 4 2 3 3" xfId="20709"/>
    <cellStyle name="40% - Accent1 4 3 4 2 4" xfId="20710"/>
    <cellStyle name="40% - Accent1 4 3 4 2 4 2" xfId="20711"/>
    <cellStyle name="40% - Accent1 4 3 4 2 5" xfId="20712"/>
    <cellStyle name="40% - Accent1 4 3 4 2 6" xfId="20713"/>
    <cellStyle name="40% - Accent1 4 3 4 3" xfId="20714"/>
    <cellStyle name="40% - Accent1 4 3 4 3 2" xfId="20715"/>
    <cellStyle name="40% - Accent1 4 3 4 3 2 2" xfId="20716"/>
    <cellStyle name="40% - Accent1 4 3 4 3 2 3" xfId="20717"/>
    <cellStyle name="40% - Accent1 4 3 4 3 3" xfId="20718"/>
    <cellStyle name="40% - Accent1 4 3 4 3 3 2" xfId="20719"/>
    <cellStyle name="40% - Accent1 4 3 4 3 3 3" xfId="20720"/>
    <cellStyle name="40% - Accent1 4 3 4 3 4" xfId="20721"/>
    <cellStyle name="40% - Accent1 4 3 4 3 4 2" xfId="20722"/>
    <cellStyle name="40% - Accent1 4 3 4 3 5" xfId="20723"/>
    <cellStyle name="40% - Accent1 4 3 4 3 6" xfId="20724"/>
    <cellStyle name="40% - Accent1 4 3 4 4" xfId="20725"/>
    <cellStyle name="40% - Accent1 4 3 4 4 2" xfId="20726"/>
    <cellStyle name="40% - Accent1 4 3 4 4 2 2" xfId="20727"/>
    <cellStyle name="40% - Accent1 4 3 4 4 2 3" xfId="20728"/>
    <cellStyle name="40% - Accent1 4 3 4 4 3" xfId="20729"/>
    <cellStyle name="40% - Accent1 4 3 4 4 3 2" xfId="20730"/>
    <cellStyle name="40% - Accent1 4 3 4 4 4" xfId="20731"/>
    <cellStyle name="40% - Accent1 4 3 4 4 5" xfId="20732"/>
    <cellStyle name="40% - Accent1 4 3 4 5" xfId="20733"/>
    <cellStyle name="40% - Accent1 4 3 4 5 2" xfId="20734"/>
    <cellStyle name="40% - Accent1 4 3 4 5 3" xfId="20735"/>
    <cellStyle name="40% - Accent1 4 3 4 6" xfId="20736"/>
    <cellStyle name="40% - Accent1 4 3 4 6 2" xfId="20737"/>
    <cellStyle name="40% - Accent1 4 3 4 6 3" xfId="20738"/>
    <cellStyle name="40% - Accent1 4 3 4 7" xfId="20739"/>
    <cellStyle name="40% - Accent1 4 3 4 7 2" xfId="20740"/>
    <cellStyle name="40% - Accent1 4 3 4 8" xfId="20741"/>
    <cellStyle name="40% - Accent1 4 3 4 9" xfId="20742"/>
    <cellStyle name="40% - Accent1 4 3 5" xfId="20743"/>
    <cellStyle name="40% - Accent1 4 3 5 2" xfId="20744"/>
    <cellStyle name="40% - Accent1 4 3 5 2 2" xfId="20745"/>
    <cellStyle name="40% - Accent1 4 3 5 2 2 2" xfId="20746"/>
    <cellStyle name="40% - Accent1 4 3 5 2 2 3" xfId="20747"/>
    <cellStyle name="40% - Accent1 4 3 5 2 3" xfId="20748"/>
    <cellStyle name="40% - Accent1 4 3 5 2 3 2" xfId="20749"/>
    <cellStyle name="40% - Accent1 4 3 5 2 3 3" xfId="20750"/>
    <cellStyle name="40% - Accent1 4 3 5 2 4" xfId="20751"/>
    <cellStyle name="40% - Accent1 4 3 5 2 4 2" xfId="20752"/>
    <cellStyle name="40% - Accent1 4 3 5 2 5" xfId="20753"/>
    <cellStyle name="40% - Accent1 4 3 5 2 6" xfId="20754"/>
    <cellStyle name="40% - Accent1 4 3 5 3" xfId="20755"/>
    <cellStyle name="40% - Accent1 4 3 5 3 2" xfId="20756"/>
    <cellStyle name="40% - Accent1 4 3 5 3 2 2" xfId="20757"/>
    <cellStyle name="40% - Accent1 4 3 5 3 2 3" xfId="20758"/>
    <cellStyle name="40% - Accent1 4 3 5 3 3" xfId="20759"/>
    <cellStyle name="40% - Accent1 4 3 5 3 3 2" xfId="20760"/>
    <cellStyle name="40% - Accent1 4 3 5 3 3 3" xfId="20761"/>
    <cellStyle name="40% - Accent1 4 3 5 3 4" xfId="20762"/>
    <cellStyle name="40% - Accent1 4 3 5 3 4 2" xfId="20763"/>
    <cellStyle name="40% - Accent1 4 3 5 3 5" xfId="20764"/>
    <cellStyle name="40% - Accent1 4 3 5 3 6" xfId="20765"/>
    <cellStyle name="40% - Accent1 4 3 5 4" xfId="20766"/>
    <cellStyle name="40% - Accent1 4 3 5 4 2" xfId="20767"/>
    <cellStyle name="40% - Accent1 4 3 5 4 2 2" xfId="20768"/>
    <cellStyle name="40% - Accent1 4 3 5 4 2 3" xfId="20769"/>
    <cellStyle name="40% - Accent1 4 3 5 4 3" xfId="20770"/>
    <cellStyle name="40% - Accent1 4 3 5 4 3 2" xfId="20771"/>
    <cellStyle name="40% - Accent1 4 3 5 4 4" xfId="20772"/>
    <cellStyle name="40% - Accent1 4 3 5 4 5" xfId="20773"/>
    <cellStyle name="40% - Accent1 4 3 5 5" xfId="20774"/>
    <cellStyle name="40% - Accent1 4 3 5 5 2" xfId="20775"/>
    <cellStyle name="40% - Accent1 4 3 5 5 3" xfId="20776"/>
    <cellStyle name="40% - Accent1 4 3 5 6" xfId="20777"/>
    <cellStyle name="40% - Accent1 4 3 5 6 2" xfId="20778"/>
    <cellStyle name="40% - Accent1 4 3 5 6 3" xfId="20779"/>
    <cellStyle name="40% - Accent1 4 3 5 7" xfId="20780"/>
    <cellStyle name="40% - Accent1 4 3 5 7 2" xfId="20781"/>
    <cellStyle name="40% - Accent1 4 3 5 8" xfId="20782"/>
    <cellStyle name="40% - Accent1 4 3 5 9" xfId="20783"/>
    <cellStyle name="40% - Accent1 4 3 6" xfId="20784"/>
    <cellStyle name="40% - Accent1 4 3 6 2" xfId="20785"/>
    <cellStyle name="40% - Accent1 4 3 6 2 2" xfId="20786"/>
    <cellStyle name="40% - Accent1 4 3 6 2 3" xfId="20787"/>
    <cellStyle name="40% - Accent1 4 3 6 3" xfId="20788"/>
    <cellStyle name="40% - Accent1 4 3 6 3 2" xfId="20789"/>
    <cellStyle name="40% - Accent1 4 3 6 3 3" xfId="20790"/>
    <cellStyle name="40% - Accent1 4 3 6 4" xfId="20791"/>
    <cellStyle name="40% - Accent1 4 3 6 4 2" xfId="20792"/>
    <cellStyle name="40% - Accent1 4 3 6 5" xfId="20793"/>
    <cellStyle name="40% - Accent1 4 3 6 6" xfId="20794"/>
    <cellStyle name="40% - Accent1 4 3 7" xfId="20795"/>
    <cellStyle name="40% - Accent1 4 3 7 2" xfId="20796"/>
    <cellStyle name="40% - Accent1 4 3 7 2 2" xfId="20797"/>
    <cellStyle name="40% - Accent1 4 3 7 2 3" xfId="20798"/>
    <cellStyle name="40% - Accent1 4 3 7 3" xfId="20799"/>
    <cellStyle name="40% - Accent1 4 3 7 3 2" xfId="20800"/>
    <cellStyle name="40% - Accent1 4 3 7 3 3" xfId="20801"/>
    <cellStyle name="40% - Accent1 4 3 7 4" xfId="20802"/>
    <cellStyle name="40% - Accent1 4 3 7 4 2" xfId="20803"/>
    <cellStyle name="40% - Accent1 4 3 7 5" xfId="20804"/>
    <cellStyle name="40% - Accent1 4 3 7 6" xfId="20805"/>
    <cellStyle name="40% - Accent1 4 3 8" xfId="20806"/>
    <cellStyle name="40% - Accent1 4 3 8 2" xfId="20807"/>
    <cellStyle name="40% - Accent1 4 3 8 2 2" xfId="20808"/>
    <cellStyle name="40% - Accent1 4 3 8 2 3" xfId="20809"/>
    <cellStyle name="40% - Accent1 4 3 8 3" xfId="20810"/>
    <cellStyle name="40% - Accent1 4 3 8 3 2" xfId="20811"/>
    <cellStyle name="40% - Accent1 4 3 8 4" xfId="20812"/>
    <cellStyle name="40% - Accent1 4 3 8 5" xfId="20813"/>
    <cellStyle name="40% - Accent1 4 3 9" xfId="20814"/>
    <cellStyle name="40% - Accent1 4 3 9 2" xfId="20815"/>
    <cellStyle name="40% - Accent1 4 3 9 3" xfId="20816"/>
    <cellStyle name="40% - Accent1 4 4" xfId="1587"/>
    <cellStyle name="40% - Accent1 4 4 10" xfId="20817"/>
    <cellStyle name="40% - Accent1 4 4 10 2" xfId="20818"/>
    <cellStyle name="40% - Accent1 4 4 11" xfId="20819"/>
    <cellStyle name="40% - Accent1 4 4 12" xfId="20820"/>
    <cellStyle name="40% - Accent1 4 4 2" xfId="1588"/>
    <cellStyle name="40% - Accent1 4 4 2 10" xfId="20821"/>
    <cellStyle name="40% - Accent1 4 4 2 2" xfId="1589"/>
    <cellStyle name="40% - Accent1 4 4 2 2 2" xfId="20822"/>
    <cellStyle name="40% - Accent1 4 4 2 2 2 2" xfId="20823"/>
    <cellStyle name="40% - Accent1 4 4 2 2 2 2 2" xfId="20824"/>
    <cellStyle name="40% - Accent1 4 4 2 2 2 2 3" xfId="20825"/>
    <cellStyle name="40% - Accent1 4 4 2 2 2 3" xfId="20826"/>
    <cellStyle name="40% - Accent1 4 4 2 2 2 3 2" xfId="20827"/>
    <cellStyle name="40% - Accent1 4 4 2 2 2 3 3" xfId="20828"/>
    <cellStyle name="40% - Accent1 4 4 2 2 2 4" xfId="20829"/>
    <cellStyle name="40% - Accent1 4 4 2 2 2 4 2" xfId="20830"/>
    <cellStyle name="40% - Accent1 4 4 2 2 2 5" xfId="20831"/>
    <cellStyle name="40% - Accent1 4 4 2 2 2 6" xfId="20832"/>
    <cellStyle name="40% - Accent1 4 4 2 2 3" xfId="20833"/>
    <cellStyle name="40% - Accent1 4 4 2 2 3 2" xfId="20834"/>
    <cellStyle name="40% - Accent1 4 4 2 2 3 2 2" xfId="20835"/>
    <cellStyle name="40% - Accent1 4 4 2 2 3 2 3" xfId="20836"/>
    <cellStyle name="40% - Accent1 4 4 2 2 3 3" xfId="20837"/>
    <cellStyle name="40% - Accent1 4 4 2 2 3 3 2" xfId="20838"/>
    <cellStyle name="40% - Accent1 4 4 2 2 3 3 3" xfId="20839"/>
    <cellStyle name="40% - Accent1 4 4 2 2 3 4" xfId="20840"/>
    <cellStyle name="40% - Accent1 4 4 2 2 3 4 2" xfId="20841"/>
    <cellStyle name="40% - Accent1 4 4 2 2 3 5" xfId="20842"/>
    <cellStyle name="40% - Accent1 4 4 2 2 3 6" xfId="20843"/>
    <cellStyle name="40% - Accent1 4 4 2 2 4" xfId="20844"/>
    <cellStyle name="40% - Accent1 4 4 2 2 4 2" xfId="20845"/>
    <cellStyle name="40% - Accent1 4 4 2 2 4 2 2" xfId="20846"/>
    <cellStyle name="40% - Accent1 4 4 2 2 4 2 3" xfId="20847"/>
    <cellStyle name="40% - Accent1 4 4 2 2 4 3" xfId="20848"/>
    <cellStyle name="40% - Accent1 4 4 2 2 4 3 2" xfId="20849"/>
    <cellStyle name="40% - Accent1 4 4 2 2 4 4" xfId="20850"/>
    <cellStyle name="40% - Accent1 4 4 2 2 4 5" xfId="20851"/>
    <cellStyle name="40% - Accent1 4 4 2 2 5" xfId="20852"/>
    <cellStyle name="40% - Accent1 4 4 2 2 5 2" xfId="20853"/>
    <cellStyle name="40% - Accent1 4 4 2 2 5 3" xfId="20854"/>
    <cellStyle name="40% - Accent1 4 4 2 2 6" xfId="20855"/>
    <cellStyle name="40% - Accent1 4 4 2 2 6 2" xfId="20856"/>
    <cellStyle name="40% - Accent1 4 4 2 2 6 3" xfId="20857"/>
    <cellStyle name="40% - Accent1 4 4 2 2 7" xfId="20858"/>
    <cellStyle name="40% - Accent1 4 4 2 2 7 2" xfId="20859"/>
    <cellStyle name="40% - Accent1 4 4 2 2 8" xfId="20860"/>
    <cellStyle name="40% - Accent1 4 4 2 2 9" xfId="20861"/>
    <cellStyle name="40% - Accent1 4 4 2 3" xfId="20862"/>
    <cellStyle name="40% - Accent1 4 4 2 3 2" xfId="20863"/>
    <cellStyle name="40% - Accent1 4 4 2 3 2 2" xfId="20864"/>
    <cellStyle name="40% - Accent1 4 4 2 3 2 3" xfId="20865"/>
    <cellStyle name="40% - Accent1 4 4 2 3 3" xfId="20866"/>
    <cellStyle name="40% - Accent1 4 4 2 3 3 2" xfId="20867"/>
    <cellStyle name="40% - Accent1 4 4 2 3 3 3" xfId="20868"/>
    <cellStyle name="40% - Accent1 4 4 2 3 4" xfId="20869"/>
    <cellStyle name="40% - Accent1 4 4 2 3 4 2" xfId="20870"/>
    <cellStyle name="40% - Accent1 4 4 2 3 5" xfId="20871"/>
    <cellStyle name="40% - Accent1 4 4 2 3 6" xfId="20872"/>
    <cellStyle name="40% - Accent1 4 4 2 4" xfId="20873"/>
    <cellStyle name="40% - Accent1 4 4 2 4 2" xfId="20874"/>
    <cellStyle name="40% - Accent1 4 4 2 4 2 2" xfId="20875"/>
    <cellStyle name="40% - Accent1 4 4 2 4 2 3" xfId="20876"/>
    <cellStyle name="40% - Accent1 4 4 2 4 3" xfId="20877"/>
    <cellStyle name="40% - Accent1 4 4 2 4 3 2" xfId="20878"/>
    <cellStyle name="40% - Accent1 4 4 2 4 3 3" xfId="20879"/>
    <cellStyle name="40% - Accent1 4 4 2 4 4" xfId="20880"/>
    <cellStyle name="40% - Accent1 4 4 2 4 4 2" xfId="20881"/>
    <cellStyle name="40% - Accent1 4 4 2 4 5" xfId="20882"/>
    <cellStyle name="40% - Accent1 4 4 2 4 6" xfId="20883"/>
    <cellStyle name="40% - Accent1 4 4 2 5" xfId="20884"/>
    <cellStyle name="40% - Accent1 4 4 2 5 2" xfId="20885"/>
    <cellStyle name="40% - Accent1 4 4 2 5 2 2" xfId="20886"/>
    <cellStyle name="40% - Accent1 4 4 2 5 2 3" xfId="20887"/>
    <cellStyle name="40% - Accent1 4 4 2 5 3" xfId="20888"/>
    <cellStyle name="40% - Accent1 4 4 2 5 3 2" xfId="20889"/>
    <cellStyle name="40% - Accent1 4 4 2 5 4" xfId="20890"/>
    <cellStyle name="40% - Accent1 4 4 2 5 5" xfId="20891"/>
    <cellStyle name="40% - Accent1 4 4 2 6" xfId="20892"/>
    <cellStyle name="40% - Accent1 4 4 2 6 2" xfId="20893"/>
    <cellStyle name="40% - Accent1 4 4 2 6 3" xfId="20894"/>
    <cellStyle name="40% - Accent1 4 4 2 7" xfId="20895"/>
    <cellStyle name="40% - Accent1 4 4 2 7 2" xfId="20896"/>
    <cellStyle name="40% - Accent1 4 4 2 7 3" xfId="20897"/>
    <cellStyle name="40% - Accent1 4 4 2 8" xfId="20898"/>
    <cellStyle name="40% - Accent1 4 4 2 8 2" xfId="20899"/>
    <cellStyle name="40% - Accent1 4 4 2 9" xfId="20900"/>
    <cellStyle name="40% - Accent1 4 4 3" xfId="1590"/>
    <cellStyle name="40% - Accent1 4 4 3 2" xfId="20901"/>
    <cellStyle name="40% - Accent1 4 4 3 2 2" xfId="20902"/>
    <cellStyle name="40% - Accent1 4 4 3 2 2 2" xfId="20903"/>
    <cellStyle name="40% - Accent1 4 4 3 2 2 3" xfId="20904"/>
    <cellStyle name="40% - Accent1 4 4 3 2 3" xfId="20905"/>
    <cellStyle name="40% - Accent1 4 4 3 2 3 2" xfId="20906"/>
    <cellStyle name="40% - Accent1 4 4 3 2 3 3" xfId="20907"/>
    <cellStyle name="40% - Accent1 4 4 3 2 4" xfId="20908"/>
    <cellStyle name="40% - Accent1 4 4 3 2 4 2" xfId="20909"/>
    <cellStyle name="40% - Accent1 4 4 3 2 5" xfId="20910"/>
    <cellStyle name="40% - Accent1 4 4 3 2 6" xfId="20911"/>
    <cellStyle name="40% - Accent1 4 4 3 3" xfId="20912"/>
    <cellStyle name="40% - Accent1 4 4 3 3 2" xfId="20913"/>
    <cellStyle name="40% - Accent1 4 4 3 3 2 2" xfId="20914"/>
    <cellStyle name="40% - Accent1 4 4 3 3 2 3" xfId="20915"/>
    <cellStyle name="40% - Accent1 4 4 3 3 3" xfId="20916"/>
    <cellStyle name="40% - Accent1 4 4 3 3 3 2" xfId="20917"/>
    <cellStyle name="40% - Accent1 4 4 3 3 3 3" xfId="20918"/>
    <cellStyle name="40% - Accent1 4 4 3 3 4" xfId="20919"/>
    <cellStyle name="40% - Accent1 4 4 3 3 4 2" xfId="20920"/>
    <cellStyle name="40% - Accent1 4 4 3 3 5" xfId="20921"/>
    <cellStyle name="40% - Accent1 4 4 3 3 6" xfId="20922"/>
    <cellStyle name="40% - Accent1 4 4 3 4" xfId="20923"/>
    <cellStyle name="40% - Accent1 4 4 3 4 2" xfId="20924"/>
    <cellStyle name="40% - Accent1 4 4 3 4 2 2" xfId="20925"/>
    <cellStyle name="40% - Accent1 4 4 3 4 2 3" xfId="20926"/>
    <cellStyle name="40% - Accent1 4 4 3 4 3" xfId="20927"/>
    <cellStyle name="40% - Accent1 4 4 3 4 3 2" xfId="20928"/>
    <cellStyle name="40% - Accent1 4 4 3 4 4" xfId="20929"/>
    <cellStyle name="40% - Accent1 4 4 3 4 5" xfId="20930"/>
    <cellStyle name="40% - Accent1 4 4 3 5" xfId="20931"/>
    <cellStyle name="40% - Accent1 4 4 3 5 2" xfId="20932"/>
    <cellStyle name="40% - Accent1 4 4 3 5 3" xfId="20933"/>
    <cellStyle name="40% - Accent1 4 4 3 6" xfId="20934"/>
    <cellStyle name="40% - Accent1 4 4 3 6 2" xfId="20935"/>
    <cellStyle name="40% - Accent1 4 4 3 6 3" xfId="20936"/>
    <cellStyle name="40% - Accent1 4 4 3 7" xfId="20937"/>
    <cellStyle name="40% - Accent1 4 4 3 7 2" xfId="20938"/>
    <cellStyle name="40% - Accent1 4 4 3 8" xfId="20939"/>
    <cellStyle name="40% - Accent1 4 4 3 9" xfId="20940"/>
    <cellStyle name="40% - Accent1 4 4 4" xfId="20941"/>
    <cellStyle name="40% - Accent1 4 4 4 2" xfId="20942"/>
    <cellStyle name="40% - Accent1 4 4 4 2 2" xfId="20943"/>
    <cellStyle name="40% - Accent1 4 4 4 2 2 2" xfId="20944"/>
    <cellStyle name="40% - Accent1 4 4 4 2 2 3" xfId="20945"/>
    <cellStyle name="40% - Accent1 4 4 4 2 3" xfId="20946"/>
    <cellStyle name="40% - Accent1 4 4 4 2 3 2" xfId="20947"/>
    <cellStyle name="40% - Accent1 4 4 4 2 3 3" xfId="20948"/>
    <cellStyle name="40% - Accent1 4 4 4 2 4" xfId="20949"/>
    <cellStyle name="40% - Accent1 4 4 4 2 4 2" xfId="20950"/>
    <cellStyle name="40% - Accent1 4 4 4 2 5" xfId="20951"/>
    <cellStyle name="40% - Accent1 4 4 4 2 6" xfId="20952"/>
    <cellStyle name="40% - Accent1 4 4 4 3" xfId="20953"/>
    <cellStyle name="40% - Accent1 4 4 4 3 2" xfId="20954"/>
    <cellStyle name="40% - Accent1 4 4 4 3 2 2" xfId="20955"/>
    <cellStyle name="40% - Accent1 4 4 4 3 2 3" xfId="20956"/>
    <cellStyle name="40% - Accent1 4 4 4 3 3" xfId="20957"/>
    <cellStyle name="40% - Accent1 4 4 4 3 3 2" xfId="20958"/>
    <cellStyle name="40% - Accent1 4 4 4 3 3 3" xfId="20959"/>
    <cellStyle name="40% - Accent1 4 4 4 3 4" xfId="20960"/>
    <cellStyle name="40% - Accent1 4 4 4 3 4 2" xfId="20961"/>
    <cellStyle name="40% - Accent1 4 4 4 3 5" xfId="20962"/>
    <cellStyle name="40% - Accent1 4 4 4 3 6" xfId="20963"/>
    <cellStyle name="40% - Accent1 4 4 4 4" xfId="20964"/>
    <cellStyle name="40% - Accent1 4 4 4 4 2" xfId="20965"/>
    <cellStyle name="40% - Accent1 4 4 4 4 2 2" xfId="20966"/>
    <cellStyle name="40% - Accent1 4 4 4 4 2 3" xfId="20967"/>
    <cellStyle name="40% - Accent1 4 4 4 4 3" xfId="20968"/>
    <cellStyle name="40% - Accent1 4 4 4 4 3 2" xfId="20969"/>
    <cellStyle name="40% - Accent1 4 4 4 4 4" xfId="20970"/>
    <cellStyle name="40% - Accent1 4 4 4 4 5" xfId="20971"/>
    <cellStyle name="40% - Accent1 4 4 4 5" xfId="20972"/>
    <cellStyle name="40% - Accent1 4 4 4 5 2" xfId="20973"/>
    <cellStyle name="40% - Accent1 4 4 4 5 3" xfId="20974"/>
    <cellStyle name="40% - Accent1 4 4 4 6" xfId="20975"/>
    <cellStyle name="40% - Accent1 4 4 4 6 2" xfId="20976"/>
    <cellStyle name="40% - Accent1 4 4 4 6 3" xfId="20977"/>
    <cellStyle name="40% - Accent1 4 4 4 7" xfId="20978"/>
    <cellStyle name="40% - Accent1 4 4 4 7 2" xfId="20979"/>
    <cellStyle name="40% - Accent1 4 4 4 8" xfId="20980"/>
    <cellStyle name="40% - Accent1 4 4 4 9" xfId="20981"/>
    <cellStyle name="40% - Accent1 4 4 5" xfId="20982"/>
    <cellStyle name="40% - Accent1 4 4 5 2" xfId="20983"/>
    <cellStyle name="40% - Accent1 4 4 5 2 2" xfId="20984"/>
    <cellStyle name="40% - Accent1 4 4 5 2 3" xfId="20985"/>
    <cellStyle name="40% - Accent1 4 4 5 3" xfId="20986"/>
    <cellStyle name="40% - Accent1 4 4 5 3 2" xfId="20987"/>
    <cellStyle name="40% - Accent1 4 4 5 3 3" xfId="20988"/>
    <cellStyle name="40% - Accent1 4 4 5 4" xfId="20989"/>
    <cellStyle name="40% - Accent1 4 4 5 4 2" xfId="20990"/>
    <cellStyle name="40% - Accent1 4 4 5 5" xfId="20991"/>
    <cellStyle name="40% - Accent1 4 4 5 6" xfId="20992"/>
    <cellStyle name="40% - Accent1 4 4 6" xfId="20993"/>
    <cellStyle name="40% - Accent1 4 4 6 2" xfId="20994"/>
    <cellStyle name="40% - Accent1 4 4 6 2 2" xfId="20995"/>
    <cellStyle name="40% - Accent1 4 4 6 2 3" xfId="20996"/>
    <cellStyle name="40% - Accent1 4 4 6 3" xfId="20997"/>
    <cellStyle name="40% - Accent1 4 4 6 3 2" xfId="20998"/>
    <cellStyle name="40% - Accent1 4 4 6 3 3" xfId="20999"/>
    <cellStyle name="40% - Accent1 4 4 6 4" xfId="21000"/>
    <cellStyle name="40% - Accent1 4 4 6 4 2" xfId="21001"/>
    <cellStyle name="40% - Accent1 4 4 6 5" xfId="21002"/>
    <cellStyle name="40% - Accent1 4 4 6 6" xfId="21003"/>
    <cellStyle name="40% - Accent1 4 4 7" xfId="21004"/>
    <cellStyle name="40% - Accent1 4 4 7 2" xfId="21005"/>
    <cellStyle name="40% - Accent1 4 4 7 2 2" xfId="21006"/>
    <cellStyle name="40% - Accent1 4 4 7 2 3" xfId="21007"/>
    <cellStyle name="40% - Accent1 4 4 7 3" xfId="21008"/>
    <cellStyle name="40% - Accent1 4 4 7 3 2" xfId="21009"/>
    <cellStyle name="40% - Accent1 4 4 7 4" xfId="21010"/>
    <cellStyle name="40% - Accent1 4 4 7 5" xfId="21011"/>
    <cellStyle name="40% - Accent1 4 4 8" xfId="21012"/>
    <cellStyle name="40% - Accent1 4 4 8 2" xfId="21013"/>
    <cellStyle name="40% - Accent1 4 4 8 3" xfId="21014"/>
    <cellStyle name="40% - Accent1 4 4 9" xfId="21015"/>
    <cellStyle name="40% - Accent1 4 4 9 2" xfId="21016"/>
    <cellStyle name="40% - Accent1 4 4 9 3" xfId="21017"/>
    <cellStyle name="40% - Accent1 4 5" xfId="1591"/>
    <cellStyle name="40% - Accent1 4 5 10" xfId="21018"/>
    <cellStyle name="40% - Accent1 4 5 2" xfId="1592"/>
    <cellStyle name="40% - Accent1 4 5 2 2" xfId="21019"/>
    <cellStyle name="40% - Accent1 4 5 2 2 2" xfId="21020"/>
    <cellStyle name="40% - Accent1 4 5 2 2 2 2" xfId="21021"/>
    <cellStyle name="40% - Accent1 4 5 2 2 2 3" xfId="21022"/>
    <cellStyle name="40% - Accent1 4 5 2 2 3" xfId="21023"/>
    <cellStyle name="40% - Accent1 4 5 2 2 3 2" xfId="21024"/>
    <cellStyle name="40% - Accent1 4 5 2 2 3 3" xfId="21025"/>
    <cellStyle name="40% - Accent1 4 5 2 2 4" xfId="21026"/>
    <cellStyle name="40% - Accent1 4 5 2 2 4 2" xfId="21027"/>
    <cellStyle name="40% - Accent1 4 5 2 2 5" xfId="21028"/>
    <cellStyle name="40% - Accent1 4 5 2 2 6" xfId="21029"/>
    <cellStyle name="40% - Accent1 4 5 2 3" xfId="21030"/>
    <cellStyle name="40% - Accent1 4 5 2 3 2" xfId="21031"/>
    <cellStyle name="40% - Accent1 4 5 2 3 2 2" xfId="21032"/>
    <cellStyle name="40% - Accent1 4 5 2 3 2 3" xfId="21033"/>
    <cellStyle name="40% - Accent1 4 5 2 3 3" xfId="21034"/>
    <cellStyle name="40% - Accent1 4 5 2 3 3 2" xfId="21035"/>
    <cellStyle name="40% - Accent1 4 5 2 3 3 3" xfId="21036"/>
    <cellStyle name="40% - Accent1 4 5 2 3 4" xfId="21037"/>
    <cellStyle name="40% - Accent1 4 5 2 3 4 2" xfId="21038"/>
    <cellStyle name="40% - Accent1 4 5 2 3 5" xfId="21039"/>
    <cellStyle name="40% - Accent1 4 5 2 3 6" xfId="21040"/>
    <cellStyle name="40% - Accent1 4 5 2 4" xfId="21041"/>
    <cellStyle name="40% - Accent1 4 5 2 4 2" xfId="21042"/>
    <cellStyle name="40% - Accent1 4 5 2 4 2 2" xfId="21043"/>
    <cellStyle name="40% - Accent1 4 5 2 4 2 3" xfId="21044"/>
    <cellStyle name="40% - Accent1 4 5 2 4 3" xfId="21045"/>
    <cellStyle name="40% - Accent1 4 5 2 4 3 2" xfId="21046"/>
    <cellStyle name="40% - Accent1 4 5 2 4 4" xfId="21047"/>
    <cellStyle name="40% - Accent1 4 5 2 4 5" xfId="21048"/>
    <cellStyle name="40% - Accent1 4 5 2 5" xfId="21049"/>
    <cellStyle name="40% - Accent1 4 5 2 5 2" xfId="21050"/>
    <cellStyle name="40% - Accent1 4 5 2 5 3" xfId="21051"/>
    <cellStyle name="40% - Accent1 4 5 2 6" xfId="21052"/>
    <cellStyle name="40% - Accent1 4 5 2 6 2" xfId="21053"/>
    <cellStyle name="40% - Accent1 4 5 2 6 3" xfId="21054"/>
    <cellStyle name="40% - Accent1 4 5 2 7" xfId="21055"/>
    <cellStyle name="40% - Accent1 4 5 2 7 2" xfId="21056"/>
    <cellStyle name="40% - Accent1 4 5 2 8" xfId="21057"/>
    <cellStyle name="40% - Accent1 4 5 2 9" xfId="21058"/>
    <cellStyle name="40% - Accent1 4 5 3" xfId="21059"/>
    <cellStyle name="40% - Accent1 4 5 3 2" xfId="21060"/>
    <cellStyle name="40% - Accent1 4 5 3 2 2" xfId="21061"/>
    <cellStyle name="40% - Accent1 4 5 3 2 3" xfId="21062"/>
    <cellStyle name="40% - Accent1 4 5 3 3" xfId="21063"/>
    <cellStyle name="40% - Accent1 4 5 3 3 2" xfId="21064"/>
    <cellStyle name="40% - Accent1 4 5 3 3 3" xfId="21065"/>
    <cellStyle name="40% - Accent1 4 5 3 4" xfId="21066"/>
    <cellStyle name="40% - Accent1 4 5 3 4 2" xfId="21067"/>
    <cellStyle name="40% - Accent1 4 5 3 5" xfId="21068"/>
    <cellStyle name="40% - Accent1 4 5 3 6" xfId="21069"/>
    <cellStyle name="40% - Accent1 4 5 4" xfId="21070"/>
    <cellStyle name="40% - Accent1 4 5 4 2" xfId="21071"/>
    <cellStyle name="40% - Accent1 4 5 4 2 2" xfId="21072"/>
    <cellStyle name="40% - Accent1 4 5 4 2 3" xfId="21073"/>
    <cellStyle name="40% - Accent1 4 5 4 3" xfId="21074"/>
    <cellStyle name="40% - Accent1 4 5 4 3 2" xfId="21075"/>
    <cellStyle name="40% - Accent1 4 5 4 3 3" xfId="21076"/>
    <cellStyle name="40% - Accent1 4 5 4 4" xfId="21077"/>
    <cellStyle name="40% - Accent1 4 5 4 4 2" xfId="21078"/>
    <cellStyle name="40% - Accent1 4 5 4 5" xfId="21079"/>
    <cellStyle name="40% - Accent1 4 5 4 6" xfId="21080"/>
    <cellStyle name="40% - Accent1 4 5 5" xfId="21081"/>
    <cellStyle name="40% - Accent1 4 5 5 2" xfId="21082"/>
    <cellStyle name="40% - Accent1 4 5 5 2 2" xfId="21083"/>
    <cellStyle name="40% - Accent1 4 5 5 2 3" xfId="21084"/>
    <cellStyle name="40% - Accent1 4 5 5 3" xfId="21085"/>
    <cellStyle name="40% - Accent1 4 5 5 3 2" xfId="21086"/>
    <cellStyle name="40% - Accent1 4 5 5 4" xfId="21087"/>
    <cellStyle name="40% - Accent1 4 5 5 5" xfId="21088"/>
    <cellStyle name="40% - Accent1 4 5 6" xfId="21089"/>
    <cellStyle name="40% - Accent1 4 5 6 2" xfId="21090"/>
    <cellStyle name="40% - Accent1 4 5 6 3" xfId="21091"/>
    <cellStyle name="40% - Accent1 4 5 7" xfId="21092"/>
    <cellStyle name="40% - Accent1 4 5 7 2" xfId="21093"/>
    <cellStyle name="40% - Accent1 4 5 7 3" xfId="21094"/>
    <cellStyle name="40% - Accent1 4 5 8" xfId="21095"/>
    <cellStyle name="40% - Accent1 4 5 8 2" xfId="21096"/>
    <cellStyle name="40% - Accent1 4 5 9" xfId="21097"/>
    <cellStyle name="40% - Accent1 4 6" xfId="1593"/>
    <cellStyle name="40% - Accent1 4 6 2" xfId="21098"/>
    <cellStyle name="40% - Accent1 4 6 2 2" xfId="21099"/>
    <cellStyle name="40% - Accent1 4 6 2 2 2" xfId="21100"/>
    <cellStyle name="40% - Accent1 4 6 2 2 3" xfId="21101"/>
    <cellStyle name="40% - Accent1 4 6 2 3" xfId="21102"/>
    <cellStyle name="40% - Accent1 4 6 2 3 2" xfId="21103"/>
    <cellStyle name="40% - Accent1 4 6 2 3 3" xfId="21104"/>
    <cellStyle name="40% - Accent1 4 6 2 4" xfId="21105"/>
    <cellStyle name="40% - Accent1 4 6 2 4 2" xfId="21106"/>
    <cellStyle name="40% - Accent1 4 6 2 5" xfId="21107"/>
    <cellStyle name="40% - Accent1 4 6 2 6" xfId="21108"/>
    <cellStyle name="40% - Accent1 4 6 3" xfId="21109"/>
    <cellStyle name="40% - Accent1 4 6 3 2" xfId="21110"/>
    <cellStyle name="40% - Accent1 4 6 3 2 2" xfId="21111"/>
    <cellStyle name="40% - Accent1 4 6 3 2 3" xfId="21112"/>
    <cellStyle name="40% - Accent1 4 6 3 3" xfId="21113"/>
    <cellStyle name="40% - Accent1 4 6 3 3 2" xfId="21114"/>
    <cellStyle name="40% - Accent1 4 6 3 3 3" xfId="21115"/>
    <cellStyle name="40% - Accent1 4 6 3 4" xfId="21116"/>
    <cellStyle name="40% - Accent1 4 6 3 4 2" xfId="21117"/>
    <cellStyle name="40% - Accent1 4 6 3 5" xfId="21118"/>
    <cellStyle name="40% - Accent1 4 6 3 6" xfId="21119"/>
    <cellStyle name="40% - Accent1 4 6 4" xfId="21120"/>
    <cellStyle name="40% - Accent1 4 6 4 2" xfId="21121"/>
    <cellStyle name="40% - Accent1 4 6 4 2 2" xfId="21122"/>
    <cellStyle name="40% - Accent1 4 6 4 2 3" xfId="21123"/>
    <cellStyle name="40% - Accent1 4 6 4 3" xfId="21124"/>
    <cellStyle name="40% - Accent1 4 6 4 3 2" xfId="21125"/>
    <cellStyle name="40% - Accent1 4 6 4 4" xfId="21126"/>
    <cellStyle name="40% - Accent1 4 6 4 5" xfId="21127"/>
    <cellStyle name="40% - Accent1 4 6 5" xfId="21128"/>
    <cellStyle name="40% - Accent1 4 6 5 2" xfId="21129"/>
    <cellStyle name="40% - Accent1 4 6 5 3" xfId="21130"/>
    <cellStyle name="40% - Accent1 4 6 6" xfId="21131"/>
    <cellStyle name="40% - Accent1 4 6 6 2" xfId="21132"/>
    <cellStyle name="40% - Accent1 4 6 6 3" xfId="21133"/>
    <cellStyle name="40% - Accent1 4 6 7" xfId="21134"/>
    <cellStyle name="40% - Accent1 4 6 7 2" xfId="21135"/>
    <cellStyle name="40% - Accent1 4 6 8" xfId="21136"/>
    <cellStyle name="40% - Accent1 4 6 9" xfId="21137"/>
    <cellStyle name="40% - Accent1 4 7" xfId="8954"/>
    <cellStyle name="40% - Accent1 4 7 2" xfId="21138"/>
    <cellStyle name="40% - Accent1 4 7 2 2" xfId="21139"/>
    <cellStyle name="40% - Accent1 4 7 2 2 2" xfId="21140"/>
    <cellStyle name="40% - Accent1 4 7 2 2 3" xfId="21141"/>
    <cellStyle name="40% - Accent1 4 7 2 3" xfId="21142"/>
    <cellStyle name="40% - Accent1 4 7 2 3 2" xfId="21143"/>
    <cellStyle name="40% - Accent1 4 7 2 3 3" xfId="21144"/>
    <cellStyle name="40% - Accent1 4 7 2 4" xfId="21145"/>
    <cellStyle name="40% - Accent1 4 7 2 4 2" xfId="21146"/>
    <cellStyle name="40% - Accent1 4 7 2 5" xfId="21147"/>
    <cellStyle name="40% - Accent1 4 7 2 6" xfId="21148"/>
    <cellStyle name="40% - Accent1 4 7 3" xfId="21149"/>
    <cellStyle name="40% - Accent1 4 7 3 2" xfId="21150"/>
    <cellStyle name="40% - Accent1 4 7 3 2 2" xfId="21151"/>
    <cellStyle name="40% - Accent1 4 7 3 2 3" xfId="21152"/>
    <cellStyle name="40% - Accent1 4 7 3 3" xfId="21153"/>
    <cellStyle name="40% - Accent1 4 7 3 3 2" xfId="21154"/>
    <cellStyle name="40% - Accent1 4 7 3 3 3" xfId="21155"/>
    <cellStyle name="40% - Accent1 4 7 3 4" xfId="21156"/>
    <cellStyle name="40% - Accent1 4 7 3 4 2" xfId="21157"/>
    <cellStyle name="40% - Accent1 4 7 3 5" xfId="21158"/>
    <cellStyle name="40% - Accent1 4 7 3 6" xfId="21159"/>
    <cellStyle name="40% - Accent1 4 7 4" xfId="21160"/>
    <cellStyle name="40% - Accent1 4 7 4 2" xfId="21161"/>
    <cellStyle name="40% - Accent1 4 7 4 2 2" xfId="21162"/>
    <cellStyle name="40% - Accent1 4 7 4 2 3" xfId="21163"/>
    <cellStyle name="40% - Accent1 4 7 4 3" xfId="21164"/>
    <cellStyle name="40% - Accent1 4 7 4 3 2" xfId="21165"/>
    <cellStyle name="40% - Accent1 4 7 4 4" xfId="21166"/>
    <cellStyle name="40% - Accent1 4 7 4 5" xfId="21167"/>
    <cellStyle name="40% - Accent1 4 7 5" xfId="21168"/>
    <cellStyle name="40% - Accent1 4 7 5 2" xfId="21169"/>
    <cellStyle name="40% - Accent1 4 7 5 3" xfId="21170"/>
    <cellStyle name="40% - Accent1 4 7 6" xfId="21171"/>
    <cellStyle name="40% - Accent1 4 7 6 2" xfId="21172"/>
    <cellStyle name="40% - Accent1 4 7 6 3" xfId="21173"/>
    <cellStyle name="40% - Accent1 4 7 7" xfId="21174"/>
    <cellStyle name="40% - Accent1 4 7 7 2" xfId="21175"/>
    <cellStyle name="40% - Accent1 4 7 8" xfId="21176"/>
    <cellStyle name="40% - Accent1 4 7 9" xfId="21177"/>
    <cellStyle name="40% - Accent1 4 8" xfId="21178"/>
    <cellStyle name="40% - Accent1 4 8 2" xfId="21179"/>
    <cellStyle name="40% - Accent1 4 8 2 2" xfId="21180"/>
    <cellStyle name="40% - Accent1 4 8 2 3" xfId="21181"/>
    <cellStyle name="40% - Accent1 4 8 3" xfId="21182"/>
    <cellStyle name="40% - Accent1 4 8 3 2" xfId="21183"/>
    <cellStyle name="40% - Accent1 4 8 3 3" xfId="21184"/>
    <cellStyle name="40% - Accent1 4 8 4" xfId="21185"/>
    <cellStyle name="40% - Accent1 4 8 4 2" xfId="21186"/>
    <cellStyle name="40% - Accent1 4 8 5" xfId="21187"/>
    <cellStyle name="40% - Accent1 4 8 6" xfId="21188"/>
    <cellStyle name="40% - Accent1 4 9" xfId="21189"/>
    <cellStyle name="40% - Accent1 4 9 2" xfId="21190"/>
    <cellStyle name="40% - Accent1 4 9 2 2" xfId="21191"/>
    <cellStyle name="40% - Accent1 4 9 2 3" xfId="21192"/>
    <cellStyle name="40% - Accent1 4 9 3" xfId="21193"/>
    <cellStyle name="40% - Accent1 4 9 3 2" xfId="21194"/>
    <cellStyle name="40% - Accent1 4 9 3 3" xfId="21195"/>
    <cellStyle name="40% - Accent1 4 9 4" xfId="21196"/>
    <cellStyle name="40% - Accent1 4 9 4 2" xfId="21197"/>
    <cellStyle name="40% - Accent1 4 9 5" xfId="21198"/>
    <cellStyle name="40% - Accent1 4 9 6" xfId="21199"/>
    <cellStyle name="40% - Accent1 5" xfId="1594"/>
    <cellStyle name="40% - Accent1 5 2" xfId="1595"/>
    <cellStyle name="40% - Accent1 5 2 2" xfId="1596"/>
    <cellStyle name="40% - Accent1 5 2 2 2" xfId="1597"/>
    <cellStyle name="40% - Accent1 5 2 2 2 2" xfId="1598"/>
    <cellStyle name="40% - Accent1 5 2 2 3" xfId="1599"/>
    <cellStyle name="40% - Accent1 5 2 3" xfId="1600"/>
    <cellStyle name="40% - Accent1 5 2 3 2" xfId="1601"/>
    <cellStyle name="40% - Accent1 5 2 4" xfId="1602"/>
    <cellStyle name="40% - Accent1 5 2 5" xfId="58002"/>
    <cellStyle name="40% - Accent1 5 3" xfId="1603"/>
    <cellStyle name="40% - Accent1 5 3 2" xfId="1604"/>
    <cellStyle name="40% - Accent1 5 3 2 2" xfId="1605"/>
    <cellStyle name="40% - Accent1 5 3 3" xfId="1606"/>
    <cellStyle name="40% - Accent1 5 4" xfId="1607"/>
    <cellStyle name="40% - Accent1 5 4 2" xfId="1608"/>
    <cellStyle name="40% - Accent1 5 5" xfId="1609"/>
    <cellStyle name="40% - Accent1 5 6" xfId="8955"/>
    <cellStyle name="40% - Accent1 6" xfId="1610"/>
    <cellStyle name="40% - Accent1 6 2" xfId="1611"/>
    <cellStyle name="40% - Accent1 6 2 2" xfId="1612"/>
    <cellStyle name="40% - Accent1 6 2 2 2" xfId="1613"/>
    <cellStyle name="40% - Accent1 6 2 3" xfId="1614"/>
    <cellStyle name="40% - Accent1 6 2 4" xfId="58003"/>
    <cellStyle name="40% - Accent1 6 2 5" xfId="58004"/>
    <cellStyle name="40% - Accent1 6 3" xfId="1615"/>
    <cellStyle name="40% - Accent1 6 3 2" xfId="1616"/>
    <cellStyle name="40% - Accent1 6 4" xfId="1617"/>
    <cellStyle name="40% - Accent1 6 5" xfId="58005"/>
    <cellStyle name="40% - Accent1 7" xfId="1618"/>
    <cellStyle name="40% - Accent1 7 2" xfId="1619"/>
    <cellStyle name="40% - Accent1 7 2 2" xfId="1620"/>
    <cellStyle name="40% - Accent1 7 2 2 2" xfId="1621"/>
    <cellStyle name="40% - Accent1 7 2 3" xfId="1622"/>
    <cellStyle name="40% - Accent1 7 3" xfId="1623"/>
    <cellStyle name="40% - Accent1 7 3 2" xfId="1624"/>
    <cellStyle name="40% - Accent1 7 4" xfId="1625"/>
    <cellStyle name="40% - Accent1 7 5" xfId="58006"/>
    <cellStyle name="40% - Accent1 8" xfId="1626"/>
    <cellStyle name="40% - Accent1 8 2" xfId="1627"/>
    <cellStyle name="40% - Accent1 8 2 2" xfId="1628"/>
    <cellStyle name="40% - Accent1 8 2 2 2" xfId="1629"/>
    <cellStyle name="40% - Accent1 8 2 3" xfId="1630"/>
    <cellStyle name="40% - Accent1 8 3" xfId="1631"/>
    <cellStyle name="40% - Accent1 8 3 2" xfId="1632"/>
    <cellStyle name="40% - Accent1 8 4" xfId="1633"/>
    <cellStyle name="40% - Accent1 8 5" xfId="58007"/>
    <cellStyle name="40% - Accent1 9" xfId="1634"/>
    <cellStyle name="40% - Accent1 9 2" xfId="1635"/>
    <cellStyle name="40% - Accent1 9 2 2" xfId="1636"/>
    <cellStyle name="40% - Accent1 9 3" xfId="1637"/>
    <cellStyle name="40% - Accent1 9 4" xfId="58008"/>
    <cellStyle name="40% - Accent2 10" xfId="1638"/>
    <cellStyle name="40% - Accent2 10 2" xfId="1639"/>
    <cellStyle name="40% - Accent2 10 2 2" xfId="1640"/>
    <cellStyle name="40% - Accent2 10 3" xfId="1641"/>
    <cellStyle name="40% - Accent2 10 4" xfId="58009"/>
    <cellStyle name="40% - Accent2 11" xfId="1642"/>
    <cellStyle name="40% - Accent2 11 2" xfId="1643"/>
    <cellStyle name="40% - Accent2 11 2 2" xfId="1644"/>
    <cellStyle name="40% - Accent2 11 3" xfId="1645"/>
    <cellStyle name="40% - Accent2 11 4" xfId="58010"/>
    <cellStyle name="40% - Accent2 12" xfId="1646"/>
    <cellStyle name="40% - Accent2 12 2" xfId="1647"/>
    <cellStyle name="40% - Accent2 12 3" xfId="58011"/>
    <cellStyle name="40% - Accent2 13" xfId="1648"/>
    <cellStyle name="40% - Accent2 13 2" xfId="58012"/>
    <cellStyle name="40% - Accent2 14" xfId="8956"/>
    <cellStyle name="40% - Accent2 15" xfId="9399"/>
    <cellStyle name="40% - Accent2 16" xfId="9400"/>
    <cellStyle name="40% - Accent2 17" xfId="9401"/>
    <cellStyle name="40% - Accent2 18" xfId="58013"/>
    <cellStyle name="40% - Accent2 19" xfId="58014"/>
    <cellStyle name="40% - Accent2 2" xfId="1649"/>
    <cellStyle name="40% - Accent2 2 2" xfId="1650"/>
    <cellStyle name="40% - Accent2 2 2 2" xfId="1651"/>
    <cellStyle name="40% - Accent2 2 2 2 2" xfId="1652"/>
    <cellStyle name="40% - Accent2 2 2 2 2 2" xfId="1653"/>
    <cellStyle name="40% - Accent2 2 2 2 2 2 2" xfId="1654"/>
    <cellStyle name="40% - Accent2 2 2 2 2 2 2 2" xfId="1655"/>
    <cellStyle name="40% - Accent2 2 2 2 2 2 3" xfId="1656"/>
    <cellStyle name="40% - Accent2 2 2 2 2 3" xfId="1657"/>
    <cellStyle name="40% - Accent2 2 2 2 2 3 2" xfId="1658"/>
    <cellStyle name="40% - Accent2 2 2 2 2 4" xfId="1659"/>
    <cellStyle name="40% - Accent2 2 2 2 2 5" xfId="58015"/>
    <cellStyle name="40% - Accent2 2 2 2 3" xfId="1660"/>
    <cellStyle name="40% - Accent2 2 2 2 3 2" xfId="1661"/>
    <cellStyle name="40% - Accent2 2 2 2 3 2 2" xfId="1662"/>
    <cellStyle name="40% - Accent2 2 2 2 3 3" xfId="1663"/>
    <cellStyle name="40% - Accent2 2 2 2 4" xfId="1664"/>
    <cellStyle name="40% - Accent2 2 2 2 4 2" xfId="1665"/>
    <cellStyle name="40% - Accent2 2 2 2 5" xfId="1666"/>
    <cellStyle name="40% - Accent2 2 2 2 6" xfId="58016"/>
    <cellStyle name="40% - Accent2 2 2 3" xfId="1667"/>
    <cellStyle name="40% - Accent2 2 2 3 2" xfId="1668"/>
    <cellStyle name="40% - Accent2 2 2 3 2 2" xfId="1669"/>
    <cellStyle name="40% - Accent2 2 2 3 2 2 2" xfId="1670"/>
    <cellStyle name="40% - Accent2 2 2 3 2 3" xfId="1671"/>
    <cellStyle name="40% - Accent2 2 2 3 3" xfId="1672"/>
    <cellStyle name="40% - Accent2 2 2 3 3 2" xfId="1673"/>
    <cellStyle name="40% - Accent2 2 2 3 4" xfId="1674"/>
    <cellStyle name="40% - Accent2 2 2 3 5" xfId="58017"/>
    <cellStyle name="40% - Accent2 2 2 4" xfId="1675"/>
    <cellStyle name="40% - Accent2 2 2 4 2" xfId="1676"/>
    <cellStyle name="40% - Accent2 2 2 4 2 2" xfId="1677"/>
    <cellStyle name="40% - Accent2 2 2 4 3" xfId="1678"/>
    <cellStyle name="40% - Accent2 2 2 5" xfId="1679"/>
    <cellStyle name="40% - Accent2 2 2 5 2" xfId="1680"/>
    <cellStyle name="40% - Accent2 2 2 6" xfId="1681"/>
    <cellStyle name="40% - Accent2 2 2 7" xfId="58018"/>
    <cellStyle name="40% - Accent2 2 3" xfId="1682"/>
    <cellStyle name="40% - Accent2 2 3 2" xfId="1683"/>
    <cellStyle name="40% - Accent2 2 3 2 2" xfId="1684"/>
    <cellStyle name="40% - Accent2 2 3 2 2 2" xfId="1685"/>
    <cellStyle name="40% - Accent2 2 3 2 2 2 2" xfId="1686"/>
    <cellStyle name="40% - Accent2 2 3 2 2 3" xfId="1687"/>
    <cellStyle name="40% - Accent2 2 3 2 3" xfId="1688"/>
    <cellStyle name="40% - Accent2 2 3 2 3 2" xfId="1689"/>
    <cellStyle name="40% - Accent2 2 3 2 4" xfId="1690"/>
    <cellStyle name="40% - Accent2 2 3 3" xfId="1691"/>
    <cellStyle name="40% - Accent2 2 3 3 2" xfId="1692"/>
    <cellStyle name="40% - Accent2 2 3 3 2 2" xfId="1693"/>
    <cellStyle name="40% - Accent2 2 3 3 3" xfId="1694"/>
    <cellStyle name="40% - Accent2 2 3 4" xfId="1695"/>
    <cellStyle name="40% - Accent2 2 3 4 2" xfId="1696"/>
    <cellStyle name="40% - Accent2 2 3 5" xfId="1697"/>
    <cellStyle name="40% - Accent2 2 3 6" xfId="58019"/>
    <cellStyle name="40% - Accent2 2 4" xfId="1698"/>
    <cellStyle name="40% - Accent2 2 4 2" xfId="1699"/>
    <cellStyle name="40% - Accent2 2 4 2 2" xfId="1700"/>
    <cellStyle name="40% - Accent2 2 4 2 2 2" xfId="1701"/>
    <cellStyle name="40% - Accent2 2 4 2 3" xfId="1702"/>
    <cellStyle name="40% - Accent2 2 4 3" xfId="1703"/>
    <cellStyle name="40% - Accent2 2 4 3 2" xfId="1704"/>
    <cellStyle name="40% - Accent2 2 4 4" xfId="1705"/>
    <cellStyle name="40% - Accent2 2 4 5" xfId="58020"/>
    <cellStyle name="40% - Accent2 2 5" xfId="1706"/>
    <cellStyle name="40% - Accent2 2 5 2" xfId="1707"/>
    <cellStyle name="40% - Accent2 2 5 2 2" xfId="1708"/>
    <cellStyle name="40% - Accent2 2 5 3" xfId="1709"/>
    <cellStyle name="40% - Accent2 2 5 4" xfId="58021"/>
    <cellStyle name="40% - Accent2 2 6" xfId="1710"/>
    <cellStyle name="40% - Accent2 2 6 2" xfId="1711"/>
    <cellStyle name="40% - Accent2 2 6 3" xfId="58022"/>
    <cellStyle name="40% - Accent2 2 7" xfId="1712"/>
    <cellStyle name="40% - Accent2 2 8" xfId="1713"/>
    <cellStyle name="40% - Accent2 2 9" xfId="58023"/>
    <cellStyle name="40% - Accent2 20" xfId="58024"/>
    <cellStyle name="40% - Accent2 21" xfId="58025"/>
    <cellStyle name="40% - Accent2 3" xfId="1714"/>
    <cellStyle name="40% - Accent2 3 2" xfId="1715"/>
    <cellStyle name="40% - Accent2 3 2 2" xfId="1716"/>
    <cellStyle name="40% - Accent2 3 2 2 2" xfId="1717"/>
    <cellStyle name="40% - Accent2 3 2 2 2 2" xfId="1718"/>
    <cellStyle name="40% - Accent2 3 2 2 2 2 2" xfId="1719"/>
    <cellStyle name="40% - Accent2 3 2 2 2 2 2 2" xfId="1720"/>
    <cellStyle name="40% - Accent2 3 2 2 2 2 3" xfId="1721"/>
    <cellStyle name="40% - Accent2 3 2 2 2 3" xfId="1722"/>
    <cellStyle name="40% - Accent2 3 2 2 2 3 2" xfId="1723"/>
    <cellStyle name="40% - Accent2 3 2 2 2 4" xfId="1724"/>
    <cellStyle name="40% - Accent2 3 2 2 2 5" xfId="8957"/>
    <cellStyle name="40% - Accent2 3 2 2 3" xfId="1725"/>
    <cellStyle name="40% - Accent2 3 2 2 3 2" xfId="1726"/>
    <cellStyle name="40% - Accent2 3 2 2 3 2 2" xfId="1727"/>
    <cellStyle name="40% - Accent2 3 2 2 3 3" xfId="1728"/>
    <cellStyle name="40% - Accent2 3 2 2 4" xfId="1729"/>
    <cellStyle name="40% - Accent2 3 2 2 4 2" xfId="1730"/>
    <cellStyle name="40% - Accent2 3 2 2 5" xfId="1731"/>
    <cellStyle name="40% - Accent2 3 2 2 6" xfId="8958"/>
    <cellStyle name="40% - Accent2 3 2 3" xfId="1732"/>
    <cellStyle name="40% - Accent2 3 2 3 2" xfId="1733"/>
    <cellStyle name="40% - Accent2 3 2 3 2 2" xfId="1734"/>
    <cellStyle name="40% - Accent2 3 2 3 2 2 2" xfId="1735"/>
    <cellStyle name="40% - Accent2 3 2 3 2 3" xfId="1736"/>
    <cellStyle name="40% - Accent2 3 2 3 3" xfId="1737"/>
    <cellStyle name="40% - Accent2 3 2 3 3 2" xfId="1738"/>
    <cellStyle name="40% - Accent2 3 2 3 4" xfId="1739"/>
    <cellStyle name="40% - Accent2 3 2 3 5" xfId="8959"/>
    <cellStyle name="40% - Accent2 3 2 4" xfId="1740"/>
    <cellStyle name="40% - Accent2 3 2 4 2" xfId="1741"/>
    <cellStyle name="40% - Accent2 3 2 4 2 2" xfId="1742"/>
    <cellStyle name="40% - Accent2 3 2 4 3" xfId="1743"/>
    <cellStyle name="40% - Accent2 3 2 5" xfId="1744"/>
    <cellStyle name="40% - Accent2 3 2 5 2" xfId="1745"/>
    <cellStyle name="40% - Accent2 3 2 6" xfId="1746"/>
    <cellStyle name="40% - Accent2 3 2 7" xfId="8960"/>
    <cellStyle name="40% - Accent2 3 3" xfId="1747"/>
    <cellStyle name="40% - Accent2 3 3 2" xfId="1748"/>
    <cellStyle name="40% - Accent2 3 3 2 2" xfId="1749"/>
    <cellStyle name="40% - Accent2 3 3 2 2 2" xfId="1750"/>
    <cellStyle name="40% - Accent2 3 3 2 2 2 2" xfId="1751"/>
    <cellStyle name="40% - Accent2 3 3 2 2 3" xfId="1752"/>
    <cellStyle name="40% - Accent2 3 3 2 3" xfId="1753"/>
    <cellStyle name="40% - Accent2 3 3 2 3 2" xfId="1754"/>
    <cellStyle name="40% - Accent2 3 3 2 4" xfId="1755"/>
    <cellStyle name="40% - Accent2 3 3 2 5" xfId="8961"/>
    <cellStyle name="40% - Accent2 3 3 3" xfId="1756"/>
    <cellStyle name="40% - Accent2 3 3 3 2" xfId="1757"/>
    <cellStyle name="40% - Accent2 3 3 3 2 2" xfId="1758"/>
    <cellStyle name="40% - Accent2 3 3 3 3" xfId="1759"/>
    <cellStyle name="40% - Accent2 3 3 4" xfId="1760"/>
    <cellStyle name="40% - Accent2 3 3 4 2" xfId="1761"/>
    <cellStyle name="40% - Accent2 3 3 5" xfId="1762"/>
    <cellStyle name="40% - Accent2 3 3 6" xfId="8962"/>
    <cellStyle name="40% - Accent2 3 4" xfId="1763"/>
    <cellStyle name="40% - Accent2 3 4 2" xfId="1764"/>
    <cellStyle name="40% - Accent2 3 4 2 2" xfId="1765"/>
    <cellStyle name="40% - Accent2 3 4 2 2 2" xfId="1766"/>
    <cellStyle name="40% - Accent2 3 4 2 3" xfId="1767"/>
    <cellStyle name="40% - Accent2 3 4 3" xfId="1768"/>
    <cellStyle name="40% - Accent2 3 4 3 2" xfId="1769"/>
    <cellStyle name="40% - Accent2 3 4 4" xfId="1770"/>
    <cellStyle name="40% - Accent2 3 4 5" xfId="8963"/>
    <cellStyle name="40% - Accent2 3 5" xfId="1771"/>
    <cellStyle name="40% - Accent2 3 5 2" xfId="1772"/>
    <cellStyle name="40% - Accent2 3 5 2 2" xfId="1773"/>
    <cellStyle name="40% - Accent2 3 5 3" xfId="1774"/>
    <cellStyle name="40% - Accent2 3 6" xfId="1775"/>
    <cellStyle name="40% - Accent2 3 6 2" xfId="1776"/>
    <cellStyle name="40% - Accent2 3 7" xfId="1777"/>
    <cellStyle name="40% - Accent2 3 8" xfId="1778"/>
    <cellStyle name="40% - Accent2 3 9" xfId="8964"/>
    <cellStyle name="40% - Accent2 4" xfId="1779"/>
    <cellStyle name="40% - Accent2 4 10" xfId="21200"/>
    <cellStyle name="40% - Accent2 4 10 2" xfId="21201"/>
    <cellStyle name="40% - Accent2 4 10 2 2" xfId="21202"/>
    <cellStyle name="40% - Accent2 4 10 2 3" xfId="21203"/>
    <cellStyle name="40% - Accent2 4 10 3" xfId="21204"/>
    <cellStyle name="40% - Accent2 4 10 3 2" xfId="21205"/>
    <cellStyle name="40% - Accent2 4 10 4" xfId="21206"/>
    <cellStyle name="40% - Accent2 4 10 5" xfId="21207"/>
    <cellStyle name="40% - Accent2 4 11" xfId="21208"/>
    <cellStyle name="40% - Accent2 4 11 2" xfId="21209"/>
    <cellStyle name="40% - Accent2 4 11 3" xfId="21210"/>
    <cellStyle name="40% - Accent2 4 12" xfId="21211"/>
    <cellStyle name="40% - Accent2 4 12 2" xfId="21212"/>
    <cellStyle name="40% - Accent2 4 12 3" xfId="21213"/>
    <cellStyle name="40% - Accent2 4 13" xfId="21214"/>
    <cellStyle name="40% - Accent2 4 13 2" xfId="21215"/>
    <cellStyle name="40% - Accent2 4 14" xfId="21216"/>
    <cellStyle name="40% - Accent2 4 15" xfId="21217"/>
    <cellStyle name="40% - Accent2 4 16" xfId="21218"/>
    <cellStyle name="40% - Accent2 4 2" xfId="1780"/>
    <cellStyle name="40% - Accent2 4 2 10" xfId="21219"/>
    <cellStyle name="40% - Accent2 4 2 10 2" xfId="21220"/>
    <cellStyle name="40% - Accent2 4 2 10 3" xfId="21221"/>
    <cellStyle name="40% - Accent2 4 2 11" xfId="21222"/>
    <cellStyle name="40% - Accent2 4 2 11 2" xfId="21223"/>
    <cellStyle name="40% - Accent2 4 2 11 3" xfId="21224"/>
    <cellStyle name="40% - Accent2 4 2 12" xfId="21225"/>
    <cellStyle name="40% - Accent2 4 2 12 2" xfId="21226"/>
    <cellStyle name="40% - Accent2 4 2 13" xfId="21227"/>
    <cellStyle name="40% - Accent2 4 2 14" xfId="21228"/>
    <cellStyle name="40% - Accent2 4 2 15" xfId="21229"/>
    <cellStyle name="40% - Accent2 4 2 2" xfId="1781"/>
    <cellStyle name="40% - Accent2 4 2 2 10" xfId="21230"/>
    <cellStyle name="40% - Accent2 4 2 2 10 2" xfId="21231"/>
    <cellStyle name="40% - Accent2 4 2 2 10 3" xfId="21232"/>
    <cellStyle name="40% - Accent2 4 2 2 11" xfId="21233"/>
    <cellStyle name="40% - Accent2 4 2 2 11 2" xfId="21234"/>
    <cellStyle name="40% - Accent2 4 2 2 12" xfId="21235"/>
    <cellStyle name="40% - Accent2 4 2 2 13" xfId="21236"/>
    <cellStyle name="40% - Accent2 4 2 2 2" xfId="1782"/>
    <cellStyle name="40% - Accent2 4 2 2 2 10" xfId="21237"/>
    <cellStyle name="40% - Accent2 4 2 2 2 10 2" xfId="21238"/>
    <cellStyle name="40% - Accent2 4 2 2 2 11" xfId="21239"/>
    <cellStyle name="40% - Accent2 4 2 2 2 12" xfId="21240"/>
    <cellStyle name="40% - Accent2 4 2 2 2 2" xfId="1783"/>
    <cellStyle name="40% - Accent2 4 2 2 2 2 10" xfId="21241"/>
    <cellStyle name="40% - Accent2 4 2 2 2 2 2" xfId="1784"/>
    <cellStyle name="40% - Accent2 4 2 2 2 2 2 2" xfId="21242"/>
    <cellStyle name="40% - Accent2 4 2 2 2 2 2 2 2" xfId="21243"/>
    <cellStyle name="40% - Accent2 4 2 2 2 2 2 2 2 2" xfId="21244"/>
    <cellStyle name="40% - Accent2 4 2 2 2 2 2 2 2 3" xfId="21245"/>
    <cellStyle name="40% - Accent2 4 2 2 2 2 2 2 3" xfId="21246"/>
    <cellStyle name="40% - Accent2 4 2 2 2 2 2 2 3 2" xfId="21247"/>
    <cellStyle name="40% - Accent2 4 2 2 2 2 2 2 3 3" xfId="21248"/>
    <cellStyle name="40% - Accent2 4 2 2 2 2 2 2 4" xfId="21249"/>
    <cellStyle name="40% - Accent2 4 2 2 2 2 2 2 4 2" xfId="21250"/>
    <cellStyle name="40% - Accent2 4 2 2 2 2 2 2 5" xfId="21251"/>
    <cellStyle name="40% - Accent2 4 2 2 2 2 2 2 6" xfId="21252"/>
    <cellStyle name="40% - Accent2 4 2 2 2 2 2 3" xfId="21253"/>
    <cellStyle name="40% - Accent2 4 2 2 2 2 2 3 2" xfId="21254"/>
    <cellStyle name="40% - Accent2 4 2 2 2 2 2 3 2 2" xfId="21255"/>
    <cellStyle name="40% - Accent2 4 2 2 2 2 2 3 2 3" xfId="21256"/>
    <cellStyle name="40% - Accent2 4 2 2 2 2 2 3 3" xfId="21257"/>
    <cellStyle name="40% - Accent2 4 2 2 2 2 2 3 3 2" xfId="21258"/>
    <cellStyle name="40% - Accent2 4 2 2 2 2 2 3 3 3" xfId="21259"/>
    <cellStyle name="40% - Accent2 4 2 2 2 2 2 3 4" xfId="21260"/>
    <cellStyle name="40% - Accent2 4 2 2 2 2 2 3 4 2" xfId="21261"/>
    <cellStyle name="40% - Accent2 4 2 2 2 2 2 3 5" xfId="21262"/>
    <cellStyle name="40% - Accent2 4 2 2 2 2 2 3 6" xfId="21263"/>
    <cellStyle name="40% - Accent2 4 2 2 2 2 2 4" xfId="21264"/>
    <cellStyle name="40% - Accent2 4 2 2 2 2 2 4 2" xfId="21265"/>
    <cellStyle name="40% - Accent2 4 2 2 2 2 2 4 2 2" xfId="21266"/>
    <cellStyle name="40% - Accent2 4 2 2 2 2 2 4 2 3" xfId="21267"/>
    <cellStyle name="40% - Accent2 4 2 2 2 2 2 4 3" xfId="21268"/>
    <cellStyle name="40% - Accent2 4 2 2 2 2 2 4 3 2" xfId="21269"/>
    <cellStyle name="40% - Accent2 4 2 2 2 2 2 4 4" xfId="21270"/>
    <cellStyle name="40% - Accent2 4 2 2 2 2 2 4 5" xfId="21271"/>
    <cellStyle name="40% - Accent2 4 2 2 2 2 2 5" xfId="21272"/>
    <cellStyle name="40% - Accent2 4 2 2 2 2 2 5 2" xfId="21273"/>
    <cellStyle name="40% - Accent2 4 2 2 2 2 2 5 3" xfId="21274"/>
    <cellStyle name="40% - Accent2 4 2 2 2 2 2 6" xfId="21275"/>
    <cellStyle name="40% - Accent2 4 2 2 2 2 2 6 2" xfId="21276"/>
    <cellStyle name="40% - Accent2 4 2 2 2 2 2 6 3" xfId="21277"/>
    <cellStyle name="40% - Accent2 4 2 2 2 2 2 7" xfId="21278"/>
    <cellStyle name="40% - Accent2 4 2 2 2 2 2 7 2" xfId="21279"/>
    <cellStyle name="40% - Accent2 4 2 2 2 2 2 8" xfId="21280"/>
    <cellStyle name="40% - Accent2 4 2 2 2 2 2 9" xfId="21281"/>
    <cellStyle name="40% - Accent2 4 2 2 2 2 3" xfId="21282"/>
    <cellStyle name="40% - Accent2 4 2 2 2 2 3 2" xfId="21283"/>
    <cellStyle name="40% - Accent2 4 2 2 2 2 3 2 2" xfId="21284"/>
    <cellStyle name="40% - Accent2 4 2 2 2 2 3 2 3" xfId="21285"/>
    <cellStyle name="40% - Accent2 4 2 2 2 2 3 3" xfId="21286"/>
    <cellStyle name="40% - Accent2 4 2 2 2 2 3 3 2" xfId="21287"/>
    <cellStyle name="40% - Accent2 4 2 2 2 2 3 3 3" xfId="21288"/>
    <cellStyle name="40% - Accent2 4 2 2 2 2 3 4" xfId="21289"/>
    <cellStyle name="40% - Accent2 4 2 2 2 2 3 4 2" xfId="21290"/>
    <cellStyle name="40% - Accent2 4 2 2 2 2 3 5" xfId="21291"/>
    <cellStyle name="40% - Accent2 4 2 2 2 2 3 6" xfId="21292"/>
    <cellStyle name="40% - Accent2 4 2 2 2 2 4" xfId="21293"/>
    <cellStyle name="40% - Accent2 4 2 2 2 2 4 2" xfId="21294"/>
    <cellStyle name="40% - Accent2 4 2 2 2 2 4 2 2" xfId="21295"/>
    <cellStyle name="40% - Accent2 4 2 2 2 2 4 2 3" xfId="21296"/>
    <cellStyle name="40% - Accent2 4 2 2 2 2 4 3" xfId="21297"/>
    <cellStyle name="40% - Accent2 4 2 2 2 2 4 3 2" xfId="21298"/>
    <cellStyle name="40% - Accent2 4 2 2 2 2 4 3 3" xfId="21299"/>
    <cellStyle name="40% - Accent2 4 2 2 2 2 4 4" xfId="21300"/>
    <cellStyle name="40% - Accent2 4 2 2 2 2 4 4 2" xfId="21301"/>
    <cellStyle name="40% - Accent2 4 2 2 2 2 4 5" xfId="21302"/>
    <cellStyle name="40% - Accent2 4 2 2 2 2 4 6" xfId="21303"/>
    <cellStyle name="40% - Accent2 4 2 2 2 2 5" xfId="21304"/>
    <cellStyle name="40% - Accent2 4 2 2 2 2 5 2" xfId="21305"/>
    <cellStyle name="40% - Accent2 4 2 2 2 2 5 2 2" xfId="21306"/>
    <cellStyle name="40% - Accent2 4 2 2 2 2 5 2 3" xfId="21307"/>
    <cellStyle name="40% - Accent2 4 2 2 2 2 5 3" xfId="21308"/>
    <cellStyle name="40% - Accent2 4 2 2 2 2 5 3 2" xfId="21309"/>
    <cellStyle name="40% - Accent2 4 2 2 2 2 5 4" xfId="21310"/>
    <cellStyle name="40% - Accent2 4 2 2 2 2 5 5" xfId="21311"/>
    <cellStyle name="40% - Accent2 4 2 2 2 2 6" xfId="21312"/>
    <cellStyle name="40% - Accent2 4 2 2 2 2 6 2" xfId="21313"/>
    <cellStyle name="40% - Accent2 4 2 2 2 2 6 3" xfId="21314"/>
    <cellStyle name="40% - Accent2 4 2 2 2 2 7" xfId="21315"/>
    <cellStyle name="40% - Accent2 4 2 2 2 2 7 2" xfId="21316"/>
    <cellStyle name="40% - Accent2 4 2 2 2 2 7 3" xfId="21317"/>
    <cellStyle name="40% - Accent2 4 2 2 2 2 8" xfId="21318"/>
    <cellStyle name="40% - Accent2 4 2 2 2 2 8 2" xfId="21319"/>
    <cellStyle name="40% - Accent2 4 2 2 2 2 9" xfId="21320"/>
    <cellStyle name="40% - Accent2 4 2 2 2 3" xfId="1785"/>
    <cellStyle name="40% - Accent2 4 2 2 2 3 2" xfId="21321"/>
    <cellStyle name="40% - Accent2 4 2 2 2 3 2 2" xfId="21322"/>
    <cellStyle name="40% - Accent2 4 2 2 2 3 2 2 2" xfId="21323"/>
    <cellStyle name="40% - Accent2 4 2 2 2 3 2 2 3" xfId="21324"/>
    <cellStyle name="40% - Accent2 4 2 2 2 3 2 3" xfId="21325"/>
    <cellStyle name="40% - Accent2 4 2 2 2 3 2 3 2" xfId="21326"/>
    <cellStyle name="40% - Accent2 4 2 2 2 3 2 3 3" xfId="21327"/>
    <cellStyle name="40% - Accent2 4 2 2 2 3 2 4" xfId="21328"/>
    <cellStyle name="40% - Accent2 4 2 2 2 3 2 4 2" xfId="21329"/>
    <cellStyle name="40% - Accent2 4 2 2 2 3 2 5" xfId="21330"/>
    <cellStyle name="40% - Accent2 4 2 2 2 3 2 6" xfId="21331"/>
    <cellStyle name="40% - Accent2 4 2 2 2 3 3" xfId="21332"/>
    <cellStyle name="40% - Accent2 4 2 2 2 3 3 2" xfId="21333"/>
    <cellStyle name="40% - Accent2 4 2 2 2 3 3 2 2" xfId="21334"/>
    <cellStyle name="40% - Accent2 4 2 2 2 3 3 2 3" xfId="21335"/>
    <cellStyle name="40% - Accent2 4 2 2 2 3 3 3" xfId="21336"/>
    <cellStyle name="40% - Accent2 4 2 2 2 3 3 3 2" xfId="21337"/>
    <cellStyle name="40% - Accent2 4 2 2 2 3 3 3 3" xfId="21338"/>
    <cellStyle name="40% - Accent2 4 2 2 2 3 3 4" xfId="21339"/>
    <cellStyle name="40% - Accent2 4 2 2 2 3 3 4 2" xfId="21340"/>
    <cellStyle name="40% - Accent2 4 2 2 2 3 3 5" xfId="21341"/>
    <cellStyle name="40% - Accent2 4 2 2 2 3 3 6" xfId="21342"/>
    <cellStyle name="40% - Accent2 4 2 2 2 3 4" xfId="21343"/>
    <cellStyle name="40% - Accent2 4 2 2 2 3 4 2" xfId="21344"/>
    <cellStyle name="40% - Accent2 4 2 2 2 3 4 2 2" xfId="21345"/>
    <cellStyle name="40% - Accent2 4 2 2 2 3 4 2 3" xfId="21346"/>
    <cellStyle name="40% - Accent2 4 2 2 2 3 4 3" xfId="21347"/>
    <cellStyle name="40% - Accent2 4 2 2 2 3 4 3 2" xfId="21348"/>
    <cellStyle name="40% - Accent2 4 2 2 2 3 4 4" xfId="21349"/>
    <cellStyle name="40% - Accent2 4 2 2 2 3 4 5" xfId="21350"/>
    <cellStyle name="40% - Accent2 4 2 2 2 3 5" xfId="21351"/>
    <cellStyle name="40% - Accent2 4 2 2 2 3 5 2" xfId="21352"/>
    <cellStyle name="40% - Accent2 4 2 2 2 3 5 3" xfId="21353"/>
    <cellStyle name="40% - Accent2 4 2 2 2 3 6" xfId="21354"/>
    <cellStyle name="40% - Accent2 4 2 2 2 3 6 2" xfId="21355"/>
    <cellStyle name="40% - Accent2 4 2 2 2 3 6 3" xfId="21356"/>
    <cellStyle name="40% - Accent2 4 2 2 2 3 7" xfId="21357"/>
    <cellStyle name="40% - Accent2 4 2 2 2 3 7 2" xfId="21358"/>
    <cellStyle name="40% - Accent2 4 2 2 2 3 8" xfId="21359"/>
    <cellStyle name="40% - Accent2 4 2 2 2 3 9" xfId="21360"/>
    <cellStyle name="40% - Accent2 4 2 2 2 4" xfId="21361"/>
    <cellStyle name="40% - Accent2 4 2 2 2 4 2" xfId="21362"/>
    <cellStyle name="40% - Accent2 4 2 2 2 4 2 2" xfId="21363"/>
    <cellStyle name="40% - Accent2 4 2 2 2 4 2 2 2" xfId="21364"/>
    <cellStyle name="40% - Accent2 4 2 2 2 4 2 2 3" xfId="21365"/>
    <cellStyle name="40% - Accent2 4 2 2 2 4 2 3" xfId="21366"/>
    <cellStyle name="40% - Accent2 4 2 2 2 4 2 3 2" xfId="21367"/>
    <cellStyle name="40% - Accent2 4 2 2 2 4 2 3 3" xfId="21368"/>
    <cellStyle name="40% - Accent2 4 2 2 2 4 2 4" xfId="21369"/>
    <cellStyle name="40% - Accent2 4 2 2 2 4 2 4 2" xfId="21370"/>
    <cellStyle name="40% - Accent2 4 2 2 2 4 2 5" xfId="21371"/>
    <cellStyle name="40% - Accent2 4 2 2 2 4 2 6" xfId="21372"/>
    <cellStyle name="40% - Accent2 4 2 2 2 4 3" xfId="21373"/>
    <cellStyle name="40% - Accent2 4 2 2 2 4 3 2" xfId="21374"/>
    <cellStyle name="40% - Accent2 4 2 2 2 4 3 2 2" xfId="21375"/>
    <cellStyle name="40% - Accent2 4 2 2 2 4 3 2 3" xfId="21376"/>
    <cellStyle name="40% - Accent2 4 2 2 2 4 3 3" xfId="21377"/>
    <cellStyle name="40% - Accent2 4 2 2 2 4 3 3 2" xfId="21378"/>
    <cellStyle name="40% - Accent2 4 2 2 2 4 3 3 3" xfId="21379"/>
    <cellStyle name="40% - Accent2 4 2 2 2 4 3 4" xfId="21380"/>
    <cellStyle name="40% - Accent2 4 2 2 2 4 3 4 2" xfId="21381"/>
    <cellStyle name="40% - Accent2 4 2 2 2 4 3 5" xfId="21382"/>
    <cellStyle name="40% - Accent2 4 2 2 2 4 3 6" xfId="21383"/>
    <cellStyle name="40% - Accent2 4 2 2 2 4 4" xfId="21384"/>
    <cellStyle name="40% - Accent2 4 2 2 2 4 4 2" xfId="21385"/>
    <cellStyle name="40% - Accent2 4 2 2 2 4 4 2 2" xfId="21386"/>
    <cellStyle name="40% - Accent2 4 2 2 2 4 4 2 3" xfId="21387"/>
    <cellStyle name="40% - Accent2 4 2 2 2 4 4 3" xfId="21388"/>
    <cellStyle name="40% - Accent2 4 2 2 2 4 4 3 2" xfId="21389"/>
    <cellStyle name="40% - Accent2 4 2 2 2 4 4 4" xfId="21390"/>
    <cellStyle name="40% - Accent2 4 2 2 2 4 4 5" xfId="21391"/>
    <cellStyle name="40% - Accent2 4 2 2 2 4 5" xfId="21392"/>
    <cellStyle name="40% - Accent2 4 2 2 2 4 5 2" xfId="21393"/>
    <cellStyle name="40% - Accent2 4 2 2 2 4 5 3" xfId="21394"/>
    <cellStyle name="40% - Accent2 4 2 2 2 4 6" xfId="21395"/>
    <cellStyle name="40% - Accent2 4 2 2 2 4 6 2" xfId="21396"/>
    <cellStyle name="40% - Accent2 4 2 2 2 4 6 3" xfId="21397"/>
    <cellStyle name="40% - Accent2 4 2 2 2 4 7" xfId="21398"/>
    <cellStyle name="40% - Accent2 4 2 2 2 4 7 2" xfId="21399"/>
    <cellStyle name="40% - Accent2 4 2 2 2 4 8" xfId="21400"/>
    <cellStyle name="40% - Accent2 4 2 2 2 4 9" xfId="21401"/>
    <cellStyle name="40% - Accent2 4 2 2 2 5" xfId="21402"/>
    <cellStyle name="40% - Accent2 4 2 2 2 5 2" xfId="21403"/>
    <cellStyle name="40% - Accent2 4 2 2 2 5 2 2" xfId="21404"/>
    <cellStyle name="40% - Accent2 4 2 2 2 5 2 3" xfId="21405"/>
    <cellStyle name="40% - Accent2 4 2 2 2 5 3" xfId="21406"/>
    <cellStyle name="40% - Accent2 4 2 2 2 5 3 2" xfId="21407"/>
    <cellStyle name="40% - Accent2 4 2 2 2 5 3 3" xfId="21408"/>
    <cellStyle name="40% - Accent2 4 2 2 2 5 4" xfId="21409"/>
    <cellStyle name="40% - Accent2 4 2 2 2 5 4 2" xfId="21410"/>
    <cellStyle name="40% - Accent2 4 2 2 2 5 5" xfId="21411"/>
    <cellStyle name="40% - Accent2 4 2 2 2 5 6" xfId="21412"/>
    <cellStyle name="40% - Accent2 4 2 2 2 6" xfId="21413"/>
    <cellStyle name="40% - Accent2 4 2 2 2 6 2" xfId="21414"/>
    <cellStyle name="40% - Accent2 4 2 2 2 6 2 2" xfId="21415"/>
    <cellStyle name="40% - Accent2 4 2 2 2 6 2 3" xfId="21416"/>
    <cellStyle name="40% - Accent2 4 2 2 2 6 3" xfId="21417"/>
    <cellStyle name="40% - Accent2 4 2 2 2 6 3 2" xfId="21418"/>
    <cellStyle name="40% - Accent2 4 2 2 2 6 3 3" xfId="21419"/>
    <cellStyle name="40% - Accent2 4 2 2 2 6 4" xfId="21420"/>
    <cellStyle name="40% - Accent2 4 2 2 2 6 4 2" xfId="21421"/>
    <cellStyle name="40% - Accent2 4 2 2 2 6 5" xfId="21422"/>
    <cellStyle name="40% - Accent2 4 2 2 2 6 6" xfId="21423"/>
    <cellStyle name="40% - Accent2 4 2 2 2 7" xfId="21424"/>
    <cellStyle name="40% - Accent2 4 2 2 2 7 2" xfId="21425"/>
    <cellStyle name="40% - Accent2 4 2 2 2 7 2 2" xfId="21426"/>
    <cellStyle name="40% - Accent2 4 2 2 2 7 2 3" xfId="21427"/>
    <cellStyle name="40% - Accent2 4 2 2 2 7 3" xfId="21428"/>
    <cellStyle name="40% - Accent2 4 2 2 2 7 3 2" xfId="21429"/>
    <cellStyle name="40% - Accent2 4 2 2 2 7 4" xfId="21430"/>
    <cellStyle name="40% - Accent2 4 2 2 2 7 5" xfId="21431"/>
    <cellStyle name="40% - Accent2 4 2 2 2 8" xfId="21432"/>
    <cellStyle name="40% - Accent2 4 2 2 2 8 2" xfId="21433"/>
    <cellStyle name="40% - Accent2 4 2 2 2 8 3" xfId="21434"/>
    <cellStyle name="40% - Accent2 4 2 2 2 9" xfId="21435"/>
    <cellStyle name="40% - Accent2 4 2 2 2 9 2" xfId="21436"/>
    <cellStyle name="40% - Accent2 4 2 2 2 9 3" xfId="21437"/>
    <cellStyle name="40% - Accent2 4 2 2 3" xfId="1786"/>
    <cellStyle name="40% - Accent2 4 2 2 3 10" xfId="21438"/>
    <cellStyle name="40% - Accent2 4 2 2 3 2" xfId="1787"/>
    <cellStyle name="40% - Accent2 4 2 2 3 2 2" xfId="21439"/>
    <cellStyle name="40% - Accent2 4 2 2 3 2 2 2" xfId="21440"/>
    <cellStyle name="40% - Accent2 4 2 2 3 2 2 2 2" xfId="21441"/>
    <cellStyle name="40% - Accent2 4 2 2 3 2 2 2 3" xfId="21442"/>
    <cellStyle name="40% - Accent2 4 2 2 3 2 2 3" xfId="21443"/>
    <cellStyle name="40% - Accent2 4 2 2 3 2 2 3 2" xfId="21444"/>
    <cellStyle name="40% - Accent2 4 2 2 3 2 2 3 3" xfId="21445"/>
    <cellStyle name="40% - Accent2 4 2 2 3 2 2 4" xfId="21446"/>
    <cellStyle name="40% - Accent2 4 2 2 3 2 2 4 2" xfId="21447"/>
    <cellStyle name="40% - Accent2 4 2 2 3 2 2 5" xfId="21448"/>
    <cellStyle name="40% - Accent2 4 2 2 3 2 2 6" xfId="21449"/>
    <cellStyle name="40% - Accent2 4 2 2 3 2 3" xfId="21450"/>
    <cellStyle name="40% - Accent2 4 2 2 3 2 3 2" xfId="21451"/>
    <cellStyle name="40% - Accent2 4 2 2 3 2 3 2 2" xfId="21452"/>
    <cellStyle name="40% - Accent2 4 2 2 3 2 3 2 3" xfId="21453"/>
    <cellStyle name="40% - Accent2 4 2 2 3 2 3 3" xfId="21454"/>
    <cellStyle name="40% - Accent2 4 2 2 3 2 3 3 2" xfId="21455"/>
    <cellStyle name="40% - Accent2 4 2 2 3 2 3 3 3" xfId="21456"/>
    <cellStyle name="40% - Accent2 4 2 2 3 2 3 4" xfId="21457"/>
    <cellStyle name="40% - Accent2 4 2 2 3 2 3 4 2" xfId="21458"/>
    <cellStyle name="40% - Accent2 4 2 2 3 2 3 5" xfId="21459"/>
    <cellStyle name="40% - Accent2 4 2 2 3 2 3 6" xfId="21460"/>
    <cellStyle name="40% - Accent2 4 2 2 3 2 4" xfId="21461"/>
    <cellStyle name="40% - Accent2 4 2 2 3 2 4 2" xfId="21462"/>
    <cellStyle name="40% - Accent2 4 2 2 3 2 4 2 2" xfId="21463"/>
    <cellStyle name="40% - Accent2 4 2 2 3 2 4 2 3" xfId="21464"/>
    <cellStyle name="40% - Accent2 4 2 2 3 2 4 3" xfId="21465"/>
    <cellStyle name="40% - Accent2 4 2 2 3 2 4 3 2" xfId="21466"/>
    <cellStyle name="40% - Accent2 4 2 2 3 2 4 4" xfId="21467"/>
    <cellStyle name="40% - Accent2 4 2 2 3 2 4 5" xfId="21468"/>
    <cellStyle name="40% - Accent2 4 2 2 3 2 5" xfId="21469"/>
    <cellStyle name="40% - Accent2 4 2 2 3 2 5 2" xfId="21470"/>
    <cellStyle name="40% - Accent2 4 2 2 3 2 5 3" xfId="21471"/>
    <cellStyle name="40% - Accent2 4 2 2 3 2 6" xfId="21472"/>
    <cellStyle name="40% - Accent2 4 2 2 3 2 6 2" xfId="21473"/>
    <cellStyle name="40% - Accent2 4 2 2 3 2 6 3" xfId="21474"/>
    <cellStyle name="40% - Accent2 4 2 2 3 2 7" xfId="21475"/>
    <cellStyle name="40% - Accent2 4 2 2 3 2 7 2" xfId="21476"/>
    <cellStyle name="40% - Accent2 4 2 2 3 2 8" xfId="21477"/>
    <cellStyle name="40% - Accent2 4 2 2 3 2 9" xfId="21478"/>
    <cellStyle name="40% - Accent2 4 2 2 3 3" xfId="21479"/>
    <cellStyle name="40% - Accent2 4 2 2 3 3 2" xfId="21480"/>
    <cellStyle name="40% - Accent2 4 2 2 3 3 2 2" xfId="21481"/>
    <cellStyle name="40% - Accent2 4 2 2 3 3 2 3" xfId="21482"/>
    <cellStyle name="40% - Accent2 4 2 2 3 3 3" xfId="21483"/>
    <cellStyle name="40% - Accent2 4 2 2 3 3 3 2" xfId="21484"/>
    <cellStyle name="40% - Accent2 4 2 2 3 3 3 3" xfId="21485"/>
    <cellStyle name="40% - Accent2 4 2 2 3 3 4" xfId="21486"/>
    <cellStyle name="40% - Accent2 4 2 2 3 3 4 2" xfId="21487"/>
    <cellStyle name="40% - Accent2 4 2 2 3 3 5" xfId="21488"/>
    <cellStyle name="40% - Accent2 4 2 2 3 3 6" xfId="21489"/>
    <cellStyle name="40% - Accent2 4 2 2 3 4" xfId="21490"/>
    <cellStyle name="40% - Accent2 4 2 2 3 4 2" xfId="21491"/>
    <cellStyle name="40% - Accent2 4 2 2 3 4 2 2" xfId="21492"/>
    <cellStyle name="40% - Accent2 4 2 2 3 4 2 3" xfId="21493"/>
    <cellStyle name="40% - Accent2 4 2 2 3 4 3" xfId="21494"/>
    <cellStyle name="40% - Accent2 4 2 2 3 4 3 2" xfId="21495"/>
    <cellStyle name="40% - Accent2 4 2 2 3 4 3 3" xfId="21496"/>
    <cellStyle name="40% - Accent2 4 2 2 3 4 4" xfId="21497"/>
    <cellStyle name="40% - Accent2 4 2 2 3 4 4 2" xfId="21498"/>
    <cellStyle name="40% - Accent2 4 2 2 3 4 5" xfId="21499"/>
    <cellStyle name="40% - Accent2 4 2 2 3 4 6" xfId="21500"/>
    <cellStyle name="40% - Accent2 4 2 2 3 5" xfId="21501"/>
    <cellStyle name="40% - Accent2 4 2 2 3 5 2" xfId="21502"/>
    <cellStyle name="40% - Accent2 4 2 2 3 5 2 2" xfId="21503"/>
    <cellStyle name="40% - Accent2 4 2 2 3 5 2 3" xfId="21504"/>
    <cellStyle name="40% - Accent2 4 2 2 3 5 3" xfId="21505"/>
    <cellStyle name="40% - Accent2 4 2 2 3 5 3 2" xfId="21506"/>
    <cellStyle name="40% - Accent2 4 2 2 3 5 4" xfId="21507"/>
    <cellStyle name="40% - Accent2 4 2 2 3 5 5" xfId="21508"/>
    <cellStyle name="40% - Accent2 4 2 2 3 6" xfId="21509"/>
    <cellStyle name="40% - Accent2 4 2 2 3 6 2" xfId="21510"/>
    <cellStyle name="40% - Accent2 4 2 2 3 6 3" xfId="21511"/>
    <cellStyle name="40% - Accent2 4 2 2 3 7" xfId="21512"/>
    <cellStyle name="40% - Accent2 4 2 2 3 7 2" xfId="21513"/>
    <cellStyle name="40% - Accent2 4 2 2 3 7 3" xfId="21514"/>
    <cellStyle name="40% - Accent2 4 2 2 3 8" xfId="21515"/>
    <cellStyle name="40% - Accent2 4 2 2 3 8 2" xfId="21516"/>
    <cellStyle name="40% - Accent2 4 2 2 3 9" xfId="21517"/>
    <cellStyle name="40% - Accent2 4 2 2 4" xfId="1788"/>
    <cellStyle name="40% - Accent2 4 2 2 4 2" xfId="21518"/>
    <cellStyle name="40% - Accent2 4 2 2 4 2 2" xfId="21519"/>
    <cellStyle name="40% - Accent2 4 2 2 4 2 2 2" xfId="21520"/>
    <cellStyle name="40% - Accent2 4 2 2 4 2 2 3" xfId="21521"/>
    <cellStyle name="40% - Accent2 4 2 2 4 2 3" xfId="21522"/>
    <cellStyle name="40% - Accent2 4 2 2 4 2 3 2" xfId="21523"/>
    <cellStyle name="40% - Accent2 4 2 2 4 2 3 3" xfId="21524"/>
    <cellStyle name="40% - Accent2 4 2 2 4 2 4" xfId="21525"/>
    <cellStyle name="40% - Accent2 4 2 2 4 2 4 2" xfId="21526"/>
    <cellStyle name="40% - Accent2 4 2 2 4 2 5" xfId="21527"/>
    <cellStyle name="40% - Accent2 4 2 2 4 2 6" xfId="21528"/>
    <cellStyle name="40% - Accent2 4 2 2 4 3" xfId="21529"/>
    <cellStyle name="40% - Accent2 4 2 2 4 3 2" xfId="21530"/>
    <cellStyle name="40% - Accent2 4 2 2 4 3 2 2" xfId="21531"/>
    <cellStyle name="40% - Accent2 4 2 2 4 3 2 3" xfId="21532"/>
    <cellStyle name="40% - Accent2 4 2 2 4 3 3" xfId="21533"/>
    <cellStyle name="40% - Accent2 4 2 2 4 3 3 2" xfId="21534"/>
    <cellStyle name="40% - Accent2 4 2 2 4 3 3 3" xfId="21535"/>
    <cellStyle name="40% - Accent2 4 2 2 4 3 4" xfId="21536"/>
    <cellStyle name="40% - Accent2 4 2 2 4 3 4 2" xfId="21537"/>
    <cellStyle name="40% - Accent2 4 2 2 4 3 5" xfId="21538"/>
    <cellStyle name="40% - Accent2 4 2 2 4 3 6" xfId="21539"/>
    <cellStyle name="40% - Accent2 4 2 2 4 4" xfId="21540"/>
    <cellStyle name="40% - Accent2 4 2 2 4 4 2" xfId="21541"/>
    <cellStyle name="40% - Accent2 4 2 2 4 4 2 2" xfId="21542"/>
    <cellStyle name="40% - Accent2 4 2 2 4 4 2 3" xfId="21543"/>
    <cellStyle name="40% - Accent2 4 2 2 4 4 3" xfId="21544"/>
    <cellStyle name="40% - Accent2 4 2 2 4 4 3 2" xfId="21545"/>
    <cellStyle name="40% - Accent2 4 2 2 4 4 4" xfId="21546"/>
    <cellStyle name="40% - Accent2 4 2 2 4 4 5" xfId="21547"/>
    <cellStyle name="40% - Accent2 4 2 2 4 5" xfId="21548"/>
    <cellStyle name="40% - Accent2 4 2 2 4 5 2" xfId="21549"/>
    <cellStyle name="40% - Accent2 4 2 2 4 5 3" xfId="21550"/>
    <cellStyle name="40% - Accent2 4 2 2 4 6" xfId="21551"/>
    <cellStyle name="40% - Accent2 4 2 2 4 6 2" xfId="21552"/>
    <cellStyle name="40% - Accent2 4 2 2 4 6 3" xfId="21553"/>
    <cellStyle name="40% - Accent2 4 2 2 4 7" xfId="21554"/>
    <cellStyle name="40% - Accent2 4 2 2 4 7 2" xfId="21555"/>
    <cellStyle name="40% - Accent2 4 2 2 4 8" xfId="21556"/>
    <cellStyle name="40% - Accent2 4 2 2 4 9" xfId="21557"/>
    <cellStyle name="40% - Accent2 4 2 2 5" xfId="21558"/>
    <cellStyle name="40% - Accent2 4 2 2 5 2" xfId="21559"/>
    <cellStyle name="40% - Accent2 4 2 2 5 2 2" xfId="21560"/>
    <cellStyle name="40% - Accent2 4 2 2 5 2 2 2" xfId="21561"/>
    <cellStyle name="40% - Accent2 4 2 2 5 2 2 3" xfId="21562"/>
    <cellStyle name="40% - Accent2 4 2 2 5 2 3" xfId="21563"/>
    <cellStyle name="40% - Accent2 4 2 2 5 2 3 2" xfId="21564"/>
    <cellStyle name="40% - Accent2 4 2 2 5 2 3 3" xfId="21565"/>
    <cellStyle name="40% - Accent2 4 2 2 5 2 4" xfId="21566"/>
    <cellStyle name="40% - Accent2 4 2 2 5 2 4 2" xfId="21567"/>
    <cellStyle name="40% - Accent2 4 2 2 5 2 5" xfId="21568"/>
    <cellStyle name="40% - Accent2 4 2 2 5 2 6" xfId="21569"/>
    <cellStyle name="40% - Accent2 4 2 2 5 3" xfId="21570"/>
    <cellStyle name="40% - Accent2 4 2 2 5 3 2" xfId="21571"/>
    <cellStyle name="40% - Accent2 4 2 2 5 3 2 2" xfId="21572"/>
    <cellStyle name="40% - Accent2 4 2 2 5 3 2 3" xfId="21573"/>
    <cellStyle name="40% - Accent2 4 2 2 5 3 3" xfId="21574"/>
    <cellStyle name="40% - Accent2 4 2 2 5 3 3 2" xfId="21575"/>
    <cellStyle name="40% - Accent2 4 2 2 5 3 3 3" xfId="21576"/>
    <cellStyle name="40% - Accent2 4 2 2 5 3 4" xfId="21577"/>
    <cellStyle name="40% - Accent2 4 2 2 5 3 4 2" xfId="21578"/>
    <cellStyle name="40% - Accent2 4 2 2 5 3 5" xfId="21579"/>
    <cellStyle name="40% - Accent2 4 2 2 5 3 6" xfId="21580"/>
    <cellStyle name="40% - Accent2 4 2 2 5 4" xfId="21581"/>
    <cellStyle name="40% - Accent2 4 2 2 5 4 2" xfId="21582"/>
    <cellStyle name="40% - Accent2 4 2 2 5 4 2 2" xfId="21583"/>
    <cellStyle name="40% - Accent2 4 2 2 5 4 2 3" xfId="21584"/>
    <cellStyle name="40% - Accent2 4 2 2 5 4 3" xfId="21585"/>
    <cellStyle name="40% - Accent2 4 2 2 5 4 3 2" xfId="21586"/>
    <cellStyle name="40% - Accent2 4 2 2 5 4 4" xfId="21587"/>
    <cellStyle name="40% - Accent2 4 2 2 5 4 5" xfId="21588"/>
    <cellStyle name="40% - Accent2 4 2 2 5 5" xfId="21589"/>
    <cellStyle name="40% - Accent2 4 2 2 5 5 2" xfId="21590"/>
    <cellStyle name="40% - Accent2 4 2 2 5 5 3" xfId="21591"/>
    <cellStyle name="40% - Accent2 4 2 2 5 6" xfId="21592"/>
    <cellStyle name="40% - Accent2 4 2 2 5 6 2" xfId="21593"/>
    <cellStyle name="40% - Accent2 4 2 2 5 6 3" xfId="21594"/>
    <cellStyle name="40% - Accent2 4 2 2 5 7" xfId="21595"/>
    <cellStyle name="40% - Accent2 4 2 2 5 7 2" xfId="21596"/>
    <cellStyle name="40% - Accent2 4 2 2 5 8" xfId="21597"/>
    <cellStyle name="40% - Accent2 4 2 2 5 9" xfId="21598"/>
    <cellStyle name="40% - Accent2 4 2 2 6" xfId="21599"/>
    <cellStyle name="40% - Accent2 4 2 2 6 2" xfId="21600"/>
    <cellStyle name="40% - Accent2 4 2 2 6 2 2" xfId="21601"/>
    <cellStyle name="40% - Accent2 4 2 2 6 2 3" xfId="21602"/>
    <cellStyle name="40% - Accent2 4 2 2 6 3" xfId="21603"/>
    <cellStyle name="40% - Accent2 4 2 2 6 3 2" xfId="21604"/>
    <cellStyle name="40% - Accent2 4 2 2 6 3 3" xfId="21605"/>
    <cellStyle name="40% - Accent2 4 2 2 6 4" xfId="21606"/>
    <cellStyle name="40% - Accent2 4 2 2 6 4 2" xfId="21607"/>
    <cellStyle name="40% - Accent2 4 2 2 6 5" xfId="21608"/>
    <cellStyle name="40% - Accent2 4 2 2 6 6" xfId="21609"/>
    <cellStyle name="40% - Accent2 4 2 2 7" xfId="21610"/>
    <cellStyle name="40% - Accent2 4 2 2 7 2" xfId="21611"/>
    <cellStyle name="40% - Accent2 4 2 2 7 2 2" xfId="21612"/>
    <cellStyle name="40% - Accent2 4 2 2 7 2 3" xfId="21613"/>
    <cellStyle name="40% - Accent2 4 2 2 7 3" xfId="21614"/>
    <cellStyle name="40% - Accent2 4 2 2 7 3 2" xfId="21615"/>
    <cellStyle name="40% - Accent2 4 2 2 7 3 3" xfId="21616"/>
    <cellStyle name="40% - Accent2 4 2 2 7 4" xfId="21617"/>
    <cellStyle name="40% - Accent2 4 2 2 7 4 2" xfId="21618"/>
    <cellStyle name="40% - Accent2 4 2 2 7 5" xfId="21619"/>
    <cellStyle name="40% - Accent2 4 2 2 7 6" xfId="21620"/>
    <cellStyle name="40% - Accent2 4 2 2 8" xfId="21621"/>
    <cellStyle name="40% - Accent2 4 2 2 8 2" xfId="21622"/>
    <cellStyle name="40% - Accent2 4 2 2 8 2 2" xfId="21623"/>
    <cellStyle name="40% - Accent2 4 2 2 8 2 3" xfId="21624"/>
    <cellStyle name="40% - Accent2 4 2 2 8 3" xfId="21625"/>
    <cellStyle name="40% - Accent2 4 2 2 8 3 2" xfId="21626"/>
    <cellStyle name="40% - Accent2 4 2 2 8 4" xfId="21627"/>
    <cellStyle name="40% - Accent2 4 2 2 8 5" xfId="21628"/>
    <cellStyle name="40% - Accent2 4 2 2 9" xfId="21629"/>
    <cellStyle name="40% - Accent2 4 2 2 9 2" xfId="21630"/>
    <cellStyle name="40% - Accent2 4 2 2 9 3" xfId="21631"/>
    <cellStyle name="40% - Accent2 4 2 3" xfId="1789"/>
    <cellStyle name="40% - Accent2 4 2 3 10" xfId="21632"/>
    <cellStyle name="40% - Accent2 4 2 3 10 2" xfId="21633"/>
    <cellStyle name="40% - Accent2 4 2 3 11" xfId="21634"/>
    <cellStyle name="40% - Accent2 4 2 3 12" xfId="21635"/>
    <cellStyle name="40% - Accent2 4 2 3 2" xfId="1790"/>
    <cellStyle name="40% - Accent2 4 2 3 2 10" xfId="21636"/>
    <cellStyle name="40% - Accent2 4 2 3 2 2" xfId="1791"/>
    <cellStyle name="40% - Accent2 4 2 3 2 2 2" xfId="21637"/>
    <cellStyle name="40% - Accent2 4 2 3 2 2 2 2" xfId="21638"/>
    <cellStyle name="40% - Accent2 4 2 3 2 2 2 2 2" xfId="21639"/>
    <cellStyle name="40% - Accent2 4 2 3 2 2 2 2 3" xfId="21640"/>
    <cellStyle name="40% - Accent2 4 2 3 2 2 2 3" xfId="21641"/>
    <cellStyle name="40% - Accent2 4 2 3 2 2 2 3 2" xfId="21642"/>
    <cellStyle name="40% - Accent2 4 2 3 2 2 2 3 3" xfId="21643"/>
    <cellStyle name="40% - Accent2 4 2 3 2 2 2 4" xfId="21644"/>
    <cellStyle name="40% - Accent2 4 2 3 2 2 2 4 2" xfId="21645"/>
    <cellStyle name="40% - Accent2 4 2 3 2 2 2 5" xfId="21646"/>
    <cellStyle name="40% - Accent2 4 2 3 2 2 2 6" xfId="21647"/>
    <cellStyle name="40% - Accent2 4 2 3 2 2 3" xfId="21648"/>
    <cellStyle name="40% - Accent2 4 2 3 2 2 3 2" xfId="21649"/>
    <cellStyle name="40% - Accent2 4 2 3 2 2 3 2 2" xfId="21650"/>
    <cellStyle name="40% - Accent2 4 2 3 2 2 3 2 3" xfId="21651"/>
    <cellStyle name="40% - Accent2 4 2 3 2 2 3 3" xfId="21652"/>
    <cellStyle name="40% - Accent2 4 2 3 2 2 3 3 2" xfId="21653"/>
    <cellStyle name="40% - Accent2 4 2 3 2 2 3 3 3" xfId="21654"/>
    <cellStyle name="40% - Accent2 4 2 3 2 2 3 4" xfId="21655"/>
    <cellStyle name="40% - Accent2 4 2 3 2 2 3 4 2" xfId="21656"/>
    <cellStyle name="40% - Accent2 4 2 3 2 2 3 5" xfId="21657"/>
    <cellStyle name="40% - Accent2 4 2 3 2 2 3 6" xfId="21658"/>
    <cellStyle name="40% - Accent2 4 2 3 2 2 4" xfId="21659"/>
    <cellStyle name="40% - Accent2 4 2 3 2 2 4 2" xfId="21660"/>
    <cellStyle name="40% - Accent2 4 2 3 2 2 4 2 2" xfId="21661"/>
    <cellStyle name="40% - Accent2 4 2 3 2 2 4 2 3" xfId="21662"/>
    <cellStyle name="40% - Accent2 4 2 3 2 2 4 3" xfId="21663"/>
    <cellStyle name="40% - Accent2 4 2 3 2 2 4 3 2" xfId="21664"/>
    <cellStyle name="40% - Accent2 4 2 3 2 2 4 4" xfId="21665"/>
    <cellStyle name="40% - Accent2 4 2 3 2 2 4 5" xfId="21666"/>
    <cellStyle name="40% - Accent2 4 2 3 2 2 5" xfId="21667"/>
    <cellStyle name="40% - Accent2 4 2 3 2 2 5 2" xfId="21668"/>
    <cellStyle name="40% - Accent2 4 2 3 2 2 5 3" xfId="21669"/>
    <cellStyle name="40% - Accent2 4 2 3 2 2 6" xfId="21670"/>
    <cellStyle name="40% - Accent2 4 2 3 2 2 6 2" xfId="21671"/>
    <cellStyle name="40% - Accent2 4 2 3 2 2 6 3" xfId="21672"/>
    <cellStyle name="40% - Accent2 4 2 3 2 2 7" xfId="21673"/>
    <cellStyle name="40% - Accent2 4 2 3 2 2 7 2" xfId="21674"/>
    <cellStyle name="40% - Accent2 4 2 3 2 2 8" xfId="21675"/>
    <cellStyle name="40% - Accent2 4 2 3 2 2 9" xfId="21676"/>
    <cellStyle name="40% - Accent2 4 2 3 2 3" xfId="21677"/>
    <cellStyle name="40% - Accent2 4 2 3 2 3 2" xfId="21678"/>
    <cellStyle name="40% - Accent2 4 2 3 2 3 2 2" xfId="21679"/>
    <cellStyle name="40% - Accent2 4 2 3 2 3 2 3" xfId="21680"/>
    <cellStyle name="40% - Accent2 4 2 3 2 3 3" xfId="21681"/>
    <cellStyle name="40% - Accent2 4 2 3 2 3 3 2" xfId="21682"/>
    <cellStyle name="40% - Accent2 4 2 3 2 3 3 3" xfId="21683"/>
    <cellStyle name="40% - Accent2 4 2 3 2 3 4" xfId="21684"/>
    <cellStyle name="40% - Accent2 4 2 3 2 3 4 2" xfId="21685"/>
    <cellStyle name="40% - Accent2 4 2 3 2 3 5" xfId="21686"/>
    <cellStyle name="40% - Accent2 4 2 3 2 3 6" xfId="21687"/>
    <cellStyle name="40% - Accent2 4 2 3 2 4" xfId="21688"/>
    <cellStyle name="40% - Accent2 4 2 3 2 4 2" xfId="21689"/>
    <cellStyle name="40% - Accent2 4 2 3 2 4 2 2" xfId="21690"/>
    <cellStyle name="40% - Accent2 4 2 3 2 4 2 3" xfId="21691"/>
    <cellStyle name="40% - Accent2 4 2 3 2 4 3" xfId="21692"/>
    <cellStyle name="40% - Accent2 4 2 3 2 4 3 2" xfId="21693"/>
    <cellStyle name="40% - Accent2 4 2 3 2 4 3 3" xfId="21694"/>
    <cellStyle name="40% - Accent2 4 2 3 2 4 4" xfId="21695"/>
    <cellStyle name="40% - Accent2 4 2 3 2 4 4 2" xfId="21696"/>
    <cellStyle name="40% - Accent2 4 2 3 2 4 5" xfId="21697"/>
    <cellStyle name="40% - Accent2 4 2 3 2 4 6" xfId="21698"/>
    <cellStyle name="40% - Accent2 4 2 3 2 5" xfId="21699"/>
    <cellStyle name="40% - Accent2 4 2 3 2 5 2" xfId="21700"/>
    <cellStyle name="40% - Accent2 4 2 3 2 5 2 2" xfId="21701"/>
    <cellStyle name="40% - Accent2 4 2 3 2 5 2 3" xfId="21702"/>
    <cellStyle name="40% - Accent2 4 2 3 2 5 3" xfId="21703"/>
    <cellStyle name="40% - Accent2 4 2 3 2 5 3 2" xfId="21704"/>
    <cellStyle name="40% - Accent2 4 2 3 2 5 4" xfId="21705"/>
    <cellStyle name="40% - Accent2 4 2 3 2 5 5" xfId="21706"/>
    <cellStyle name="40% - Accent2 4 2 3 2 6" xfId="21707"/>
    <cellStyle name="40% - Accent2 4 2 3 2 6 2" xfId="21708"/>
    <cellStyle name="40% - Accent2 4 2 3 2 6 3" xfId="21709"/>
    <cellStyle name="40% - Accent2 4 2 3 2 7" xfId="21710"/>
    <cellStyle name="40% - Accent2 4 2 3 2 7 2" xfId="21711"/>
    <cellStyle name="40% - Accent2 4 2 3 2 7 3" xfId="21712"/>
    <cellStyle name="40% - Accent2 4 2 3 2 8" xfId="21713"/>
    <cellStyle name="40% - Accent2 4 2 3 2 8 2" xfId="21714"/>
    <cellStyle name="40% - Accent2 4 2 3 2 9" xfId="21715"/>
    <cellStyle name="40% - Accent2 4 2 3 3" xfId="1792"/>
    <cellStyle name="40% - Accent2 4 2 3 3 2" xfId="21716"/>
    <cellStyle name="40% - Accent2 4 2 3 3 2 2" xfId="21717"/>
    <cellStyle name="40% - Accent2 4 2 3 3 2 2 2" xfId="21718"/>
    <cellStyle name="40% - Accent2 4 2 3 3 2 2 3" xfId="21719"/>
    <cellStyle name="40% - Accent2 4 2 3 3 2 3" xfId="21720"/>
    <cellStyle name="40% - Accent2 4 2 3 3 2 3 2" xfId="21721"/>
    <cellStyle name="40% - Accent2 4 2 3 3 2 3 3" xfId="21722"/>
    <cellStyle name="40% - Accent2 4 2 3 3 2 4" xfId="21723"/>
    <cellStyle name="40% - Accent2 4 2 3 3 2 4 2" xfId="21724"/>
    <cellStyle name="40% - Accent2 4 2 3 3 2 5" xfId="21725"/>
    <cellStyle name="40% - Accent2 4 2 3 3 2 6" xfId="21726"/>
    <cellStyle name="40% - Accent2 4 2 3 3 3" xfId="21727"/>
    <cellStyle name="40% - Accent2 4 2 3 3 3 2" xfId="21728"/>
    <cellStyle name="40% - Accent2 4 2 3 3 3 2 2" xfId="21729"/>
    <cellStyle name="40% - Accent2 4 2 3 3 3 2 3" xfId="21730"/>
    <cellStyle name="40% - Accent2 4 2 3 3 3 3" xfId="21731"/>
    <cellStyle name="40% - Accent2 4 2 3 3 3 3 2" xfId="21732"/>
    <cellStyle name="40% - Accent2 4 2 3 3 3 3 3" xfId="21733"/>
    <cellStyle name="40% - Accent2 4 2 3 3 3 4" xfId="21734"/>
    <cellStyle name="40% - Accent2 4 2 3 3 3 4 2" xfId="21735"/>
    <cellStyle name="40% - Accent2 4 2 3 3 3 5" xfId="21736"/>
    <cellStyle name="40% - Accent2 4 2 3 3 3 6" xfId="21737"/>
    <cellStyle name="40% - Accent2 4 2 3 3 4" xfId="21738"/>
    <cellStyle name="40% - Accent2 4 2 3 3 4 2" xfId="21739"/>
    <cellStyle name="40% - Accent2 4 2 3 3 4 2 2" xfId="21740"/>
    <cellStyle name="40% - Accent2 4 2 3 3 4 2 3" xfId="21741"/>
    <cellStyle name="40% - Accent2 4 2 3 3 4 3" xfId="21742"/>
    <cellStyle name="40% - Accent2 4 2 3 3 4 3 2" xfId="21743"/>
    <cellStyle name="40% - Accent2 4 2 3 3 4 4" xfId="21744"/>
    <cellStyle name="40% - Accent2 4 2 3 3 4 5" xfId="21745"/>
    <cellStyle name="40% - Accent2 4 2 3 3 5" xfId="21746"/>
    <cellStyle name="40% - Accent2 4 2 3 3 5 2" xfId="21747"/>
    <cellStyle name="40% - Accent2 4 2 3 3 5 3" xfId="21748"/>
    <cellStyle name="40% - Accent2 4 2 3 3 6" xfId="21749"/>
    <cellStyle name="40% - Accent2 4 2 3 3 6 2" xfId="21750"/>
    <cellStyle name="40% - Accent2 4 2 3 3 6 3" xfId="21751"/>
    <cellStyle name="40% - Accent2 4 2 3 3 7" xfId="21752"/>
    <cellStyle name="40% - Accent2 4 2 3 3 7 2" xfId="21753"/>
    <cellStyle name="40% - Accent2 4 2 3 3 8" xfId="21754"/>
    <cellStyle name="40% - Accent2 4 2 3 3 9" xfId="21755"/>
    <cellStyle name="40% - Accent2 4 2 3 4" xfId="21756"/>
    <cellStyle name="40% - Accent2 4 2 3 4 2" xfId="21757"/>
    <cellStyle name="40% - Accent2 4 2 3 4 2 2" xfId="21758"/>
    <cellStyle name="40% - Accent2 4 2 3 4 2 2 2" xfId="21759"/>
    <cellStyle name="40% - Accent2 4 2 3 4 2 2 3" xfId="21760"/>
    <cellStyle name="40% - Accent2 4 2 3 4 2 3" xfId="21761"/>
    <cellStyle name="40% - Accent2 4 2 3 4 2 3 2" xfId="21762"/>
    <cellStyle name="40% - Accent2 4 2 3 4 2 3 3" xfId="21763"/>
    <cellStyle name="40% - Accent2 4 2 3 4 2 4" xfId="21764"/>
    <cellStyle name="40% - Accent2 4 2 3 4 2 4 2" xfId="21765"/>
    <cellStyle name="40% - Accent2 4 2 3 4 2 5" xfId="21766"/>
    <cellStyle name="40% - Accent2 4 2 3 4 2 6" xfId="21767"/>
    <cellStyle name="40% - Accent2 4 2 3 4 3" xfId="21768"/>
    <cellStyle name="40% - Accent2 4 2 3 4 3 2" xfId="21769"/>
    <cellStyle name="40% - Accent2 4 2 3 4 3 2 2" xfId="21770"/>
    <cellStyle name="40% - Accent2 4 2 3 4 3 2 3" xfId="21771"/>
    <cellStyle name="40% - Accent2 4 2 3 4 3 3" xfId="21772"/>
    <cellStyle name="40% - Accent2 4 2 3 4 3 3 2" xfId="21773"/>
    <cellStyle name="40% - Accent2 4 2 3 4 3 3 3" xfId="21774"/>
    <cellStyle name="40% - Accent2 4 2 3 4 3 4" xfId="21775"/>
    <cellStyle name="40% - Accent2 4 2 3 4 3 4 2" xfId="21776"/>
    <cellStyle name="40% - Accent2 4 2 3 4 3 5" xfId="21777"/>
    <cellStyle name="40% - Accent2 4 2 3 4 3 6" xfId="21778"/>
    <cellStyle name="40% - Accent2 4 2 3 4 4" xfId="21779"/>
    <cellStyle name="40% - Accent2 4 2 3 4 4 2" xfId="21780"/>
    <cellStyle name="40% - Accent2 4 2 3 4 4 2 2" xfId="21781"/>
    <cellStyle name="40% - Accent2 4 2 3 4 4 2 3" xfId="21782"/>
    <cellStyle name="40% - Accent2 4 2 3 4 4 3" xfId="21783"/>
    <cellStyle name="40% - Accent2 4 2 3 4 4 3 2" xfId="21784"/>
    <cellStyle name="40% - Accent2 4 2 3 4 4 4" xfId="21785"/>
    <cellStyle name="40% - Accent2 4 2 3 4 4 5" xfId="21786"/>
    <cellStyle name="40% - Accent2 4 2 3 4 5" xfId="21787"/>
    <cellStyle name="40% - Accent2 4 2 3 4 5 2" xfId="21788"/>
    <cellStyle name="40% - Accent2 4 2 3 4 5 3" xfId="21789"/>
    <cellStyle name="40% - Accent2 4 2 3 4 6" xfId="21790"/>
    <cellStyle name="40% - Accent2 4 2 3 4 6 2" xfId="21791"/>
    <cellStyle name="40% - Accent2 4 2 3 4 6 3" xfId="21792"/>
    <cellStyle name="40% - Accent2 4 2 3 4 7" xfId="21793"/>
    <cellStyle name="40% - Accent2 4 2 3 4 7 2" xfId="21794"/>
    <cellStyle name="40% - Accent2 4 2 3 4 8" xfId="21795"/>
    <cellStyle name="40% - Accent2 4 2 3 4 9" xfId="21796"/>
    <cellStyle name="40% - Accent2 4 2 3 5" xfId="21797"/>
    <cellStyle name="40% - Accent2 4 2 3 5 2" xfId="21798"/>
    <cellStyle name="40% - Accent2 4 2 3 5 2 2" xfId="21799"/>
    <cellStyle name="40% - Accent2 4 2 3 5 2 3" xfId="21800"/>
    <cellStyle name="40% - Accent2 4 2 3 5 3" xfId="21801"/>
    <cellStyle name="40% - Accent2 4 2 3 5 3 2" xfId="21802"/>
    <cellStyle name="40% - Accent2 4 2 3 5 3 3" xfId="21803"/>
    <cellStyle name="40% - Accent2 4 2 3 5 4" xfId="21804"/>
    <cellStyle name="40% - Accent2 4 2 3 5 4 2" xfId="21805"/>
    <cellStyle name="40% - Accent2 4 2 3 5 5" xfId="21806"/>
    <cellStyle name="40% - Accent2 4 2 3 5 6" xfId="21807"/>
    <cellStyle name="40% - Accent2 4 2 3 6" xfId="21808"/>
    <cellStyle name="40% - Accent2 4 2 3 6 2" xfId="21809"/>
    <cellStyle name="40% - Accent2 4 2 3 6 2 2" xfId="21810"/>
    <cellStyle name="40% - Accent2 4 2 3 6 2 3" xfId="21811"/>
    <cellStyle name="40% - Accent2 4 2 3 6 3" xfId="21812"/>
    <cellStyle name="40% - Accent2 4 2 3 6 3 2" xfId="21813"/>
    <cellStyle name="40% - Accent2 4 2 3 6 3 3" xfId="21814"/>
    <cellStyle name="40% - Accent2 4 2 3 6 4" xfId="21815"/>
    <cellStyle name="40% - Accent2 4 2 3 6 4 2" xfId="21816"/>
    <cellStyle name="40% - Accent2 4 2 3 6 5" xfId="21817"/>
    <cellStyle name="40% - Accent2 4 2 3 6 6" xfId="21818"/>
    <cellStyle name="40% - Accent2 4 2 3 7" xfId="21819"/>
    <cellStyle name="40% - Accent2 4 2 3 7 2" xfId="21820"/>
    <cellStyle name="40% - Accent2 4 2 3 7 2 2" xfId="21821"/>
    <cellStyle name="40% - Accent2 4 2 3 7 2 3" xfId="21822"/>
    <cellStyle name="40% - Accent2 4 2 3 7 3" xfId="21823"/>
    <cellStyle name="40% - Accent2 4 2 3 7 3 2" xfId="21824"/>
    <cellStyle name="40% - Accent2 4 2 3 7 4" xfId="21825"/>
    <cellStyle name="40% - Accent2 4 2 3 7 5" xfId="21826"/>
    <cellStyle name="40% - Accent2 4 2 3 8" xfId="21827"/>
    <cellStyle name="40% - Accent2 4 2 3 8 2" xfId="21828"/>
    <cellStyle name="40% - Accent2 4 2 3 8 3" xfId="21829"/>
    <cellStyle name="40% - Accent2 4 2 3 9" xfId="21830"/>
    <cellStyle name="40% - Accent2 4 2 3 9 2" xfId="21831"/>
    <cellStyle name="40% - Accent2 4 2 3 9 3" xfId="21832"/>
    <cellStyle name="40% - Accent2 4 2 4" xfId="1793"/>
    <cellStyle name="40% - Accent2 4 2 4 10" xfId="21833"/>
    <cellStyle name="40% - Accent2 4 2 4 2" xfId="1794"/>
    <cellStyle name="40% - Accent2 4 2 4 2 2" xfId="21834"/>
    <cellStyle name="40% - Accent2 4 2 4 2 2 2" xfId="21835"/>
    <cellStyle name="40% - Accent2 4 2 4 2 2 2 2" xfId="21836"/>
    <cellStyle name="40% - Accent2 4 2 4 2 2 2 3" xfId="21837"/>
    <cellStyle name="40% - Accent2 4 2 4 2 2 3" xfId="21838"/>
    <cellStyle name="40% - Accent2 4 2 4 2 2 3 2" xfId="21839"/>
    <cellStyle name="40% - Accent2 4 2 4 2 2 3 3" xfId="21840"/>
    <cellStyle name="40% - Accent2 4 2 4 2 2 4" xfId="21841"/>
    <cellStyle name="40% - Accent2 4 2 4 2 2 4 2" xfId="21842"/>
    <cellStyle name="40% - Accent2 4 2 4 2 2 5" xfId="21843"/>
    <cellStyle name="40% - Accent2 4 2 4 2 2 6" xfId="21844"/>
    <cellStyle name="40% - Accent2 4 2 4 2 3" xfId="21845"/>
    <cellStyle name="40% - Accent2 4 2 4 2 3 2" xfId="21846"/>
    <cellStyle name="40% - Accent2 4 2 4 2 3 2 2" xfId="21847"/>
    <cellStyle name="40% - Accent2 4 2 4 2 3 2 3" xfId="21848"/>
    <cellStyle name="40% - Accent2 4 2 4 2 3 3" xfId="21849"/>
    <cellStyle name="40% - Accent2 4 2 4 2 3 3 2" xfId="21850"/>
    <cellStyle name="40% - Accent2 4 2 4 2 3 3 3" xfId="21851"/>
    <cellStyle name="40% - Accent2 4 2 4 2 3 4" xfId="21852"/>
    <cellStyle name="40% - Accent2 4 2 4 2 3 4 2" xfId="21853"/>
    <cellStyle name="40% - Accent2 4 2 4 2 3 5" xfId="21854"/>
    <cellStyle name="40% - Accent2 4 2 4 2 3 6" xfId="21855"/>
    <cellStyle name="40% - Accent2 4 2 4 2 4" xfId="21856"/>
    <cellStyle name="40% - Accent2 4 2 4 2 4 2" xfId="21857"/>
    <cellStyle name="40% - Accent2 4 2 4 2 4 2 2" xfId="21858"/>
    <cellStyle name="40% - Accent2 4 2 4 2 4 2 3" xfId="21859"/>
    <cellStyle name="40% - Accent2 4 2 4 2 4 3" xfId="21860"/>
    <cellStyle name="40% - Accent2 4 2 4 2 4 3 2" xfId="21861"/>
    <cellStyle name="40% - Accent2 4 2 4 2 4 4" xfId="21862"/>
    <cellStyle name="40% - Accent2 4 2 4 2 4 5" xfId="21863"/>
    <cellStyle name="40% - Accent2 4 2 4 2 5" xfId="21864"/>
    <cellStyle name="40% - Accent2 4 2 4 2 5 2" xfId="21865"/>
    <cellStyle name="40% - Accent2 4 2 4 2 5 3" xfId="21866"/>
    <cellStyle name="40% - Accent2 4 2 4 2 6" xfId="21867"/>
    <cellStyle name="40% - Accent2 4 2 4 2 6 2" xfId="21868"/>
    <cellStyle name="40% - Accent2 4 2 4 2 6 3" xfId="21869"/>
    <cellStyle name="40% - Accent2 4 2 4 2 7" xfId="21870"/>
    <cellStyle name="40% - Accent2 4 2 4 2 7 2" xfId="21871"/>
    <cellStyle name="40% - Accent2 4 2 4 2 8" xfId="21872"/>
    <cellStyle name="40% - Accent2 4 2 4 2 9" xfId="21873"/>
    <cellStyle name="40% - Accent2 4 2 4 3" xfId="21874"/>
    <cellStyle name="40% - Accent2 4 2 4 3 2" xfId="21875"/>
    <cellStyle name="40% - Accent2 4 2 4 3 2 2" xfId="21876"/>
    <cellStyle name="40% - Accent2 4 2 4 3 2 3" xfId="21877"/>
    <cellStyle name="40% - Accent2 4 2 4 3 3" xfId="21878"/>
    <cellStyle name="40% - Accent2 4 2 4 3 3 2" xfId="21879"/>
    <cellStyle name="40% - Accent2 4 2 4 3 3 3" xfId="21880"/>
    <cellStyle name="40% - Accent2 4 2 4 3 4" xfId="21881"/>
    <cellStyle name="40% - Accent2 4 2 4 3 4 2" xfId="21882"/>
    <cellStyle name="40% - Accent2 4 2 4 3 5" xfId="21883"/>
    <cellStyle name="40% - Accent2 4 2 4 3 6" xfId="21884"/>
    <cellStyle name="40% - Accent2 4 2 4 4" xfId="21885"/>
    <cellStyle name="40% - Accent2 4 2 4 4 2" xfId="21886"/>
    <cellStyle name="40% - Accent2 4 2 4 4 2 2" xfId="21887"/>
    <cellStyle name="40% - Accent2 4 2 4 4 2 3" xfId="21888"/>
    <cellStyle name="40% - Accent2 4 2 4 4 3" xfId="21889"/>
    <cellStyle name="40% - Accent2 4 2 4 4 3 2" xfId="21890"/>
    <cellStyle name="40% - Accent2 4 2 4 4 3 3" xfId="21891"/>
    <cellStyle name="40% - Accent2 4 2 4 4 4" xfId="21892"/>
    <cellStyle name="40% - Accent2 4 2 4 4 4 2" xfId="21893"/>
    <cellStyle name="40% - Accent2 4 2 4 4 5" xfId="21894"/>
    <cellStyle name="40% - Accent2 4 2 4 4 6" xfId="21895"/>
    <cellStyle name="40% - Accent2 4 2 4 5" xfId="21896"/>
    <cellStyle name="40% - Accent2 4 2 4 5 2" xfId="21897"/>
    <cellStyle name="40% - Accent2 4 2 4 5 2 2" xfId="21898"/>
    <cellStyle name="40% - Accent2 4 2 4 5 2 3" xfId="21899"/>
    <cellStyle name="40% - Accent2 4 2 4 5 3" xfId="21900"/>
    <cellStyle name="40% - Accent2 4 2 4 5 3 2" xfId="21901"/>
    <cellStyle name="40% - Accent2 4 2 4 5 4" xfId="21902"/>
    <cellStyle name="40% - Accent2 4 2 4 5 5" xfId="21903"/>
    <cellStyle name="40% - Accent2 4 2 4 6" xfId="21904"/>
    <cellStyle name="40% - Accent2 4 2 4 6 2" xfId="21905"/>
    <cellStyle name="40% - Accent2 4 2 4 6 3" xfId="21906"/>
    <cellStyle name="40% - Accent2 4 2 4 7" xfId="21907"/>
    <cellStyle name="40% - Accent2 4 2 4 7 2" xfId="21908"/>
    <cellStyle name="40% - Accent2 4 2 4 7 3" xfId="21909"/>
    <cellStyle name="40% - Accent2 4 2 4 8" xfId="21910"/>
    <cellStyle name="40% - Accent2 4 2 4 8 2" xfId="21911"/>
    <cellStyle name="40% - Accent2 4 2 4 9" xfId="21912"/>
    <cellStyle name="40% - Accent2 4 2 5" xfId="1795"/>
    <cellStyle name="40% - Accent2 4 2 5 2" xfId="21913"/>
    <cellStyle name="40% - Accent2 4 2 5 2 2" xfId="21914"/>
    <cellStyle name="40% - Accent2 4 2 5 2 2 2" xfId="21915"/>
    <cellStyle name="40% - Accent2 4 2 5 2 2 3" xfId="21916"/>
    <cellStyle name="40% - Accent2 4 2 5 2 3" xfId="21917"/>
    <cellStyle name="40% - Accent2 4 2 5 2 3 2" xfId="21918"/>
    <cellStyle name="40% - Accent2 4 2 5 2 3 3" xfId="21919"/>
    <cellStyle name="40% - Accent2 4 2 5 2 4" xfId="21920"/>
    <cellStyle name="40% - Accent2 4 2 5 2 4 2" xfId="21921"/>
    <cellStyle name="40% - Accent2 4 2 5 2 5" xfId="21922"/>
    <cellStyle name="40% - Accent2 4 2 5 2 6" xfId="21923"/>
    <cellStyle name="40% - Accent2 4 2 5 3" xfId="21924"/>
    <cellStyle name="40% - Accent2 4 2 5 3 2" xfId="21925"/>
    <cellStyle name="40% - Accent2 4 2 5 3 2 2" xfId="21926"/>
    <cellStyle name="40% - Accent2 4 2 5 3 2 3" xfId="21927"/>
    <cellStyle name="40% - Accent2 4 2 5 3 3" xfId="21928"/>
    <cellStyle name="40% - Accent2 4 2 5 3 3 2" xfId="21929"/>
    <cellStyle name="40% - Accent2 4 2 5 3 3 3" xfId="21930"/>
    <cellStyle name="40% - Accent2 4 2 5 3 4" xfId="21931"/>
    <cellStyle name="40% - Accent2 4 2 5 3 4 2" xfId="21932"/>
    <cellStyle name="40% - Accent2 4 2 5 3 5" xfId="21933"/>
    <cellStyle name="40% - Accent2 4 2 5 3 6" xfId="21934"/>
    <cellStyle name="40% - Accent2 4 2 5 4" xfId="21935"/>
    <cellStyle name="40% - Accent2 4 2 5 4 2" xfId="21936"/>
    <cellStyle name="40% - Accent2 4 2 5 4 2 2" xfId="21937"/>
    <cellStyle name="40% - Accent2 4 2 5 4 2 3" xfId="21938"/>
    <cellStyle name="40% - Accent2 4 2 5 4 3" xfId="21939"/>
    <cellStyle name="40% - Accent2 4 2 5 4 3 2" xfId="21940"/>
    <cellStyle name="40% - Accent2 4 2 5 4 4" xfId="21941"/>
    <cellStyle name="40% - Accent2 4 2 5 4 5" xfId="21942"/>
    <cellStyle name="40% - Accent2 4 2 5 5" xfId="21943"/>
    <cellStyle name="40% - Accent2 4 2 5 5 2" xfId="21944"/>
    <cellStyle name="40% - Accent2 4 2 5 5 3" xfId="21945"/>
    <cellStyle name="40% - Accent2 4 2 5 6" xfId="21946"/>
    <cellStyle name="40% - Accent2 4 2 5 6 2" xfId="21947"/>
    <cellStyle name="40% - Accent2 4 2 5 6 3" xfId="21948"/>
    <cellStyle name="40% - Accent2 4 2 5 7" xfId="21949"/>
    <cellStyle name="40% - Accent2 4 2 5 7 2" xfId="21950"/>
    <cellStyle name="40% - Accent2 4 2 5 8" xfId="21951"/>
    <cellStyle name="40% - Accent2 4 2 5 9" xfId="21952"/>
    <cellStyle name="40% - Accent2 4 2 6" xfId="21953"/>
    <cellStyle name="40% - Accent2 4 2 6 2" xfId="21954"/>
    <cellStyle name="40% - Accent2 4 2 6 2 2" xfId="21955"/>
    <cellStyle name="40% - Accent2 4 2 6 2 2 2" xfId="21956"/>
    <cellStyle name="40% - Accent2 4 2 6 2 2 3" xfId="21957"/>
    <cellStyle name="40% - Accent2 4 2 6 2 3" xfId="21958"/>
    <cellStyle name="40% - Accent2 4 2 6 2 3 2" xfId="21959"/>
    <cellStyle name="40% - Accent2 4 2 6 2 3 3" xfId="21960"/>
    <cellStyle name="40% - Accent2 4 2 6 2 4" xfId="21961"/>
    <cellStyle name="40% - Accent2 4 2 6 2 4 2" xfId="21962"/>
    <cellStyle name="40% - Accent2 4 2 6 2 5" xfId="21963"/>
    <cellStyle name="40% - Accent2 4 2 6 2 6" xfId="21964"/>
    <cellStyle name="40% - Accent2 4 2 6 3" xfId="21965"/>
    <cellStyle name="40% - Accent2 4 2 6 3 2" xfId="21966"/>
    <cellStyle name="40% - Accent2 4 2 6 3 2 2" xfId="21967"/>
    <cellStyle name="40% - Accent2 4 2 6 3 2 3" xfId="21968"/>
    <cellStyle name="40% - Accent2 4 2 6 3 3" xfId="21969"/>
    <cellStyle name="40% - Accent2 4 2 6 3 3 2" xfId="21970"/>
    <cellStyle name="40% - Accent2 4 2 6 3 3 3" xfId="21971"/>
    <cellStyle name="40% - Accent2 4 2 6 3 4" xfId="21972"/>
    <cellStyle name="40% - Accent2 4 2 6 3 4 2" xfId="21973"/>
    <cellStyle name="40% - Accent2 4 2 6 3 5" xfId="21974"/>
    <cellStyle name="40% - Accent2 4 2 6 3 6" xfId="21975"/>
    <cellStyle name="40% - Accent2 4 2 6 4" xfId="21976"/>
    <cellStyle name="40% - Accent2 4 2 6 4 2" xfId="21977"/>
    <cellStyle name="40% - Accent2 4 2 6 4 2 2" xfId="21978"/>
    <cellStyle name="40% - Accent2 4 2 6 4 2 3" xfId="21979"/>
    <cellStyle name="40% - Accent2 4 2 6 4 3" xfId="21980"/>
    <cellStyle name="40% - Accent2 4 2 6 4 3 2" xfId="21981"/>
    <cellStyle name="40% - Accent2 4 2 6 4 4" xfId="21982"/>
    <cellStyle name="40% - Accent2 4 2 6 4 5" xfId="21983"/>
    <cellStyle name="40% - Accent2 4 2 6 5" xfId="21984"/>
    <cellStyle name="40% - Accent2 4 2 6 5 2" xfId="21985"/>
    <cellStyle name="40% - Accent2 4 2 6 5 3" xfId="21986"/>
    <cellStyle name="40% - Accent2 4 2 6 6" xfId="21987"/>
    <cellStyle name="40% - Accent2 4 2 6 6 2" xfId="21988"/>
    <cellStyle name="40% - Accent2 4 2 6 6 3" xfId="21989"/>
    <cellStyle name="40% - Accent2 4 2 6 7" xfId="21990"/>
    <cellStyle name="40% - Accent2 4 2 6 7 2" xfId="21991"/>
    <cellStyle name="40% - Accent2 4 2 6 8" xfId="21992"/>
    <cellStyle name="40% - Accent2 4 2 6 9" xfId="21993"/>
    <cellStyle name="40% - Accent2 4 2 7" xfId="21994"/>
    <cellStyle name="40% - Accent2 4 2 7 2" xfId="21995"/>
    <cellStyle name="40% - Accent2 4 2 7 2 2" xfId="21996"/>
    <cellStyle name="40% - Accent2 4 2 7 2 3" xfId="21997"/>
    <cellStyle name="40% - Accent2 4 2 7 3" xfId="21998"/>
    <cellStyle name="40% - Accent2 4 2 7 3 2" xfId="21999"/>
    <cellStyle name="40% - Accent2 4 2 7 3 3" xfId="22000"/>
    <cellStyle name="40% - Accent2 4 2 7 4" xfId="22001"/>
    <cellStyle name="40% - Accent2 4 2 7 4 2" xfId="22002"/>
    <cellStyle name="40% - Accent2 4 2 7 5" xfId="22003"/>
    <cellStyle name="40% - Accent2 4 2 7 6" xfId="22004"/>
    <cellStyle name="40% - Accent2 4 2 8" xfId="22005"/>
    <cellStyle name="40% - Accent2 4 2 8 2" xfId="22006"/>
    <cellStyle name="40% - Accent2 4 2 8 2 2" xfId="22007"/>
    <cellStyle name="40% - Accent2 4 2 8 2 3" xfId="22008"/>
    <cellStyle name="40% - Accent2 4 2 8 3" xfId="22009"/>
    <cellStyle name="40% - Accent2 4 2 8 3 2" xfId="22010"/>
    <cellStyle name="40% - Accent2 4 2 8 3 3" xfId="22011"/>
    <cellStyle name="40% - Accent2 4 2 8 4" xfId="22012"/>
    <cellStyle name="40% - Accent2 4 2 8 4 2" xfId="22013"/>
    <cellStyle name="40% - Accent2 4 2 8 5" xfId="22014"/>
    <cellStyle name="40% - Accent2 4 2 8 6" xfId="22015"/>
    <cellStyle name="40% - Accent2 4 2 9" xfId="22016"/>
    <cellStyle name="40% - Accent2 4 2 9 2" xfId="22017"/>
    <cellStyle name="40% - Accent2 4 2 9 2 2" xfId="22018"/>
    <cellStyle name="40% - Accent2 4 2 9 2 3" xfId="22019"/>
    <cellStyle name="40% - Accent2 4 2 9 3" xfId="22020"/>
    <cellStyle name="40% - Accent2 4 2 9 3 2" xfId="22021"/>
    <cellStyle name="40% - Accent2 4 2 9 4" xfId="22022"/>
    <cellStyle name="40% - Accent2 4 2 9 5" xfId="22023"/>
    <cellStyle name="40% - Accent2 4 3" xfId="1796"/>
    <cellStyle name="40% - Accent2 4 3 10" xfId="22024"/>
    <cellStyle name="40% - Accent2 4 3 10 2" xfId="22025"/>
    <cellStyle name="40% - Accent2 4 3 10 3" xfId="22026"/>
    <cellStyle name="40% - Accent2 4 3 11" xfId="22027"/>
    <cellStyle name="40% - Accent2 4 3 11 2" xfId="22028"/>
    <cellStyle name="40% - Accent2 4 3 12" xfId="22029"/>
    <cellStyle name="40% - Accent2 4 3 13" xfId="22030"/>
    <cellStyle name="40% - Accent2 4 3 14" xfId="22031"/>
    <cellStyle name="40% - Accent2 4 3 2" xfId="1797"/>
    <cellStyle name="40% - Accent2 4 3 2 10" xfId="22032"/>
    <cellStyle name="40% - Accent2 4 3 2 10 2" xfId="22033"/>
    <cellStyle name="40% - Accent2 4 3 2 11" xfId="22034"/>
    <cellStyle name="40% - Accent2 4 3 2 12" xfId="22035"/>
    <cellStyle name="40% - Accent2 4 3 2 2" xfId="1798"/>
    <cellStyle name="40% - Accent2 4 3 2 2 10" xfId="22036"/>
    <cellStyle name="40% - Accent2 4 3 2 2 2" xfId="1799"/>
    <cellStyle name="40% - Accent2 4 3 2 2 2 2" xfId="22037"/>
    <cellStyle name="40% - Accent2 4 3 2 2 2 2 2" xfId="22038"/>
    <cellStyle name="40% - Accent2 4 3 2 2 2 2 2 2" xfId="22039"/>
    <cellStyle name="40% - Accent2 4 3 2 2 2 2 2 3" xfId="22040"/>
    <cellStyle name="40% - Accent2 4 3 2 2 2 2 3" xfId="22041"/>
    <cellStyle name="40% - Accent2 4 3 2 2 2 2 3 2" xfId="22042"/>
    <cellStyle name="40% - Accent2 4 3 2 2 2 2 3 3" xfId="22043"/>
    <cellStyle name="40% - Accent2 4 3 2 2 2 2 4" xfId="22044"/>
    <cellStyle name="40% - Accent2 4 3 2 2 2 2 4 2" xfId="22045"/>
    <cellStyle name="40% - Accent2 4 3 2 2 2 2 5" xfId="22046"/>
    <cellStyle name="40% - Accent2 4 3 2 2 2 2 6" xfId="22047"/>
    <cellStyle name="40% - Accent2 4 3 2 2 2 3" xfId="22048"/>
    <cellStyle name="40% - Accent2 4 3 2 2 2 3 2" xfId="22049"/>
    <cellStyle name="40% - Accent2 4 3 2 2 2 3 2 2" xfId="22050"/>
    <cellStyle name="40% - Accent2 4 3 2 2 2 3 2 3" xfId="22051"/>
    <cellStyle name="40% - Accent2 4 3 2 2 2 3 3" xfId="22052"/>
    <cellStyle name="40% - Accent2 4 3 2 2 2 3 3 2" xfId="22053"/>
    <cellStyle name="40% - Accent2 4 3 2 2 2 3 3 3" xfId="22054"/>
    <cellStyle name="40% - Accent2 4 3 2 2 2 3 4" xfId="22055"/>
    <cellStyle name="40% - Accent2 4 3 2 2 2 3 4 2" xfId="22056"/>
    <cellStyle name="40% - Accent2 4 3 2 2 2 3 5" xfId="22057"/>
    <cellStyle name="40% - Accent2 4 3 2 2 2 3 6" xfId="22058"/>
    <cellStyle name="40% - Accent2 4 3 2 2 2 4" xfId="22059"/>
    <cellStyle name="40% - Accent2 4 3 2 2 2 4 2" xfId="22060"/>
    <cellStyle name="40% - Accent2 4 3 2 2 2 4 2 2" xfId="22061"/>
    <cellStyle name="40% - Accent2 4 3 2 2 2 4 2 3" xfId="22062"/>
    <cellStyle name="40% - Accent2 4 3 2 2 2 4 3" xfId="22063"/>
    <cellStyle name="40% - Accent2 4 3 2 2 2 4 3 2" xfId="22064"/>
    <cellStyle name="40% - Accent2 4 3 2 2 2 4 4" xfId="22065"/>
    <cellStyle name="40% - Accent2 4 3 2 2 2 4 5" xfId="22066"/>
    <cellStyle name="40% - Accent2 4 3 2 2 2 5" xfId="22067"/>
    <cellStyle name="40% - Accent2 4 3 2 2 2 5 2" xfId="22068"/>
    <cellStyle name="40% - Accent2 4 3 2 2 2 5 3" xfId="22069"/>
    <cellStyle name="40% - Accent2 4 3 2 2 2 6" xfId="22070"/>
    <cellStyle name="40% - Accent2 4 3 2 2 2 6 2" xfId="22071"/>
    <cellStyle name="40% - Accent2 4 3 2 2 2 6 3" xfId="22072"/>
    <cellStyle name="40% - Accent2 4 3 2 2 2 7" xfId="22073"/>
    <cellStyle name="40% - Accent2 4 3 2 2 2 7 2" xfId="22074"/>
    <cellStyle name="40% - Accent2 4 3 2 2 2 8" xfId="22075"/>
    <cellStyle name="40% - Accent2 4 3 2 2 2 9" xfId="22076"/>
    <cellStyle name="40% - Accent2 4 3 2 2 3" xfId="22077"/>
    <cellStyle name="40% - Accent2 4 3 2 2 3 2" xfId="22078"/>
    <cellStyle name="40% - Accent2 4 3 2 2 3 2 2" xfId="22079"/>
    <cellStyle name="40% - Accent2 4 3 2 2 3 2 3" xfId="22080"/>
    <cellStyle name="40% - Accent2 4 3 2 2 3 3" xfId="22081"/>
    <cellStyle name="40% - Accent2 4 3 2 2 3 3 2" xfId="22082"/>
    <cellStyle name="40% - Accent2 4 3 2 2 3 3 3" xfId="22083"/>
    <cellStyle name="40% - Accent2 4 3 2 2 3 4" xfId="22084"/>
    <cellStyle name="40% - Accent2 4 3 2 2 3 4 2" xfId="22085"/>
    <cellStyle name="40% - Accent2 4 3 2 2 3 5" xfId="22086"/>
    <cellStyle name="40% - Accent2 4 3 2 2 3 6" xfId="22087"/>
    <cellStyle name="40% - Accent2 4 3 2 2 4" xfId="22088"/>
    <cellStyle name="40% - Accent2 4 3 2 2 4 2" xfId="22089"/>
    <cellStyle name="40% - Accent2 4 3 2 2 4 2 2" xfId="22090"/>
    <cellStyle name="40% - Accent2 4 3 2 2 4 2 3" xfId="22091"/>
    <cellStyle name="40% - Accent2 4 3 2 2 4 3" xfId="22092"/>
    <cellStyle name="40% - Accent2 4 3 2 2 4 3 2" xfId="22093"/>
    <cellStyle name="40% - Accent2 4 3 2 2 4 3 3" xfId="22094"/>
    <cellStyle name="40% - Accent2 4 3 2 2 4 4" xfId="22095"/>
    <cellStyle name="40% - Accent2 4 3 2 2 4 4 2" xfId="22096"/>
    <cellStyle name="40% - Accent2 4 3 2 2 4 5" xfId="22097"/>
    <cellStyle name="40% - Accent2 4 3 2 2 4 6" xfId="22098"/>
    <cellStyle name="40% - Accent2 4 3 2 2 5" xfId="22099"/>
    <cellStyle name="40% - Accent2 4 3 2 2 5 2" xfId="22100"/>
    <cellStyle name="40% - Accent2 4 3 2 2 5 2 2" xfId="22101"/>
    <cellStyle name="40% - Accent2 4 3 2 2 5 2 3" xfId="22102"/>
    <cellStyle name="40% - Accent2 4 3 2 2 5 3" xfId="22103"/>
    <cellStyle name="40% - Accent2 4 3 2 2 5 3 2" xfId="22104"/>
    <cellStyle name="40% - Accent2 4 3 2 2 5 4" xfId="22105"/>
    <cellStyle name="40% - Accent2 4 3 2 2 5 5" xfId="22106"/>
    <cellStyle name="40% - Accent2 4 3 2 2 6" xfId="22107"/>
    <cellStyle name="40% - Accent2 4 3 2 2 6 2" xfId="22108"/>
    <cellStyle name="40% - Accent2 4 3 2 2 6 3" xfId="22109"/>
    <cellStyle name="40% - Accent2 4 3 2 2 7" xfId="22110"/>
    <cellStyle name="40% - Accent2 4 3 2 2 7 2" xfId="22111"/>
    <cellStyle name="40% - Accent2 4 3 2 2 7 3" xfId="22112"/>
    <cellStyle name="40% - Accent2 4 3 2 2 8" xfId="22113"/>
    <cellStyle name="40% - Accent2 4 3 2 2 8 2" xfId="22114"/>
    <cellStyle name="40% - Accent2 4 3 2 2 9" xfId="22115"/>
    <cellStyle name="40% - Accent2 4 3 2 3" xfId="1800"/>
    <cellStyle name="40% - Accent2 4 3 2 3 2" xfId="22116"/>
    <cellStyle name="40% - Accent2 4 3 2 3 2 2" xfId="22117"/>
    <cellStyle name="40% - Accent2 4 3 2 3 2 2 2" xfId="22118"/>
    <cellStyle name="40% - Accent2 4 3 2 3 2 2 3" xfId="22119"/>
    <cellStyle name="40% - Accent2 4 3 2 3 2 3" xfId="22120"/>
    <cellStyle name="40% - Accent2 4 3 2 3 2 3 2" xfId="22121"/>
    <cellStyle name="40% - Accent2 4 3 2 3 2 3 3" xfId="22122"/>
    <cellStyle name="40% - Accent2 4 3 2 3 2 4" xfId="22123"/>
    <cellStyle name="40% - Accent2 4 3 2 3 2 4 2" xfId="22124"/>
    <cellStyle name="40% - Accent2 4 3 2 3 2 5" xfId="22125"/>
    <cellStyle name="40% - Accent2 4 3 2 3 2 6" xfId="22126"/>
    <cellStyle name="40% - Accent2 4 3 2 3 3" xfId="22127"/>
    <cellStyle name="40% - Accent2 4 3 2 3 3 2" xfId="22128"/>
    <cellStyle name="40% - Accent2 4 3 2 3 3 2 2" xfId="22129"/>
    <cellStyle name="40% - Accent2 4 3 2 3 3 2 3" xfId="22130"/>
    <cellStyle name="40% - Accent2 4 3 2 3 3 3" xfId="22131"/>
    <cellStyle name="40% - Accent2 4 3 2 3 3 3 2" xfId="22132"/>
    <cellStyle name="40% - Accent2 4 3 2 3 3 3 3" xfId="22133"/>
    <cellStyle name="40% - Accent2 4 3 2 3 3 4" xfId="22134"/>
    <cellStyle name="40% - Accent2 4 3 2 3 3 4 2" xfId="22135"/>
    <cellStyle name="40% - Accent2 4 3 2 3 3 5" xfId="22136"/>
    <cellStyle name="40% - Accent2 4 3 2 3 3 6" xfId="22137"/>
    <cellStyle name="40% - Accent2 4 3 2 3 4" xfId="22138"/>
    <cellStyle name="40% - Accent2 4 3 2 3 4 2" xfId="22139"/>
    <cellStyle name="40% - Accent2 4 3 2 3 4 2 2" xfId="22140"/>
    <cellStyle name="40% - Accent2 4 3 2 3 4 2 3" xfId="22141"/>
    <cellStyle name="40% - Accent2 4 3 2 3 4 3" xfId="22142"/>
    <cellStyle name="40% - Accent2 4 3 2 3 4 3 2" xfId="22143"/>
    <cellStyle name="40% - Accent2 4 3 2 3 4 4" xfId="22144"/>
    <cellStyle name="40% - Accent2 4 3 2 3 4 5" xfId="22145"/>
    <cellStyle name="40% - Accent2 4 3 2 3 5" xfId="22146"/>
    <cellStyle name="40% - Accent2 4 3 2 3 5 2" xfId="22147"/>
    <cellStyle name="40% - Accent2 4 3 2 3 5 3" xfId="22148"/>
    <cellStyle name="40% - Accent2 4 3 2 3 6" xfId="22149"/>
    <cellStyle name="40% - Accent2 4 3 2 3 6 2" xfId="22150"/>
    <cellStyle name="40% - Accent2 4 3 2 3 6 3" xfId="22151"/>
    <cellStyle name="40% - Accent2 4 3 2 3 7" xfId="22152"/>
    <cellStyle name="40% - Accent2 4 3 2 3 7 2" xfId="22153"/>
    <cellStyle name="40% - Accent2 4 3 2 3 8" xfId="22154"/>
    <cellStyle name="40% - Accent2 4 3 2 3 9" xfId="22155"/>
    <cellStyle name="40% - Accent2 4 3 2 4" xfId="22156"/>
    <cellStyle name="40% - Accent2 4 3 2 4 2" xfId="22157"/>
    <cellStyle name="40% - Accent2 4 3 2 4 2 2" xfId="22158"/>
    <cellStyle name="40% - Accent2 4 3 2 4 2 2 2" xfId="22159"/>
    <cellStyle name="40% - Accent2 4 3 2 4 2 2 3" xfId="22160"/>
    <cellStyle name="40% - Accent2 4 3 2 4 2 3" xfId="22161"/>
    <cellStyle name="40% - Accent2 4 3 2 4 2 3 2" xfId="22162"/>
    <cellStyle name="40% - Accent2 4 3 2 4 2 3 3" xfId="22163"/>
    <cellStyle name="40% - Accent2 4 3 2 4 2 4" xfId="22164"/>
    <cellStyle name="40% - Accent2 4 3 2 4 2 4 2" xfId="22165"/>
    <cellStyle name="40% - Accent2 4 3 2 4 2 5" xfId="22166"/>
    <cellStyle name="40% - Accent2 4 3 2 4 2 6" xfId="22167"/>
    <cellStyle name="40% - Accent2 4 3 2 4 3" xfId="22168"/>
    <cellStyle name="40% - Accent2 4 3 2 4 3 2" xfId="22169"/>
    <cellStyle name="40% - Accent2 4 3 2 4 3 2 2" xfId="22170"/>
    <cellStyle name="40% - Accent2 4 3 2 4 3 2 3" xfId="22171"/>
    <cellStyle name="40% - Accent2 4 3 2 4 3 3" xfId="22172"/>
    <cellStyle name="40% - Accent2 4 3 2 4 3 3 2" xfId="22173"/>
    <cellStyle name="40% - Accent2 4 3 2 4 3 3 3" xfId="22174"/>
    <cellStyle name="40% - Accent2 4 3 2 4 3 4" xfId="22175"/>
    <cellStyle name="40% - Accent2 4 3 2 4 3 4 2" xfId="22176"/>
    <cellStyle name="40% - Accent2 4 3 2 4 3 5" xfId="22177"/>
    <cellStyle name="40% - Accent2 4 3 2 4 3 6" xfId="22178"/>
    <cellStyle name="40% - Accent2 4 3 2 4 4" xfId="22179"/>
    <cellStyle name="40% - Accent2 4 3 2 4 4 2" xfId="22180"/>
    <cellStyle name="40% - Accent2 4 3 2 4 4 2 2" xfId="22181"/>
    <cellStyle name="40% - Accent2 4 3 2 4 4 2 3" xfId="22182"/>
    <cellStyle name="40% - Accent2 4 3 2 4 4 3" xfId="22183"/>
    <cellStyle name="40% - Accent2 4 3 2 4 4 3 2" xfId="22184"/>
    <cellStyle name="40% - Accent2 4 3 2 4 4 4" xfId="22185"/>
    <cellStyle name="40% - Accent2 4 3 2 4 4 5" xfId="22186"/>
    <cellStyle name="40% - Accent2 4 3 2 4 5" xfId="22187"/>
    <cellStyle name="40% - Accent2 4 3 2 4 5 2" xfId="22188"/>
    <cellStyle name="40% - Accent2 4 3 2 4 5 3" xfId="22189"/>
    <cellStyle name="40% - Accent2 4 3 2 4 6" xfId="22190"/>
    <cellStyle name="40% - Accent2 4 3 2 4 6 2" xfId="22191"/>
    <cellStyle name="40% - Accent2 4 3 2 4 6 3" xfId="22192"/>
    <cellStyle name="40% - Accent2 4 3 2 4 7" xfId="22193"/>
    <cellStyle name="40% - Accent2 4 3 2 4 7 2" xfId="22194"/>
    <cellStyle name="40% - Accent2 4 3 2 4 8" xfId="22195"/>
    <cellStyle name="40% - Accent2 4 3 2 4 9" xfId="22196"/>
    <cellStyle name="40% - Accent2 4 3 2 5" xfId="22197"/>
    <cellStyle name="40% - Accent2 4 3 2 5 2" xfId="22198"/>
    <cellStyle name="40% - Accent2 4 3 2 5 2 2" xfId="22199"/>
    <cellStyle name="40% - Accent2 4 3 2 5 2 3" xfId="22200"/>
    <cellStyle name="40% - Accent2 4 3 2 5 3" xfId="22201"/>
    <cellStyle name="40% - Accent2 4 3 2 5 3 2" xfId="22202"/>
    <cellStyle name="40% - Accent2 4 3 2 5 3 3" xfId="22203"/>
    <cellStyle name="40% - Accent2 4 3 2 5 4" xfId="22204"/>
    <cellStyle name="40% - Accent2 4 3 2 5 4 2" xfId="22205"/>
    <cellStyle name="40% - Accent2 4 3 2 5 5" xfId="22206"/>
    <cellStyle name="40% - Accent2 4 3 2 5 6" xfId="22207"/>
    <cellStyle name="40% - Accent2 4 3 2 6" xfId="22208"/>
    <cellStyle name="40% - Accent2 4 3 2 6 2" xfId="22209"/>
    <cellStyle name="40% - Accent2 4 3 2 6 2 2" xfId="22210"/>
    <cellStyle name="40% - Accent2 4 3 2 6 2 3" xfId="22211"/>
    <cellStyle name="40% - Accent2 4 3 2 6 3" xfId="22212"/>
    <cellStyle name="40% - Accent2 4 3 2 6 3 2" xfId="22213"/>
    <cellStyle name="40% - Accent2 4 3 2 6 3 3" xfId="22214"/>
    <cellStyle name="40% - Accent2 4 3 2 6 4" xfId="22215"/>
    <cellStyle name="40% - Accent2 4 3 2 6 4 2" xfId="22216"/>
    <cellStyle name="40% - Accent2 4 3 2 6 5" xfId="22217"/>
    <cellStyle name="40% - Accent2 4 3 2 6 6" xfId="22218"/>
    <cellStyle name="40% - Accent2 4 3 2 7" xfId="22219"/>
    <cellStyle name="40% - Accent2 4 3 2 7 2" xfId="22220"/>
    <cellStyle name="40% - Accent2 4 3 2 7 2 2" xfId="22221"/>
    <cellStyle name="40% - Accent2 4 3 2 7 2 3" xfId="22222"/>
    <cellStyle name="40% - Accent2 4 3 2 7 3" xfId="22223"/>
    <cellStyle name="40% - Accent2 4 3 2 7 3 2" xfId="22224"/>
    <cellStyle name="40% - Accent2 4 3 2 7 4" xfId="22225"/>
    <cellStyle name="40% - Accent2 4 3 2 7 5" xfId="22226"/>
    <cellStyle name="40% - Accent2 4 3 2 8" xfId="22227"/>
    <cellStyle name="40% - Accent2 4 3 2 8 2" xfId="22228"/>
    <cellStyle name="40% - Accent2 4 3 2 8 3" xfId="22229"/>
    <cellStyle name="40% - Accent2 4 3 2 9" xfId="22230"/>
    <cellStyle name="40% - Accent2 4 3 2 9 2" xfId="22231"/>
    <cellStyle name="40% - Accent2 4 3 2 9 3" xfId="22232"/>
    <cellStyle name="40% - Accent2 4 3 3" xfId="1801"/>
    <cellStyle name="40% - Accent2 4 3 3 10" xfId="22233"/>
    <cellStyle name="40% - Accent2 4 3 3 2" xfId="1802"/>
    <cellStyle name="40% - Accent2 4 3 3 2 2" xfId="22234"/>
    <cellStyle name="40% - Accent2 4 3 3 2 2 2" xfId="22235"/>
    <cellStyle name="40% - Accent2 4 3 3 2 2 2 2" xfId="22236"/>
    <cellStyle name="40% - Accent2 4 3 3 2 2 2 3" xfId="22237"/>
    <cellStyle name="40% - Accent2 4 3 3 2 2 3" xfId="22238"/>
    <cellStyle name="40% - Accent2 4 3 3 2 2 3 2" xfId="22239"/>
    <cellStyle name="40% - Accent2 4 3 3 2 2 3 3" xfId="22240"/>
    <cellStyle name="40% - Accent2 4 3 3 2 2 4" xfId="22241"/>
    <cellStyle name="40% - Accent2 4 3 3 2 2 4 2" xfId="22242"/>
    <cellStyle name="40% - Accent2 4 3 3 2 2 5" xfId="22243"/>
    <cellStyle name="40% - Accent2 4 3 3 2 2 6" xfId="22244"/>
    <cellStyle name="40% - Accent2 4 3 3 2 3" xfId="22245"/>
    <cellStyle name="40% - Accent2 4 3 3 2 3 2" xfId="22246"/>
    <cellStyle name="40% - Accent2 4 3 3 2 3 2 2" xfId="22247"/>
    <cellStyle name="40% - Accent2 4 3 3 2 3 2 3" xfId="22248"/>
    <cellStyle name="40% - Accent2 4 3 3 2 3 3" xfId="22249"/>
    <cellStyle name="40% - Accent2 4 3 3 2 3 3 2" xfId="22250"/>
    <cellStyle name="40% - Accent2 4 3 3 2 3 3 3" xfId="22251"/>
    <cellStyle name="40% - Accent2 4 3 3 2 3 4" xfId="22252"/>
    <cellStyle name="40% - Accent2 4 3 3 2 3 4 2" xfId="22253"/>
    <cellStyle name="40% - Accent2 4 3 3 2 3 5" xfId="22254"/>
    <cellStyle name="40% - Accent2 4 3 3 2 3 6" xfId="22255"/>
    <cellStyle name="40% - Accent2 4 3 3 2 4" xfId="22256"/>
    <cellStyle name="40% - Accent2 4 3 3 2 4 2" xfId="22257"/>
    <cellStyle name="40% - Accent2 4 3 3 2 4 2 2" xfId="22258"/>
    <cellStyle name="40% - Accent2 4 3 3 2 4 2 3" xfId="22259"/>
    <cellStyle name="40% - Accent2 4 3 3 2 4 3" xfId="22260"/>
    <cellStyle name="40% - Accent2 4 3 3 2 4 3 2" xfId="22261"/>
    <cellStyle name="40% - Accent2 4 3 3 2 4 4" xfId="22262"/>
    <cellStyle name="40% - Accent2 4 3 3 2 4 5" xfId="22263"/>
    <cellStyle name="40% - Accent2 4 3 3 2 5" xfId="22264"/>
    <cellStyle name="40% - Accent2 4 3 3 2 5 2" xfId="22265"/>
    <cellStyle name="40% - Accent2 4 3 3 2 5 3" xfId="22266"/>
    <cellStyle name="40% - Accent2 4 3 3 2 6" xfId="22267"/>
    <cellStyle name="40% - Accent2 4 3 3 2 6 2" xfId="22268"/>
    <cellStyle name="40% - Accent2 4 3 3 2 6 3" xfId="22269"/>
    <cellStyle name="40% - Accent2 4 3 3 2 7" xfId="22270"/>
    <cellStyle name="40% - Accent2 4 3 3 2 7 2" xfId="22271"/>
    <cellStyle name="40% - Accent2 4 3 3 2 8" xfId="22272"/>
    <cellStyle name="40% - Accent2 4 3 3 2 9" xfId="22273"/>
    <cellStyle name="40% - Accent2 4 3 3 3" xfId="22274"/>
    <cellStyle name="40% - Accent2 4 3 3 3 2" xfId="22275"/>
    <cellStyle name="40% - Accent2 4 3 3 3 2 2" xfId="22276"/>
    <cellStyle name="40% - Accent2 4 3 3 3 2 3" xfId="22277"/>
    <cellStyle name="40% - Accent2 4 3 3 3 3" xfId="22278"/>
    <cellStyle name="40% - Accent2 4 3 3 3 3 2" xfId="22279"/>
    <cellStyle name="40% - Accent2 4 3 3 3 3 3" xfId="22280"/>
    <cellStyle name="40% - Accent2 4 3 3 3 4" xfId="22281"/>
    <cellStyle name="40% - Accent2 4 3 3 3 4 2" xfId="22282"/>
    <cellStyle name="40% - Accent2 4 3 3 3 5" xfId="22283"/>
    <cellStyle name="40% - Accent2 4 3 3 3 6" xfId="22284"/>
    <cellStyle name="40% - Accent2 4 3 3 4" xfId="22285"/>
    <cellStyle name="40% - Accent2 4 3 3 4 2" xfId="22286"/>
    <cellStyle name="40% - Accent2 4 3 3 4 2 2" xfId="22287"/>
    <cellStyle name="40% - Accent2 4 3 3 4 2 3" xfId="22288"/>
    <cellStyle name="40% - Accent2 4 3 3 4 3" xfId="22289"/>
    <cellStyle name="40% - Accent2 4 3 3 4 3 2" xfId="22290"/>
    <cellStyle name="40% - Accent2 4 3 3 4 3 3" xfId="22291"/>
    <cellStyle name="40% - Accent2 4 3 3 4 4" xfId="22292"/>
    <cellStyle name="40% - Accent2 4 3 3 4 4 2" xfId="22293"/>
    <cellStyle name="40% - Accent2 4 3 3 4 5" xfId="22294"/>
    <cellStyle name="40% - Accent2 4 3 3 4 6" xfId="22295"/>
    <cellStyle name="40% - Accent2 4 3 3 5" xfId="22296"/>
    <cellStyle name="40% - Accent2 4 3 3 5 2" xfId="22297"/>
    <cellStyle name="40% - Accent2 4 3 3 5 2 2" xfId="22298"/>
    <cellStyle name="40% - Accent2 4 3 3 5 2 3" xfId="22299"/>
    <cellStyle name="40% - Accent2 4 3 3 5 3" xfId="22300"/>
    <cellStyle name="40% - Accent2 4 3 3 5 3 2" xfId="22301"/>
    <cellStyle name="40% - Accent2 4 3 3 5 4" xfId="22302"/>
    <cellStyle name="40% - Accent2 4 3 3 5 5" xfId="22303"/>
    <cellStyle name="40% - Accent2 4 3 3 6" xfId="22304"/>
    <cellStyle name="40% - Accent2 4 3 3 6 2" xfId="22305"/>
    <cellStyle name="40% - Accent2 4 3 3 6 3" xfId="22306"/>
    <cellStyle name="40% - Accent2 4 3 3 7" xfId="22307"/>
    <cellStyle name="40% - Accent2 4 3 3 7 2" xfId="22308"/>
    <cellStyle name="40% - Accent2 4 3 3 7 3" xfId="22309"/>
    <cellStyle name="40% - Accent2 4 3 3 8" xfId="22310"/>
    <cellStyle name="40% - Accent2 4 3 3 8 2" xfId="22311"/>
    <cellStyle name="40% - Accent2 4 3 3 9" xfId="22312"/>
    <cellStyle name="40% - Accent2 4 3 4" xfId="1803"/>
    <cellStyle name="40% - Accent2 4 3 4 2" xfId="22313"/>
    <cellStyle name="40% - Accent2 4 3 4 2 2" xfId="22314"/>
    <cellStyle name="40% - Accent2 4 3 4 2 2 2" xfId="22315"/>
    <cellStyle name="40% - Accent2 4 3 4 2 2 3" xfId="22316"/>
    <cellStyle name="40% - Accent2 4 3 4 2 3" xfId="22317"/>
    <cellStyle name="40% - Accent2 4 3 4 2 3 2" xfId="22318"/>
    <cellStyle name="40% - Accent2 4 3 4 2 3 3" xfId="22319"/>
    <cellStyle name="40% - Accent2 4 3 4 2 4" xfId="22320"/>
    <cellStyle name="40% - Accent2 4 3 4 2 4 2" xfId="22321"/>
    <cellStyle name="40% - Accent2 4 3 4 2 5" xfId="22322"/>
    <cellStyle name="40% - Accent2 4 3 4 2 6" xfId="22323"/>
    <cellStyle name="40% - Accent2 4 3 4 3" xfId="22324"/>
    <cellStyle name="40% - Accent2 4 3 4 3 2" xfId="22325"/>
    <cellStyle name="40% - Accent2 4 3 4 3 2 2" xfId="22326"/>
    <cellStyle name="40% - Accent2 4 3 4 3 2 3" xfId="22327"/>
    <cellStyle name="40% - Accent2 4 3 4 3 3" xfId="22328"/>
    <cellStyle name="40% - Accent2 4 3 4 3 3 2" xfId="22329"/>
    <cellStyle name="40% - Accent2 4 3 4 3 3 3" xfId="22330"/>
    <cellStyle name="40% - Accent2 4 3 4 3 4" xfId="22331"/>
    <cellStyle name="40% - Accent2 4 3 4 3 4 2" xfId="22332"/>
    <cellStyle name="40% - Accent2 4 3 4 3 5" xfId="22333"/>
    <cellStyle name="40% - Accent2 4 3 4 3 6" xfId="22334"/>
    <cellStyle name="40% - Accent2 4 3 4 4" xfId="22335"/>
    <cellStyle name="40% - Accent2 4 3 4 4 2" xfId="22336"/>
    <cellStyle name="40% - Accent2 4 3 4 4 2 2" xfId="22337"/>
    <cellStyle name="40% - Accent2 4 3 4 4 2 3" xfId="22338"/>
    <cellStyle name="40% - Accent2 4 3 4 4 3" xfId="22339"/>
    <cellStyle name="40% - Accent2 4 3 4 4 3 2" xfId="22340"/>
    <cellStyle name="40% - Accent2 4 3 4 4 4" xfId="22341"/>
    <cellStyle name="40% - Accent2 4 3 4 4 5" xfId="22342"/>
    <cellStyle name="40% - Accent2 4 3 4 5" xfId="22343"/>
    <cellStyle name="40% - Accent2 4 3 4 5 2" xfId="22344"/>
    <cellStyle name="40% - Accent2 4 3 4 5 3" xfId="22345"/>
    <cellStyle name="40% - Accent2 4 3 4 6" xfId="22346"/>
    <cellStyle name="40% - Accent2 4 3 4 6 2" xfId="22347"/>
    <cellStyle name="40% - Accent2 4 3 4 6 3" xfId="22348"/>
    <cellStyle name="40% - Accent2 4 3 4 7" xfId="22349"/>
    <cellStyle name="40% - Accent2 4 3 4 7 2" xfId="22350"/>
    <cellStyle name="40% - Accent2 4 3 4 8" xfId="22351"/>
    <cellStyle name="40% - Accent2 4 3 4 9" xfId="22352"/>
    <cellStyle name="40% - Accent2 4 3 5" xfId="22353"/>
    <cellStyle name="40% - Accent2 4 3 5 2" xfId="22354"/>
    <cellStyle name="40% - Accent2 4 3 5 2 2" xfId="22355"/>
    <cellStyle name="40% - Accent2 4 3 5 2 2 2" xfId="22356"/>
    <cellStyle name="40% - Accent2 4 3 5 2 2 3" xfId="22357"/>
    <cellStyle name="40% - Accent2 4 3 5 2 3" xfId="22358"/>
    <cellStyle name="40% - Accent2 4 3 5 2 3 2" xfId="22359"/>
    <cellStyle name="40% - Accent2 4 3 5 2 3 3" xfId="22360"/>
    <cellStyle name="40% - Accent2 4 3 5 2 4" xfId="22361"/>
    <cellStyle name="40% - Accent2 4 3 5 2 4 2" xfId="22362"/>
    <cellStyle name="40% - Accent2 4 3 5 2 5" xfId="22363"/>
    <cellStyle name="40% - Accent2 4 3 5 2 6" xfId="22364"/>
    <cellStyle name="40% - Accent2 4 3 5 3" xfId="22365"/>
    <cellStyle name="40% - Accent2 4 3 5 3 2" xfId="22366"/>
    <cellStyle name="40% - Accent2 4 3 5 3 2 2" xfId="22367"/>
    <cellStyle name="40% - Accent2 4 3 5 3 2 3" xfId="22368"/>
    <cellStyle name="40% - Accent2 4 3 5 3 3" xfId="22369"/>
    <cellStyle name="40% - Accent2 4 3 5 3 3 2" xfId="22370"/>
    <cellStyle name="40% - Accent2 4 3 5 3 3 3" xfId="22371"/>
    <cellStyle name="40% - Accent2 4 3 5 3 4" xfId="22372"/>
    <cellStyle name="40% - Accent2 4 3 5 3 4 2" xfId="22373"/>
    <cellStyle name="40% - Accent2 4 3 5 3 5" xfId="22374"/>
    <cellStyle name="40% - Accent2 4 3 5 3 6" xfId="22375"/>
    <cellStyle name="40% - Accent2 4 3 5 4" xfId="22376"/>
    <cellStyle name="40% - Accent2 4 3 5 4 2" xfId="22377"/>
    <cellStyle name="40% - Accent2 4 3 5 4 2 2" xfId="22378"/>
    <cellStyle name="40% - Accent2 4 3 5 4 2 3" xfId="22379"/>
    <cellStyle name="40% - Accent2 4 3 5 4 3" xfId="22380"/>
    <cellStyle name="40% - Accent2 4 3 5 4 3 2" xfId="22381"/>
    <cellStyle name="40% - Accent2 4 3 5 4 4" xfId="22382"/>
    <cellStyle name="40% - Accent2 4 3 5 4 5" xfId="22383"/>
    <cellStyle name="40% - Accent2 4 3 5 5" xfId="22384"/>
    <cellStyle name="40% - Accent2 4 3 5 5 2" xfId="22385"/>
    <cellStyle name="40% - Accent2 4 3 5 5 3" xfId="22386"/>
    <cellStyle name="40% - Accent2 4 3 5 6" xfId="22387"/>
    <cellStyle name="40% - Accent2 4 3 5 6 2" xfId="22388"/>
    <cellStyle name="40% - Accent2 4 3 5 6 3" xfId="22389"/>
    <cellStyle name="40% - Accent2 4 3 5 7" xfId="22390"/>
    <cellStyle name="40% - Accent2 4 3 5 7 2" xfId="22391"/>
    <cellStyle name="40% - Accent2 4 3 5 8" xfId="22392"/>
    <cellStyle name="40% - Accent2 4 3 5 9" xfId="22393"/>
    <cellStyle name="40% - Accent2 4 3 6" xfId="22394"/>
    <cellStyle name="40% - Accent2 4 3 6 2" xfId="22395"/>
    <cellStyle name="40% - Accent2 4 3 6 2 2" xfId="22396"/>
    <cellStyle name="40% - Accent2 4 3 6 2 3" xfId="22397"/>
    <cellStyle name="40% - Accent2 4 3 6 3" xfId="22398"/>
    <cellStyle name="40% - Accent2 4 3 6 3 2" xfId="22399"/>
    <cellStyle name="40% - Accent2 4 3 6 3 3" xfId="22400"/>
    <cellStyle name="40% - Accent2 4 3 6 4" xfId="22401"/>
    <cellStyle name="40% - Accent2 4 3 6 4 2" xfId="22402"/>
    <cellStyle name="40% - Accent2 4 3 6 5" xfId="22403"/>
    <cellStyle name="40% - Accent2 4 3 6 6" xfId="22404"/>
    <cellStyle name="40% - Accent2 4 3 7" xfId="22405"/>
    <cellStyle name="40% - Accent2 4 3 7 2" xfId="22406"/>
    <cellStyle name="40% - Accent2 4 3 7 2 2" xfId="22407"/>
    <cellStyle name="40% - Accent2 4 3 7 2 3" xfId="22408"/>
    <cellStyle name="40% - Accent2 4 3 7 3" xfId="22409"/>
    <cellStyle name="40% - Accent2 4 3 7 3 2" xfId="22410"/>
    <cellStyle name="40% - Accent2 4 3 7 3 3" xfId="22411"/>
    <cellStyle name="40% - Accent2 4 3 7 4" xfId="22412"/>
    <cellStyle name="40% - Accent2 4 3 7 4 2" xfId="22413"/>
    <cellStyle name="40% - Accent2 4 3 7 5" xfId="22414"/>
    <cellStyle name="40% - Accent2 4 3 7 6" xfId="22415"/>
    <cellStyle name="40% - Accent2 4 3 8" xfId="22416"/>
    <cellStyle name="40% - Accent2 4 3 8 2" xfId="22417"/>
    <cellStyle name="40% - Accent2 4 3 8 2 2" xfId="22418"/>
    <cellStyle name="40% - Accent2 4 3 8 2 3" xfId="22419"/>
    <cellStyle name="40% - Accent2 4 3 8 3" xfId="22420"/>
    <cellStyle name="40% - Accent2 4 3 8 3 2" xfId="22421"/>
    <cellStyle name="40% - Accent2 4 3 8 4" xfId="22422"/>
    <cellStyle name="40% - Accent2 4 3 8 5" xfId="22423"/>
    <cellStyle name="40% - Accent2 4 3 9" xfId="22424"/>
    <cellStyle name="40% - Accent2 4 3 9 2" xfId="22425"/>
    <cellStyle name="40% - Accent2 4 3 9 3" xfId="22426"/>
    <cellStyle name="40% - Accent2 4 4" xfId="1804"/>
    <cellStyle name="40% - Accent2 4 4 10" xfId="22427"/>
    <cellStyle name="40% - Accent2 4 4 10 2" xfId="22428"/>
    <cellStyle name="40% - Accent2 4 4 11" xfId="22429"/>
    <cellStyle name="40% - Accent2 4 4 12" xfId="22430"/>
    <cellStyle name="40% - Accent2 4 4 2" xfId="1805"/>
    <cellStyle name="40% - Accent2 4 4 2 10" xfId="22431"/>
    <cellStyle name="40% - Accent2 4 4 2 2" xfId="1806"/>
    <cellStyle name="40% - Accent2 4 4 2 2 2" xfId="22432"/>
    <cellStyle name="40% - Accent2 4 4 2 2 2 2" xfId="22433"/>
    <cellStyle name="40% - Accent2 4 4 2 2 2 2 2" xfId="22434"/>
    <cellStyle name="40% - Accent2 4 4 2 2 2 2 3" xfId="22435"/>
    <cellStyle name="40% - Accent2 4 4 2 2 2 3" xfId="22436"/>
    <cellStyle name="40% - Accent2 4 4 2 2 2 3 2" xfId="22437"/>
    <cellStyle name="40% - Accent2 4 4 2 2 2 3 3" xfId="22438"/>
    <cellStyle name="40% - Accent2 4 4 2 2 2 4" xfId="22439"/>
    <cellStyle name="40% - Accent2 4 4 2 2 2 4 2" xfId="22440"/>
    <cellStyle name="40% - Accent2 4 4 2 2 2 5" xfId="22441"/>
    <cellStyle name="40% - Accent2 4 4 2 2 2 6" xfId="22442"/>
    <cellStyle name="40% - Accent2 4 4 2 2 3" xfId="22443"/>
    <cellStyle name="40% - Accent2 4 4 2 2 3 2" xfId="22444"/>
    <cellStyle name="40% - Accent2 4 4 2 2 3 2 2" xfId="22445"/>
    <cellStyle name="40% - Accent2 4 4 2 2 3 2 3" xfId="22446"/>
    <cellStyle name="40% - Accent2 4 4 2 2 3 3" xfId="22447"/>
    <cellStyle name="40% - Accent2 4 4 2 2 3 3 2" xfId="22448"/>
    <cellStyle name="40% - Accent2 4 4 2 2 3 3 3" xfId="22449"/>
    <cellStyle name="40% - Accent2 4 4 2 2 3 4" xfId="22450"/>
    <cellStyle name="40% - Accent2 4 4 2 2 3 4 2" xfId="22451"/>
    <cellStyle name="40% - Accent2 4 4 2 2 3 5" xfId="22452"/>
    <cellStyle name="40% - Accent2 4 4 2 2 3 6" xfId="22453"/>
    <cellStyle name="40% - Accent2 4 4 2 2 4" xfId="22454"/>
    <cellStyle name="40% - Accent2 4 4 2 2 4 2" xfId="22455"/>
    <cellStyle name="40% - Accent2 4 4 2 2 4 2 2" xfId="22456"/>
    <cellStyle name="40% - Accent2 4 4 2 2 4 2 3" xfId="22457"/>
    <cellStyle name="40% - Accent2 4 4 2 2 4 3" xfId="22458"/>
    <cellStyle name="40% - Accent2 4 4 2 2 4 3 2" xfId="22459"/>
    <cellStyle name="40% - Accent2 4 4 2 2 4 4" xfId="22460"/>
    <cellStyle name="40% - Accent2 4 4 2 2 4 5" xfId="22461"/>
    <cellStyle name="40% - Accent2 4 4 2 2 5" xfId="22462"/>
    <cellStyle name="40% - Accent2 4 4 2 2 5 2" xfId="22463"/>
    <cellStyle name="40% - Accent2 4 4 2 2 5 3" xfId="22464"/>
    <cellStyle name="40% - Accent2 4 4 2 2 6" xfId="22465"/>
    <cellStyle name="40% - Accent2 4 4 2 2 6 2" xfId="22466"/>
    <cellStyle name="40% - Accent2 4 4 2 2 6 3" xfId="22467"/>
    <cellStyle name="40% - Accent2 4 4 2 2 7" xfId="22468"/>
    <cellStyle name="40% - Accent2 4 4 2 2 7 2" xfId="22469"/>
    <cellStyle name="40% - Accent2 4 4 2 2 8" xfId="22470"/>
    <cellStyle name="40% - Accent2 4 4 2 2 9" xfId="22471"/>
    <cellStyle name="40% - Accent2 4 4 2 3" xfId="22472"/>
    <cellStyle name="40% - Accent2 4 4 2 3 2" xfId="22473"/>
    <cellStyle name="40% - Accent2 4 4 2 3 2 2" xfId="22474"/>
    <cellStyle name="40% - Accent2 4 4 2 3 2 3" xfId="22475"/>
    <cellStyle name="40% - Accent2 4 4 2 3 3" xfId="22476"/>
    <cellStyle name="40% - Accent2 4 4 2 3 3 2" xfId="22477"/>
    <cellStyle name="40% - Accent2 4 4 2 3 3 3" xfId="22478"/>
    <cellStyle name="40% - Accent2 4 4 2 3 4" xfId="22479"/>
    <cellStyle name="40% - Accent2 4 4 2 3 4 2" xfId="22480"/>
    <cellStyle name="40% - Accent2 4 4 2 3 5" xfId="22481"/>
    <cellStyle name="40% - Accent2 4 4 2 3 6" xfId="22482"/>
    <cellStyle name="40% - Accent2 4 4 2 4" xfId="22483"/>
    <cellStyle name="40% - Accent2 4 4 2 4 2" xfId="22484"/>
    <cellStyle name="40% - Accent2 4 4 2 4 2 2" xfId="22485"/>
    <cellStyle name="40% - Accent2 4 4 2 4 2 3" xfId="22486"/>
    <cellStyle name="40% - Accent2 4 4 2 4 3" xfId="22487"/>
    <cellStyle name="40% - Accent2 4 4 2 4 3 2" xfId="22488"/>
    <cellStyle name="40% - Accent2 4 4 2 4 3 3" xfId="22489"/>
    <cellStyle name="40% - Accent2 4 4 2 4 4" xfId="22490"/>
    <cellStyle name="40% - Accent2 4 4 2 4 4 2" xfId="22491"/>
    <cellStyle name="40% - Accent2 4 4 2 4 5" xfId="22492"/>
    <cellStyle name="40% - Accent2 4 4 2 4 6" xfId="22493"/>
    <cellStyle name="40% - Accent2 4 4 2 5" xfId="22494"/>
    <cellStyle name="40% - Accent2 4 4 2 5 2" xfId="22495"/>
    <cellStyle name="40% - Accent2 4 4 2 5 2 2" xfId="22496"/>
    <cellStyle name="40% - Accent2 4 4 2 5 2 3" xfId="22497"/>
    <cellStyle name="40% - Accent2 4 4 2 5 3" xfId="22498"/>
    <cellStyle name="40% - Accent2 4 4 2 5 3 2" xfId="22499"/>
    <cellStyle name="40% - Accent2 4 4 2 5 4" xfId="22500"/>
    <cellStyle name="40% - Accent2 4 4 2 5 5" xfId="22501"/>
    <cellStyle name="40% - Accent2 4 4 2 6" xfId="22502"/>
    <cellStyle name="40% - Accent2 4 4 2 6 2" xfId="22503"/>
    <cellStyle name="40% - Accent2 4 4 2 6 3" xfId="22504"/>
    <cellStyle name="40% - Accent2 4 4 2 7" xfId="22505"/>
    <cellStyle name="40% - Accent2 4 4 2 7 2" xfId="22506"/>
    <cellStyle name="40% - Accent2 4 4 2 7 3" xfId="22507"/>
    <cellStyle name="40% - Accent2 4 4 2 8" xfId="22508"/>
    <cellStyle name="40% - Accent2 4 4 2 8 2" xfId="22509"/>
    <cellStyle name="40% - Accent2 4 4 2 9" xfId="22510"/>
    <cellStyle name="40% - Accent2 4 4 3" xfId="1807"/>
    <cellStyle name="40% - Accent2 4 4 3 2" xfId="22511"/>
    <cellStyle name="40% - Accent2 4 4 3 2 2" xfId="22512"/>
    <cellStyle name="40% - Accent2 4 4 3 2 2 2" xfId="22513"/>
    <cellStyle name="40% - Accent2 4 4 3 2 2 3" xfId="22514"/>
    <cellStyle name="40% - Accent2 4 4 3 2 3" xfId="22515"/>
    <cellStyle name="40% - Accent2 4 4 3 2 3 2" xfId="22516"/>
    <cellStyle name="40% - Accent2 4 4 3 2 3 3" xfId="22517"/>
    <cellStyle name="40% - Accent2 4 4 3 2 4" xfId="22518"/>
    <cellStyle name="40% - Accent2 4 4 3 2 4 2" xfId="22519"/>
    <cellStyle name="40% - Accent2 4 4 3 2 5" xfId="22520"/>
    <cellStyle name="40% - Accent2 4 4 3 2 6" xfId="22521"/>
    <cellStyle name="40% - Accent2 4 4 3 3" xfId="22522"/>
    <cellStyle name="40% - Accent2 4 4 3 3 2" xfId="22523"/>
    <cellStyle name="40% - Accent2 4 4 3 3 2 2" xfId="22524"/>
    <cellStyle name="40% - Accent2 4 4 3 3 2 3" xfId="22525"/>
    <cellStyle name="40% - Accent2 4 4 3 3 3" xfId="22526"/>
    <cellStyle name="40% - Accent2 4 4 3 3 3 2" xfId="22527"/>
    <cellStyle name="40% - Accent2 4 4 3 3 3 3" xfId="22528"/>
    <cellStyle name="40% - Accent2 4 4 3 3 4" xfId="22529"/>
    <cellStyle name="40% - Accent2 4 4 3 3 4 2" xfId="22530"/>
    <cellStyle name="40% - Accent2 4 4 3 3 5" xfId="22531"/>
    <cellStyle name="40% - Accent2 4 4 3 3 6" xfId="22532"/>
    <cellStyle name="40% - Accent2 4 4 3 4" xfId="22533"/>
    <cellStyle name="40% - Accent2 4 4 3 4 2" xfId="22534"/>
    <cellStyle name="40% - Accent2 4 4 3 4 2 2" xfId="22535"/>
    <cellStyle name="40% - Accent2 4 4 3 4 2 3" xfId="22536"/>
    <cellStyle name="40% - Accent2 4 4 3 4 3" xfId="22537"/>
    <cellStyle name="40% - Accent2 4 4 3 4 3 2" xfId="22538"/>
    <cellStyle name="40% - Accent2 4 4 3 4 4" xfId="22539"/>
    <cellStyle name="40% - Accent2 4 4 3 4 5" xfId="22540"/>
    <cellStyle name="40% - Accent2 4 4 3 5" xfId="22541"/>
    <cellStyle name="40% - Accent2 4 4 3 5 2" xfId="22542"/>
    <cellStyle name="40% - Accent2 4 4 3 5 3" xfId="22543"/>
    <cellStyle name="40% - Accent2 4 4 3 6" xfId="22544"/>
    <cellStyle name="40% - Accent2 4 4 3 6 2" xfId="22545"/>
    <cellStyle name="40% - Accent2 4 4 3 6 3" xfId="22546"/>
    <cellStyle name="40% - Accent2 4 4 3 7" xfId="22547"/>
    <cellStyle name="40% - Accent2 4 4 3 7 2" xfId="22548"/>
    <cellStyle name="40% - Accent2 4 4 3 8" xfId="22549"/>
    <cellStyle name="40% - Accent2 4 4 3 9" xfId="22550"/>
    <cellStyle name="40% - Accent2 4 4 4" xfId="22551"/>
    <cellStyle name="40% - Accent2 4 4 4 2" xfId="22552"/>
    <cellStyle name="40% - Accent2 4 4 4 2 2" xfId="22553"/>
    <cellStyle name="40% - Accent2 4 4 4 2 2 2" xfId="22554"/>
    <cellStyle name="40% - Accent2 4 4 4 2 2 3" xfId="22555"/>
    <cellStyle name="40% - Accent2 4 4 4 2 3" xfId="22556"/>
    <cellStyle name="40% - Accent2 4 4 4 2 3 2" xfId="22557"/>
    <cellStyle name="40% - Accent2 4 4 4 2 3 3" xfId="22558"/>
    <cellStyle name="40% - Accent2 4 4 4 2 4" xfId="22559"/>
    <cellStyle name="40% - Accent2 4 4 4 2 4 2" xfId="22560"/>
    <cellStyle name="40% - Accent2 4 4 4 2 5" xfId="22561"/>
    <cellStyle name="40% - Accent2 4 4 4 2 6" xfId="22562"/>
    <cellStyle name="40% - Accent2 4 4 4 3" xfId="22563"/>
    <cellStyle name="40% - Accent2 4 4 4 3 2" xfId="22564"/>
    <cellStyle name="40% - Accent2 4 4 4 3 2 2" xfId="22565"/>
    <cellStyle name="40% - Accent2 4 4 4 3 2 3" xfId="22566"/>
    <cellStyle name="40% - Accent2 4 4 4 3 3" xfId="22567"/>
    <cellStyle name="40% - Accent2 4 4 4 3 3 2" xfId="22568"/>
    <cellStyle name="40% - Accent2 4 4 4 3 3 3" xfId="22569"/>
    <cellStyle name="40% - Accent2 4 4 4 3 4" xfId="22570"/>
    <cellStyle name="40% - Accent2 4 4 4 3 4 2" xfId="22571"/>
    <cellStyle name="40% - Accent2 4 4 4 3 5" xfId="22572"/>
    <cellStyle name="40% - Accent2 4 4 4 3 6" xfId="22573"/>
    <cellStyle name="40% - Accent2 4 4 4 4" xfId="22574"/>
    <cellStyle name="40% - Accent2 4 4 4 4 2" xfId="22575"/>
    <cellStyle name="40% - Accent2 4 4 4 4 2 2" xfId="22576"/>
    <cellStyle name="40% - Accent2 4 4 4 4 2 3" xfId="22577"/>
    <cellStyle name="40% - Accent2 4 4 4 4 3" xfId="22578"/>
    <cellStyle name="40% - Accent2 4 4 4 4 3 2" xfId="22579"/>
    <cellStyle name="40% - Accent2 4 4 4 4 4" xfId="22580"/>
    <cellStyle name="40% - Accent2 4 4 4 4 5" xfId="22581"/>
    <cellStyle name="40% - Accent2 4 4 4 5" xfId="22582"/>
    <cellStyle name="40% - Accent2 4 4 4 5 2" xfId="22583"/>
    <cellStyle name="40% - Accent2 4 4 4 5 3" xfId="22584"/>
    <cellStyle name="40% - Accent2 4 4 4 6" xfId="22585"/>
    <cellStyle name="40% - Accent2 4 4 4 6 2" xfId="22586"/>
    <cellStyle name="40% - Accent2 4 4 4 6 3" xfId="22587"/>
    <cellStyle name="40% - Accent2 4 4 4 7" xfId="22588"/>
    <cellStyle name="40% - Accent2 4 4 4 7 2" xfId="22589"/>
    <cellStyle name="40% - Accent2 4 4 4 8" xfId="22590"/>
    <cellStyle name="40% - Accent2 4 4 4 9" xfId="22591"/>
    <cellStyle name="40% - Accent2 4 4 5" xfId="22592"/>
    <cellStyle name="40% - Accent2 4 4 5 2" xfId="22593"/>
    <cellStyle name="40% - Accent2 4 4 5 2 2" xfId="22594"/>
    <cellStyle name="40% - Accent2 4 4 5 2 3" xfId="22595"/>
    <cellStyle name="40% - Accent2 4 4 5 3" xfId="22596"/>
    <cellStyle name="40% - Accent2 4 4 5 3 2" xfId="22597"/>
    <cellStyle name="40% - Accent2 4 4 5 3 3" xfId="22598"/>
    <cellStyle name="40% - Accent2 4 4 5 4" xfId="22599"/>
    <cellStyle name="40% - Accent2 4 4 5 4 2" xfId="22600"/>
    <cellStyle name="40% - Accent2 4 4 5 5" xfId="22601"/>
    <cellStyle name="40% - Accent2 4 4 5 6" xfId="22602"/>
    <cellStyle name="40% - Accent2 4 4 6" xfId="22603"/>
    <cellStyle name="40% - Accent2 4 4 6 2" xfId="22604"/>
    <cellStyle name="40% - Accent2 4 4 6 2 2" xfId="22605"/>
    <cellStyle name="40% - Accent2 4 4 6 2 3" xfId="22606"/>
    <cellStyle name="40% - Accent2 4 4 6 3" xfId="22607"/>
    <cellStyle name="40% - Accent2 4 4 6 3 2" xfId="22608"/>
    <cellStyle name="40% - Accent2 4 4 6 3 3" xfId="22609"/>
    <cellStyle name="40% - Accent2 4 4 6 4" xfId="22610"/>
    <cellStyle name="40% - Accent2 4 4 6 4 2" xfId="22611"/>
    <cellStyle name="40% - Accent2 4 4 6 5" xfId="22612"/>
    <cellStyle name="40% - Accent2 4 4 6 6" xfId="22613"/>
    <cellStyle name="40% - Accent2 4 4 7" xfId="22614"/>
    <cellStyle name="40% - Accent2 4 4 7 2" xfId="22615"/>
    <cellStyle name="40% - Accent2 4 4 7 2 2" xfId="22616"/>
    <cellStyle name="40% - Accent2 4 4 7 2 3" xfId="22617"/>
    <cellStyle name="40% - Accent2 4 4 7 3" xfId="22618"/>
    <cellStyle name="40% - Accent2 4 4 7 3 2" xfId="22619"/>
    <cellStyle name="40% - Accent2 4 4 7 4" xfId="22620"/>
    <cellStyle name="40% - Accent2 4 4 7 5" xfId="22621"/>
    <cellStyle name="40% - Accent2 4 4 8" xfId="22622"/>
    <cellStyle name="40% - Accent2 4 4 8 2" xfId="22623"/>
    <cellStyle name="40% - Accent2 4 4 8 3" xfId="22624"/>
    <cellStyle name="40% - Accent2 4 4 9" xfId="22625"/>
    <cellStyle name="40% - Accent2 4 4 9 2" xfId="22626"/>
    <cellStyle name="40% - Accent2 4 4 9 3" xfId="22627"/>
    <cellStyle name="40% - Accent2 4 5" xfId="1808"/>
    <cellStyle name="40% - Accent2 4 5 10" xfId="22628"/>
    <cellStyle name="40% - Accent2 4 5 2" xfId="1809"/>
    <cellStyle name="40% - Accent2 4 5 2 2" xfId="22629"/>
    <cellStyle name="40% - Accent2 4 5 2 2 2" xfId="22630"/>
    <cellStyle name="40% - Accent2 4 5 2 2 2 2" xfId="22631"/>
    <cellStyle name="40% - Accent2 4 5 2 2 2 3" xfId="22632"/>
    <cellStyle name="40% - Accent2 4 5 2 2 3" xfId="22633"/>
    <cellStyle name="40% - Accent2 4 5 2 2 3 2" xfId="22634"/>
    <cellStyle name="40% - Accent2 4 5 2 2 3 3" xfId="22635"/>
    <cellStyle name="40% - Accent2 4 5 2 2 4" xfId="22636"/>
    <cellStyle name="40% - Accent2 4 5 2 2 4 2" xfId="22637"/>
    <cellStyle name="40% - Accent2 4 5 2 2 5" xfId="22638"/>
    <cellStyle name="40% - Accent2 4 5 2 2 6" xfId="22639"/>
    <cellStyle name="40% - Accent2 4 5 2 3" xfId="22640"/>
    <cellStyle name="40% - Accent2 4 5 2 3 2" xfId="22641"/>
    <cellStyle name="40% - Accent2 4 5 2 3 2 2" xfId="22642"/>
    <cellStyle name="40% - Accent2 4 5 2 3 2 3" xfId="22643"/>
    <cellStyle name="40% - Accent2 4 5 2 3 3" xfId="22644"/>
    <cellStyle name="40% - Accent2 4 5 2 3 3 2" xfId="22645"/>
    <cellStyle name="40% - Accent2 4 5 2 3 3 3" xfId="22646"/>
    <cellStyle name="40% - Accent2 4 5 2 3 4" xfId="22647"/>
    <cellStyle name="40% - Accent2 4 5 2 3 4 2" xfId="22648"/>
    <cellStyle name="40% - Accent2 4 5 2 3 5" xfId="22649"/>
    <cellStyle name="40% - Accent2 4 5 2 3 6" xfId="22650"/>
    <cellStyle name="40% - Accent2 4 5 2 4" xfId="22651"/>
    <cellStyle name="40% - Accent2 4 5 2 4 2" xfId="22652"/>
    <cellStyle name="40% - Accent2 4 5 2 4 2 2" xfId="22653"/>
    <cellStyle name="40% - Accent2 4 5 2 4 2 3" xfId="22654"/>
    <cellStyle name="40% - Accent2 4 5 2 4 3" xfId="22655"/>
    <cellStyle name="40% - Accent2 4 5 2 4 3 2" xfId="22656"/>
    <cellStyle name="40% - Accent2 4 5 2 4 4" xfId="22657"/>
    <cellStyle name="40% - Accent2 4 5 2 4 5" xfId="22658"/>
    <cellStyle name="40% - Accent2 4 5 2 5" xfId="22659"/>
    <cellStyle name="40% - Accent2 4 5 2 5 2" xfId="22660"/>
    <cellStyle name="40% - Accent2 4 5 2 5 3" xfId="22661"/>
    <cellStyle name="40% - Accent2 4 5 2 6" xfId="22662"/>
    <cellStyle name="40% - Accent2 4 5 2 6 2" xfId="22663"/>
    <cellStyle name="40% - Accent2 4 5 2 6 3" xfId="22664"/>
    <cellStyle name="40% - Accent2 4 5 2 7" xfId="22665"/>
    <cellStyle name="40% - Accent2 4 5 2 7 2" xfId="22666"/>
    <cellStyle name="40% - Accent2 4 5 2 8" xfId="22667"/>
    <cellStyle name="40% - Accent2 4 5 2 9" xfId="22668"/>
    <cellStyle name="40% - Accent2 4 5 3" xfId="22669"/>
    <cellStyle name="40% - Accent2 4 5 3 2" xfId="22670"/>
    <cellStyle name="40% - Accent2 4 5 3 2 2" xfId="22671"/>
    <cellStyle name="40% - Accent2 4 5 3 2 3" xfId="22672"/>
    <cellStyle name="40% - Accent2 4 5 3 3" xfId="22673"/>
    <cellStyle name="40% - Accent2 4 5 3 3 2" xfId="22674"/>
    <cellStyle name="40% - Accent2 4 5 3 3 3" xfId="22675"/>
    <cellStyle name="40% - Accent2 4 5 3 4" xfId="22676"/>
    <cellStyle name="40% - Accent2 4 5 3 4 2" xfId="22677"/>
    <cellStyle name="40% - Accent2 4 5 3 5" xfId="22678"/>
    <cellStyle name="40% - Accent2 4 5 3 6" xfId="22679"/>
    <cellStyle name="40% - Accent2 4 5 4" xfId="22680"/>
    <cellStyle name="40% - Accent2 4 5 4 2" xfId="22681"/>
    <cellStyle name="40% - Accent2 4 5 4 2 2" xfId="22682"/>
    <cellStyle name="40% - Accent2 4 5 4 2 3" xfId="22683"/>
    <cellStyle name="40% - Accent2 4 5 4 3" xfId="22684"/>
    <cellStyle name="40% - Accent2 4 5 4 3 2" xfId="22685"/>
    <cellStyle name="40% - Accent2 4 5 4 3 3" xfId="22686"/>
    <cellStyle name="40% - Accent2 4 5 4 4" xfId="22687"/>
    <cellStyle name="40% - Accent2 4 5 4 4 2" xfId="22688"/>
    <cellStyle name="40% - Accent2 4 5 4 5" xfId="22689"/>
    <cellStyle name="40% - Accent2 4 5 4 6" xfId="22690"/>
    <cellStyle name="40% - Accent2 4 5 5" xfId="22691"/>
    <cellStyle name="40% - Accent2 4 5 5 2" xfId="22692"/>
    <cellStyle name="40% - Accent2 4 5 5 2 2" xfId="22693"/>
    <cellStyle name="40% - Accent2 4 5 5 2 3" xfId="22694"/>
    <cellStyle name="40% - Accent2 4 5 5 3" xfId="22695"/>
    <cellStyle name="40% - Accent2 4 5 5 3 2" xfId="22696"/>
    <cellStyle name="40% - Accent2 4 5 5 4" xfId="22697"/>
    <cellStyle name="40% - Accent2 4 5 5 5" xfId="22698"/>
    <cellStyle name="40% - Accent2 4 5 6" xfId="22699"/>
    <cellStyle name="40% - Accent2 4 5 6 2" xfId="22700"/>
    <cellStyle name="40% - Accent2 4 5 6 3" xfId="22701"/>
    <cellStyle name="40% - Accent2 4 5 7" xfId="22702"/>
    <cellStyle name="40% - Accent2 4 5 7 2" xfId="22703"/>
    <cellStyle name="40% - Accent2 4 5 7 3" xfId="22704"/>
    <cellStyle name="40% - Accent2 4 5 8" xfId="22705"/>
    <cellStyle name="40% - Accent2 4 5 8 2" xfId="22706"/>
    <cellStyle name="40% - Accent2 4 5 9" xfId="22707"/>
    <cellStyle name="40% - Accent2 4 6" xfId="1810"/>
    <cellStyle name="40% - Accent2 4 6 2" xfId="22708"/>
    <cellStyle name="40% - Accent2 4 6 2 2" xfId="22709"/>
    <cellStyle name="40% - Accent2 4 6 2 2 2" xfId="22710"/>
    <cellStyle name="40% - Accent2 4 6 2 2 3" xfId="22711"/>
    <cellStyle name="40% - Accent2 4 6 2 3" xfId="22712"/>
    <cellStyle name="40% - Accent2 4 6 2 3 2" xfId="22713"/>
    <cellStyle name="40% - Accent2 4 6 2 3 3" xfId="22714"/>
    <cellStyle name="40% - Accent2 4 6 2 4" xfId="22715"/>
    <cellStyle name="40% - Accent2 4 6 2 4 2" xfId="22716"/>
    <cellStyle name="40% - Accent2 4 6 2 5" xfId="22717"/>
    <cellStyle name="40% - Accent2 4 6 2 6" xfId="22718"/>
    <cellStyle name="40% - Accent2 4 6 3" xfId="22719"/>
    <cellStyle name="40% - Accent2 4 6 3 2" xfId="22720"/>
    <cellStyle name="40% - Accent2 4 6 3 2 2" xfId="22721"/>
    <cellStyle name="40% - Accent2 4 6 3 2 3" xfId="22722"/>
    <cellStyle name="40% - Accent2 4 6 3 3" xfId="22723"/>
    <cellStyle name="40% - Accent2 4 6 3 3 2" xfId="22724"/>
    <cellStyle name="40% - Accent2 4 6 3 3 3" xfId="22725"/>
    <cellStyle name="40% - Accent2 4 6 3 4" xfId="22726"/>
    <cellStyle name="40% - Accent2 4 6 3 4 2" xfId="22727"/>
    <cellStyle name="40% - Accent2 4 6 3 5" xfId="22728"/>
    <cellStyle name="40% - Accent2 4 6 3 6" xfId="22729"/>
    <cellStyle name="40% - Accent2 4 6 4" xfId="22730"/>
    <cellStyle name="40% - Accent2 4 6 4 2" xfId="22731"/>
    <cellStyle name="40% - Accent2 4 6 4 2 2" xfId="22732"/>
    <cellStyle name="40% - Accent2 4 6 4 2 3" xfId="22733"/>
    <cellStyle name="40% - Accent2 4 6 4 3" xfId="22734"/>
    <cellStyle name="40% - Accent2 4 6 4 3 2" xfId="22735"/>
    <cellStyle name="40% - Accent2 4 6 4 4" xfId="22736"/>
    <cellStyle name="40% - Accent2 4 6 4 5" xfId="22737"/>
    <cellStyle name="40% - Accent2 4 6 5" xfId="22738"/>
    <cellStyle name="40% - Accent2 4 6 5 2" xfId="22739"/>
    <cellStyle name="40% - Accent2 4 6 5 3" xfId="22740"/>
    <cellStyle name="40% - Accent2 4 6 6" xfId="22741"/>
    <cellStyle name="40% - Accent2 4 6 6 2" xfId="22742"/>
    <cellStyle name="40% - Accent2 4 6 6 3" xfId="22743"/>
    <cellStyle name="40% - Accent2 4 6 7" xfId="22744"/>
    <cellStyle name="40% - Accent2 4 6 7 2" xfId="22745"/>
    <cellStyle name="40% - Accent2 4 6 8" xfId="22746"/>
    <cellStyle name="40% - Accent2 4 6 9" xfId="22747"/>
    <cellStyle name="40% - Accent2 4 7" xfId="8965"/>
    <cellStyle name="40% - Accent2 4 7 2" xfId="22748"/>
    <cellStyle name="40% - Accent2 4 7 2 2" xfId="22749"/>
    <cellStyle name="40% - Accent2 4 7 2 2 2" xfId="22750"/>
    <cellStyle name="40% - Accent2 4 7 2 2 3" xfId="22751"/>
    <cellStyle name="40% - Accent2 4 7 2 3" xfId="22752"/>
    <cellStyle name="40% - Accent2 4 7 2 3 2" xfId="22753"/>
    <cellStyle name="40% - Accent2 4 7 2 3 3" xfId="22754"/>
    <cellStyle name="40% - Accent2 4 7 2 4" xfId="22755"/>
    <cellStyle name="40% - Accent2 4 7 2 4 2" xfId="22756"/>
    <cellStyle name="40% - Accent2 4 7 2 5" xfId="22757"/>
    <cellStyle name="40% - Accent2 4 7 2 6" xfId="22758"/>
    <cellStyle name="40% - Accent2 4 7 3" xfId="22759"/>
    <cellStyle name="40% - Accent2 4 7 3 2" xfId="22760"/>
    <cellStyle name="40% - Accent2 4 7 3 2 2" xfId="22761"/>
    <cellStyle name="40% - Accent2 4 7 3 2 3" xfId="22762"/>
    <cellStyle name="40% - Accent2 4 7 3 3" xfId="22763"/>
    <cellStyle name="40% - Accent2 4 7 3 3 2" xfId="22764"/>
    <cellStyle name="40% - Accent2 4 7 3 3 3" xfId="22765"/>
    <cellStyle name="40% - Accent2 4 7 3 4" xfId="22766"/>
    <cellStyle name="40% - Accent2 4 7 3 4 2" xfId="22767"/>
    <cellStyle name="40% - Accent2 4 7 3 5" xfId="22768"/>
    <cellStyle name="40% - Accent2 4 7 3 6" xfId="22769"/>
    <cellStyle name="40% - Accent2 4 7 4" xfId="22770"/>
    <cellStyle name="40% - Accent2 4 7 4 2" xfId="22771"/>
    <cellStyle name="40% - Accent2 4 7 4 2 2" xfId="22772"/>
    <cellStyle name="40% - Accent2 4 7 4 2 3" xfId="22773"/>
    <cellStyle name="40% - Accent2 4 7 4 3" xfId="22774"/>
    <cellStyle name="40% - Accent2 4 7 4 3 2" xfId="22775"/>
    <cellStyle name="40% - Accent2 4 7 4 4" xfId="22776"/>
    <cellStyle name="40% - Accent2 4 7 4 5" xfId="22777"/>
    <cellStyle name="40% - Accent2 4 7 5" xfId="22778"/>
    <cellStyle name="40% - Accent2 4 7 5 2" xfId="22779"/>
    <cellStyle name="40% - Accent2 4 7 5 3" xfId="22780"/>
    <cellStyle name="40% - Accent2 4 7 6" xfId="22781"/>
    <cellStyle name="40% - Accent2 4 7 6 2" xfId="22782"/>
    <cellStyle name="40% - Accent2 4 7 6 3" xfId="22783"/>
    <cellStyle name="40% - Accent2 4 7 7" xfId="22784"/>
    <cellStyle name="40% - Accent2 4 7 7 2" xfId="22785"/>
    <cellStyle name="40% - Accent2 4 7 8" xfId="22786"/>
    <cellStyle name="40% - Accent2 4 7 9" xfId="22787"/>
    <cellStyle name="40% - Accent2 4 8" xfId="22788"/>
    <cellStyle name="40% - Accent2 4 8 2" xfId="22789"/>
    <cellStyle name="40% - Accent2 4 8 2 2" xfId="22790"/>
    <cellStyle name="40% - Accent2 4 8 2 3" xfId="22791"/>
    <cellStyle name="40% - Accent2 4 8 3" xfId="22792"/>
    <cellStyle name="40% - Accent2 4 8 3 2" xfId="22793"/>
    <cellStyle name="40% - Accent2 4 8 3 3" xfId="22794"/>
    <cellStyle name="40% - Accent2 4 8 4" xfId="22795"/>
    <cellStyle name="40% - Accent2 4 8 4 2" xfId="22796"/>
    <cellStyle name="40% - Accent2 4 8 5" xfId="22797"/>
    <cellStyle name="40% - Accent2 4 8 6" xfId="22798"/>
    <cellStyle name="40% - Accent2 4 9" xfId="22799"/>
    <cellStyle name="40% - Accent2 4 9 2" xfId="22800"/>
    <cellStyle name="40% - Accent2 4 9 2 2" xfId="22801"/>
    <cellStyle name="40% - Accent2 4 9 2 3" xfId="22802"/>
    <cellStyle name="40% - Accent2 4 9 3" xfId="22803"/>
    <cellStyle name="40% - Accent2 4 9 3 2" xfId="22804"/>
    <cellStyle name="40% - Accent2 4 9 3 3" xfId="22805"/>
    <cellStyle name="40% - Accent2 4 9 4" xfId="22806"/>
    <cellStyle name="40% - Accent2 4 9 4 2" xfId="22807"/>
    <cellStyle name="40% - Accent2 4 9 5" xfId="22808"/>
    <cellStyle name="40% - Accent2 4 9 6" xfId="22809"/>
    <cellStyle name="40% - Accent2 5" xfId="1811"/>
    <cellStyle name="40% - Accent2 5 2" xfId="1812"/>
    <cellStyle name="40% - Accent2 5 2 2" xfId="1813"/>
    <cellStyle name="40% - Accent2 5 2 2 2" xfId="1814"/>
    <cellStyle name="40% - Accent2 5 2 2 2 2" xfId="1815"/>
    <cellStyle name="40% - Accent2 5 2 2 3" xfId="1816"/>
    <cellStyle name="40% - Accent2 5 2 3" xfId="1817"/>
    <cellStyle name="40% - Accent2 5 2 3 2" xfId="1818"/>
    <cellStyle name="40% - Accent2 5 2 4" xfId="1819"/>
    <cellStyle name="40% - Accent2 5 2 5" xfId="58026"/>
    <cellStyle name="40% - Accent2 5 3" xfId="1820"/>
    <cellStyle name="40% - Accent2 5 3 2" xfId="1821"/>
    <cellStyle name="40% - Accent2 5 3 2 2" xfId="1822"/>
    <cellStyle name="40% - Accent2 5 3 3" xfId="1823"/>
    <cellStyle name="40% - Accent2 5 4" xfId="1824"/>
    <cellStyle name="40% - Accent2 5 4 2" xfId="1825"/>
    <cellStyle name="40% - Accent2 5 5" xfId="1826"/>
    <cellStyle name="40% - Accent2 5 6" xfId="8966"/>
    <cellStyle name="40% - Accent2 6" xfId="1827"/>
    <cellStyle name="40% - Accent2 6 2" xfId="1828"/>
    <cellStyle name="40% - Accent2 6 2 2" xfId="1829"/>
    <cellStyle name="40% - Accent2 6 2 2 2" xfId="1830"/>
    <cellStyle name="40% - Accent2 6 2 3" xfId="1831"/>
    <cellStyle name="40% - Accent2 6 2 4" xfId="58027"/>
    <cellStyle name="40% - Accent2 6 2 5" xfId="58028"/>
    <cellStyle name="40% - Accent2 6 3" xfId="1832"/>
    <cellStyle name="40% - Accent2 6 3 2" xfId="1833"/>
    <cellStyle name="40% - Accent2 6 4" xfId="1834"/>
    <cellStyle name="40% - Accent2 6 5" xfId="58029"/>
    <cellStyle name="40% - Accent2 7" xfId="1835"/>
    <cellStyle name="40% - Accent2 7 2" xfId="1836"/>
    <cellStyle name="40% - Accent2 7 2 2" xfId="1837"/>
    <cellStyle name="40% - Accent2 7 2 2 2" xfId="1838"/>
    <cellStyle name="40% - Accent2 7 2 3" xfId="1839"/>
    <cellStyle name="40% - Accent2 7 3" xfId="1840"/>
    <cellStyle name="40% - Accent2 7 3 2" xfId="1841"/>
    <cellStyle name="40% - Accent2 7 4" xfId="1842"/>
    <cellStyle name="40% - Accent2 7 5" xfId="58030"/>
    <cellStyle name="40% - Accent2 8" xfId="1843"/>
    <cellStyle name="40% - Accent2 8 2" xfId="1844"/>
    <cellStyle name="40% - Accent2 8 2 2" xfId="1845"/>
    <cellStyle name="40% - Accent2 8 2 2 2" xfId="1846"/>
    <cellStyle name="40% - Accent2 8 2 3" xfId="1847"/>
    <cellStyle name="40% - Accent2 8 3" xfId="1848"/>
    <cellStyle name="40% - Accent2 8 3 2" xfId="1849"/>
    <cellStyle name="40% - Accent2 8 4" xfId="1850"/>
    <cellStyle name="40% - Accent2 8 5" xfId="58031"/>
    <cellStyle name="40% - Accent2 9" xfId="1851"/>
    <cellStyle name="40% - Accent2 9 2" xfId="1852"/>
    <cellStyle name="40% - Accent2 9 2 2" xfId="1853"/>
    <cellStyle name="40% - Accent2 9 3" xfId="1854"/>
    <cellStyle name="40% - Accent2 9 4" xfId="58032"/>
    <cellStyle name="40% - Accent3 10" xfId="1855"/>
    <cellStyle name="40% - Accent3 10 2" xfId="1856"/>
    <cellStyle name="40% - Accent3 10 2 2" xfId="1857"/>
    <cellStyle name="40% - Accent3 10 3" xfId="1858"/>
    <cellStyle name="40% - Accent3 10 4" xfId="58033"/>
    <cellStyle name="40% - Accent3 11" xfId="1859"/>
    <cellStyle name="40% - Accent3 11 2" xfId="1860"/>
    <cellStyle name="40% - Accent3 11 2 2" xfId="1861"/>
    <cellStyle name="40% - Accent3 11 3" xfId="1862"/>
    <cellStyle name="40% - Accent3 11 4" xfId="58034"/>
    <cellStyle name="40% - Accent3 12" xfId="1863"/>
    <cellStyle name="40% - Accent3 12 2" xfId="1864"/>
    <cellStyle name="40% - Accent3 12 3" xfId="58035"/>
    <cellStyle name="40% - Accent3 13" xfId="1865"/>
    <cellStyle name="40% - Accent3 13 2" xfId="58036"/>
    <cellStyle name="40% - Accent3 14" xfId="8967"/>
    <cellStyle name="40% - Accent3 15" xfId="9402"/>
    <cellStyle name="40% - Accent3 16" xfId="9403"/>
    <cellStyle name="40% - Accent3 17" xfId="9404"/>
    <cellStyle name="40% - Accent3 17 2" xfId="58037"/>
    <cellStyle name="40% - Accent3 18" xfId="58038"/>
    <cellStyle name="40% - Accent3 19" xfId="58039"/>
    <cellStyle name="40% - Accent3 2" xfId="1866"/>
    <cellStyle name="40% - Accent3 2 2" xfId="1867"/>
    <cellStyle name="40% - Accent3 2 2 2" xfId="1868"/>
    <cellStyle name="40% - Accent3 2 2 2 2" xfId="1869"/>
    <cellStyle name="40% - Accent3 2 2 2 2 2" xfId="1870"/>
    <cellStyle name="40% - Accent3 2 2 2 2 2 2" xfId="1871"/>
    <cellStyle name="40% - Accent3 2 2 2 2 2 2 2" xfId="1872"/>
    <cellStyle name="40% - Accent3 2 2 2 2 2 3" xfId="1873"/>
    <cellStyle name="40% - Accent3 2 2 2 2 3" xfId="1874"/>
    <cellStyle name="40% - Accent3 2 2 2 2 3 2" xfId="1875"/>
    <cellStyle name="40% - Accent3 2 2 2 2 4" xfId="1876"/>
    <cellStyle name="40% - Accent3 2 2 2 2 5" xfId="58040"/>
    <cellStyle name="40% - Accent3 2 2 2 3" xfId="1877"/>
    <cellStyle name="40% - Accent3 2 2 2 3 2" xfId="1878"/>
    <cellStyle name="40% - Accent3 2 2 2 3 2 2" xfId="1879"/>
    <cellStyle name="40% - Accent3 2 2 2 3 3" xfId="1880"/>
    <cellStyle name="40% - Accent3 2 2 2 4" xfId="1881"/>
    <cellStyle name="40% - Accent3 2 2 2 4 2" xfId="1882"/>
    <cellStyle name="40% - Accent3 2 2 2 5" xfId="1883"/>
    <cellStyle name="40% - Accent3 2 2 2 6" xfId="58041"/>
    <cellStyle name="40% - Accent3 2 2 3" xfId="1884"/>
    <cellStyle name="40% - Accent3 2 2 3 2" xfId="1885"/>
    <cellStyle name="40% - Accent3 2 2 3 2 2" xfId="1886"/>
    <cellStyle name="40% - Accent3 2 2 3 2 2 2" xfId="1887"/>
    <cellStyle name="40% - Accent3 2 2 3 2 3" xfId="1888"/>
    <cellStyle name="40% - Accent3 2 2 3 3" xfId="1889"/>
    <cellStyle name="40% - Accent3 2 2 3 3 2" xfId="1890"/>
    <cellStyle name="40% - Accent3 2 2 3 4" xfId="1891"/>
    <cellStyle name="40% - Accent3 2 2 3 5" xfId="58042"/>
    <cellStyle name="40% - Accent3 2 2 4" xfId="1892"/>
    <cellStyle name="40% - Accent3 2 2 4 2" xfId="1893"/>
    <cellStyle name="40% - Accent3 2 2 4 2 2" xfId="1894"/>
    <cellStyle name="40% - Accent3 2 2 4 3" xfId="1895"/>
    <cellStyle name="40% - Accent3 2 2 5" xfId="1896"/>
    <cellStyle name="40% - Accent3 2 2 5 2" xfId="1897"/>
    <cellStyle name="40% - Accent3 2 2 6" xfId="1898"/>
    <cellStyle name="40% - Accent3 2 2 7" xfId="58043"/>
    <cellStyle name="40% - Accent3 2 3" xfId="1899"/>
    <cellStyle name="40% - Accent3 2 3 2" xfId="1900"/>
    <cellStyle name="40% - Accent3 2 3 2 2" xfId="1901"/>
    <cellStyle name="40% - Accent3 2 3 2 2 2" xfId="1902"/>
    <cellStyle name="40% - Accent3 2 3 2 2 2 2" xfId="1903"/>
    <cellStyle name="40% - Accent3 2 3 2 2 3" xfId="1904"/>
    <cellStyle name="40% - Accent3 2 3 2 3" xfId="1905"/>
    <cellStyle name="40% - Accent3 2 3 2 3 2" xfId="1906"/>
    <cellStyle name="40% - Accent3 2 3 2 4" xfId="1907"/>
    <cellStyle name="40% - Accent3 2 3 3" xfId="1908"/>
    <cellStyle name="40% - Accent3 2 3 3 2" xfId="1909"/>
    <cellStyle name="40% - Accent3 2 3 3 2 2" xfId="1910"/>
    <cellStyle name="40% - Accent3 2 3 3 3" xfId="1911"/>
    <cellStyle name="40% - Accent3 2 3 4" xfId="1912"/>
    <cellStyle name="40% - Accent3 2 3 4 2" xfId="1913"/>
    <cellStyle name="40% - Accent3 2 3 5" xfId="1914"/>
    <cellStyle name="40% - Accent3 2 3 6" xfId="58044"/>
    <cellStyle name="40% - Accent3 2 4" xfId="1915"/>
    <cellStyle name="40% - Accent3 2 4 2" xfId="1916"/>
    <cellStyle name="40% - Accent3 2 4 2 2" xfId="1917"/>
    <cellStyle name="40% - Accent3 2 4 2 2 2" xfId="1918"/>
    <cellStyle name="40% - Accent3 2 4 2 3" xfId="1919"/>
    <cellStyle name="40% - Accent3 2 4 3" xfId="1920"/>
    <cellStyle name="40% - Accent3 2 4 3 2" xfId="1921"/>
    <cellStyle name="40% - Accent3 2 4 4" xfId="1922"/>
    <cellStyle name="40% - Accent3 2 4 5" xfId="58045"/>
    <cellStyle name="40% - Accent3 2 5" xfId="1923"/>
    <cellStyle name="40% - Accent3 2 5 2" xfId="1924"/>
    <cellStyle name="40% - Accent3 2 5 2 2" xfId="1925"/>
    <cellStyle name="40% - Accent3 2 5 3" xfId="1926"/>
    <cellStyle name="40% - Accent3 2 5 4" xfId="58046"/>
    <cellStyle name="40% - Accent3 2 6" xfId="1927"/>
    <cellStyle name="40% - Accent3 2 6 2" xfId="1928"/>
    <cellStyle name="40% - Accent3 2 6 3" xfId="58047"/>
    <cellStyle name="40% - Accent3 2 7" xfId="1929"/>
    <cellStyle name="40% - Accent3 2 8" xfId="1930"/>
    <cellStyle name="40% - Accent3 2 9" xfId="58048"/>
    <cellStyle name="40% - Accent3 20" xfId="58049"/>
    <cellStyle name="40% - Accent3 21" xfId="58050"/>
    <cellStyle name="40% - Accent3 3" xfId="1931"/>
    <cellStyle name="40% - Accent3 3 2" xfId="1932"/>
    <cellStyle name="40% - Accent3 3 2 2" xfId="1933"/>
    <cellStyle name="40% - Accent3 3 2 2 2" xfId="1934"/>
    <cellStyle name="40% - Accent3 3 2 2 2 2" xfId="1935"/>
    <cellStyle name="40% - Accent3 3 2 2 2 2 2" xfId="1936"/>
    <cellStyle name="40% - Accent3 3 2 2 2 2 2 2" xfId="1937"/>
    <cellStyle name="40% - Accent3 3 2 2 2 2 3" xfId="1938"/>
    <cellStyle name="40% - Accent3 3 2 2 2 3" xfId="1939"/>
    <cellStyle name="40% - Accent3 3 2 2 2 3 2" xfId="1940"/>
    <cellStyle name="40% - Accent3 3 2 2 2 4" xfId="1941"/>
    <cellStyle name="40% - Accent3 3 2 2 2 5" xfId="8968"/>
    <cellStyle name="40% - Accent3 3 2 2 3" xfId="1942"/>
    <cellStyle name="40% - Accent3 3 2 2 3 2" xfId="1943"/>
    <cellStyle name="40% - Accent3 3 2 2 3 2 2" xfId="1944"/>
    <cellStyle name="40% - Accent3 3 2 2 3 3" xfId="1945"/>
    <cellStyle name="40% - Accent3 3 2 2 4" xfId="1946"/>
    <cellStyle name="40% - Accent3 3 2 2 4 2" xfId="1947"/>
    <cellStyle name="40% - Accent3 3 2 2 5" xfId="1948"/>
    <cellStyle name="40% - Accent3 3 2 2 6" xfId="8969"/>
    <cellStyle name="40% - Accent3 3 2 3" xfId="1949"/>
    <cellStyle name="40% - Accent3 3 2 3 2" xfId="1950"/>
    <cellStyle name="40% - Accent3 3 2 3 2 2" xfId="1951"/>
    <cellStyle name="40% - Accent3 3 2 3 2 2 2" xfId="1952"/>
    <cellStyle name="40% - Accent3 3 2 3 2 3" xfId="1953"/>
    <cellStyle name="40% - Accent3 3 2 3 3" xfId="1954"/>
    <cellStyle name="40% - Accent3 3 2 3 3 2" xfId="1955"/>
    <cellStyle name="40% - Accent3 3 2 3 4" xfId="1956"/>
    <cellStyle name="40% - Accent3 3 2 3 5" xfId="8970"/>
    <cellStyle name="40% - Accent3 3 2 4" xfId="1957"/>
    <cellStyle name="40% - Accent3 3 2 4 2" xfId="1958"/>
    <cellStyle name="40% - Accent3 3 2 4 2 2" xfId="1959"/>
    <cellStyle name="40% - Accent3 3 2 4 3" xfId="1960"/>
    <cellStyle name="40% - Accent3 3 2 5" xfId="1961"/>
    <cellStyle name="40% - Accent3 3 2 5 2" xfId="1962"/>
    <cellStyle name="40% - Accent3 3 2 6" xfId="1963"/>
    <cellStyle name="40% - Accent3 3 2 7" xfId="8971"/>
    <cellStyle name="40% - Accent3 3 3" xfId="1964"/>
    <cellStyle name="40% - Accent3 3 3 2" xfId="1965"/>
    <cellStyle name="40% - Accent3 3 3 2 2" xfId="1966"/>
    <cellStyle name="40% - Accent3 3 3 2 2 2" xfId="1967"/>
    <cellStyle name="40% - Accent3 3 3 2 2 2 2" xfId="1968"/>
    <cellStyle name="40% - Accent3 3 3 2 2 3" xfId="1969"/>
    <cellStyle name="40% - Accent3 3 3 2 3" xfId="1970"/>
    <cellStyle name="40% - Accent3 3 3 2 3 2" xfId="1971"/>
    <cellStyle name="40% - Accent3 3 3 2 4" xfId="1972"/>
    <cellStyle name="40% - Accent3 3 3 2 5" xfId="8972"/>
    <cellStyle name="40% - Accent3 3 3 3" xfId="1973"/>
    <cellStyle name="40% - Accent3 3 3 3 2" xfId="1974"/>
    <cellStyle name="40% - Accent3 3 3 3 2 2" xfId="1975"/>
    <cellStyle name="40% - Accent3 3 3 3 3" xfId="1976"/>
    <cellStyle name="40% - Accent3 3 3 4" xfId="1977"/>
    <cellStyle name="40% - Accent3 3 3 4 2" xfId="1978"/>
    <cellStyle name="40% - Accent3 3 3 5" xfId="1979"/>
    <cellStyle name="40% - Accent3 3 3 6" xfId="8973"/>
    <cellStyle name="40% - Accent3 3 4" xfId="1980"/>
    <cellStyle name="40% - Accent3 3 4 2" xfId="1981"/>
    <cellStyle name="40% - Accent3 3 4 2 2" xfId="1982"/>
    <cellStyle name="40% - Accent3 3 4 2 2 2" xfId="1983"/>
    <cellStyle name="40% - Accent3 3 4 2 3" xfId="1984"/>
    <cellStyle name="40% - Accent3 3 4 3" xfId="1985"/>
    <cellStyle name="40% - Accent3 3 4 3 2" xfId="1986"/>
    <cellStyle name="40% - Accent3 3 4 4" xfId="1987"/>
    <cellStyle name="40% - Accent3 3 4 5" xfId="8974"/>
    <cellStyle name="40% - Accent3 3 5" xfId="1988"/>
    <cellStyle name="40% - Accent3 3 5 2" xfId="1989"/>
    <cellStyle name="40% - Accent3 3 5 2 2" xfId="1990"/>
    <cellStyle name="40% - Accent3 3 5 3" xfId="1991"/>
    <cellStyle name="40% - Accent3 3 6" xfId="1992"/>
    <cellStyle name="40% - Accent3 3 6 2" xfId="1993"/>
    <cellStyle name="40% - Accent3 3 7" xfId="1994"/>
    <cellStyle name="40% - Accent3 3 8" xfId="1995"/>
    <cellStyle name="40% - Accent3 3 9" xfId="8975"/>
    <cellStyle name="40% - Accent3 4" xfId="1996"/>
    <cellStyle name="40% - Accent3 4 10" xfId="22810"/>
    <cellStyle name="40% - Accent3 4 10 2" xfId="22811"/>
    <cellStyle name="40% - Accent3 4 10 2 2" xfId="22812"/>
    <cellStyle name="40% - Accent3 4 10 2 3" xfId="22813"/>
    <cellStyle name="40% - Accent3 4 10 3" xfId="22814"/>
    <cellStyle name="40% - Accent3 4 10 3 2" xfId="22815"/>
    <cellStyle name="40% - Accent3 4 10 4" xfId="22816"/>
    <cellStyle name="40% - Accent3 4 10 5" xfId="22817"/>
    <cellStyle name="40% - Accent3 4 11" xfId="22818"/>
    <cellStyle name="40% - Accent3 4 11 2" xfId="22819"/>
    <cellStyle name="40% - Accent3 4 11 3" xfId="22820"/>
    <cellStyle name="40% - Accent3 4 12" xfId="22821"/>
    <cellStyle name="40% - Accent3 4 12 2" xfId="22822"/>
    <cellStyle name="40% - Accent3 4 12 3" xfId="22823"/>
    <cellStyle name="40% - Accent3 4 13" xfId="22824"/>
    <cellStyle name="40% - Accent3 4 13 2" xfId="22825"/>
    <cellStyle name="40% - Accent3 4 14" xfId="22826"/>
    <cellStyle name="40% - Accent3 4 15" xfId="22827"/>
    <cellStyle name="40% - Accent3 4 16" xfId="22828"/>
    <cellStyle name="40% - Accent3 4 2" xfId="1997"/>
    <cellStyle name="40% - Accent3 4 2 10" xfId="22829"/>
    <cellStyle name="40% - Accent3 4 2 10 2" xfId="22830"/>
    <cellStyle name="40% - Accent3 4 2 10 3" xfId="22831"/>
    <cellStyle name="40% - Accent3 4 2 11" xfId="22832"/>
    <cellStyle name="40% - Accent3 4 2 11 2" xfId="22833"/>
    <cellStyle name="40% - Accent3 4 2 11 3" xfId="22834"/>
    <cellStyle name="40% - Accent3 4 2 12" xfId="22835"/>
    <cellStyle name="40% - Accent3 4 2 12 2" xfId="22836"/>
    <cellStyle name="40% - Accent3 4 2 13" xfId="22837"/>
    <cellStyle name="40% - Accent3 4 2 14" xfId="22838"/>
    <cellStyle name="40% - Accent3 4 2 15" xfId="22839"/>
    <cellStyle name="40% - Accent3 4 2 2" xfId="1998"/>
    <cellStyle name="40% - Accent3 4 2 2 10" xfId="22840"/>
    <cellStyle name="40% - Accent3 4 2 2 10 2" xfId="22841"/>
    <cellStyle name="40% - Accent3 4 2 2 10 3" xfId="22842"/>
    <cellStyle name="40% - Accent3 4 2 2 11" xfId="22843"/>
    <cellStyle name="40% - Accent3 4 2 2 11 2" xfId="22844"/>
    <cellStyle name="40% - Accent3 4 2 2 12" xfId="22845"/>
    <cellStyle name="40% - Accent3 4 2 2 13" xfId="22846"/>
    <cellStyle name="40% - Accent3 4 2 2 2" xfId="1999"/>
    <cellStyle name="40% - Accent3 4 2 2 2 10" xfId="22847"/>
    <cellStyle name="40% - Accent3 4 2 2 2 10 2" xfId="22848"/>
    <cellStyle name="40% - Accent3 4 2 2 2 11" xfId="22849"/>
    <cellStyle name="40% - Accent3 4 2 2 2 12" xfId="22850"/>
    <cellStyle name="40% - Accent3 4 2 2 2 2" xfId="2000"/>
    <cellStyle name="40% - Accent3 4 2 2 2 2 10" xfId="22851"/>
    <cellStyle name="40% - Accent3 4 2 2 2 2 2" xfId="2001"/>
    <cellStyle name="40% - Accent3 4 2 2 2 2 2 2" xfId="22852"/>
    <cellStyle name="40% - Accent3 4 2 2 2 2 2 2 2" xfId="22853"/>
    <cellStyle name="40% - Accent3 4 2 2 2 2 2 2 2 2" xfId="22854"/>
    <cellStyle name="40% - Accent3 4 2 2 2 2 2 2 2 3" xfId="22855"/>
    <cellStyle name="40% - Accent3 4 2 2 2 2 2 2 3" xfId="22856"/>
    <cellStyle name="40% - Accent3 4 2 2 2 2 2 2 3 2" xfId="22857"/>
    <cellStyle name="40% - Accent3 4 2 2 2 2 2 2 3 3" xfId="22858"/>
    <cellStyle name="40% - Accent3 4 2 2 2 2 2 2 4" xfId="22859"/>
    <cellStyle name="40% - Accent3 4 2 2 2 2 2 2 4 2" xfId="22860"/>
    <cellStyle name="40% - Accent3 4 2 2 2 2 2 2 5" xfId="22861"/>
    <cellStyle name="40% - Accent3 4 2 2 2 2 2 2 6" xfId="22862"/>
    <cellStyle name="40% - Accent3 4 2 2 2 2 2 3" xfId="22863"/>
    <cellStyle name="40% - Accent3 4 2 2 2 2 2 3 2" xfId="22864"/>
    <cellStyle name="40% - Accent3 4 2 2 2 2 2 3 2 2" xfId="22865"/>
    <cellStyle name="40% - Accent3 4 2 2 2 2 2 3 2 3" xfId="22866"/>
    <cellStyle name="40% - Accent3 4 2 2 2 2 2 3 3" xfId="22867"/>
    <cellStyle name="40% - Accent3 4 2 2 2 2 2 3 3 2" xfId="22868"/>
    <cellStyle name="40% - Accent3 4 2 2 2 2 2 3 3 3" xfId="22869"/>
    <cellStyle name="40% - Accent3 4 2 2 2 2 2 3 4" xfId="22870"/>
    <cellStyle name="40% - Accent3 4 2 2 2 2 2 3 4 2" xfId="22871"/>
    <cellStyle name="40% - Accent3 4 2 2 2 2 2 3 5" xfId="22872"/>
    <cellStyle name="40% - Accent3 4 2 2 2 2 2 3 6" xfId="22873"/>
    <cellStyle name="40% - Accent3 4 2 2 2 2 2 4" xfId="22874"/>
    <cellStyle name="40% - Accent3 4 2 2 2 2 2 4 2" xfId="22875"/>
    <cellStyle name="40% - Accent3 4 2 2 2 2 2 4 2 2" xfId="22876"/>
    <cellStyle name="40% - Accent3 4 2 2 2 2 2 4 2 3" xfId="22877"/>
    <cellStyle name="40% - Accent3 4 2 2 2 2 2 4 3" xfId="22878"/>
    <cellStyle name="40% - Accent3 4 2 2 2 2 2 4 3 2" xfId="22879"/>
    <cellStyle name="40% - Accent3 4 2 2 2 2 2 4 4" xfId="22880"/>
    <cellStyle name="40% - Accent3 4 2 2 2 2 2 4 5" xfId="22881"/>
    <cellStyle name="40% - Accent3 4 2 2 2 2 2 5" xfId="22882"/>
    <cellStyle name="40% - Accent3 4 2 2 2 2 2 5 2" xfId="22883"/>
    <cellStyle name="40% - Accent3 4 2 2 2 2 2 5 3" xfId="22884"/>
    <cellStyle name="40% - Accent3 4 2 2 2 2 2 6" xfId="22885"/>
    <cellStyle name="40% - Accent3 4 2 2 2 2 2 6 2" xfId="22886"/>
    <cellStyle name="40% - Accent3 4 2 2 2 2 2 6 3" xfId="22887"/>
    <cellStyle name="40% - Accent3 4 2 2 2 2 2 7" xfId="22888"/>
    <cellStyle name="40% - Accent3 4 2 2 2 2 2 7 2" xfId="22889"/>
    <cellStyle name="40% - Accent3 4 2 2 2 2 2 8" xfId="22890"/>
    <cellStyle name="40% - Accent3 4 2 2 2 2 2 9" xfId="22891"/>
    <cellStyle name="40% - Accent3 4 2 2 2 2 3" xfId="22892"/>
    <cellStyle name="40% - Accent3 4 2 2 2 2 3 2" xfId="22893"/>
    <cellStyle name="40% - Accent3 4 2 2 2 2 3 2 2" xfId="22894"/>
    <cellStyle name="40% - Accent3 4 2 2 2 2 3 2 3" xfId="22895"/>
    <cellStyle name="40% - Accent3 4 2 2 2 2 3 3" xfId="22896"/>
    <cellStyle name="40% - Accent3 4 2 2 2 2 3 3 2" xfId="22897"/>
    <cellStyle name="40% - Accent3 4 2 2 2 2 3 3 3" xfId="22898"/>
    <cellStyle name="40% - Accent3 4 2 2 2 2 3 4" xfId="22899"/>
    <cellStyle name="40% - Accent3 4 2 2 2 2 3 4 2" xfId="22900"/>
    <cellStyle name="40% - Accent3 4 2 2 2 2 3 5" xfId="22901"/>
    <cellStyle name="40% - Accent3 4 2 2 2 2 3 6" xfId="22902"/>
    <cellStyle name="40% - Accent3 4 2 2 2 2 4" xfId="22903"/>
    <cellStyle name="40% - Accent3 4 2 2 2 2 4 2" xfId="22904"/>
    <cellStyle name="40% - Accent3 4 2 2 2 2 4 2 2" xfId="22905"/>
    <cellStyle name="40% - Accent3 4 2 2 2 2 4 2 3" xfId="22906"/>
    <cellStyle name="40% - Accent3 4 2 2 2 2 4 3" xfId="22907"/>
    <cellStyle name="40% - Accent3 4 2 2 2 2 4 3 2" xfId="22908"/>
    <cellStyle name="40% - Accent3 4 2 2 2 2 4 3 3" xfId="22909"/>
    <cellStyle name="40% - Accent3 4 2 2 2 2 4 4" xfId="22910"/>
    <cellStyle name="40% - Accent3 4 2 2 2 2 4 4 2" xfId="22911"/>
    <cellStyle name="40% - Accent3 4 2 2 2 2 4 5" xfId="22912"/>
    <cellStyle name="40% - Accent3 4 2 2 2 2 4 6" xfId="22913"/>
    <cellStyle name="40% - Accent3 4 2 2 2 2 5" xfId="22914"/>
    <cellStyle name="40% - Accent3 4 2 2 2 2 5 2" xfId="22915"/>
    <cellStyle name="40% - Accent3 4 2 2 2 2 5 2 2" xfId="22916"/>
    <cellStyle name="40% - Accent3 4 2 2 2 2 5 2 3" xfId="22917"/>
    <cellStyle name="40% - Accent3 4 2 2 2 2 5 3" xfId="22918"/>
    <cellStyle name="40% - Accent3 4 2 2 2 2 5 3 2" xfId="22919"/>
    <cellStyle name="40% - Accent3 4 2 2 2 2 5 4" xfId="22920"/>
    <cellStyle name="40% - Accent3 4 2 2 2 2 5 5" xfId="22921"/>
    <cellStyle name="40% - Accent3 4 2 2 2 2 6" xfId="22922"/>
    <cellStyle name="40% - Accent3 4 2 2 2 2 6 2" xfId="22923"/>
    <cellStyle name="40% - Accent3 4 2 2 2 2 6 3" xfId="22924"/>
    <cellStyle name="40% - Accent3 4 2 2 2 2 7" xfId="22925"/>
    <cellStyle name="40% - Accent3 4 2 2 2 2 7 2" xfId="22926"/>
    <cellStyle name="40% - Accent3 4 2 2 2 2 7 3" xfId="22927"/>
    <cellStyle name="40% - Accent3 4 2 2 2 2 8" xfId="22928"/>
    <cellStyle name="40% - Accent3 4 2 2 2 2 8 2" xfId="22929"/>
    <cellStyle name="40% - Accent3 4 2 2 2 2 9" xfId="22930"/>
    <cellStyle name="40% - Accent3 4 2 2 2 3" xfId="2002"/>
    <cellStyle name="40% - Accent3 4 2 2 2 3 2" xfId="22931"/>
    <cellStyle name="40% - Accent3 4 2 2 2 3 2 2" xfId="22932"/>
    <cellStyle name="40% - Accent3 4 2 2 2 3 2 2 2" xfId="22933"/>
    <cellStyle name="40% - Accent3 4 2 2 2 3 2 2 3" xfId="22934"/>
    <cellStyle name="40% - Accent3 4 2 2 2 3 2 3" xfId="22935"/>
    <cellStyle name="40% - Accent3 4 2 2 2 3 2 3 2" xfId="22936"/>
    <cellStyle name="40% - Accent3 4 2 2 2 3 2 3 3" xfId="22937"/>
    <cellStyle name="40% - Accent3 4 2 2 2 3 2 4" xfId="22938"/>
    <cellStyle name="40% - Accent3 4 2 2 2 3 2 4 2" xfId="22939"/>
    <cellStyle name="40% - Accent3 4 2 2 2 3 2 5" xfId="22940"/>
    <cellStyle name="40% - Accent3 4 2 2 2 3 2 6" xfId="22941"/>
    <cellStyle name="40% - Accent3 4 2 2 2 3 3" xfId="22942"/>
    <cellStyle name="40% - Accent3 4 2 2 2 3 3 2" xfId="22943"/>
    <cellStyle name="40% - Accent3 4 2 2 2 3 3 2 2" xfId="22944"/>
    <cellStyle name="40% - Accent3 4 2 2 2 3 3 2 3" xfId="22945"/>
    <cellStyle name="40% - Accent3 4 2 2 2 3 3 3" xfId="22946"/>
    <cellStyle name="40% - Accent3 4 2 2 2 3 3 3 2" xfId="22947"/>
    <cellStyle name="40% - Accent3 4 2 2 2 3 3 3 3" xfId="22948"/>
    <cellStyle name="40% - Accent3 4 2 2 2 3 3 4" xfId="22949"/>
    <cellStyle name="40% - Accent3 4 2 2 2 3 3 4 2" xfId="22950"/>
    <cellStyle name="40% - Accent3 4 2 2 2 3 3 5" xfId="22951"/>
    <cellStyle name="40% - Accent3 4 2 2 2 3 3 6" xfId="22952"/>
    <cellStyle name="40% - Accent3 4 2 2 2 3 4" xfId="22953"/>
    <cellStyle name="40% - Accent3 4 2 2 2 3 4 2" xfId="22954"/>
    <cellStyle name="40% - Accent3 4 2 2 2 3 4 2 2" xfId="22955"/>
    <cellStyle name="40% - Accent3 4 2 2 2 3 4 2 3" xfId="22956"/>
    <cellStyle name="40% - Accent3 4 2 2 2 3 4 3" xfId="22957"/>
    <cellStyle name="40% - Accent3 4 2 2 2 3 4 3 2" xfId="22958"/>
    <cellStyle name="40% - Accent3 4 2 2 2 3 4 4" xfId="22959"/>
    <cellStyle name="40% - Accent3 4 2 2 2 3 4 5" xfId="22960"/>
    <cellStyle name="40% - Accent3 4 2 2 2 3 5" xfId="22961"/>
    <cellStyle name="40% - Accent3 4 2 2 2 3 5 2" xfId="22962"/>
    <cellStyle name="40% - Accent3 4 2 2 2 3 5 3" xfId="22963"/>
    <cellStyle name="40% - Accent3 4 2 2 2 3 6" xfId="22964"/>
    <cellStyle name="40% - Accent3 4 2 2 2 3 6 2" xfId="22965"/>
    <cellStyle name="40% - Accent3 4 2 2 2 3 6 3" xfId="22966"/>
    <cellStyle name="40% - Accent3 4 2 2 2 3 7" xfId="22967"/>
    <cellStyle name="40% - Accent3 4 2 2 2 3 7 2" xfId="22968"/>
    <cellStyle name="40% - Accent3 4 2 2 2 3 8" xfId="22969"/>
    <cellStyle name="40% - Accent3 4 2 2 2 3 9" xfId="22970"/>
    <cellStyle name="40% - Accent3 4 2 2 2 4" xfId="22971"/>
    <cellStyle name="40% - Accent3 4 2 2 2 4 2" xfId="22972"/>
    <cellStyle name="40% - Accent3 4 2 2 2 4 2 2" xfId="22973"/>
    <cellStyle name="40% - Accent3 4 2 2 2 4 2 2 2" xfId="22974"/>
    <cellStyle name="40% - Accent3 4 2 2 2 4 2 2 3" xfId="22975"/>
    <cellStyle name="40% - Accent3 4 2 2 2 4 2 3" xfId="22976"/>
    <cellStyle name="40% - Accent3 4 2 2 2 4 2 3 2" xfId="22977"/>
    <cellStyle name="40% - Accent3 4 2 2 2 4 2 3 3" xfId="22978"/>
    <cellStyle name="40% - Accent3 4 2 2 2 4 2 4" xfId="22979"/>
    <cellStyle name="40% - Accent3 4 2 2 2 4 2 4 2" xfId="22980"/>
    <cellStyle name="40% - Accent3 4 2 2 2 4 2 5" xfId="22981"/>
    <cellStyle name="40% - Accent3 4 2 2 2 4 2 6" xfId="22982"/>
    <cellStyle name="40% - Accent3 4 2 2 2 4 3" xfId="22983"/>
    <cellStyle name="40% - Accent3 4 2 2 2 4 3 2" xfId="22984"/>
    <cellStyle name="40% - Accent3 4 2 2 2 4 3 2 2" xfId="22985"/>
    <cellStyle name="40% - Accent3 4 2 2 2 4 3 2 3" xfId="22986"/>
    <cellStyle name="40% - Accent3 4 2 2 2 4 3 3" xfId="22987"/>
    <cellStyle name="40% - Accent3 4 2 2 2 4 3 3 2" xfId="22988"/>
    <cellStyle name="40% - Accent3 4 2 2 2 4 3 3 3" xfId="22989"/>
    <cellStyle name="40% - Accent3 4 2 2 2 4 3 4" xfId="22990"/>
    <cellStyle name="40% - Accent3 4 2 2 2 4 3 4 2" xfId="22991"/>
    <cellStyle name="40% - Accent3 4 2 2 2 4 3 5" xfId="22992"/>
    <cellStyle name="40% - Accent3 4 2 2 2 4 3 6" xfId="22993"/>
    <cellStyle name="40% - Accent3 4 2 2 2 4 4" xfId="22994"/>
    <cellStyle name="40% - Accent3 4 2 2 2 4 4 2" xfId="22995"/>
    <cellStyle name="40% - Accent3 4 2 2 2 4 4 2 2" xfId="22996"/>
    <cellStyle name="40% - Accent3 4 2 2 2 4 4 2 3" xfId="22997"/>
    <cellStyle name="40% - Accent3 4 2 2 2 4 4 3" xfId="22998"/>
    <cellStyle name="40% - Accent3 4 2 2 2 4 4 3 2" xfId="22999"/>
    <cellStyle name="40% - Accent3 4 2 2 2 4 4 4" xfId="23000"/>
    <cellStyle name="40% - Accent3 4 2 2 2 4 4 5" xfId="23001"/>
    <cellStyle name="40% - Accent3 4 2 2 2 4 5" xfId="23002"/>
    <cellStyle name="40% - Accent3 4 2 2 2 4 5 2" xfId="23003"/>
    <cellStyle name="40% - Accent3 4 2 2 2 4 5 3" xfId="23004"/>
    <cellStyle name="40% - Accent3 4 2 2 2 4 6" xfId="23005"/>
    <cellStyle name="40% - Accent3 4 2 2 2 4 6 2" xfId="23006"/>
    <cellStyle name="40% - Accent3 4 2 2 2 4 6 3" xfId="23007"/>
    <cellStyle name="40% - Accent3 4 2 2 2 4 7" xfId="23008"/>
    <cellStyle name="40% - Accent3 4 2 2 2 4 7 2" xfId="23009"/>
    <cellStyle name="40% - Accent3 4 2 2 2 4 8" xfId="23010"/>
    <cellStyle name="40% - Accent3 4 2 2 2 4 9" xfId="23011"/>
    <cellStyle name="40% - Accent3 4 2 2 2 5" xfId="23012"/>
    <cellStyle name="40% - Accent3 4 2 2 2 5 2" xfId="23013"/>
    <cellStyle name="40% - Accent3 4 2 2 2 5 2 2" xfId="23014"/>
    <cellStyle name="40% - Accent3 4 2 2 2 5 2 3" xfId="23015"/>
    <cellStyle name="40% - Accent3 4 2 2 2 5 3" xfId="23016"/>
    <cellStyle name="40% - Accent3 4 2 2 2 5 3 2" xfId="23017"/>
    <cellStyle name="40% - Accent3 4 2 2 2 5 3 3" xfId="23018"/>
    <cellStyle name="40% - Accent3 4 2 2 2 5 4" xfId="23019"/>
    <cellStyle name="40% - Accent3 4 2 2 2 5 4 2" xfId="23020"/>
    <cellStyle name="40% - Accent3 4 2 2 2 5 5" xfId="23021"/>
    <cellStyle name="40% - Accent3 4 2 2 2 5 6" xfId="23022"/>
    <cellStyle name="40% - Accent3 4 2 2 2 6" xfId="23023"/>
    <cellStyle name="40% - Accent3 4 2 2 2 6 2" xfId="23024"/>
    <cellStyle name="40% - Accent3 4 2 2 2 6 2 2" xfId="23025"/>
    <cellStyle name="40% - Accent3 4 2 2 2 6 2 3" xfId="23026"/>
    <cellStyle name="40% - Accent3 4 2 2 2 6 3" xfId="23027"/>
    <cellStyle name="40% - Accent3 4 2 2 2 6 3 2" xfId="23028"/>
    <cellStyle name="40% - Accent3 4 2 2 2 6 3 3" xfId="23029"/>
    <cellStyle name="40% - Accent3 4 2 2 2 6 4" xfId="23030"/>
    <cellStyle name="40% - Accent3 4 2 2 2 6 4 2" xfId="23031"/>
    <cellStyle name="40% - Accent3 4 2 2 2 6 5" xfId="23032"/>
    <cellStyle name="40% - Accent3 4 2 2 2 6 6" xfId="23033"/>
    <cellStyle name="40% - Accent3 4 2 2 2 7" xfId="23034"/>
    <cellStyle name="40% - Accent3 4 2 2 2 7 2" xfId="23035"/>
    <cellStyle name="40% - Accent3 4 2 2 2 7 2 2" xfId="23036"/>
    <cellStyle name="40% - Accent3 4 2 2 2 7 2 3" xfId="23037"/>
    <cellStyle name="40% - Accent3 4 2 2 2 7 3" xfId="23038"/>
    <cellStyle name="40% - Accent3 4 2 2 2 7 3 2" xfId="23039"/>
    <cellStyle name="40% - Accent3 4 2 2 2 7 4" xfId="23040"/>
    <cellStyle name="40% - Accent3 4 2 2 2 7 5" xfId="23041"/>
    <cellStyle name="40% - Accent3 4 2 2 2 8" xfId="23042"/>
    <cellStyle name="40% - Accent3 4 2 2 2 8 2" xfId="23043"/>
    <cellStyle name="40% - Accent3 4 2 2 2 8 3" xfId="23044"/>
    <cellStyle name="40% - Accent3 4 2 2 2 9" xfId="23045"/>
    <cellStyle name="40% - Accent3 4 2 2 2 9 2" xfId="23046"/>
    <cellStyle name="40% - Accent3 4 2 2 2 9 3" xfId="23047"/>
    <cellStyle name="40% - Accent3 4 2 2 3" xfId="2003"/>
    <cellStyle name="40% - Accent3 4 2 2 3 10" xfId="23048"/>
    <cellStyle name="40% - Accent3 4 2 2 3 2" xfId="2004"/>
    <cellStyle name="40% - Accent3 4 2 2 3 2 2" xfId="23049"/>
    <cellStyle name="40% - Accent3 4 2 2 3 2 2 2" xfId="23050"/>
    <cellStyle name="40% - Accent3 4 2 2 3 2 2 2 2" xfId="23051"/>
    <cellStyle name="40% - Accent3 4 2 2 3 2 2 2 3" xfId="23052"/>
    <cellStyle name="40% - Accent3 4 2 2 3 2 2 3" xfId="23053"/>
    <cellStyle name="40% - Accent3 4 2 2 3 2 2 3 2" xfId="23054"/>
    <cellStyle name="40% - Accent3 4 2 2 3 2 2 3 3" xfId="23055"/>
    <cellStyle name="40% - Accent3 4 2 2 3 2 2 4" xfId="23056"/>
    <cellStyle name="40% - Accent3 4 2 2 3 2 2 4 2" xfId="23057"/>
    <cellStyle name="40% - Accent3 4 2 2 3 2 2 5" xfId="23058"/>
    <cellStyle name="40% - Accent3 4 2 2 3 2 2 6" xfId="23059"/>
    <cellStyle name="40% - Accent3 4 2 2 3 2 3" xfId="23060"/>
    <cellStyle name="40% - Accent3 4 2 2 3 2 3 2" xfId="23061"/>
    <cellStyle name="40% - Accent3 4 2 2 3 2 3 2 2" xfId="23062"/>
    <cellStyle name="40% - Accent3 4 2 2 3 2 3 2 3" xfId="23063"/>
    <cellStyle name="40% - Accent3 4 2 2 3 2 3 3" xfId="23064"/>
    <cellStyle name="40% - Accent3 4 2 2 3 2 3 3 2" xfId="23065"/>
    <cellStyle name="40% - Accent3 4 2 2 3 2 3 3 3" xfId="23066"/>
    <cellStyle name="40% - Accent3 4 2 2 3 2 3 4" xfId="23067"/>
    <cellStyle name="40% - Accent3 4 2 2 3 2 3 4 2" xfId="23068"/>
    <cellStyle name="40% - Accent3 4 2 2 3 2 3 5" xfId="23069"/>
    <cellStyle name="40% - Accent3 4 2 2 3 2 3 6" xfId="23070"/>
    <cellStyle name="40% - Accent3 4 2 2 3 2 4" xfId="23071"/>
    <cellStyle name="40% - Accent3 4 2 2 3 2 4 2" xfId="23072"/>
    <cellStyle name="40% - Accent3 4 2 2 3 2 4 2 2" xfId="23073"/>
    <cellStyle name="40% - Accent3 4 2 2 3 2 4 2 3" xfId="23074"/>
    <cellStyle name="40% - Accent3 4 2 2 3 2 4 3" xfId="23075"/>
    <cellStyle name="40% - Accent3 4 2 2 3 2 4 3 2" xfId="23076"/>
    <cellStyle name="40% - Accent3 4 2 2 3 2 4 4" xfId="23077"/>
    <cellStyle name="40% - Accent3 4 2 2 3 2 4 5" xfId="23078"/>
    <cellStyle name="40% - Accent3 4 2 2 3 2 5" xfId="23079"/>
    <cellStyle name="40% - Accent3 4 2 2 3 2 5 2" xfId="23080"/>
    <cellStyle name="40% - Accent3 4 2 2 3 2 5 3" xfId="23081"/>
    <cellStyle name="40% - Accent3 4 2 2 3 2 6" xfId="23082"/>
    <cellStyle name="40% - Accent3 4 2 2 3 2 6 2" xfId="23083"/>
    <cellStyle name="40% - Accent3 4 2 2 3 2 6 3" xfId="23084"/>
    <cellStyle name="40% - Accent3 4 2 2 3 2 7" xfId="23085"/>
    <cellStyle name="40% - Accent3 4 2 2 3 2 7 2" xfId="23086"/>
    <cellStyle name="40% - Accent3 4 2 2 3 2 8" xfId="23087"/>
    <cellStyle name="40% - Accent3 4 2 2 3 2 9" xfId="23088"/>
    <cellStyle name="40% - Accent3 4 2 2 3 3" xfId="23089"/>
    <cellStyle name="40% - Accent3 4 2 2 3 3 2" xfId="23090"/>
    <cellStyle name="40% - Accent3 4 2 2 3 3 2 2" xfId="23091"/>
    <cellStyle name="40% - Accent3 4 2 2 3 3 2 3" xfId="23092"/>
    <cellStyle name="40% - Accent3 4 2 2 3 3 3" xfId="23093"/>
    <cellStyle name="40% - Accent3 4 2 2 3 3 3 2" xfId="23094"/>
    <cellStyle name="40% - Accent3 4 2 2 3 3 3 3" xfId="23095"/>
    <cellStyle name="40% - Accent3 4 2 2 3 3 4" xfId="23096"/>
    <cellStyle name="40% - Accent3 4 2 2 3 3 4 2" xfId="23097"/>
    <cellStyle name="40% - Accent3 4 2 2 3 3 5" xfId="23098"/>
    <cellStyle name="40% - Accent3 4 2 2 3 3 6" xfId="23099"/>
    <cellStyle name="40% - Accent3 4 2 2 3 4" xfId="23100"/>
    <cellStyle name="40% - Accent3 4 2 2 3 4 2" xfId="23101"/>
    <cellStyle name="40% - Accent3 4 2 2 3 4 2 2" xfId="23102"/>
    <cellStyle name="40% - Accent3 4 2 2 3 4 2 3" xfId="23103"/>
    <cellStyle name="40% - Accent3 4 2 2 3 4 3" xfId="23104"/>
    <cellStyle name="40% - Accent3 4 2 2 3 4 3 2" xfId="23105"/>
    <cellStyle name="40% - Accent3 4 2 2 3 4 3 3" xfId="23106"/>
    <cellStyle name="40% - Accent3 4 2 2 3 4 4" xfId="23107"/>
    <cellStyle name="40% - Accent3 4 2 2 3 4 4 2" xfId="23108"/>
    <cellStyle name="40% - Accent3 4 2 2 3 4 5" xfId="23109"/>
    <cellStyle name="40% - Accent3 4 2 2 3 4 6" xfId="23110"/>
    <cellStyle name="40% - Accent3 4 2 2 3 5" xfId="23111"/>
    <cellStyle name="40% - Accent3 4 2 2 3 5 2" xfId="23112"/>
    <cellStyle name="40% - Accent3 4 2 2 3 5 2 2" xfId="23113"/>
    <cellStyle name="40% - Accent3 4 2 2 3 5 2 3" xfId="23114"/>
    <cellStyle name="40% - Accent3 4 2 2 3 5 3" xfId="23115"/>
    <cellStyle name="40% - Accent3 4 2 2 3 5 3 2" xfId="23116"/>
    <cellStyle name="40% - Accent3 4 2 2 3 5 4" xfId="23117"/>
    <cellStyle name="40% - Accent3 4 2 2 3 5 5" xfId="23118"/>
    <cellStyle name="40% - Accent3 4 2 2 3 6" xfId="23119"/>
    <cellStyle name="40% - Accent3 4 2 2 3 6 2" xfId="23120"/>
    <cellStyle name="40% - Accent3 4 2 2 3 6 3" xfId="23121"/>
    <cellStyle name="40% - Accent3 4 2 2 3 7" xfId="23122"/>
    <cellStyle name="40% - Accent3 4 2 2 3 7 2" xfId="23123"/>
    <cellStyle name="40% - Accent3 4 2 2 3 7 3" xfId="23124"/>
    <cellStyle name="40% - Accent3 4 2 2 3 8" xfId="23125"/>
    <cellStyle name="40% - Accent3 4 2 2 3 8 2" xfId="23126"/>
    <cellStyle name="40% - Accent3 4 2 2 3 9" xfId="23127"/>
    <cellStyle name="40% - Accent3 4 2 2 4" xfId="2005"/>
    <cellStyle name="40% - Accent3 4 2 2 4 2" xfId="23128"/>
    <cellStyle name="40% - Accent3 4 2 2 4 2 2" xfId="23129"/>
    <cellStyle name="40% - Accent3 4 2 2 4 2 2 2" xfId="23130"/>
    <cellStyle name="40% - Accent3 4 2 2 4 2 2 3" xfId="23131"/>
    <cellStyle name="40% - Accent3 4 2 2 4 2 3" xfId="23132"/>
    <cellStyle name="40% - Accent3 4 2 2 4 2 3 2" xfId="23133"/>
    <cellStyle name="40% - Accent3 4 2 2 4 2 3 3" xfId="23134"/>
    <cellStyle name="40% - Accent3 4 2 2 4 2 4" xfId="23135"/>
    <cellStyle name="40% - Accent3 4 2 2 4 2 4 2" xfId="23136"/>
    <cellStyle name="40% - Accent3 4 2 2 4 2 5" xfId="23137"/>
    <cellStyle name="40% - Accent3 4 2 2 4 2 6" xfId="23138"/>
    <cellStyle name="40% - Accent3 4 2 2 4 3" xfId="23139"/>
    <cellStyle name="40% - Accent3 4 2 2 4 3 2" xfId="23140"/>
    <cellStyle name="40% - Accent3 4 2 2 4 3 2 2" xfId="23141"/>
    <cellStyle name="40% - Accent3 4 2 2 4 3 2 3" xfId="23142"/>
    <cellStyle name="40% - Accent3 4 2 2 4 3 3" xfId="23143"/>
    <cellStyle name="40% - Accent3 4 2 2 4 3 3 2" xfId="23144"/>
    <cellStyle name="40% - Accent3 4 2 2 4 3 3 3" xfId="23145"/>
    <cellStyle name="40% - Accent3 4 2 2 4 3 4" xfId="23146"/>
    <cellStyle name="40% - Accent3 4 2 2 4 3 4 2" xfId="23147"/>
    <cellStyle name="40% - Accent3 4 2 2 4 3 5" xfId="23148"/>
    <cellStyle name="40% - Accent3 4 2 2 4 3 6" xfId="23149"/>
    <cellStyle name="40% - Accent3 4 2 2 4 4" xfId="23150"/>
    <cellStyle name="40% - Accent3 4 2 2 4 4 2" xfId="23151"/>
    <cellStyle name="40% - Accent3 4 2 2 4 4 2 2" xfId="23152"/>
    <cellStyle name="40% - Accent3 4 2 2 4 4 2 3" xfId="23153"/>
    <cellStyle name="40% - Accent3 4 2 2 4 4 3" xfId="23154"/>
    <cellStyle name="40% - Accent3 4 2 2 4 4 3 2" xfId="23155"/>
    <cellStyle name="40% - Accent3 4 2 2 4 4 4" xfId="23156"/>
    <cellStyle name="40% - Accent3 4 2 2 4 4 5" xfId="23157"/>
    <cellStyle name="40% - Accent3 4 2 2 4 5" xfId="23158"/>
    <cellStyle name="40% - Accent3 4 2 2 4 5 2" xfId="23159"/>
    <cellStyle name="40% - Accent3 4 2 2 4 5 3" xfId="23160"/>
    <cellStyle name="40% - Accent3 4 2 2 4 6" xfId="23161"/>
    <cellStyle name="40% - Accent3 4 2 2 4 6 2" xfId="23162"/>
    <cellStyle name="40% - Accent3 4 2 2 4 6 3" xfId="23163"/>
    <cellStyle name="40% - Accent3 4 2 2 4 7" xfId="23164"/>
    <cellStyle name="40% - Accent3 4 2 2 4 7 2" xfId="23165"/>
    <cellStyle name="40% - Accent3 4 2 2 4 8" xfId="23166"/>
    <cellStyle name="40% - Accent3 4 2 2 4 9" xfId="23167"/>
    <cellStyle name="40% - Accent3 4 2 2 5" xfId="23168"/>
    <cellStyle name="40% - Accent3 4 2 2 5 2" xfId="23169"/>
    <cellStyle name="40% - Accent3 4 2 2 5 2 2" xfId="23170"/>
    <cellStyle name="40% - Accent3 4 2 2 5 2 2 2" xfId="23171"/>
    <cellStyle name="40% - Accent3 4 2 2 5 2 2 3" xfId="23172"/>
    <cellStyle name="40% - Accent3 4 2 2 5 2 3" xfId="23173"/>
    <cellStyle name="40% - Accent3 4 2 2 5 2 3 2" xfId="23174"/>
    <cellStyle name="40% - Accent3 4 2 2 5 2 3 3" xfId="23175"/>
    <cellStyle name="40% - Accent3 4 2 2 5 2 4" xfId="23176"/>
    <cellStyle name="40% - Accent3 4 2 2 5 2 4 2" xfId="23177"/>
    <cellStyle name="40% - Accent3 4 2 2 5 2 5" xfId="23178"/>
    <cellStyle name="40% - Accent3 4 2 2 5 2 6" xfId="23179"/>
    <cellStyle name="40% - Accent3 4 2 2 5 3" xfId="23180"/>
    <cellStyle name="40% - Accent3 4 2 2 5 3 2" xfId="23181"/>
    <cellStyle name="40% - Accent3 4 2 2 5 3 2 2" xfId="23182"/>
    <cellStyle name="40% - Accent3 4 2 2 5 3 2 3" xfId="23183"/>
    <cellStyle name="40% - Accent3 4 2 2 5 3 3" xfId="23184"/>
    <cellStyle name="40% - Accent3 4 2 2 5 3 3 2" xfId="23185"/>
    <cellStyle name="40% - Accent3 4 2 2 5 3 3 3" xfId="23186"/>
    <cellStyle name="40% - Accent3 4 2 2 5 3 4" xfId="23187"/>
    <cellStyle name="40% - Accent3 4 2 2 5 3 4 2" xfId="23188"/>
    <cellStyle name="40% - Accent3 4 2 2 5 3 5" xfId="23189"/>
    <cellStyle name="40% - Accent3 4 2 2 5 3 6" xfId="23190"/>
    <cellStyle name="40% - Accent3 4 2 2 5 4" xfId="23191"/>
    <cellStyle name="40% - Accent3 4 2 2 5 4 2" xfId="23192"/>
    <cellStyle name="40% - Accent3 4 2 2 5 4 2 2" xfId="23193"/>
    <cellStyle name="40% - Accent3 4 2 2 5 4 2 3" xfId="23194"/>
    <cellStyle name="40% - Accent3 4 2 2 5 4 3" xfId="23195"/>
    <cellStyle name="40% - Accent3 4 2 2 5 4 3 2" xfId="23196"/>
    <cellStyle name="40% - Accent3 4 2 2 5 4 4" xfId="23197"/>
    <cellStyle name="40% - Accent3 4 2 2 5 4 5" xfId="23198"/>
    <cellStyle name="40% - Accent3 4 2 2 5 5" xfId="23199"/>
    <cellStyle name="40% - Accent3 4 2 2 5 5 2" xfId="23200"/>
    <cellStyle name="40% - Accent3 4 2 2 5 5 3" xfId="23201"/>
    <cellStyle name="40% - Accent3 4 2 2 5 6" xfId="23202"/>
    <cellStyle name="40% - Accent3 4 2 2 5 6 2" xfId="23203"/>
    <cellStyle name="40% - Accent3 4 2 2 5 6 3" xfId="23204"/>
    <cellStyle name="40% - Accent3 4 2 2 5 7" xfId="23205"/>
    <cellStyle name="40% - Accent3 4 2 2 5 7 2" xfId="23206"/>
    <cellStyle name="40% - Accent3 4 2 2 5 8" xfId="23207"/>
    <cellStyle name="40% - Accent3 4 2 2 5 9" xfId="23208"/>
    <cellStyle name="40% - Accent3 4 2 2 6" xfId="23209"/>
    <cellStyle name="40% - Accent3 4 2 2 6 2" xfId="23210"/>
    <cellStyle name="40% - Accent3 4 2 2 6 2 2" xfId="23211"/>
    <cellStyle name="40% - Accent3 4 2 2 6 2 3" xfId="23212"/>
    <cellStyle name="40% - Accent3 4 2 2 6 3" xfId="23213"/>
    <cellStyle name="40% - Accent3 4 2 2 6 3 2" xfId="23214"/>
    <cellStyle name="40% - Accent3 4 2 2 6 3 3" xfId="23215"/>
    <cellStyle name="40% - Accent3 4 2 2 6 4" xfId="23216"/>
    <cellStyle name="40% - Accent3 4 2 2 6 4 2" xfId="23217"/>
    <cellStyle name="40% - Accent3 4 2 2 6 5" xfId="23218"/>
    <cellStyle name="40% - Accent3 4 2 2 6 6" xfId="23219"/>
    <cellStyle name="40% - Accent3 4 2 2 7" xfId="23220"/>
    <cellStyle name="40% - Accent3 4 2 2 7 2" xfId="23221"/>
    <cellStyle name="40% - Accent3 4 2 2 7 2 2" xfId="23222"/>
    <cellStyle name="40% - Accent3 4 2 2 7 2 3" xfId="23223"/>
    <cellStyle name="40% - Accent3 4 2 2 7 3" xfId="23224"/>
    <cellStyle name="40% - Accent3 4 2 2 7 3 2" xfId="23225"/>
    <cellStyle name="40% - Accent3 4 2 2 7 3 3" xfId="23226"/>
    <cellStyle name="40% - Accent3 4 2 2 7 4" xfId="23227"/>
    <cellStyle name="40% - Accent3 4 2 2 7 4 2" xfId="23228"/>
    <cellStyle name="40% - Accent3 4 2 2 7 5" xfId="23229"/>
    <cellStyle name="40% - Accent3 4 2 2 7 6" xfId="23230"/>
    <cellStyle name="40% - Accent3 4 2 2 8" xfId="23231"/>
    <cellStyle name="40% - Accent3 4 2 2 8 2" xfId="23232"/>
    <cellStyle name="40% - Accent3 4 2 2 8 2 2" xfId="23233"/>
    <cellStyle name="40% - Accent3 4 2 2 8 2 3" xfId="23234"/>
    <cellStyle name="40% - Accent3 4 2 2 8 3" xfId="23235"/>
    <cellStyle name="40% - Accent3 4 2 2 8 3 2" xfId="23236"/>
    <cellStyle name="40% - Accent3 4 2 2 8 4" xfId="23237"/>
    <cellStyle name="40% - Accent3 4 2 2 8 5" xfId="23238"/>
    <cellStyle name="40% - Accent3 4 2 2 9" xfId="23239"/>
    <cellStyle name="40% - Accent3 4 2 2 9 2" xfId="23240"/>
    <cellStyle name="40% - Accent3 4 2 2 9 3" xfId="23241"/>
    <cellStyle name="40% - Accent3 4 2 3" xfId="2006"/>
    <cellStyle name="40% - Accent3 4 2 3 10" xfId="23242"/>
    <cellStyle name="40% - Accent3 4 2 3 10 2" xfId="23243"/>
    <cellStyle name="40% - Accent3 4 2 3 11" xfId="23244"/>
    <cellStyle name="40% - Accent3 4 2 3 12" xfId="23245"/>
    <cellStyle name="40% - Accent3 4 2 3 2" xfId="2007"/>
    <cellStyle name="40% - Accent3 4 2 3 2 10" xfId="23246"/>
    <cellStyle name="40% - Accent3 4 2 3 2 2" xfId="2008"/>
    <cellStyle name="40% - Accent3 4 2 3 2 2 2" xfId="23247"/>
    <cellStyle name="40% - Accent3 4 2 3 2 2 2 2" xfId="23248"/>
    <cellStyle name="40% - Accent3 4 2 3 2 2 2 2 2" xfId="23249"/>
    <cellStyle name="40% - Accent3 4 2 3 2 2 2 2 3" xfId="23250"/>
    <cellStyle name="40% - Accent3 4 2 3 2 2 2 3" xfId="23251"/>
    <cellStyle name="40% - Accent3 4 2 3 2 2 2 3 2" xfId="23252"/>
    <cellStyle name="40% - Accent3 4 2 3 2 2 2 3 3" xfId="23253"/>
    <cellStyle name="40% - Accent3 4 2 3 2 2 2 4" xfId="23254"/>
    <cellStyle name="40% - Accent3 4 2 3 2 2 2 4 2" xfId="23255"/>
    <cellStyle name="40% - Accent3 4 2 3 2 2 2 5" xfId="23256"/>
    <cellStyle name="40% - Accent3 4 2 3 2 2 2 6" xfId="23257"/>
    <cellStyle name="40% - Accent3 4 2 3 2 2 3" xfId="23258"/>
    <cellStyle name="40% - Accent3 4 2 3 2 2 3 2" xfId="23259"/>
    <cellStyle name="40% - Accent3 4 2 3 2 2 3 2 2" xfId="23260"/>
    <cellStyle name="40% - Accent3 4 2 3 2 2 3 2 3" xfId="23261"/>
    <cellStyle name="40% - Accent3 4 2 3 2 2 3 3" xfId="23262"/>
    <cellStyle name="40% - Accent3 4 2 3 2 2 3 3 2" xfId="23263"/>
    <cellStyle name="40% - Accent3 4 2 3 2 2 3 3 3" xfId="23264"/>
    <cellStyle name="40% - Accent3 4 2 3 2 2 3 4" xfId="23265"/>
    <cellStyle name="40% - Accent3 4 2 3 2 2 3 4 2" xfId="23266"/>
    <cellStyle name="40% - Accent3 4 2 3 2 2 3 5" xfId="23267"/>
    <cellStyle name="40% - Accent3 4 2 3 2 2 3 6" xfId="23268"/>
    <cellStyle name="40% - Accent3 4 2 3 2 2 4" xfId="23269"/>
    <cellStyle name="40% - Accent3 4 2 3 2 2 4 2" xfId="23270"/>
    <cellStyle name="40% - Accent3 4 2 3 2 2 4 2 2" xfId="23271"/>
    <cellStyle name="40% - Accent3 4 2 3 2 2 4 2 3" xfId="23272"/>
    <cellStyle name="40% - Accent3 4 2 3 2 2 4 3" xfId="23273"/>
    <cellStyle name="40% - Accent3 4 2 3 2 2 4 3 2" xfId="23274"/>
    <cellStyle name="40% - Accent3 4 2 3 2 2 4 4" xfId="23275"/>
    <cellStyle name="40% - Accent3 4 2 3 2 2 4 5" xfId="23276"/>
    <cellStyle name="40% - Accent3 4 2 3 2 2 5" xfId="23277"/>
    <cellStyle name="40% - Accent3 4 2 3 2 2 5 2" xfId="23278"/>
    <cellStyle name="40% - Accent3 4 2 3 2 2 5 3" xfId="23279"/>
    <cellStyle name="40% - Accent3 4 2 3 2 2 6" xfId="23280"/>
    <cellStyle name="40% - Accent3 4 2 3 2 2 6 2" xfId="23281"/>
    <cellStyle name="40% - Accent3 4 2 3 2 2 6 3" xfId="23282"/>
    <cellStyle name="40% - Accent3 4 2 3 2 2 7" xfId="23283"/>
    <cellStyle name="40% - Accent3 4 2 3 2 2 7 2" xfId="23284"/>
    <cellStyle name="40% - Accent3 4 2 3 2 2 8" xfId="23285"/>
    <cellStyle name="40% - Accent3 4 2 3 2 2 9" xfId="23286"/>
    <cellStyle name="40% - Accent3 4 2 3 2 3" xfId="23287"/>
    <cellStyle name="40% - Accent3 4 2 3 2 3 2" xfId="23288"/>
    <cellStyle name="40% - Accent3 4 2 3 2 3 2 2" xfId="23289"/>
    <cellStyle name="40% - Accent3 4 2 3 2 3 2 3" xfId="23290"/>
    <cellStyle name="40% - Accent3 4 2 3 2 3 3" xfId="23291"/>
    <cellStyle name="40% - Accent3 4 2 3 2 3 3 2" xfId="23292"/>
    <cellStyle name="40% - Accent3 4 2 3 2 3 3 3" xfId="23293"/>
    <cellStyle name="40% - Accent3 4 2 3 2 3 4" xfId="23294"/>
    <cellStyle name="40% - Accent3 4 2 3 2 3 4 2" xfId="23295"/>
    <cellStyle name="40% - Accent3 4 2 3 2 3 5" xfId="23296"/>
    <cellStyle name="40% - Accent3 4 2 3 2 3 6" xfId="23297"/>
    <cellStyle name="40% - Accent3 4 2 3 2 4" xfId="23298"/>
    <cellStyle name="40% - Accent3 4 2 3 2 4 2" xfId="23299"/>
    <cellStyle name="40% - Accent3 4 2 3 2 4 2 2" xfId="23300"/>
    <cellStyle name="40% - Accent3 4 2 3 2 4 2 3" xfId="23301"/>
    <cellStyle name="40% - Accent3 4 2 3 2 4 3" xfId="23302"/>
    <cellStyle name="40% - Accent3 4 2 3 2 4 3 2" xfId="23303"/>
    <cellStyle name="40% - Accent3 4 2 3 2 4 3 3" xfId="23304"/>
    <cellStyle name="40% - Accent3 4 2 3 2 4 4" xfId="23305"/>
    <cellStyle name="40% - Accent3 4 2 3 2 4 4 2" xfId="23306"/>
    <cellStyle name="40% - Accent3 4 2 3 2 4 5" xfId="23307"/>
    <cellStyle name="40% - Accent3 4 2 3 2 4 6" xfId="23308"/>
    <cellStyle name="40% - Accent3 4 2 3 2 5" xfId="23309"/>
    <cellStyle name="40% - Accent3 4 2 3 2 5 2" xfId="23310"/>
    <cellStyle name="40% - Accent3 4 2 3 2 5 2 2" xfId="23311"/>
    <cellStyle name="40% - Accent3 4 2 3 2 5 2 3" xfId="23312"/>
    <cellStyle name="40% - Accent3 4 2 3 2 5 3" xfId="23313"/>
    <cellStyle name="40% - Accent3 4 2 3 2 5 3 2" xfId="23314"/>
    <cellStyle name="40% - Accent3 4 2 3 2 5 4" xfId="23315"/>
    <cellStyle name="40% - Accent3 4 2 3 2 5 5" xfId="23316"/>
    <cellStyle name="40% - Accent3 4 2 3 2 6" xfId="23317"/>
    <cellStyle name="40% - Accent3 4 2 3 2 6 2" xfId="23318"/>
    <cellStyle name="40% - Accent3 4 2 3 2 6 3" xfId="23319"/>
    <cellStyle name="40% - Accent3 4 2 3 2 7" xfId="23320"/>
    <cellStyle name="40% - Accent3 4 2 3 2 7 2" xfId="23321"/>
    <cellStyle name="40% - Accent3 4 2 3 2 7 3" xfId="23322"/>
    <cellStyle name="40% - Accent3 4 2 3 2 8" xfId="23323"/>
    <cellStyle name="40% - Accent3 4 2 3 2 8 2" xfId="23324"/>
    <cellStyle name="40% - Accent3 4 2 3 2 9" xfId="23325"/>
    <cellStyle name="40% - Accent3 4 2 3 3" xfId="2009"/>
    <cellStyle name="40% - Accent3 4 2 3 3 2" xfId="23326"/>
    <cellStyle name="40% - Accent3 4 2 3 3 2 2" xfId="23327"/>
    <cellStyle name="40% - Accent3 4 2 3 3 2 2 2" xfId="23328"/>
    <cellStyle name="40% - Accent3 4 2 3 3 2 2 3" xfId="23329"/>
    <cellStyle name="40% - Accent3 4 2 3 3 2 3" xfId="23330"/>
    <cellStyle name="40% - Accent3 4 2 3 3 2 3 2" xfId="23331"/>
    <cellStyle name="40% - Accent3 4 2 3 3 2 3 3" xfId="23332"/>
    <cellStyle name="40% - Accent3 4 2 3 3 2 4" xfId="23333"/>
    <cellStyle name="40% - Accent3 4 2 3 3 2 4 2" xfId="23334"/>
    <cellStyle name="40% - Accent3 4 2 3 3 2 5" xfId="23335"/>
    <cellStyle name="40% - Accent3 4 2 3 3 2 6" xfId="23336"/>
    <cellStyle name="40% - Accent3 4 2 3 3 3" xfId="23337"/>
    <cellStyle name="40% - Accent3 4 2 3 3 3 2" xfId="23338"/>
    <cellStyle name="40% - Accent3 4 2 3 3 3 2 2" xfId="23339"/>
    <cellStyle name="40% - Accent3 4 2 3 3 3 2 3" xfId="23340"/>
    <cellStyle name="40% - Accent3 4 2 3 3 3 3" xfId="23341"/>
    <cellStyle name="40% - Accent3 4 2 3 3 3 3 2" xfId="23342"/>
    <cellStyle name="40% - Accent3 4 2 3 3 3 3 3" xfId="23343"/>
    <cellStyle name="40% - Accent3 4 2 3 3 3 4" xfId="23344"/>
    <cellStyle name="40% - Accent3 4 2 3 3 3 4 2" xfId="23345"/>
    <cellStyle name="40% - Accent3 4 2 3 3 3 5" xfId="23346"/>
    <cellStyle name="40% - Accent3 4 2 3 3 3 6" xfId="23347"/>
    <cellStyle name="40% - Accent3 4 2 3 3 4" xfId="23348"/>
    <cellStyle name="40% - Accent3 4 2 3 3 4 2" xfId="23349"/>
    <cellStyle name="40% - Accent3 4 2 3 3 4 2 2" xfId="23350"/>
    <cellStyle name="40% - Accent3 4 2 3 3 4 2 3" xfId="23351"/>
    <cellStyle name="40% - Accent3 4 2 3 3 4 3" xfId="23352"/>
    <cellStyle name="40% - Accent3 4 2 3 3 4 3 2" xfId="23353"/>
    <cellStyle name="40% - Accent3 4 2 3 3 4 4" xfId="23354"/>
    <cellStyle name="40% - Accent3 4 2 3 3 4 5" xfId="23355"/>
    <cellStyle name="40% - Accent3 4 2 3 3 5" xfId="23356"/>
    <cellStyle name="40% - Accent3 4 2 3 3 5 2" xfId="23357"/>
    <cellStyle name="40% - Accent3 4 2 3 3 5 3" xfId="23358"/>
    <cellStyle name="40% - Accent3 4 2 3 3 6" xfId="23359"/>
    <cellStyle name="40% - Accent3 4 2 3 3 6 2" xfId="23360"/>
    <cellStyle name="40% - Accent3 4 2 3 3 6 3" xfId="23361"/>
    <cellStyle name="40% - Accent3 4 2 3 3 7" xfId="23362"/>
    <cellStyle name="40% - Accent3 4 2 3 3 7 2" xfId="23363"/>
    <cellStyle name="40% - Accent3 4 2 3 3 8" xfId="23364"/>
    <cellStyle name="40% - Accent3 4 2 3 3 9" xfId="23365"/>
    <cellStyle name="40% - Accent3 4 2 3 4" xfId="23366"/>
    <cellStyle name="40% - Accent3 4 2 3 4 2" xfId="23367"/>
    <cellStyle name="40% - Accent3 4 2 3 4 2 2" xfId="23368"/>
    <cellStyle name="40% - Accent3 4 2 3 4 2 2 2" xfId="23369"/>
    <cellStyle name="40% - Accent3 4 2 3 4 2 2 3" xfId="23370"/>
    <cellStyle name="40% - Accent3 4 2 3 4 2 3" xfId="23371"/>
    <cellStyle name="40% - Accent3 4 2 3 4 2 3 2" xfId="23372"/>
    <cellStyle name="40% - Accent3 4 2 3 4 2 3 3" xfId="23373"/>
    <cellStyle name="40% - Accent3 4 2 3 4 2 4" xfId="23374"/>
    <cellStyle name="40% - Accent3 4 2 3 4 2 4 2" xfId="23375"/>
    <cellStyle name="40% - Accent3 4 2 3 4 2 5" xfId="23376"/>
    <cellStyle name="40% - Accent3 4 2 3 4 2 6" xfId="23377"/>
    <cellStyle name="40% - Accent3 4 2 3 4 3" xfId="23378"/>
    <cellStyle name="40% - Accent3 4 2 3 4 3 2" xfId="23379"/>
    <cellStyle name="40% - Accent3 4 2 3 4 3 2 2" xfId="23380"/>
    <cellStyle name="40% - Accent3 4 2 3 4 3 2 3" xfId="23381"/>
    <cellStyle name="40% - Accent3 4 2 3 4 3 3" xfId="23382"/>
    <cellStyle name="40% - Accent3 4 2 3 4 3 3 2" xfId="23383"/>
    <cellStyle name="40% - Accent3 4 2 3 4 3 3 3" xfId="23384"/>
    <cellStyle name="40% - Accent3 4 2 3 4 3 4" xfId="23385"/>
    <cellStyle name="40% - Accent3 4 2 3 4 3 4 2" xfId="23386"/>
    <cellStyle name="40% - Accent3 4 2 3 4 3 5" xfId="23387"/>
    <cellStyle name="40% - Accent3 4 2 3 4 3 6" xfId="23388"/>
    <cellStyle name="40% - Accent3 4 2 3 4 4" xfId="23389"/>
    <cellStyle name="40% - Accent3 4 2 3 4 4 2" xfId="23390"/>
    <cellStyle name="40% - Accent3 4 2 3 4 4 2 2" xfId="23391"/>
    <cellStyle name="40% - Accent3 4 2 3 4 4 2 3" xfId="23392"/>
    <cellStyle name="40% - Accent3 4 2 3 4 4 3" xfId="23393"/>
    <cellStyle name="40% - Accent3 4 2 3 4 4 3 2" xfId="23394"/>
    <cellStyle name="40% - Accent3 4 2 3 4 4 4" xfId="23395"/>
    <cellStyle name="40% - Accent3 4 2 3 4 4 5" xfId="23396"/>
    <cellStyle name="40% - Accent3 4 2 3 4 5" xfId="23397"/>
    <cellStyle name="40% - Accent3 4 2 3 4 5 2" xfId="23398"/>
    <cellStyle name="40% - Accent3 4 2 3 4 5 3" xfId="23399"/>
    <cellStyle name="40% - Accent3 4 2 3 4 6" xfId="23400"/>
    <cellStyle name="40% - Accent3 4 2 3 4 6 2" xfId="23401"/>
    <cellStyle name="40% - Accent3 4 2 3 4 6 3" xfId="23402"/>
    <cellStyle name="40% - Accent3 4 2 3 4 7" xfId="23403"/>
    <cellStyle name="40% - Accent3 4 2 3 4 7 2" xfId="23404"/>
    <cellStyle name="40% - Accent3 4 2 3 4 8" xfId="23405"/>
    <cellStyle name="40% - Accent3 4 2 3 4 9" xfId="23406"/>
    <cellStyle name="40% - Accent3 4 2 3 5" xfId="23407"/>
    <cellStyle name="40% - Accent3 4 2 3 5 2" xfId="23408"/>
    <cellStyle name="40% - Accent3 4 2 3 5 2 2" xfId="23409"/>
    <cellStyle name="40% - Accent3 4 2 3 5 2 3" xfId="23410"/>
    <cellStyle name="40% - Accent3 4 2 3 5 3" xfId="23411"/>
    <cellStyle name="40% - Accent3 4 2 3 5 3 2" xfId="23412"/>
    <cellStyle name="40% - Accent3 4 2 3 5 3 3" xfId="23413"/>
    <cellStyle name="40% - Accent3 4 2 3 5 4" xfId="23414"/>
    <cellStyle name="40% - Accent3 4 2 3 5 4 2" xfId="23415"/>
    <cellStyle name="40% - Accent3 4 2 3 5 5" xfId="23416"/>
    <cellStyle name="40% - Accent3 4 2 3 5 6" xfId="23417"/>
    <cellStyle name="40% - Accent3 4 2 3 6" xfId="23418"/>
    <cellStyle name="40% - Accent3 4 2 3 6 2" xfId="23419"/>
    <cellStyle name="40% - Accent3 4 2 3 6 2 2" xfId="23420"/>
    <cellStyle name="40% - Accent3 4 2 3 6 2 3" xfId="23421"/>
    <cellStyle name="40% - Accent3 4 2 3 6 3" xfId="23422"/>
    <cellStyle name="40% - Accent3 4 2 3 6 3 2" xfId="23423"/>
    <cellStyle name="40% - Accent3 4 2 3 6 3 3" xfId="23424"/>
    <cellStyle name="40% - Accent3 4 2 3 6 4" xfId="23425"/>
    <cellStyle name="40% - Accent3 4 2 3 6 4 2" xfId="23426"/>
    <cellStyle name="40% - Accent3 4 2 3 6 5" xfId="23427"/>
    <cellStyle name="40% - Accent3 4 2 3 6 6" xfId="23428"/>
    <cellStyle name="40% - Accent3 4 2 3 7" xfId="23429"/>
    <cellStyle name="40% - Accent3 4 2 3 7 2" xfId="23430"/>
    <cellStyle name="40% - Accent3 4 2 3 7 2 2" xfId="23431"/>
    <cellStyle name="40% - Accent3 4 2 3 7 2 3" xfId="23432"/>
    <cellStyle name="40% - Accent3 4 2 3 7 3" xfId="23433"/>
    <cellStyle name="40% - Accent3 4 2 3 7 3 2" xfId="23434"/>
    <cellStyle name="40% - Accent3 4 2 3 7 4" xfId="23435"/>
    <cellStyle name="40% - Accent3 4 2 3 7 5" xfId="23436"/>
    <cellStyle name="40% - Accent3 4 2 3 8" xfId="23437"/>
    <cellStyle name="40% - Accent3 4 2 3 8 2" xfId="23438"/>
    <cellStyle name="40% - Accent3 4 2 3 8 3" xfId="23439"/>
    <cellStyle name="40% - Accent3 4 2 3 9" xfId="23440"/>
    <cellStyle name="40% - Accent3 4 2 3 9 2" xfId="23441"/>
    <cellStyle name="40% - Accent3 4 2 3 9 3" xfId="23442"/>
    <cellStyle name="40% - Accent3 4 2 4" xfId="2010"/>
    <cellStyle name="40% - Accent3 4 2 4 10" xfId="23443"/>
    <cellStyle name="40% - Accent3 4 2 4 2" xfId="2011"/>
    <cellStyle name="40% - Accent3 4 2 4 2 2" xfId="23444"/>
    <cellStyle name="40% - Accent3 4 2 4 2 2 2" xfId="23445"/>
    <cellStyle name="40% - Accent3 4 2 4 2 2 2 2" xfId="23446"/>
    <cellStyle name="40% - Accent3 4 2 4 2 2 2 3" xfId="23447"/>
    <cellStyle name="40% - Accent3 4 2 4 2 2 3" xfId="23448"/>
    <cellStyle name="40% - Accent3 4 2 4 2 2 3 2" xfId="23449"/>
    <cellStyle name="40% - Accent3 4 2 4 2 2 3 3" xfId="23450"/>
    <cellStyle name="40% - Accent3 4 2 4 2 2 4" xfId="23451"/>
    <cellStyle name="40% - Accent3 4 2 4 2 2 4 2" xfId="23452"/>
    <cellStyle name="40% - Accent3 4 2 4 2 2 5" xfId="23453"/>
    <cellStyle name="40% - Accent3 4 2 4 2 2 6" xfId="23454"/>
    <cellStyle name="40% - Accent3 4 2 4 2 3" xfId="23455"/>
    <cellStyle name="40% - Accent3 4 2 4 2 3 2" xfId="23456"/>
    <cellStyle name="40% - Accent3 4 2 4 2 3 2 2" xfId="23457"/>
    <cellStyle name="40% - Accent3 4 2 4 2 3 2 3" xfId="23458"/>
    <cellStyle name="40% - Accent3 4 2 4 2 3 3" xfId="23459"/>
    <cellStyle name="40% - Accent3 4 2 4 2 3 3 2" xfId="23460"/>
    <cellStyle name="40% - Accent3 4 2 4 2 3 3 3" xfId="23461"/>
    <cellStyle name="40% - Accent3 4 2 4 2 3 4" xfId="23462"/>
    <cellStyle name="40% - Accent3 4 2 4 2 3 4 2" xfId="23463"/>
    <cellStyle name="40% - Accent3 4 2 4 2 3 5" xfId="23464"/>
    <cellStyle name="40% - Accent3 4 2 4 2 3 6" xfId="23465"/>
    <cellStyle name="40% - Accent3 4 2 4 2 4" xfId="23466"/>
    <cellStyle name="40% - Accent3 4 2 4 2 4 2" xfId="23467"/>
    <cellStyle name="40% - Accent3 4 2 4 2 4 2 2" xfId="23468"/>
    <cellStyle name="40% - Accent3 4 2 4 2 4 2 3" xfId="23469"/>
    <cellStyle name="40% - Accent3 4 2 4 2 4 3" xfId="23470"/>
    <cellStyle name="40% - Accent3 4 2 4 2 4 3 2" xfId="23471"/>
    <cellStyle name="40% - Accent3 4 2 4 2 4 4" xfId="23472"/>
    <cellStyle name="40% - Accent3 4 2 4 2 4 5" xfId="23473"/>
    <cellStyle name="40% - Accent3 4 2 4 2 5" xfId="23474"/>
    <cellStyle name="40% - Accent3 4 2 4 2 5 2" xfId="23475"/>
    <cellStyle name="40% - Accent3 4 2 4 2 5 3" xfId="23476"/>
    <cellStyle name="40% - Accent3 4 2 4 2 6" xfId="23477"/>
    <cellStyle name="40% - Accent3 4 2 4 2 6 2" xfId="23478"/>
    <cellStyle name="40% - Accent3 4 2 4 2 6 3" xfId="23479"/>
    <cellStyle name="40% - Accent3 4 2 4 2 7" xfId="23480"/>
    <cellStyle name="40% - Accent3 4 2 4 2 7 2" xfId="23481"/>
    <cellStyle name="40% - Accent3 4 2 4 2 8" xfId="23482"/>
    <cellStyle name="40% - Accent3 4 2 4 2 9" xfId="23483"/>
    <cellStyle name="40% - Accent3 4 2 4 3" xfId="23484"/>
    <cellStyle name="40% - Accent3 4 2 4 3 2" xfId="23485"/>
    <cellStyle name="40% - Accent3 4 2 4 3 2 2" xfId="23486"/>
    <cellStyle name="40% - Accent3 4 2 4 3 2 3" xfId="23487"/>
    <cellStyle name="40% - Accent3 4 2 4 3 3" xfId="23488"/>
    <cellStyle name="40% - Accent3 4 2 4 3 3 2" xfId="23489"/>
    <cellStyle name="40% - Accent3 4 2 4 3 3 3" xfId="23490"/>
    <cellStyle name="40% - Accent3 4 2 4 3 4" xfId="23491"/>
    <cellStyle name="40% - Accent3 4 2 4 3 4 2" xfId="23492"/>
    <cellStyle name="40% - Accent3 4 2 4 3 5" xfId="23493"/>
    <cellStyle name="40% - Accent3 4 2 4 3 6" xfId="23494"/>
    <cellStyle name="40% - Accent3 4 2 4 4" xfId="23495"/>
    <cellStyle name="40% - Accent3 4 2 4 4 2" xfId="23496"/>
    <cellStyle name="40% - Accent3 4 2 4 4 2 2" xfId="23497"/>
    <cellStyle name="40% - Accent3 4 2 4 4 2 3" xfId="23498"/>
    <cellStyle name="40% - Accent3 4 2 4 4 3" xfId="23499"/>
    <cellStyle name="40% - Accent3 4 2 4 4 3 2" xfId="23500"/>
    <cellStyle name="40% - Accent3 4 2 4 4 3 3" xfId="23501"/>
    <cellStyle name="40% - Accent3 4 2 4 4 4" xfId="23502"/>
    <cellStyle name="40% - Accent3 4 2 4 4 4 2" xfId="23503"/>
    <cellStyle name="40% - Accent3 4 2 4 4 5" xfId="23504"/>
    <cellStyle name="40% - Accent3 4 2 4 4 6" xfId="23505"/>
    <cellStyle name="40% - Accent3 4 2 4 5" xfId="23506"/>
    <cellStyle name="40% - Accent3 4 2 4 5 2" xfId="23507"/>
    <cellStyle name="40% - Accent3 4 2 4 5 2 2" xfId="23508"/>
    <cellStyle name="40% - Accent3 4 2 4 5 2 3" xfId="23509"/>
    <cellStyle name="40% - Accent3 4 2 4 5 3" xfId="23510"/>
    <cellStyle name="40% - Accent3 4 2 4 5 3 2" xfId="23511"/>
    <cellStyle name="40% - Accent3 4 2 4 5 4" xfId="23512"/>
    <cellStyle name="40% - Accent3 4 2 4 5 5" xfId="23513"/>
    <cellStyle name="40% - Accent3 4 2 4 6" xfId="23514"/>
    <cellStyle name="40% - Accent3 4 2 4 6 2" xfId="23515"/>
    <cellStyle name="40% - Accent3 4 2 4 6 3" xfId="23516"/>
    <cellStyle name="40% - Accent3 4 2 4 7" xfId="23517"/>
    <cellStyle name="40% - Accent3 4 2 4 7 2" xfId="23518"/>
    <cellStyle name="40% - Accent3 4 2 4 7 3" xfId="23519"/>
    <cellStyle name="40% - Accent3 4 2 4 8" xfId="23520"/>
    <cellStyle name="40% - Accent3 4 2 4 8 2" xfId="23521"/>
    <cellStyle name="40% - Accent3 4 2 4 9" xfId="23522"/>
    <cellStyle name="40% - Accent3 4 2 5" xfId="2012"/>
    <cellStyle name="40% - Accent3 4 2 5 2" xfId="23523"/>
    <cellStyle name="40% - Accent3 4 2 5 2 2" xfId="23524"/>
    <cellStyle name="40% - Accent3 4 2 5 2 2 2" xfId="23525"/>
    <cellStyle name="40% - Accent3 4 2 5 2 2 3" xfId="23526"/>
    <cellStyle name="40% - Accent3 4 2 5 2 3" xfId="23527"/>
    <cellStyle name="40% - Accent3 4 2 5 2 3 2" xfId="23528"/>
    <cellStyle name="40% - Accent3 4 2 5 2 3 3" xfId="23529"/>
    <cellStyle name="40% - Accent3 4 2 5 2 4" xfId="23530"/>
    <cellStyle name="40% - Accent3 4 2 5 2 4 2" xfId="23531"/>
    <cellStyle name="40% - Accent3 4 2 5 2 5" xfId="23532"/>
    <cellStyle name="40% - Accent3 4 2 5 2 6" xfId="23533"/>
    <cellStyle name="40% - Accent3 4 2 5 3" xfId="23534"/>
    <cellStyle name="40% - Accent3 4 2 5 3 2" xfId="23535"/>
    <cellStyle name="40% - Accent3 4 2 5 3 2 2" xfId="23536"/>
    <cellStyle name="40% - Accent3 4 2 5 3 2 3" xfId="23537"/>
    <cellStyle name="40% - Accent3 4 2 5 3 3" xfId="23538"/>
    <cellStyle name="40% - Accent3 4 2 5 3 3 2" xfId="23539"/>
    <cellStyle name="40% - Accent3 4 2 5 3 3 3" xfId="23540"/>
    <cellStyle name="40% - Accent3 4 2 5 3 4" xfId="23541"/>
    <cellStyle name="40% - Accent3 4 2 5 3 4 2" xfId="23542"/>
    <cellStyle name="40% - Accent3 4 2 5 3 5" xfId="23543"/>
    <cellStyle name="40% - Accent3 4 2 5 3 6" xfId="23544"/>
    <cellStyle name="40% - Accent3 4 2 5 4" xfId="23545"/>
    <cellStyle name="40% - Accent3 4 2 5 4 2" xfId="23546"/>
    <cellStyle name="40% - Accent3 4 2 5 4 2 2" xfId="23547"/>
    <cellStyle name="40% - Accent3 4 2 5 4 2 3" xfId="23548"/>
    <cellStyle name="40% - Accent3 4 2 5 4 3" xfId="23549"/>
    <cellStyle name="40% - Accent3 4 2 5 4 3 2" xfId="23550"/>
    <cellStyle name="40% - Accent3 4 2 5 4 4" xfId="23551"/>
    <cellStyle name="40% - Accent3 4 2 5 4 5" xfId="23552"/>
    <cellStyle name="40% - Accent3 4 2 5 5" xfId="23553"/>
    <cellStyle name="40% - Accent3 4 2 5 5 2" xfId="23554"/>
    <cellStyle name="40% - Accent3 4 2 5 5 3" xfId="23555"/>
    <cellStyle name="40% - Accent3 4 2 5 6" xfId="23556"/>
    <cellStyle name="40% - Accent3 4 2 5 6 2" xfId="23557"/>
    <cellStyle name="40% - Accent3 4 2 5 6 3" xfId="23558"/>
    <cellStyle name="40% - Accent3 4 2 5 7" xfId="23559"/>
    <cellStyle name="40% - Accent3 4 2 5 7 2" xfId="23560"/>
    <cellStyle name="40% - Accent3 4 2 5 8" xfId="23561"/>
    <cellStyle name="40% - Accent3 4 2 5 9" xfId="23562"/>
    <cellStyle name="40% - Accent3 4 2 6" xfId="23563"/>
    <cellStyle name="40% - Accent3 4 2 6 2" xfId="23564"/>
    <cellStyle name="40% - Accent3 4 2 6 2 2" xfId="23565"/>
    <cellStyle name="40% - Accent3 4 2 6 2 2 2" xfId="23566"/>
    <cellStyle name="40% - Accent3 4 2 6 2 2 3" xfId="23567"/>
    <cellStyle name="40% - Accent3 4 2 6 2 3" xfId="23568"/>
    <cellStyle name="40% - Accent3 4 2 6 2 3 2" xfId="23569"/>
    <cellStyle name="40% - Accent3 4 2 6 2 3 3" xfId="23570"/>
    <cellStyle name="40% - Accent3 4 2 6 2 4" xfId="23571"/>
    <cellStyle name="40% - Accent3 4 2 6 2 4 2" xfId="23572"/>
    <cellStyle name="40% - Accent3 4 2 6 2 5" xfId="23573"/>
    <cellStyle name="40% - Accent3 4 2 6 2 6" xfId="23574"/>
    <cellStyle name="40% - Accent3 4 2 6 3" xfId="23575"/>
    <cellStyle name="40% - Accent3 4 2 6 3 2" xfId="23576"/>
    <cellStyle name="40% - Accent3 4 2 6 3 2 2" xfId="23577"/>
    <cellStyle name="40% - Accent3 4 2 6 3 2 3" xfId="23578"/>
    <cellStyle name="40% - Accent3 4 2 6 3 3" xfId="23579"/>
    <cellStyle name="40% - Accent3 4 2 6 3 3 2" xfId="23580"/>
    <cellStyle name="40% - Accent3 4 2 6 3 3 3" xfId="23581"/>
    <cellStyle name="40% - Accent3 4 2 6 3 4" xfId="23582"/>
    <cellStyle name="40% - Accent3 4 2 6 3 4 2" xfId="23583"/>
    <cellStyle name="40% - Accent3 4 2 6 3 5" xfId="23584"/>
    <cellStyle name="40% - Accent3 4 2 6 3 6" xfId="23585"/>
    <cellStyle name="40% - Accent3 4 2 6 4" xfId="23586"/>
    <cellStyle name="40% - Accent3 4 2 6 4 2" xfId="23587"/>
    <cellStyle name="40% - Accent3 4 2 6 4 2 2" xfId="23588"/>
    <cellStyle name="40% - Accent3 4 2 6 4 2 3" xfId="23589"/>
    <cellStyle name="40% - Accent3 4 2 6 4 3" xfId="23590"/>
    <cellStyle name="40% - Accent3 4 2 6 4 3 2" xfId="23591"/>
    <cellStyle name="40% - Accent3 4 2 6 4 4" xfId="23592"/>
    <cellStyle name="40% - Accent3 4 2 6 4 5" xfId="23593"/>
    <cellStyle name="40% - Accent3 4 2 6 5" xfId="23594"/>
    <cellStyle name="40% - Accent3 4 2 6 5 2" xfId="23595"/>
    <cellStyle name="40% - Accent3 4 2 6 5 3" xfId="23596"/>
    <cellStyle name="40% - Accent3 4 2 6 6" xfId="23597"/>
    <cellStyle name="40% - Accent3 4 2 6 6 2" xfId="23598"/>
    <cellStyle name="40% - Accent3 4 2 6 6 3" xfId="23599"/>
    <cellStyle name="40% - Accent3 4 2 6 7" xfId="23600"/>
    <cellStyle name="40% - Accent3 4 2 6 7 2" xfId="23601"/>
    <cellStyle name="40% - Accent3 4 2 6 8" xfId="23602"/>
    <cellStyle name="40% - Accent3 4 2 6 9" xfId="23603"/>
    <cellStyle name="40% - Accent3 4 2 7" xfId="23604"/>
    <cellStyle name="40% - Accent3 4 2 7 2" xfId="23605"/>
    <cellStyle name="40% - Accent3 4 2 7 2 2" xfId="23606"/>
    <cellStyle name="40% - Accent3 4 2 7 2 3" xfId="23607"/>
    <cellStyle name="40% - Accent3 4 2 7 3" xfId="23608"/>
    <cellStyle name="40% - Accent3 4 2 7 3 2" xfId="23609"/>
    <cellStyle name="40% - Accent3 4 2 7 3 3" xfId="23610"/>
    <cellStyle name="40% - Accent3 4 2 7 4" xfId="23611"/>
    <cellStyle name="40% - Accent3 4 2 7 4 2" xfId="23612"/>
    <cellStyle name="40% - Accent3 4 2 7 5" xfId="23613"/>
    <cellStyle name="40% - Accent3 4 2 7 6" xfId="23614"/>
    <cellStyle name="40% - Accent3 4 2 8" xfId="23615"/>
    <cellStyle name="40% - Accent3 4 2 8 2" xfId="23616"/>
    <cellStyle name="40% - Accent3 4 2 8 2 2" xfId="23617"/>
    <cellStyle name="40% - Accent3 4 2 8 2 3" xfId="23618"/>
    <cellStyle name="40% - Accent3 4 2 8 3" xfId="23619"/>
    <cellStyle name="40% - Accent3 4 2 8 3 2" xfId="23620"/>
    <cellStyle name="40% - Accent3 4 2 8 3 3" xfId="23621"/>
    <cellStyle name="40% - Accent3 4 2 8 4" xfId="23622"/>
    <cellStyle name="40% - Accent3 4 2 8 4 2" xfId="23623"/>
    <cellStyle name="40% - Accent3 4 2 8 5" xfId="23624"/>
    <cellStyle name="40% - Accent3 4 2 8 6" xfId="23625"/>
    <cellStyle name="40% - Accent3 4 2 9" xfId="23626"/>
    <cellStyle name="40% - Accent3 4 2 9 2" xfId="23627"/>
    <cellStyle name="40% - Accent3 4 2 9 2 2" xfId="23628"/>
    <cellStyle name="40% - Accent3 4 2 9 2 3" xfId="23629"/>
    <cellStyle name="40% - Accent3 4 2 9 3" xfId="23630"/>
    <cellStyle name="40% - Accent3 4 2 9 3 2" xfId="23631"/>
    <cellStyle name="40% - Accent3 4 2 9 4" xfId="23632"/>
    <cellStyle name="40% - Accent3 4 2 9 5" xfId="23633"/>
    <cellStyle name="40% - Accent3 4 3" xfId="2013"/>
    <cellStyle name="40% - Accent3 4 3 10" xfId="23634"/>
    <cellStyle name="40% - Accent3 4 3 10 2" xfId="23635"/>
    <cellStyle name="40% - Accent3 4 3 10 3" xfId="23636"/>
    <cellStyle name="40% - Accent3 4 3 11" xfId="23637"/>
    <cellStyle name="40% - Accent3 4 3 11 2" xfId="23638"/>
    <cellStyle name="40% - Accent3 4 3 12" xfId="23639"/>
    <cellStyle name="40% - Accent3 4 3 13" xfId="23640"/>
    <cellStyle name="40% - Accent3 4 3 14" xfId="23641"/>
    <cellStyle name="40% - Accent3 4 3 2" xfId="2014"/>
    <cellStyle name="40% - Accent3 4 3 2 10" xfId="23642"/>
    <cellStyle name="40% - Accent3 4 3 2 10 2" xfId="23643"/>
    <cellStyle name="40% - Accent3 4 3 2 11" xfId="23644"/>
    <cellStyle name="40% - Accent3 4 3 2 12" xfId="23645"/>
    <cellStyle name="40% - Accent3 4 3 2 2" xfId="2015"/>
    <cellStyle name="40% - Accent3 4 3 2 2 10" xfId="23646"/>
    <cellStyle name="40% - Accent3 4 3 2 2 2" xfId="2016"/>
    <cellStyle name="40% - Accent3 4 3 2 2 2 2" xfId="23647"/>
    <cellStyle name="40% - Accent3 4 3 2 2 2 2 2" xfId="23648"/>
    <cellStyle name="40% - Accent3 4 3 2 2 2 2 2 2" xfId="23649"/>
    <cellStyle name="40% - Accent3 4 3 2 2 2 2 2 3" xfId="23650"/>
    <cellStyle name="40% - Accent3 4 3 2 2 2 2 3" xfId="23651"/>
    <cellStyle name="40% - Accent3 4 3 2 2 2 2 3 2" xfId="23652"/>
    <cellStyle name="40% - Accent3 4 3 2 2 2 2 3 3" xfId="23653"/>
    <cellStyle name="40% - Accent3 4 3 2 2 2 2 4" xfId="23654"/>
    <cellStyle name="40% - Accent3 4 3 2 2 2 2 4 2" xfId="23655"/>
    <cellStyle name="40% - Accent3 4 3 2 2 2 2 5" xfId="23656"/>
    <cellStyle name="40% - Accent3 4 3 2 2 2 2 6" xfId="23657"/>
    <cellStyle name="40% - Accent3 4 3 2 2 2 3" xfId="23658"/>
    <cellStyle name="40% - Accent3 4 3 2 2 2 3 2" xfId="23659"/>
    <cellStyle name="40% - Accent3 4 3 2 2 2 3 2 2" xfId="23660"/>
    <cellStyle name="40% - Accent3 4 3 2 2 2 3 2 3" xfId="23661"/>
    <cellStyle name="40% - Accent3 4 3 2 2 2 3 3" xfId="23662"/>
    <cellStyle name="40% - Accent3 4 3 2 2 2 3 3 2" xfId="23663"/>
    <cellStyle name="40% - Accent3 4 3 2 2 2 3 3 3" xfId="23664"/>
    <cellStyle name="40% - Accent3 4 3 2 2 2 3 4" xfId="23665"/>
    <cellStyle name="40% - Accent3 4 3 2 2 2 3 4 2" xfId="23666"/>
    <cellStyle name="40% - Accent3 4 3 2 2 2 3 5" xfId="23667"/>
    <cellStyle name="40% - Accent3 4 3 2 2 2 3 6" xfId="23668"/>
    <cellStyle name="40% - Accent3 4 3 2 2 2 4" xfId="23669"/>
    <cellStyle name="40% - Accent3 4 3 2 2 2 4 2" xfId="23670"/>
    <cellStyle name="40% - Accent3 4 3 2 2 2 4 2 2" xfId="23671"/>
    <cellStyle name="40% - Accent3 4 3 2 2 2 4 2 3" xfId="23672"/>
    <cellStyle name="40% - Accent3 4 3 2 2 2 4 3" xfId="23673"/>
    <cellStyle name="40% - Accent3 4 3 2 2 2 4 3 2" xfId="23674"/>
    <cellStyle name="40% - Accent3 4 3 2 2 2 4 4" xfId="23675"/>
    <cellStyle name="40% - Accent3 4 3 2 2 2 4 5" xfId="23676"/>
    <cellStyle name="40% - Accent3 4 3 2 2 2 5" xfId="23677"/>
    <cellStyle name="40% - Accent3 4 3 2 2 2 5 2" xfId="23678"/>
    <cellStyle name="40% - Accent3 4 3 2 2 2 5 3" xfId="23679"/>
    <cellStyle name="40% - Accent3 4 3 2 2 2 6" xfId="23680"/>
    <cellStyle name="40% - Accent3 4 3 2 2 2 6 2" xfId="23681"/>
    <cellStyle name="40% - Accent3 4 3 2 2 2 6 3" xfId="23682"/>
    <cellStyle name="40% - Accent3 4 3 2 2 2 7" xfId="23683"/>
    <cellStyle name="40% - Accent3 4 3 2 2 2 7 2" xfId="23684"/>
    <cellStyle name="40% - Accent3 4 3 2 2 2 8" xfId="23685"/>
    <cellStyle name="40% - Accent3 4 3 2 2 2 9" xfId="23686"/>
    <cellStyle name="40% - Accent3 4 3 2 2 3" xfId="23687"/>
    <cellStyle name="40% - Accent3 4 3 2 2 3 2" xfId="23688"/>
    <cellStyle name="40% - Accent3 4 3 2 2 3 2 2" xfId="23689"/>
    <cellStyle name="40% - Accent3 4 3 2 2 3 2 3" xfId="23690"/>
    <cellStyle name="40% - Accent3 4 3 2 2 3 3" xfId="23691"/>
    <cellStyle name="40% - Accent3 4 3 2 2 3 3 2" xfId="23692"/>
    <cellStyle name="40% - Accent3 4 3 2 2 3 3 3" xfId="23693"/>
    <cellStyle name="40% - Accent3 4 3 2 2 3 4" xfId="23694"/>
    <cellStyle name="40% - Accent3 4 3 2 2 3 4 2" xfId="23695"/>
    <cellStyle name="40% - Accent3 4 3 2 2 3 5" xfId="23696"/>
    <cellStyle name="40% - Accent3 4 3 2 2 3 6" xfId="23697"/>
    <cellStyle name="40% - Accent3 4 3 2 2 4" xfId="23698"/>
    <cellStyle name="40% - Accent3 4 3 2 2 4 2" xfId="23699"/>
    <cellStyle name="40% - Accent3 4 3 2 2 4 2 2" xfId="23700"/>
    <cellStyle name="40% - Accent3 4 3 2 2 4 2 3" xfId="23701"/>
    <cellStyle name="40% - Accent3 4 3 2 2 4 3" xfId="23702"/>
    <cellStyle name="40% - Accent3 4 3 2 2 4 3 2" xfId="23703"/>
    <cellStyle name="40% - Accent3 4 3 2 2 4 3 3" xfId="23704"/>
    <cellStyle name="40% - Accent3 4 3 2 2 4 4" xfId="23705"/>
    <cellStyle name="40% - Accent3 4 3 2 2 4 4 2" xfId="23706"/>
    <cellStyle name="40% - Accent3 4 3 2 2 4 5" xfId="23707"/>
    <cellStyle name="40% - Accent3 4 3 2 2 4 6" xfId="23708"/>
    <cellStyle name="40% - Accent3 4 3 2 2 5" xfId="23709"/>
    <cellStyle name="40% - Accent3 4 3 2 2 5 2" xfId="23710"/>
    <cellStyle name="40% - Accent3 4 3 2 2 5 2 2" xfId="23711"/>
    <cellStyle name="40% - Accent3 4 3 2 2 5 2 3" xfId="23712"/>
    <cellStyle name="40% - Accent3 4 3 2 2 5 3" xfId="23713"/>
    <cellStyle name="40% - Accent3 4 3 2 2 5 3 2" xfId="23714"/>
    <cellStyle name="40% - Accent3 4 3 2 2 5 4" xfId="23715"/>
    <cellStyle name="40% - Accent3 4 3 2 2 5 5" xfId="23716"/>
    <cellStyle name="40% - Accent3 4 3 2 2 6" xfId="23717"/>
    <cellStyle name="40% - Accent3 4 3 2 2 6 2" xfId="23718"/>
    <cellStyle name="40% - Accent3 4 3 2 2 6 3" xfId="23719"/>
    <cellStyle name="40% - Accent3 4 3 2 2 7" xfId="23720"/>
    <cellStyle name="40% - Accent3 4 3 2 2 7 2" xfId="23721"/>
    <cellStyle name="40% - Accent3 4 3 2 2 7 3" xfId="23722"/>
    <cellStyle name="40% - Accent3 4 3 2 2 8" xfId="23723"/>
    <cellStyle name="40% - Accent3 4 3 2 2 8 2" xfId="23724"/>
    <cellStyle name="40% - Accent3 4 3 2 2 9" xfId="23725"/>
    <cellStyle name="40% - Accent3 4 3 2 3" xfId="2017"/>
    <cellStyle name="40% - Accent3 4 3 2 3 2" xfId="23726"/>
    <cellStyle name="40% - Accent3 4 3 2 3 2 2" xfId="23727"/>
    <cellStyle name="40% - Accent3 4 3 2 3 2 2 2" xfId="23728"/>
    <cellStyle name="40% - Accent3 4 3 2 3 2 2 3" xfId="23729"/>
    <cellStyle name="40% - Accent3 4 3 2 3 2 3" xfId="23730"/>
    <cellStyle name="40% - Accent3 4 3 2 3 2 3 2" xfId="23731"/>
    <cellStyle name="40% - Accent3 4 3 2 3 2 3 3" xfId="23732"/>
    <cellStyle name="40% - Accent3 4 3 2 3 2 4" xfId="23733"/>
    <cellStyle name="40% - Accent3 4 3 2 3 2 4 2" xfId="23734"/>
    <cellStyle name="40% - Accent3 4 3 2 3 2 5" xfId="23735"/>
    <cellStyle name="40% - Accent3 4 3 2 3 2 6" xfId="23736"/>
    <cellStyle name="40% - Accent3 4 3 2 3 3" xfId="23737"/>
    <cellStyle name="40% - Accent3 4 3 2 3 3 2" xfId="23738"/>
    <cellStyle name="40% - Accent3 4 3 2 3 3 2 2" xfId="23739"/>
    <cellStyle name="40% - Accent3 4 3 2 3 3 2 3" xfId="23740"/>
    <cellStyle name="40% - Accent3 4 3 2 3 3 3" xfId="23741"/>
    <cellStyle name="40% - Accent3 4 3 2 3 3 3 2" xfId="23742"/>
    <cellStyle name="40% - Accent3 4 3 2 3 3 3 3" xfId="23743"/>
    <cellStyle name="40% - Accent3 4 3 2 3 3 4" xfId="23744"/>
    <cellStyle name="40% - Accent3 4 3 2 3 3 4 2" xfId="23745"/>
    <cellStyle name="40% - Accent3 4 3 2 3 3 5" xfId="23746"/>
    <cellStyle name="40% - Accent3 4 3 2 3 3 6" xfId="23747"/>
    <cellStyle name="40% - Accent3 4 3 2 3 4" xfId="23748"/>
    <cellStyle name="40% - Accent3 4 3 2 3 4 2" xfId="23749"/>
    <cellStyle name="40% - Accent3 4 3 2 3 4 2 2" xfId="23750"/>
    <cellStyle name="40% - Accent3 4 3 2 3 4 2 3" xfId="23751"/>
    <cellStyle name="40% - Accent3 4 3 2 3 4 3" xfId="23752"/>
    <cellStyle name="40% - Accent3 4 3 2 3 4 3 2" xfId="23753"/>
    <cellStyle name="40% - Accent3 4 3 2 3 4 4" xfId="23754"/>
    <cellStyle name="40% - Accent3 4 3 2 3 4 5" xfId="23755"/>
    <cellStyle name="40% - Accent3 4 3 2 3 5" xfId="23756"/>
    <cellStyle name="40% - Accent3 4 3 2 3 5 2" xfId="23757"/>
    <cellStyle name="40% - Accent3 4 3 2 3 5 3" xfId="23758"/>
    <cellStyle name="40% - Accent3 4 3 2 3 6" xfId="23759"/>
    <cellStyle name="40% - Accent3 4 3 2 3 6 2" xfId="23760"/>
    <cellStyle name="40% - Accent3 4 3 2 3 6 3" xfId="23761"/>
    <cellStyle name="40% - Accent3 4 3 2 3 7" xfId="23762"/>
    <cellStyle name="40% - Accent3 4 3 2 3 7 2" xfId="23763"/>
    <cellStyle name="40% - Accent3 4 3 2 3 8" xfId="23764"/>
    <cellStyle name="40% - Accent3 4 3 2 3 9" xfId="23765"/>
    <cellStyle name="40% - Accent3 4 3 2 4" xfId="23766"/>
    <cellStyle name="40% - Accent3 4 3 2 4 2" xfId="23767"/>
    <cellStyle name="40% - Accent3 4 3 2 4 2 2" xfId="23768"/>
    <cellStyle name="40% - Accent3 4 3 2 4 2 2 2" xfId="23769"/>
    <cellStyle name="40% - Accent3 4 3 2 4 2 2 3" xfId="23770"/>
    <cellStyle name="40% - Accent3 4 3 2 4 2 3" xfId="23771"/>
    <cellStyle name="40% - Accent3 4 3 2 4 2 3 2" xfId="23772"/>
    <cellStyle name="40% - Accent3 4 3 2 4 2 3 3" xfId="23773"/>
    <cellStyle name="40% - Accent3 4 3 2 4 2 4" xfId="23774"/>
    <cellStyle name="40% - Accent3 4 3 2 4 2 4 2" xfId="23775"/>
    <cellStyle name="40% - Accent3 4 3 2 4 2 5" xfId="23776"/>
    <cellStyle name="40% - Accent3 4 3 2 4 2 6" xfId="23777"/>
    <cellStyle name="40% - Accent3 4 3 2 4 3" xfId="23778"/>
    <cellStyle name="40% - Accent3 4 3 2 4 3 2" xfId="23779"/>
    <cellStyle name="40% - Accent3 4 3 2 4 3 2 2" xfId="23780"/>
    <cellStyle name="40% - Accent3 4 3 2 4 3 2 3" xfId="23781"/>
    <cellStyle name="40% - Accent3 4 3 2 4 3 3" xfId="23782"/>
    <cellStyle name="40% - Accent3 4 3 2 4 3 3 2" xfId="23783"/>
    <cellStyle name="40% - Accent3 4 3 2 4 3 3 3" xfId="23784"/>
    <cellStyle name="40% - Accent3 4 3 2 4 3 4" xfId="23785"/>
    <cellStyle name="40% - Accent3 4 3 2 4 3 4 2" xfId="23786"/>
    <cellStyle name="40% - Accent3 4 3 2 4 3 5" xfId="23787"/>
    <cellStyle name="40% - Accent3 4 3 2 4 3 6" xfId="23788"/>
    <cellStyle name="40% - Accent3 4 3 2 4 4" xfId="23789"/>
    <cellStyle name="40% - Accent3 4 3 2 4 4 2" xfId="23790"/>
    <cellStyle name="40% - Accent3 4 3 2 4 4 2 2" xfId="23791"/>
    <cellStyle name="40% - Accent3 4 3 2 4 4 2 3" xfId="23792"/>
    <cellStyle name="40% - Accent3 4 3 2 4 4 3" xfId="23793"/>
    <cellStyle name="40% - Accent3 4 3 2 4 4 3 2" xfId="23794"/>
    <cellStyle name="40% - Accent3 4 3 2 4 4 4" xfId="23795"/>
    <cellStyle name="40% - Accent3 4 3 2 4 4 5" xfId="23796"/>
    <cellStyle name="40% - Accent3 4 3 2 4 5" xfId="23797"/>
    <cellStyle name="40% - Accent3 4 3 2 4 5 2" xfId="23798"/>
    <cellStyle name="40% - Accent3 4 3 2 4 5 3" xfId="23799"/>
    <cellStyle name="40% - Accent3 4 3 2 4 6" xfId="23800"/>
    <cellStyle name="40% - Accent3 4 3 2 4 6 2" xfId="23801"/>
    <cellStyle name="40% - Accent3 4 3 2 4 6 3" xfId="23802"/>
    <cellStyle name="40% - Accent3 4 3 2 4 7" xfId="23803"/>
    <cellStyle name="40% - Accent3 4 3 2 4 7 2" xfId="23804"/>
    <cellStyle name="40% - Accent3 4 3 2 4 8" xfId="23805"/>
    <cellStyle name="40% - Accent3 4 3 2 4 9" xfId="23806"/>
    <cellStyle name="40% - Accent3 4 3 2 5" xfId="23807"/>
    <cellStyle name="40% - Accent3 4 3 2 5 2" xfId="23808"/>
    <cellStyle name="40% - Accent3 4 3 2 5 2 2" xfId="23809"/>
    <cellStyle name="40% - Accent3 4 3 2 5 2 3" xfId="23810"/>
    <cellStyle name="40% - Accent3 4 3 2 5 3" xfId="23811"/>
    <cellStyle name="40% - Accent3 4 3 2 5 3 2" xfId="23812"/>
    <cellStyle name="40% - Accent3 4 3 2 5 3 3" xfId="23813"/>
    <cellStyle name="40% - Accent3 4 3 2 5 4" xfId="23814"/>
    <cellStyle name="40% - Accent3 4 3 2 5 4 2" xfId="23815"/>
    <cellStyle name="40% - Accent3 4 3 2 5 5" xfId="23816"/>
    <cellStyle name="40% - Accent3 4 3 2 5 6" xfId="23817"/>
    <cellStyle name="40% - Accent3 4 3 2 6" xfId="23818"/>
    <cellStyle name="40% - Accent3 4 3 2 6 2" xfId="23819"/>
    <cellStyle name="40% - Accent3 4 3 2 6 2 2" xfId="23820"/>
    <cellStyle name="40% - Accent3 4 3 2 6 2 3" xfId="23821"/>
    <cellStyle name="40% - Accent3 4 3 2 6 3" xfId="23822"/>
    <cellStyle name="40% - Accent3 4 3 2 6 3 2" xfId="23823"/>
    <cellStyle name="40% - Accent3 4 3 2 6 3 3" xfId="23824"/>
    <cellStyle name="40% - Accent3 4 3 2 6 4" xfId="23825"/>
    <cellStyle name="40% - Accent3 4 3 2 6 4 2" xfId="23826"/>
    <cellStyle name="40% - Accent3 4 3 2 6 5" xfId="23827"/>
    <cellStyle name="40% - Accent3 4 3 2 6 6" xfId="23828"/>
    <cellStyle name="40% - Accent3 4 3 2 7" xfId="23829"/>
    <cellStyle name="40% - Accent3 4 3 2 7 2" xfId="23830"/>
    <cellStyle name="40% - Accent3 4 3 2 7 2 2" xfId="23831"/>
    <cellStyle name="40% - Accent3 4 3 2 7 2 3" xfId="23832"/>
    <cellStyle name="40% - Accent3 4 3 2 7 3" xfId="23833"/>
    <cellStyle name="40% - Accent3 4 3 2 7 3 2" xfId="23834"/>
    <cellStyle name="40% - Accent3 4 3 2 7 4" xfId="23835"/>
    <cellStyle name="40% - Accent3 4 3 2 7 5" xfId="23836"/>
    <cellStyle name="40% - Accent3 4 3 2 8" xfId="23837"/>
    <cellStyle name="40% - Accent3 4 3 2 8 2" xfId="23838"/>
    <cellStyle name="40% - Accent3 4 3 2 8 3" xfId="23839"/>
    <cellStyle name="40% - Accent3 4 3 2 9" xfId="23840"/>
    <cellStyle name="40% - Accent3 4 3 2 9 2" xfId="23841"/>
    <cellStyle name="40% - Accent3 4 3 2 9 3" xfId="23842"/>
    <cellStyle name="40% - Accent3 4 3 3" xfId="2018"/>
    <cellStyle name="40% - Accent3 4 3 3 10" xfId="23843"/>
    <cellStyle name="40% - Accent3 4 3 3 2" xfId="2019"/>
    <cellStyle name="40% - Accent3 4 3 3 2 2" xfId="23844"/>
    <cellStyle name="40% - Accent3 4 3 3 2 2 2" xfId="23845"/>
    <cellStyle name="40% - Accent3 4 3 3 2 2 2 2" xfId="23846"/>
    <cellStyle name="40% - Accent3 4 3 3 2 2 2 3" xfId="23847"/>
    <cellStyle name="40% - Accent3 4 3 3 2 2 3" xfId="23848"/>
    <cellStyle name="40% - Accent3 4 3 3 2 2 3 2" xfId="23849"/>
    <cellStyle name="40% - Accent3 4 3 3 2 2 3 3" xfId="23850"/>
    <cellStyle name="40% - Accent3 4 3 3 2 2 4" xfId="23851"/>
    <cellStyle name="40% - Accent3 4 3 3 2 2 4 2" xfId="23852"/>
    <cellStyle name="40% - Accent3 4 3 3 2 2 5" xfId="23853"/>
    <cellStyle name="40% - Accent3 4 3 3 2 2 6" xfId="23854"/>
    <cellStyle name="40% - Accent3 4 3 3 2 3" xfId="23855"/>
    <cellStyle name="40% - Accent3 4 3 3 2 3 2" xfId="23856"/>
    <cellStyle name="40% - Accent3 4 3 3 2 3 2 2" xfId="23857"/>
    <cellStyle name="40% - Accent3 4 3 3 2 3 2 3" xfId="23858"/>
    <cellStyle name="40% - Accent3 4 3 3 2 3 3" xfId="23859"/>
    <cellStyle name="40% - Accent3 4 3 3 2 3 3 2" xfId="23860"/>
    <cellStyle name="40% - Accent3 4 3 3 2 3 3 3" xfId="23861"/>
    <cellStyle name="40% - Accent3 4 3 3 2 3 4" xfId="23862"/>
    <cellStyle name="40% - Accent3 4 3 3 2 3 4 2" xfId="23863"/>
    <cellStyle name="40% - Accent3 4 3 3 2 3 5" xfId="23864"/>
    <cellStyle name="40% - Accent3 4 3 3 2 3 6" xfId="23865"/>
    <cellStyle name="40% - Accent3 4 3 3 2 4" xfId="23866"/>
    <cellStyle name="40% - Accent3 4 3 3 2 4 2" xfId="23867"/>
    <cellStyle name="40% - Accent3 4 3 3 2 4 2 2" xfId="23868"/>
    <cellStyle name="40% - Accent3 4 3 3 2 4 2 3" xfId="23869"/>
    <cellStyle name="40% - Accent3 4 3 3 2 4 3" xfId="23870"/>
    <cellStyle name="40% - Accent3 4 3 3 2 4 3 2" xfId="23871"/>
    <cellStyle name="40% - Accent3 4 3 3 2 4 4" xfId="23872"/>
    <cellStyle name="40% - Accent3 4 3 3 2 4 5" xfId="23873"/>
    <cellStyle name="40% - Accent3 4 3 3 2 5" xfId="23874"/>
    <cellStyle name="40% - Accent3 4 3 3 2 5 2" xfId="23875"/>
    <cellStyle name="40% - Accent3 4 3 3 2 5 3" xfId="23876"/>
    <cellStyle name="40% - Accent3 4 3 3 2 6" xfId="23877"/>
    <cellStyle name="40% - Accent3 4 3 3 2 6 2" xfId="23878"/>
    <cellStyle name="40% - Accent3 4 3 3 2 6 3" xfId="23879"/>
    <cellStyle name="40% - Accent3 4 3 3 2 7" xfId="23880"/>
    <cellStyle name="40% - Accent3 4 3 3 2 7 2" xfId="23881"/>
    <cellStyle name="40% - Accent3 4 3 3 2 8" xfId="23882"/>
    <cellStyle name="40% - Accent3 4 3 3 2 9" xfId="23883"/>
    <cellStyle name="40% - Accent3 4 3 3 3" xfId="23884"/>
    <cellStyle name="40% - Accent3 4 3 3 3 2" xfId="23885"/>
    <cellStyle name="40% - Accent3 4 3 3 3 2 2" xfId="23886"/>
    <cellStyle name="40% - Accent3 4 3 3 3 2 3" xfId="23887"/>
    <cellStyle name="40% - Accent3 4 3 3 3 3" xfId="23888"/>
    <cellStyle name="40% - Accent3 4 3 3 3 3 2" xfId="23889"/>
    <cellStyle name="40% - Accent3 4 3 3 3 3 3" xfId="23890"/>
    <cellStyle name="40% - Accent3 4 3 3 3 4" xfId="23891"/>
    <cellStyle name="40% - Accent3 4 3 3 3 4 2" xfId="23892"/>
    <cellStyle name="40% - Accent3 4 3 3 3 5" xfId="23893"/>
    <cellStyle name="40% - Accent3 4 3 3 3 6" xfId="23894"/>
    <cellStyle name="40% - Accent3 4 3 3 4" xfId="23895"/>
    <cellStyle name="40% - Accent3 4 3 3 4 2" xfId="23896"/>
    <cellStyle name="40% - Accent3 4 3 3 4 2 2" xfId="23897"/>
    <cellStyle name="40% - Accent3 4 3 3 4 2 3" xfId="23898"/>
    <cellStyle name="40% - Accent3 4 3 3 4 3" xfId="23899"/>
    <cellStyle name="40% - Accent3 4 3 3 4 3 2" xfId="23900"/>
    <cellStyle name="40% - Accent3 4 3 3 4 3 3" xfId="23901"/>
    <cellStyle name="40% - Accent3 4 3 3 4 4" xfId="23902"/>
    <cellStyle name="40% - Accent3 4 3 3 4 4 2" xfId="23903"/>
    <cellStyle name="40% - Accent3 4 3 3 4 5" xfId="23904"/>
    <cellStyle name="40% - Accent3 4 3 3 4 6" xfId="23905"/>
    <cellStyle name="40% - Accent3 4 3 3 5" xfId="23906"/>
    <cellStyle name="40% - Accent3 4 3 3 5 2" xfId="23907"/>
    <cellStyle name="40% - Accent3 4 3 3 5 2 2" xfId="23908"/>
    <cellStyle name="40% - Accent3 4 3 3 5 2 3" xfId="23909"/>
    <cellStyle name="40% - Accent3 4 3 3 5 3" xfId="23910"/>
    <cellStyle name="40% - Accent3 4 3 3 5 3 2" xfId="23911"/>
    <cellStyle name="40% - Accent3 4 3 3 5 4" xfId="23912"/>
    <cellStyle name="40% - Accent3 4 3 3 5 5" xfId="23913"/>
    <cellStyle name="40% - Accent3 4 3 3 6" xfId="23914"/>
    <cellStyle name="40% - Accent3 4 3 3 6 2" xfId="23915"/>
    <cellStyle name="40% - Accent3 4 3 3 6 3" xfId="23916"/>
    <cellStyle name="40% - Accent3 4 3 3 7" xfId="23917"/>
    <cellStyle name="40% - Accent3 4 3 3 7 2" xfId="23918"/>
    <cellStyle name="40% - Accent3 4 3 3 7 3" xfId="23919"/>
    <cellStyle name="40% - Accent3 4 3 3 8" xfId="23920"/>
    <cellStyle name="40% - Accent3 4 3 3 8 2" xfId="23921"/>
    <cellStyle name="40% - Accent3 4 3 3 9" xfId="23922"/>
    <cellStyle name="40% - Accent3 4 3 4" xfId="2020"/>
    <cellStyle name="40% - Accent3 4 3 4 2" xfId="23923"/>
    <cellStyle name="40% - Accent3 4 3 4 2 2" xfId="23924"/>
    <cellStyle name="40% - Accent3 4 3 4 2 2 2" xfId="23925"/>
    <cellStyle name="40% - Accent3 4 3 4 2 2 3" xfId="23926"/>
    <cellStyle name="40% - Accent3 4 3 4 2 3" xfId="23927"/>
    <cellStyle name="40% - Accent3 4 3 4 2 3 2" xfId="23928"/>
    <cellStyle name="40% - Accent3 4 3 4 2 3 3" xfId="23929"/>
    <cellStyle name="40% - Accent3 4 3 4 2 4" xfId="23930"/>
    <cellStyle name="40% - Accent3 4 3 4 2 4 2" xfId="23931"/>
    <cellStyle name="40% - Accent3 4 3 4 2 5" xfId="23932"/>
    <cellStyle name="40% - Accent3 4 3 4 2 6" xfId="23933"/>
    <cellStyle name="40% - Accent3 4 3 4 3" xfId="23934"/>
    <cellStyle name="40% - Accent3 4 3 4 3 2" xfId="23935"/>
    <cellStyle name="40% - Accent3 4 3 4 3 2 2" xfId="23936"/>
    <cellStyle name="40% - Accent3 4 3 4 3 2 3" xfId="23937"/>
    <cellStyle name="40% - Accent3 4 3 4 3 3" xfId="23938"/>
    <cellStyle name="40% - Accent3 4 3 4 3 3 2" xfId="23939"/>
    <cellStyle name="40% - Accent3 4 3 4 3 3 3" xfId="23940"/>
    <cellStyle name="40% - Accent3 4 3 4 3 4" xfId="23941"/>
    <cellStyle name="40% - Accent3 4 3 4 3 4 2" xfId="23942"/>
    <cellStyle name="40% - Accent3 4 3 4 3 5" xfId="23943"/>
    <cellStyle name="40% - Accent3 4 3 4 3 6" xfId="23944"/>
    <cellStyle name="40% - Accent3 4 3 4 4" xfId="23945"/>
    <cellStyle name="40% - Accent3 4 3 4 4 2" xfId="23946"/>
    <cellStyle name="40% - Accent3 4 3 4 4 2 2" xfId="23947"/>
    <cellStyle name="40% - Accent3 4 3 4 4 2 3" xfId="23948"/>
    <cellStyle name="40% - Accent3 4 3 4 4 3" xfId="23949"/>
    <cellStyle name="40% - Accent3 4 3 4 4 3 2" xfId="23950"/>
    <cellStyle name="40% - Accent3 4 3 4 4 4" xfId="23951"/>
    <cellStyle name="40% - Accent3 4 3 4 4 5" xfId="23952"/>
    <cellStyle name="40% - Accent3 4 3 4 5" xfId="23953"/>
    <cellStyle name="40% - Accent3 4 3 4 5 2" xfId="23954"/>
    <cellStyle name="40% - Accent3 4 3 4 5 3" xfId="23955"/>
    <cellStyle name="40% - Accent3 4 3 4 6" xfId="23956"/>
    <cellStyle name="40% - Accent3 4 3 4 6 2" xfId="23957"/>
    <cellStyle name="40% - Accent3 4 3 4 6 3" xfId="23958"/>
    <cellStyle name="40% - Accent3 4 3 4 7" xfId="23959"/>
    <cellStyle name="40% - Accent3 4 3 4 7 2" xfId="23960"/>
    <cellStyle name="40% - Accent3 4 3 4 8" xfId="23961"/>
    <cellStyle name="40% - Accent3 4 3 4 9" xfId="23962"/>
    <cellStyle name="40% - Accent3 4 3 5" xfId="23963"/>
    <cellStyle name="40% - Accent3 4 3 5 2" xfId="23964"/>
    <cellStyle name="40% - Accent3 4 3 5 2 2" xfId="23965"/>
    <cellStyle name="40% - Accent3 4 3 5 2 2 2" xfId="23966"/>
    <cellStyle name="40% - Accent3 4 3 5 2 2 3" xfId="23967"/>
    <cellStyle name="40% - Accent3 4 3 5 2 3" xfId="23968"/>
    <cellStyle name="40% - Accent3 4 3 5 2 3 2" xfId="23969"/>
    <cellStyle name="40% - Accent3 4 3 5 2 3 3" xfId="23970"/>
    <cellStyle name="40% - Accent3 4 3 5 2 4" xfId="23971"/>
    <cellStyle name="40% - Accent3 4 3 5 2 4 2" xfId="23972"/>
    <cellStyle name="40% - Accent3 4 3 5 2 5" xfId="23973"/>
    <cellStyle name="40% - Accent3 4 3 5 2 6" xfId="23974"/>
    <cellStyle name="40% - Accent3 4 3 5 3" xfId="23975"/>
    <cellStyle name="40% - Accent3 4 3 5 3 2" xfId="23976"/>
    <cellStyle name="40% - Accent3 4 3 5 3 2 2" xfId="23977"/>
    <cellStyle name="40% - Accent3 4 3 5 3 2 3" xfId="23978"/>
    <cellStyle name="40% - Accent3 4 3 5 3 3" xfId="23979"/>
    <cellStyle name="40% - Accent3 4 3 5 3 3 2" xfId="23980"/>
    <cellStyle name="40% - Accent3 4 3 5 3 3 3" xfId="23981"/>
    <cellStyle name="40% - Accent3 4 3 5 3 4" xfId="23982"/>
    <cellStyle name="40% - Accent3 4 3 5 3 4 2" xfId="23983"/>
    <cellStyle name="40% - Accent3 4 3 5 3 5" xfId="23984"/>
    <cellStyle name="40% - Accent3 4 3 5 3 6" xfId="23985"/>
    <cellStyle name="40% - Accent3 4 3 5 4" xfId="23986"/>
    <cellStyle name="40% - Accent3 4 3 5 4 2" xfId="23987"/>
    <cellStyle name="40% - Accent3 4 3 5 4 2 2" xfId="23988"/>
    <cellStyle name="40% - Accent3 4 3 5 4 2 3" xfId="23989"/>
    <cellStyle name="40% - Accent3 4 3 5 4 3" xfId="23990"/>
    <cellStyle name="40% - Accent3 4 3 5 4 3 2" xfId="23991"/>
    <cellStyle name="40% - Accent3 4 3 5 4 4" xfId="23992"/>
    <cellStyle name="40% - Accent3 4 3 5 4 5" xfId="23993"/>
    <cellStyle name="40% - Accent3 4 3 5 5" xfId="23994"/>
    <cellStyle name="40% - Accent3 4 3 5 5 2" xfId="23995"/>
    <cellStyle name="40% - Accent3 4 3 5 5 3" xfId="23996"/>
    <cellStyle name="40% - Accent3 4 3 5 6" xfId="23997"/>
    <cellStyle name="40% - Accent3 4 3 5 6 2" xfId="23998"/>
    <cellStyle name="40% - Accent3 4 3 5 6 3" xfId="23999"/>
    <cellStyle name="40% - Accent3 4 3 5 7" xfId="24000"/>
    <cellStyle name="40% - Accent3 4 3 5 7 2" xfId="24001"/>
    <cellStyle name="40% - Accent3 4 3 5 8" xfId="24002"/>
    <cellStyle name="40% - Accent3 4 3 5 9" xfId="24003"/>
    <cellStyle name="40% - Accent3 4 3 6" xfId="24004"/>
    <cellStyle name="40% - Accent3 4 3 6 2" xfId="24005"/>
    <cellStyle name="40% - Accent3 4 3 6 2 2" xfId="24006"/>
    <cellStyle name="40% - Accent3 4 3 6 2 3" xfId="24007"/>
    <cellStyle name="40% - Accent3 4 3 6 3" xfId="24008"/>
    <cellStyle name="40% - Accent3 4 3 6 3 2" xfId="24009"/>
    <cellStyle name="40% - Accent3 4 3 6 3 3" xfId="24010"/>
    <cellStyle name="40% - Accent3 4 3 6 4" xfId="24011"/>
    <cellStyle name="40% - Accent3 4 3 6 4 2" xfId="24012"/>
    <cellStyle name="40% - Accent3 4 3 6 5" xfId="24013"/>
    <cellStyle name="40% - Accent3 4 3 6 6" xfId="24014"/>
    <cellStyle name="40% - Accent3 4 3 7" xfId="24015"/>
    <cellStyle name="40% - Accent3 4 3 7 2" xfId="24016"/>
    <cellStyle name="40% - Accent3 4 3 7 2 2" xfId="24017"/>
    <cellStyle name="40% - Accent3 4 3 7 2 3" xfId="24018"/>
    <cellStyle name="40% - Accent3 4 3 7 3" xfId="24019"/>
    <cellStyle name="40% - Accent3 4 3 7 3 2" xfId="24020"/>
    <cellStyle name="40% - Accent3 4 3 7 3 3" xfId="24021"/>
    <cellStyle name="40% - Accent3 4 3 7 4" xfId="24022"/>
    <cellStyle name="40% - Accent3 4 3 7 4 2" xfId="24023"/>
    <cellStyle name="40% - Accent3 4 3 7 5" xfId="24024"/>
    <cellStyle name="40% - Accent3 4 3 7 6" xfId="24025"/>
    <cellStyle name="40% - Accent3 4 3 8" xfId="24026"/>
    <cellStyle name="40% - Accent3 4 3 8 2" xfId="24027"/>
    <cellStyle name="40% - Accent3 4 3 8 2 2" xfId="24028"/>
    <cellStyle name="40% - Accent3 4 3 8 2 3" xfId="24029"/>
    <cellStyle name="40% - Accent3 4 3 8 3" xfId="24030"/>
    <cellStyle name="40% - Accent3 4 3 8 3 2" xfId="24031"/>
    <cellStyle name="40% - Accent3 4 3 8 4" xfId="24032"/>
    <cellStyle name="40% - Accent3 4 3 8 5" xfId="24033"/>
    <cellStyle name="40% - Accent3 4 3 9" xfId="24034"/>
    <cellStyle name="40% - Accent3 4 3 9 2" xfId="24035"/>
    <cellStyle name="40% - Accent3 4 3 9 3" xfId="24036"/>
    <cellStyle name="40% - Accent3 4 4" xfId="2021"/>
    <cellStyle name="40% - Accent3 4 4 10" xfId="24037"/>
    <cellStyle name="40% - Accent3 4 4 10 2" xfId="24038"/>
    <cellStyle name="40% - Accent3 4 4 11" xfId="24039"/>
    <cellStyle name="40% - Accent3 4 4 12" xfId="24040"/>
    <cellStyle name="40% - Accent3 4 4 2" xfId="2022"/>
    <cellStyle name="40% - Accent3 4 4 2 10" xfId="24041"/>
    <cellStyle name="40% - Accent3 4 4 2 2" xfId="2023"/>
    <cellStyle name="40% - Accent3 4 4 2 2 2" xfId="24042"/>
    <cellStyle name="40% - Accent3 4 4 2 2 2 2" xfId="24043"/>
    <cellStyle name="40% - Accent3 4 4 2 2 2 2 2" xfId="24044"/>
    <cellStyle name="40% - Accent3 4 4 2 2 2 2 3" xfId="24045"/>
    <cellStyle name="40% - Accent3 4 4 2 2 2 3" xfId="24046"/>
    <cellStyle name="40% - Accent3 4 4 2 2 2 3 2" xfId="24047"/>
    <cellStyle name="40% - Accent3 4 4 2 2 2 3 3" xfId="24048"/>
    <cellStyle name="40% - Accent3 4 4 2 2 2 4" xfId="24049"/>
    <cellStyle name="40% - Accent3 4 4 2 2 2 4 2" xfId="24050"/>
    <cellStyle name="40% - Accent3 4 4 2 2 2 5" xfId="24051"/>
    <cellStyle name="40% - Accent3 4 4 2 2 2 6" xfId="24052"/>
    <cellStyle name="40% - Accent3 4 4 2 2 3" xfId="24053"/>
    <cellStyle name="40% - Accent3 4 4 2 2 3 2" xfId="24054"/>
    <cellStyle name="40% - Accent3 4 4 2 2 3 2 2" xfId="24055"/>
    <cellStyle name="40% - Accent3 4 4 2 2 3 2 3" xfId="24056"/>
    <cellStyle name="40% - Accent3 4 4 2 2 3 3" xfId="24057"/>
    <cellStyle name="40% - Accent3 4 4 2 2 3 3 2" xfId="24058"/>
    <cellStyle name="40% - Accent3 4 4 2 2 3 3 3" xfId="24059"/>
    <cellStyle name="40% - Accent3 4 4 2 2 3 4" xfId="24060"/>
    <cellStyle name="40% - Accent3 4 4 2 2 3 4 2" xfId="24061"/>
    <cellStyle name="40% - Accent3 4 4 2 2 3 5" xfId="24062"/>
    <cellStyle name="40% - Accent3 4 4 2 2 3 6" xfId="24063"/>
    <cellStyle name="40% - Accent3 4 4 2 2 4" xfId="24064"/>
    <cellStyle name="40% - Accent3 4 4 2 2 4 2" xfId="24065"/>
    <cellStyle name="40% - Accent3 4 4 2 2 4 2 2" xfId="24066"/>
    <cellStyle name="40% - Accent3 4 4 2 2 4 2 3" xfId="24067"/>
    <cellStyle name="40% - Accent3 4 4 2 2 4 3" xfId="24068"/>
    <cellStyle name="40% - Accent3 4 4 2 2 4 3 2" xfId="24069"/>
    <cellStyle name="40% - Accent3 4 4 2 2 4 4" xfId="24070"/>
    <cellStyle name="40% - Accent3 4 4 2 2 4 5" xfId="24071"/>
    <cellStyle name="40% - Accent3 4 4 2 2 5" xfId="24072"/>
    <cellStyle name="40% - Accent3 4 4 2 2 5 2" xfId="24073"/>
    <cellStyle name="40% - Accent3 4 4 2 2 5 3" xfId="24074"/>
    <cellStyle name="40% - Accent3 4 4 2 2 6" xfId="24075"/>
    <cellStyle name="40% - Accent3 4 4 2 2 6 2" xfId="24076"/>
    <cellStyle name="40% - Accent3 4 4 2 2 6 3" xfId="24077"/>
    <cellStyle name="40% - Accent3 4 4 2 2 7" xfId="24078"/>
    <cellStyle name="40% - Accent3 4 4 2 2 7 2" xfId="24079"/>
    <cellStyle name="40% - Accent3 4 4 2 2 8" xfId="24080"/>
    <cellStyle name="40% - Accent3 4 4 2 2 9" xfId="24081"/>
    <cellStyle name="40% - Accent3 4 4 2 3" xfId="24082"/>
    <cellStyle name="40% - Accent3 4 4 2 3 2" xfId="24083"/>
    <cellStyle name="40% - Accent3 4 4 2 3 2 2" xfId="24084"/>
    <cellStyle name="40% - Accent3 4 4 2 3 2 3" xfId="24085"/>
    <cellStyle name="40% - Accent3 4 4 2 3 3" xfId="24086"/>
    <cellStyle name="40% - Accent3 4 4 2 3 3 2" xfId="24087"/>
    <cellStyle name="40% - Accent3 4 4 2 3 3 3" xfId="24088"/>
    <cellStyle name="40% - Accent3 4 4 2 3 4" xfId="24089"/>
    <cellStyle name="40% - Accent3 4 4 2 3 4 2" xfId="24090"/>
    <cellStyle name="40% - Accent3 4 4 2 3 5" xfId="24091"/>
    <cellStyle name="40% - Accent3 4 4 2 3 6" xfId="24092"/>
    <cellStyle name="40% - Accent3 4 4 2 4" xfId="24093"/>
    <cellStyle name="40% - Accent3 4 4 2 4 2" xfId="24094"/>
    <cellStyle name="40% - Accent3 4 4 2 4 2 2" xfId="24095"/>
    <cellStyle name="40% - Accent3 4 4 2 4 2 3" xfId="24096"/>
    <cellStyle name="40% - Accent3 4 4 2 4 3" xfId="24097"/>
    <cellStyle name="40% - Accent3 4 4 2 4 3 2" xfId="24098"/>
    <cellStyle name="40% - Accent3 4 4 2 4 3 3" xfId="24099"/>
    <cellStyle name="40% - Accent3 4 4 2 4 4" xfId="24100"/>
    <cellStyle name="40% - Accent3 4 4 2 4 4 2" xfId="24101"/>
    <cellStyle name="40% - Accent3 4 4 2 4 5" xfId="24102"/>
    <cellStyle name="40% - Accent3 4 4 2 4 6" xfId="24103"/>
    <cellStyle name="40% - Accent3 4 4 2 5" xfId="24104"/>
    <cellStyle name="40% - Accent3 4 4 2 5 2" xfId="24105"/>
    <cellStyle name="40% - Accent3 4 4 2 5 2 2" xfId="24106"/>
    <cellStyle name="40% - Accent3 4 4 2 5 2 3" xfId="24107"/>
    <cellStyle name="40% - Accent3 4 4 2 5 3" xfId="24108"/>
    <cellStyle name="40% - Accent3 4 4 2 5 3 2" xfId="24109"/>
    <cellStyle name="40% - Accent3 4 4 2 5 4" xfId="24110"/>
    <cellStyle name="40% - Accent3 4 4 2 5 5" xfId="24111"/>
    <cellStyle name="40% - Accent3 4 4 2 6" xfId="24112"/>
    <cellStyle name="40% - Accent3 4 4 2 6 2" xfId="24113"/>
    <cellStyle name="40% - Accent3 4 4 2 6 3" xfId="24114"/>
    <cellStyle name="40% - Accent3 4 4 2 7" xfId="24115"/>
    <cellStyle name="40% - Accent3 4 4 2 7 2" xfId="24116"/>
    <cellStyle name="40% - Accent3 4 4 2 7 3" xfId="24117"/>
    <cellStyle name="40% - Accent3 4 4 2 8" xfId="24118"/>
    <cellStyle name="40% - Accent3 4 4 2 8 2" xfId="24119"/>
    <cellStyle name="40% - Accent3 4 4 2 9" xfId="24120"/>
    <cellStyle name="40% - Accent3 4 4 3" xfId="2024"/>
    <cellStyle name="40% - Accent3 4 4 3 2" xfId="24121"/>
    <cellStyle name="40% - Accent3 4 4 3 2 2" xfId="24122"/>
    <cellStyle name="40% - Accent3 4 4 3 2 2 2" xfId="24123"/>
    <cellStyle name="40% - Accent3 4 4 3 2 2 3" xfId="24124"/>
    <cellStyle name="40% - Accent3 4 4 3 2 3" xfId="24125"/>
    <cellStyle name="40% - Accent3 4 4 3 2 3 2" xfId="24126"/>
    <cellStyle name="40% - Accent3 4 4 3 2 3 3" xfId="24127"/>
    <cellStyle name="40% - Accent3 4 4 3 2 4" xfId="24128"/>
    <cellStyle name="40% - Accent3 4 4 3 2 4 2" xfId="24129"/>
    <cellStyle name="40% - Accent3 4 4 3 2 5" xfId="24130"/>
    <cellStyle name="40% - Accent3 4 4 3 2 6" xfId="24131"/>
    <cellStyle name="40% - Accent3 4 4 3 3" xfId="24132"/>
    <cellStyle name="40% - Accent3 4 4 3 3 2" xfId="24133"/>
    <cellStyle name="40% - Accent3 4 4 3 3 2 2" xfId="24134"/>
    <cellStyle name="40% - Accent3 4 4 3 3 2 3" xfId="24135"/>
    <cellStyle name="40% - Accent3 4 4 3 3 3" xfId="24136"/>
    <cellStyle name="40% - Accent3 4 4 3 3 3 2" xfId="24137"/>
    <cellStyle name="40% - Accent3 4 4 3 3 3 3" xfId="24138"/>
    <cellStyle name="40% - Accent3 4 4 3 3 4" xfId="24139"/>
    <cellStyle name="40% - Accent3 4 4 3 3 4 2" xfId="24140"/>
    <cellStyle name="40% - Accent3 4 4 3 3 5" xfId="24141"/>
    <cellStyle name="40% - Accent3 4 4 3 3 6" xfId="24142"/>
    <cellStyle name="40% - Accent3 4 4 3 4" xfId="24143"/>
    <cellStyle name="40% - Accent3 4 4 3 4 2" xfId="24144"/>
    <cellStyle name="40% - Accent3 4 4 3 4 2 2" xfId="24145"/>
    <cellStyle name="40% - Accent3 4 4 3 4 2 3" xfId="24146"/>
    <cellStyle name="40% - Accent3 4 4 3 4 3" xfId="24147"/>
    <cellStyle name="40% - Accent3 4 4 3 4 3 2" xfId="24148"/>
    <cellStyle name="40% - Accent3 4 4 3 4 4" xfId="24149"/>
    <cellStyle name="40% - Accent3 4 4 3 4 5" xfId="24150"/>
    <cellStyle name="40% - Accent3 4 4 3 5" xfId="24151"/>
    <cellStyle name="40% - Accent3 4 4 3 5 2" xfId="24152"/>
    <cellStyle name="40% - Accent3 4 4 3 5 3" xfId="24153"/>
    <cellStyle name="40% - Accent3 4 4 3 6" xfId="24154"/>
    <cellStyle name="40% - Accent3 4 4 3 6 2" xfId="24155"/>
    <cellStyle name="40% - Accent3 4 4 3 6 3" xfId="24156"/>
    <cellStyle name="40% - Accent3 4 4 3 7" xfId="24157"/>
    <cellStyle name="40% - Accent3 4 4 3 7 2" xfId="24158"/>
    <cellStyle name="40% - Accent3 4 4 3 8" xfId="24159"/>
    <cellStyle name="40% - Accent3 4 4 3 9" xfId="24160"/>
    <cellStyle name="40% - Accent3 4 4 4" xfId="24161"/>
    <cellStyle name="40% - Accent3 4 4 4 2" xfId="24162"/>
    <cellStyle name="40% - Accent3 4 4 4 2 2" xfId="24163"/>
    <cellStyle name="40% - Accent3 4 4 4 2 2 2" xfId="24164"/>
    <cellStyle name="40% - Accent3 4 4 4 2 2 3" xfId="24165"/>
    <cellStyle name="40% - Accent3 4 4 4 2 3" xfId="24166"/>
    <cellStyle name="40% - Accent3 4 4 4 2 3 2" xfId="24167"/>
    <cellStyle name="40% - Accent3 4 4 4 2 3 3" xfId="24168"/>
    <cellStyle name="40% - Accent3 4 4 4 2 4" xfId="24169"/>
    <cellStyle name="40% - Accent3 4 4 4 2 4 2" xfId="24170"/>
    <cellStyle name="40% - Accent3 4 4 4 2 5" xfId="24171"/>
    <cellStyle name="40% - Accent3 4 4 4 2 6" xfId="24172"/>
    <cellStyle name="40% - Accent3 4 4 4 3" xfId="24173"/>
    <cellStyle name="40% - Accent3 4 4 4 3 2" xfId="24174"/>
    <cellStyle name="40% - Accent3 4 4 4 3 2 2" xfId="24175"/>
    <cellStyle name="40% - Accent3 4 4 4 3 2 3" xfId="24176"/>
    <cellStyle name="40% - Accent3 4 4 4 3 3" xfId="24177"/>
    <cellStyle name="40% - Accent3 4 4 4 3 3 2" xfId="24178"/>
    <cellStyle name="40% - Accent3 4 4 4 3 3 3" xfId="24179"/>
    <cellStyle name="40% - Accent3 4 4 4 3 4" xfId="24180"/>
    <cellStyle name="40% - Accent3 4 4 4 3 4 2" xfId="24181"/>
    <cellStyle name="40% - Accent3 4 4 4 3 5" xfId="24182"/>
    <cellStyle name="40% - Accent3 4 4 4 3 6" xfId="24183"/>
    <cellStyle name="40% - Accent3 4 4 4 4" xfId="24184"/>
    <cellStyle name="40% - Accent3 4 4 4 4 2" xfId="24185"/>
    <cellStyle name="40% - Accent3 4 4 4 4 2 2" xfId="24186"/>
    <cellStyle name="40% - Accent3 4 4 4 4 2 3" xfId="24187"/>
    <cellStyle name="40% - Accent3 4 4 4 4 3" xfId="24188"/>
    <cellStyle name="40% - Accent3 4 4 4 4 3 2" xfId="24189"/>
    <cellStyle name="40% - Accent3 4 4 4 4 4" xfId="24190"/>
    <cellStyle name="40% - Accent3 4 4 4 4 5" xfId="24191"/>
    <cellStyle name="40% - Accent3 4 4 4 5" xfId="24192"/>
    <cellStyle name="40% - Accent3 4 4 4 5 2" xfId="24193"/>
    <cellStyle name="40% - Accent3 4 4 4 5 3" xfId="24194"/>
    <cellStyle name="40% - Accent3 4 4 4 6" xfId="24195"/>
    <cellStyle name="40% - Accent3 4 4 4 6 2" xfId="24196"/>
    <cellStyle name="40% - Accent3 4 4 4 6 3" xfId="24197"/>
    <cellStyle name="40% - Accent3 4 4 4 7" xfId="24198"/>
    <cellStyle name="40% - Accent3 4 4 4 7 2" xfId="24199"/>
    <cellStyle name="40% - Accent3 4 4 4 8" xfId="24200"/>
    <cellStyle name="40% - Accent3 4 4 4 9" xfId="24201"/>
    <cellStyle name="40% - Accent3 4 4 5" xfId="24202"/>
    <cellStyle name="40% - Accent3 4 4 5 2" xfId="24203"/>
    <cellStyle name="40% - Accent3 4 4 5 2 2" xfId="24204"/>
    <cellStyle name="40% - Accent3 4 4 5 2 3" xfId="24205"/>
    <cellStyle name="40% - Accent3 4 4 5 3" xfId="24206"/>
    <cellStyle name="40% - Accent3 4 4 5 3 2" xfId="24207"/>
    <cellStyle name="40% - Accent3 4 4 5 3 3" xfId="24208"/>
    <cellStyle name="40% - Accent3 4 4 5 4" xfId="24209"/>
    <cellStyle name="40% - Accent3 4 4 5 4 2" xfId="24210"/>
    <cellStyle name="40% - Accent3 4 4 5 5" xfId="24211"/>
    <cellStyle name="40% - Accent3 4 4 5 6" xfId="24212"/>
    <cellStyle name="40% - Accent3 4 4 6" xfId="24213"/>
    <cellStyle name="40% - Accent3 4 4 6 2" xfId="24214"/>
    <cellStyle name="40% - Accent3 4 4 6 2 2" xfId="24215"/>
    <cellStyle name="40% - Accent3 4 4 6 2 3" xfId="24216"/>
    <cellStyle name="40% - Accent3 4 4 6 3" xfId="24217"/>
    <cellStyle name="40% - Accent3 4 4 6 3 2" xfId="24218"/>
    <cellStyle name="40% - Accent3 4 4 6 3 3" xfId="24219"/>
    <cellStyle name="40% - Accent3 4 4 6 4" xfId="24220"/>
    <cellStyle name="40% - Accent3 4 4 6 4 2" xfId="24221"/>
    <cellStyle name="40% - Accent3 4 4 6 5" xfId="24222"/>
    <cellStyle name="40% - Accent3 4 4 6 6" xfId="24223"/>
    <cellStyle name="40% - Accent3 4 4 7" xfId="24224"/>
    <cellStyle name="40% - Accent3 4 4 7 2" xfId="24225"/>
    <cellStyle name="40% - Accent3 4 4 7 2 2" xfId="24226"/>
    <cellStyle name="40% - Accent3 4 4 7 2 3" xfId="24227"/>
    <cellStyle name="40% - Accent3 4 4 7 3" xfId="24228"/>
    <cellStyle name="40% - Accent3 4 4 7 3 2" xfId="24229"/>
    <cellStyle name="40% - Accent3 4 4 7 4" xfId="24230"/>
    <cellStyle name="40% - Accent3 4 4 7 5" xfId="24231"/>
    <cellStyle name="40% - Accent3 4 4 8" xfId="24232"/>
    <cellStyle name="40% - Accent3 4 4 8 2" xfId="24233"/>
    <cellStyle name="40% - Accent3 4 4 8 3" xfId="24234"/>
    <cellStyle name="40% - Accent3 4 4 9" xfId="24235"/>
    <cellStyle name="40% - Accent3 4 4 9 2" xfId="24236"/>
    <cellStyle name="40% - Accent3 4 4 9 3" xfId="24237"/>
    <cellStyle name="40% - Accent3 4 5" xfId="2025"/>
    <cellStyle name="40% - Accent3 4 5 10" xfId="24238"/>
    <cellStyle name="40% - Accent3 4 5 2" xfId="2026"/>
    <cellStyle name="40% - Accent3 4 5 2 2" xfId="24239"/>
    <cellStyle name="40% - Accent3 4 5 2 2 2" xfId="24240"/>
    <cellStyle name="40% - Accent3 4 5 2 2 2 2" xfId="24241"/>
    <cellStyle name="40% - Accent3 4 5 2 2 2 3" xfId="24242"/>
    <cellStyle name="40% - Accent3 4 5 2 2 3" xfId="24243"/>
    <cellStyle name="40% - Accent3 4 5 2 2 3 2" xfId="24244"/>
    <cellStyle name="40% - Accent3 4 5 2 2 3 3" xfId="24245"/>
    <cellStyle name="40% - Accent3 4 5 2 2 4" xfId="24246"/>
    <cellStyle name="40% - Accent3 4 5 2 2 4 2" xfId="24247"/>
    <cellStyle name="40% - Accent3 4 5 2 2 5" xfId="24248"/>
    <cellStyle name="40% - Accent3 4 5 2 2 6" xfId="24249"/>
    <cellStyle name="40% - Accent3 4 5 2 3" xfId="24250"/>
    <cellStyle name="40% - Accent3 4 5 2 3 2" xfId="24251"/>
    <cellStyle name="40% - Accent3 4 5 2 3 2 2" xfId="24252"/>
    <cellStyle name="40% - Accent3 4 5 2 3 2 3" xfId="24253"/>
    <cellStyle name="40% - Accent3 4 5 2 3 3" xfId="24254"/>
    <cellStyle name="40% - Accent3 4 5 2 3 3 2" xfId="24255"/>
    <cellStyle name="40% - Accent3 4 5 2 3 3 3" xfId="24256"/>
    <cellStyle name="40% - Accent3 4 5 2 3 4" xfId="24257"/>
    <cellStyle name="40% - Accent3 4 5 2 3 4 2" xfId="24258"/>
    <cellStyle name="40% - Accent3 4 5 2 3 5" xfId="24259"/>
    <cellStyle name="40% - Accent3 4 5 2 3 6" xfId="24260"/>
    <cellStyle name="40% - Accent3 4 5 2 4" xfId="24261"/>
    <cellStyle name="40% - Accent3 4 5 2 4 2" xfId="24262"/>
    <cellStyle name="40% - Accent3 4 5 2 4 2 2" xfId="24263"/>
    <cellStyle name="40% - Accent3 4 5 2 4 2 3" xfId="24264"/>
    <cellStyle name="40% - Accent3 4 5 2 4 3" xfId="24265"/>
    <cellStyle name="40% - Accent3 4 5 2 4 3 2" xfId="24266"/>
    <cellStyle name="40% - Accent3 4 5 2 4 4" xfId="24267"/>
    <cellStyle name="40% - Accent3 4 5 2 4 5" xfId="24268"/>
    <cellStyle name="40% - Accent3 4 5 2 5" xfId="24269"/>
    <cellStyle name="40% - Accent3 4 5 2 5 2" xfId="24270"/>
    <cellStyle name="40% - Accent3 4 5 2 5 3" xfId="24271"/>
    <cellStyle name="40% - Accent3 4 5 2 6" xfId="24272"/>
    <cellStyle name="40% - Accent3 4 5 2 6 2" xfId="24273"/>
    <cellStyle name="40% - Accent3 4 5 2 6 3" xfId="24274"/>
    <cellStyle name="40% - Accent3 4 5 2 7" xfId="24275"/>
    <cellStyle name="40% - Accent3 4 5 2 7 2" xfId="24276"/>
    <cellStyle name="40% - Accent3 4 5 2 8" xfId="24277"/>
    <cellStyle name="40% - Accent3 4 5 2 9" xfId="24278"/>
    <cellStyle name="40% - Accent3 4 5 3" xfId="24279"/>
    <cellStyle name="40% - Accent3 4 5 3 2" xfId="24280"/>
    <cellStyle name="40% - Accent3 4 5 3 2 2" xfId="24281"/>
    <cellStyle name="40% - Accent3 4 5 3 2 3" xfId="24282"/>
    <cellStyle name="40% - Accent3 4 5 3 3" xfId="24283"/>
    <cellStyle name="40% - Accent3 4 5 3 3 2" xfId="24284"/>
    <cellStyle name="40% - Accent3 4 5 3 3 3" xfId="24285"/>
    <cellStyle name="40% - Accent3 4 5 3 4" xfId="24286"/>
    <cellStyle name="40% - Accent3 4 5 3 4 2" xfId="24287"/>
    <cellStyle name="40% - Accent3 4 5 3 5" xfId="24288"/>
    <cellStyle name="40% - Accent3 4 5 3 6" xfId="24289"/>
    <cellStyle name="40% - Accent3 4 5 4" xfId="24290"/>
    <cellStyle name="40% - Accent3 4 5 4 2" xfId="24291"/>
    <cellStyle name="40% - Accent3 4 5 4 2 2" xfId="24292"/>
    <cellStyle name="40% - Accent3 4 5 4 2 3" xfId="24293"/>
    <cellStyle name="40% - Accent3 4 5 4 3" xfId="24294"/>
    <cellStyle name="40% - Accent3 4 5 4 3 2" xfId="24295"/>
    <cellStyle name="40% - Accent3 4 5 4 3 3" xfId="24296"/>
    <cellStyle name="40% - Accent3 4 5 4 4" xfId="24297"/>
    <cellStyle name="40% - Accent3 4 5 4 4 2" xfId="24298"/>
    <cellStyle name="40% - Accent3 4 5 4 5" xfId="24299"/>
    <cellStyle name="40% - Accent3 4 5 4 6" xfId="24300"/>
    <cellStyle name="40% - Accent3 4 5 5" xfId="24301"/>
    <cellStyle name="40% - Accent3 4 5 5 2" xfId="24302"/>
    <cellStyle name="40% - Accent3 4 5 5 2 2" xfId="24303"/>
    <cellStyle name="40% - Accent3 4 5 5 2 3" xfId="24304"/>
    <cellStyle name="40% - Accent3 4 5 5 3" xfId="24305"/>
    <cellStyle name="40% - Accent3 4 5 5 3 2" xfId="24306"/>
    <cellStyle name="40% - Accent3 4 5 5 4" xfId="24307"/>
    <cellStyle name="40% - Accent3 4 5 5 5" xfId="24308"/>
    <cellStyle name="40% - Accent3 4 5 6" xfId="24309"/>
    <cellStyle name="40% - Accent3 4 5 6 2" xfId="24310"/>
    <cellStyle name="40% - Accent3 4 5 6 3" xfId="24311"/>
    <cellStyle name="40% - Accent3 4 5 7" xfId="24312"/>
    <cellStyle name="40% - Accent3 4 5 7 2" xfId="24313"/>
    <cellStyle name="40% - Accent3 4 5 7 3" xfId="24314"/>
    <cellStyle name="40% - Accent3 4 5 8" xfId="24315"/>
    <cellStyle name="40% - Accent3 4 5 8 2" xfId="24316"/>
    <cellStyle name="40% - Accent3 4 5 9" xfId="24317"/>
    <cellStyle name="40% - Accent3 4 6" xfId="2027"/>
    <cellStyle name="40% - Accent3 4 6 2" xfId="24318"/>
    <cellStyle name="40% - Accent3 4 6 2 2" xfId="24319"/>
    <cellStyle name="40% - Accent3 4 6 2 2 2" xfId="24320"/>
    <cellStyle name="40% - Accent3 4 6 2 2 3" xfId="24321"/>
    <cellStyle name="40% - Accent3 4 6 2 3" xfId="24322"/>
    <cellStyle name="40% - Accent3 4 6 2 3 2" xfId="24323"/>
    <cellStyle name="40% - Accent3 4 6 2 3 3" xfId="24324"/>
    <cellStyle name="40% - Accent3 4 6 2 4" xfId="24325"/>
    <cellStyle name="40% - Accent3 4 6 2 4 2" xfId="24326"/>
    <cellStyle name="40% - Accent3 4 6 2 5" xfId="24327"/>
    <cellStyle name="40% - Accent3 4 6 2 6" xfId="24328"/>
    <cellStyle name="40% - Accent3 4 6 3" xfId="24329"/>
    <cellStyle name="40% - Accent3 4 6 3 2" xfId="24330"/>
    <cellStyle name="40% - Accent3 4 6 3 2 2" xfId="24331"/>
    <cellStyle name="40% - Accent3 4 6 3 2 3" xfId="24332"/>
    <cellStyle name="40% - Accent3 4 6 3 3" xfId="24333"/>
    <cellStyle name="40% - Accent3 4 6 3 3 2" xfId="24334"/>
    <cellStyle name="40% - Accent3 4 6 3 3 3" xfId="24335"/>
    <cellStyle name="40% - Accent3 4 6 3 4" xfId="24336"/>
    <cellStyle name="40% - Accent3 4 6 3 4 2" xfId="24337"/>
    <cellStyle name="40% - Accent3 4 6 3 5" xfId="24338"/>
    <cellStyle name="40% - Accent3 4 6 3 6" xfId="24339"/>
    <cellStyle name="40% - Accent3 4 6 4" xfId="24340"/>
    <cellStyle name="40% - Accent3 4 6 4 2" xfId="24341"/>
    <cellStyle name="40% - Accent3 4 6 4 2 2" xfId="24342"/>
    <cellStyle name="40% - Accent3 4 6 4 2 3" xfId="24343"/>
    <cellStyle name="40% - Accent3 4 6 4 3" xfId="24344"/>
    <cellStyle name="40% - Accent3 4 6 4 3 2" xfId="24345"/>
    <cellStyle name="40% - Accent3 4 6 4 4" xfId="24346"/>
    <cellStyle name="40% - Accent3 4 6 4 5" xfId="24347"/>
    <cellStyle name="40% - Accent3 4 6 5" xfId="24348"/>
    <cellStyle name="40% - Accent3 4 6 5 2" xfId="24349"/>
    <cellStyle name="40% - Accent3 4 6 5 3" xfId="24350"/>
    <cellStyle name="40% - Accent3 4 6 6" xfId="24351"/>
    <cellStyle name="40% - Accent3 4 6 6 2" xfId="24352"/>
    <cellStyle name="40% - Accent3 4 6 6 3" xfId="24353"/>
    <cellStyle name="40% - Accent3 4 6 7" xfId="24354"/>
    <cellStyle name="40% - Accent3 4 6 7 2" xfId="24355"/>
    <cellStyle name="40% - Accent3 4 6 8" xfId="24356"/>
    <cellStyle name="40% - Accent3 4 6 9" xfId="24357"/>
    <cellStyle name="40% - Accent3 4 7" xfId="8976"/>
    <cellStyle name="40% - Accent3 4 7 2" xfId="24358"/>
    <cellStyle name="40% - Accent3 4 7 2 2" xfId="24359"/>
    <cellStyle name="40% - Accent3 4 7 2 2 2" xfId="24360"/>
    <cellStyle name="40% - Accent3 4 7 2 2 3" xfId="24361"/>
    <cellStyle name="40% - Accent3 4 7 2 3" xfId="24362"/>
    <cellStyle name="40% - Accent3 4 7 2 3 2" xfId="24363"/>
    <cellStyle name="40% - Accent3 4 7 2 3 3" xfId="24364"/>
    <cellStyle name="40% - Accent3 4 7 2 4" xfId="24365"/>
    <cellStyle name="40% - Accent3 4 7 2 4 2" xfId="24366"/>
    <cellStyle name="40% - Accent3 4 7 2 5" xfId="24367"/>
    <cellStyle name="40% - Accent3 4 7 2 6" xfId="24368"/>
    <cellStyle name="40% - Accent3 4 7 3" xfId="24369"/>
    <cellStyle name="40% - Accent3 4 7 3 2" xfId="24370"/>
    <cellStyle name="40% - Accent3 4 7 3 2 2" xfId="24371"/>
    <cellStyle name="40% - Accent3 4 7 3 2 3" xfId="24372"/>
    <cellStyle name="40% - Accent3 4 7 3 3" xfId="24373"/>
    <cellStyle name="40% - Accent3 4 7 3 3 2" xfId="24374"/>
    <cellStyle name="40% - Accent3 4 7 3 3 3" xfId="24375"/>
    <cellStyle name="40% - Accent3 4 7 3 4" xfId="24376"/>
    <cellStyle name="40% - Accent3 4 7 3 4 2" xfId="24377"/>
    <cellStyle name="40% - Accent3 4 7 3 5" xfId="24378"/>
    <cellStyle name="40% - Accent3 4 7 3 6" xfId="24379"/>
    <cellStyle name="40% - Accent3 4 7 4" xfId="24380"/>
    <cellStyle name="40% - Accent3 4 7 4 2" xfId="24381"/>
    <cellStyle name="40% - Accent3 4 7 4 2 2" xfId="24382"/>
    <cellStyle name="40% - Accent3 4 7 4 2 3" xfId="24383"/>
    <cellStyle name="40% - Accent3 4 7 4 3" xfId="24384"/>
    <cellStyle name="40% - Accent3 4 7 4 3 2" xfId="24385"/>
    <cellStyle name="40% - Accent3 4 7 4 4" xfId="24386"/>
    <cellStyle name="40% - Accent3 4 7 4 5" xfId="24387"/>
    <cellStyle name="40% - Accent3 4 7 5" xfId="24388"/>
    <cellStyle name="40% - Accent3 4 7 5 2" xfId="24389"/>
    <cellStyle name="40% - Accent3 4 7 5 3" xfId="24390"/>
    <cellStyle name="40% - Accent3 4 7 6" xfId="24391"/>
    <cellStyle name="40% - Accent3 4 7 6 2" xfId="24392"/>
    <cellStyle name="40% - Accent3 4 7 6 3" xfId="24393"/>
    <cellStyle name="40% - Accent3 4 7 7" xfId="24394"/>
    <cellStyle name="40% - Accent3 4 7 7 2" xfId="24395"/>
    <cellStyle name="40% - Accent3 4 7 8" xfId="24396"/>
    <cellStyle name="40% - Accent3 4 7 9" xfId="24397"/>
    <cellStyle name="40% - Accent3 4 8" xfId="24398"/>
    <cellStyle name="40% - Accent3 4 8 2" xfId="24399"/>
    <cellStyle name="40% - Accent3 4 8 2 2" xfId="24400"/>
    <cellStyle name="40% - Accent3 4 8 2 3" xfId="24401"/>
    <cellStyle name="40% - Accent3 4 8 3" xfId="24402"/>
    <cellStyle name="40% - Accent3 4 8 3 2" xfId="24403"/>
    <cellStyle name="40% - Accent3 4 8 3 3" xfId="24404"/>
    <cellStyle name="40% - Accent3 4 8 4" xfId="24405"/>
    <cellStyle name="40% - Accent3 4 8 4 2" xfId="24406"/>
    <cellStyle name="40% - Accent3 4 8 5" xfId="24407"/>
    <cellStyle name="40% - Accent3 4 8 6" xfId="24408"/>
    <cellStyle name="40% - Accent3 4 9" xfId="24409"/>
    <cellStyle name="40% - Accent3 4 9 2" xfId="24410"/>
    <cellStyle name="40% - Accent3 4 9 2 2" xfId="24411"/>
    <cellStyle name="40% - Accent3 4 9 2 3" xfId="24412"/>
    <cellStyle name="40% - Accent3 4 9 3" xfId="24413"/>
    <cellStyle name="40% - Accent3 4 9 3 2" xfId="24414"/>
    <cellStyle name="40% - Accent3 4 9 3 3" xfId="24415"/>
    <cellStyle name="40% - Accent3 4 9 4" xfId="24416"/>
    <cellStyle name="40% - Accent3 4 9 4 2" xfId="24417"/>
    <cellStyle name="40% - Accent3 4 9 5" xfId="24418"/>
    <cellStyle name="40% - Accent3 4 9 6" xfId="24419"/>
    <cellStyle name="40% - Accent3 5" xfId="2028"/>
    <cellStyle name="40% - Accent3 5 2" xfId="2029"/>
    <cellStyle name="40% - Accent3 5 2 2" xfId="2030"/>
    <cellStyle name="40% - Accent3 5 2 2 2" xfId="2031"/>
    <cellStyle name="40% - Accent3 5 2 2 2 2" xfId="2032"/>
    <cellStyle name="40% - Accent3 5 2 2 3" xfId="2033"/>
    <cellStyle name="40% - Accent3 5 2 3" xfId="2034"/>
    <cellStyle name="40% - Accent3 5 2 3 2" xfId="2035"/>
    <cellStyle name="40% - Accent3 5 2 4" xfId="2036"/>
    <cellStyle name="40% - Accent3 5 2 5" xfId="58051"/>
    <cellStyle name="40% - Accent3 5 3" xfId="2037"/>
    <cellStyle name="40% - Accent3 5 3 2" xfId="2038"/>
    <cellStyle name="40% - Accent3 5 3 2 2" xfId="2039"/>
    <cellStyle name="40% - Accent3 5 3 3" xfId="2040"/>
    <cellStyle name="40% - Accent3 5 4" xfId="2041"/>
    <cellStyle name="40% - Accent3 5 4 2" xfId="2042"/>
    <cellStyle name="40% - Accent3 5 5" xfId="2043"/>
    <cellStyle name="40% - Accent3 5 6" xfId="8977"/>
    <cellStyle name="40% - Accent3 6" xfId="2044"/>
    <cellStyle name="40% - Accent3 6 2" xfId="2045"/>
    <cellStyle name="40% - Accent3 6 2 2" xfId="2046"/>
    <cellStyle name="40% - Accent3 6 2 2 2" xfId="2047"/>
    <cellStyle name="40% - Accent3 6 2 3" xfId="2048"/>
    <cellStyle name="40% - Accent3 6 2 4" xfId="58052"/>
    <cellStyle name="40% - Accent3 6 2 5" xfId="58053"/>
    <cellStyle name="40% - Accent3 6 3" xfId="2049"/>
    <cellStyle name="40% - Accent3 6 3 2" xfId="2050"/>
    <cellStyle name="40% - Accent3 6 4" xfId="2051"/>
    <cellStyle name="40% - Accent3 6 5" xfId="58054"/>
    <cellStyle name="40% - Accent3 7" xfId="2052"/>
    <cellStyle name="40% - Accent3 7 2" xfId="2053"/>
    <cellStyle name="40% - Accent3 7 2 2" xfId="2054"/>
    <cellStyle name="40% - Accent3 7 2 2 2" xfId="2055"/>
    <cellStyle name="40% - Accent3 7 2 3" xfId="2056"/>
    <cellStyle name="40% - Accent3 7 3" xfId="2057"/>
    <cellStyle name="40% - Accent3 7 3 2" xfId="2058"/>
    <cellStyle name="40% - Accent3 7 4" xfId="2059"/>
    <cellStyle name="40% - Accent3 7 5" xfId="58055"/>
    <cellStyle name="40% - Accent3 8" xfId="2060"/>
    <cellStyle name="40% - Accent3 8 2" xfId="2061"/>
    <cellStyle name="40% - Accent3 8 2 2" xfId="2062"/>
    <cellStyle name="40% - Accent3 8 2 2 2" xfId="2063"/>
    <cellStyle name="40% - Accent3 8 2 3" xfId="2064"/>
    <cellStyle name="40% - Accent3 8 3" xfId="2065"/>
    <cellStyle name="40% - Accent3 8 3 2" xfId="2066"/>
    <cellStyle name="40% - Accent3 8 4" xfId="2067"/>
    <cellStyle name="40% - Accent3 8 5" xfId="58056"/>
    <cellStyle name="40% - Accent3 9" xfId="2068"/>
    <cellStyle name="40% - Accent3 9 2" xfId="2069"/>
    <cellStyle name="40% - Accent3 9 2 2" xfId="2070"/>
    <cellStyle name="40% - Accent3 9 3" xfId="2071"/>
    <cellStyle name="40% - Accent3 9 4" xfId="58057"/>
    <cellStyle name="40% - Accent4 10" xfId="2072"/>
    <cellStyle name="40% - Accent4 10 2" xfId="2073"/>
    <cellStyle name="40% - Accent4 10 2 2" xfId="2074"/>
    <cellStyle name="40% - Accent4 10 3" xfId="2075"/>
    <cellStyle name="40% - Accent4 10 4" xfId="58058"/>
    <cellStyle name="40% - Accent4 11" xfId="2076"/>
    <cellStyle name="40% - Accent4 11 2" xfId="2077"/>
    <cellStyle name="40% - Accent4 11 2 2" xfId="2078"/>
    <cellStyle name="40% - Accent4 11 3" xfId="2079"/>
    <cellStyle name="40% - Accent4 11 4" xfId="58059"/>
    <cellStyle name="40% - Accent4 12" xfId="2080"/>
    <cellStyle name="40% - Accent4 12 2" xfId="2081"/>
    <cellStyle name="40% - Accent4 12 3" xfId="58060"/>
    <cellStyle name="40% - Accent4 13" xfId="2082"/>
    <cellStyle name="40% - Accent4 13 2" xfId="58061"/>
    <cellStyle name="40% - Accent4 14" xfId="8978"/>
    <cellStyle name="40% - Accent4 15" xfId="9405"/>
    <cellStyle name="40% - Accent4 16" xfId="9406"/>
    <cellStyle name="40% - Accent4 17" xfId="9407"/>
    <cellStyle name="40% - Accent4 17 2" xfId="58062"/>
    <cellStyle name="40% - Accent4 18" xfId="58063"/>
    <cellStyle name="40% - Accent4 19" xfId="58064"/>
    <cellStyle name="40% - Accent4 2" xfId="2083"/>
    <cellStyle name="40% - Accent4 2 2" xfId="2084"/>
    <cellStyle name="40% - Accent4 2 2 2" xfId="2085"/>
    <cellStyle name="40% - Accent4 2 2 2 2" xfId="2086"/>
    <cellStyle name="40% - Accent4 2 2 2 2 2" xfId="2087"/>
    <cellStyle name="40% - Accent4 2 2 2 2 2 2" xfId="2088"/>
    <cellStyle name="40% - Accent4 2 2 2 2 2 2 2" xfId="2089"/>
    <cellStyle name="40% - Accent4 2 2 2 2 2 3" xfId="2090"/>
    <cellStyle name="40% - Accent4 2 2 2 2 3" xfId="2091"/>
    <cellStyle name="40% - Accent4 2 2 2 2 3 2" xfId="2092"/>
    <cellStyle name="40% - Accent4 2 2 2 2 4" xfId="2093"/>
    <cellStyle name="40% - Accent4 2 2 2 2 5" xfId="58065"/>
    <cellStyle name="40% - Accent4 2 2 2 3" xfId="2094"/>
    <cellStyle name="40% - Accent4 2 2 2 3 2" xfId="2095"/>
    <cellStyle name="40% - Accent4 2 2 2 3 2 2" xfId="2096"/>
    <cellStyle name="40% - Accent4 2 2 2 3 3" xfId="2097"/>
    <cellStyle name="40% - Accent4 2 2 2 4" xfId="2098"/>
    <cellStyle name="40% - Accent4 2 2 2 4 2" xfId="2099"/>
    <cellStyle name="40% - Accent4 2 2 2 5" xfId="2100"/>
    <cellStyle name="40% - Accent4 2 2 2 6" xfId="58066"/>
    <cellStyle name="40% - Accent4 2 2 3" xfId="2101"/>
    <cellStyle name="40% - Accent4 2 2 3 2" xfId="2102"/>
    <cellStyle name="40% - Accent4 2 2 3 2 2" xfId="2103"/>
    <cellStyle name="40% - Accent4 2 2 3 2 2 2" xfId="2104"/>
    <cellStyle name="40% - Accent4 2 2 3 2 3" xfId="2105"/>
    <cellStyle name="40% - Accent4 2 2 3 3" xfId="2106"/>
    <cellStyle name="40% - Accent4 2 2 3 3 2" xfId="2107"/>
    <cellStyle name="40% - Accent4 2 2 3 4" xfId="2108"/>
    <cellStyle name="40% - Accent4 2 2 3 5" xfId="58067"/>
    <cellStyle name="40% - Accent4 2 2 4" xfId="2109"/>
    <cellStyle name="40% - Accent4 2 2 4 2" xfId="2110"/>
    <cellStyle name="40% - Accent4 2 2 4 2 2" xfId="2111"/>
    <cellStyle name="40% - Accent4 2 2 4 3" xfId="2112"/>
    <cellStyle name="40% - Accent4 2 2 5" xfId="2113"/>
    <cellStyle name="40% - Accent4 2 2 5 2" xfId="2114"/>
    <cellStyle name="40% - Accent4 2 2 6" xfId="2115"/>
    <cellStyle name="40% - Accent4 2 2 7" xfId="58068"/>
    <cellStyle name="40% - Accent4 2 3" xfId="2116"/>
    <cellStyle name="40% - Accent4 2 3 2" xfId="2117"/>
    <cellStyle name="40% - Accent4 2 3 2 2" xfId="2118"/>
    <cellStyle name="40% - Accent4 2 3 2 2 2" xfId="2119"/>
    <cellStyle name="40% - Accent4 2 3 2 2 2 2" xfId="2120"/>
    <cellStyle name="40% - Accent4 2 3 2 2 3" xfId="2121"/>
    <cellStyle name="40% - Accent4 2 3 2 3" xfId="2122"/>
    <cellStyle name="40% - Accent4 2 3 2 3 2" xfId="2123"/>
    <cellStyle name="40% - Accent4 2 3 2 4" xfId="2124"/>
    <cellStyle name="40% - Accent4 2 3 3" xfId="2125"/>
    <cellStyle name="40% - Accent4 2 3 3 2" xfId="2126"/>
    <cellStyle name="40% - Accent4 2 3 3 2 2" xfId="2127"/>
    <cellStyle name="40% - Accent4 2 3 3 3" xfId="2128"/>
    <cellStyle name="40% - Accent4 2 3 4" xfId="2129"/>
    <cellStyle name="40% - Accent4 2 3 4 2" xfId="2130"/>
    <cellStyle name="40% - Accent4 2 3 5" xfId="2131"/>
    <cellStyle name="40% - Accent4 2 3 6" xfId="58069"/>
    <cellStyle name="40% - Accent4 2 4" xfId="2132"/>
    <cellStyle name="40% - Accent4 2 4 2" xfId="2133"/>
    <cellStyle name="40% - Accent4 2 4 2 2" xfId="2134"/>
    <cellStyle name="40% - Accent4 2 4 2 2 2" xfId="2135"/>
    <cellStyle name="40% - Accent4 2 4 2 3" xfId="2136"/>
    <cellStyle name="40% - Accent4 2 4 3" xfId="2137"/>
    <cellStyle name="40% - Accent4 2 4 3 2" xfId="2138"/>
    <cellStyle name="40% - Accent4 2 4 4" xfId="2139"/>
    <cellStyle name="40% - Accent4 2 4 5" xfId="58070"/>
    <cellStyle name="40% - Accent4 2 5" xfId="2140"/>
    <cellStyle name="40% - Accent4 2 5 2" xfId="2141"/>
    <cellStyle name="40% - Accent4 2 5 2 2" xfId="2142"/>
    <cellStyle name="40% - Accent4 2 5 3" xfId="2143"/>
    <cellStyle name="40% - Accent4 2 5 4" xfId="58071"/>
    <cellStyle name="40% - Accent4 2 6" xfId="2144"/>
    <cellStyle name="40% - Accent4 2 6 2" xfId="2145"/>
    <cellStyle name="40% - Accent4 2 6 3" xfId="58072"/>
    <cellStyle name="40% - Accent4 2 7" xfId="2146"/>
    <cellStyle name="40% - Accent4 2 8" xfId="2147"/>
    <cellStyle name="40% - Accent4 2 9" xfId="58073"/>
    <cellStyle name="40% - Accent4 20" xfId="58074"/>
    <cellStyle name="40% - Accent4 21" xfId="58075"/>
    <cellStyle name="40% - Accent4 3" xfId="2148"/>
    <cellStyle name="40% - Accent4 3 2" xfId="2149"/>
    <cellStyle name="40% - Accent4 3 2 2" xfId="2150"/>
    <cellStyle name="40% - Accent4 3 2 2 2" xfId="2151"/>
    <cellStyle name="40% - Accent4 3 2 2 2 2" xfId="2152"/>
    <cellStyle name="40% - Accent4 3 2 2 2 2 2" xfId="2153"/>
    <cellStyle name="40% - Accent4 3 2 2 2 2 2 2" xfId="2154"/>
    <cellStyle name="40% - Accent4 3 2 2 2 2 3" xfId="2155"/>
    <cellStyle name="40% - Accent4 3 2 2 2 3" xfId="2156"/>
    <cellStyle name="40% - Accent4 3 2 2 2 3 2" xfId="2157"/>
    <cellStyle name="40% - Accent4 3 2 2 2 4" xfId="2158"/>
    <cellStyle name="40% - Accent4 3 2 2 2 5" xfId="8979"/>
    <cellStyle name="40% - Accent4 3 2 2 3" xfId="2159"/>
    <cellStyle name="40% - Accent4 3 2 2 3 2" xfId="2160"/>
    <cellStyle name="40% - Accent4 3 2 2 3 2 2" xfId="2161"/>
    <cellStyle name="40% - Accent4 3 2 2 3 3" xfId="2162"/>
    <cellStyle name="40% - Accent4 3 2 2 4" xfId="2163"/>
    <cellStyle name="40% - Accent4 3 2 2 4 2" xfId="2164"/>
    <cellStyle name="40% - Accent4 3 2 2 5" xfId="2165"/>
    <cellStyle name="40% - Accent4 3 2 2 6" xfId="8980"/>
    <cellStyle name="40% - Accent4 3 2 3" xfId="2166"/>
    <cellStyle name="40% - Accent4 3 2 3 2" xfId="2167"/>
    <cellStyle name="40% - Accent4 3 2 3 2 2" xfId="2168"/>
    <cellStyle name="40% - Accent4 3 2 3 2 2 2" xfId="2169"/>
    <cellStyle name="40% - Accent4 3 2 3 2 3" xfId="2170"/>
    <cellStyle name="40% - Accent4 3 2 3 3" xfId="2171"/>
    <cellStyle name="40% - Accent4 3 2 3 3 2" xfId="2172"/>
    <cellStyle name="40% - Accent4 3 2 3 4" xfId="2173"/>
    <cellStyle name="40% - Accent4 3 2 3 5" xfId="8981"/>
    <cellStyle name="40% - Accent4 3 2 4" xfId="2174"/>
    <cellStyle name="40% - Accent4 3 2 4 2" xfId="2175"/>
    <cellStyle name="40% - Accent4 3 2 4 2 2" xfId="2176"/>
    <cellStyle name="40% - Accent4 3 2 4 3" xfId="2177"/>
    <cellStyle name="40% - Accent4 3 2 5" xfId="2178"/>
    <cellStyle name="40% - Accent4 3 2 5 2" xfId="2179"/>
    <cellStyle name="40% - Accent4 3 2 6" xfId="2180"/>
    <cellStyle name="40% - Accent4 3 2 7" xfId="8982"/>
    <cellStyle name="40% - Accent4 3 3" xfId="2181"/>
    <cellStyle name="40% - Accent4 3 3 2" xfId="2182"/>
    <cellStyle name="40% - Accent4 3 3 2 2" xfId="2183"/>
    <cellStyle name="40% - Accent4 3 3 2 2 2" xfId="2184"/>
    <cellStyle name="40% - Accent4 3 3 2 2 2 2" xfId="2185"/>
    <cellStyle name="40% - Accent4 3 3 2 2 3" xfId="2186"/>
    <cellStyle name="40% - Accent4 3 3 2 3" xfId="2187"/>
    <cellStyle name="40% - Accent4 3 3 2 3 2" xfId="2188"/>
    <cellStyle name="40% - Accent4 3 3 2 4" xfId="2189"/>
    <cellStyle name="40% - Accent4 3 3 2 5" xfId="8983"/>
    <cellStyle name="40% - Accent4 3 3 3" xfId="2190"/>
    <cellStyle name="40% - Accent4 3 3 3 2" xfId="2191"/>
    <cellStyle name="40% - Accent4 3 3 3 2 2" xfId="2192"/>
    <cellStyle name="40% - Accent4 3 3 3 3" xfId="2193"/>
    <cellStyle name="40% - Accent4 3 3 4" xfId="2194"/>
    <cellStyle name="40% - Accent4 3 3 4 2" xfId="2195"/>
    <cellStyle name="40% - Accent4 3 3 5" xfId="2196"/>
    <cellStyle name="40% - Accent4 3 3 6" xfId="8984"/>
    <cellStyle name="40% - Accent4 3 4" xfId="2197"/>
    <cellStyle name="40% - Accent4 3 4 2" xfId="2198"/>
    <cellStyle name="40% - Accent4 3 4 2 2" xfId="2199"/>
    <cellStyle name="40% - Accent4 3 4 2 2 2" xfId="2200"/>
    <cellStyle name="40% - Accent4 3 4 2 3" xfId="2201"/>
    <cellStyle name="40% - Accent4 3 4 3" xfId="2202"/>
    <cellStyle name="40% - Accent4 3 4 3 2" xfId="2203"/>
    <cellStyle name="40% - Accent4 3 4 4" xfId="2204"/>
    <cellStyle name="40% - Accent4 3 4 5" xfId="8985"/>
    <cellStyle name="40% - Accent4 3 5" xfId="2205"/>
    <cellStyle name="40% - Accent4 3 5 2" xfId="2206"/>
    <cellStyle name="40% - Accent4 3 5 2 2" xfId="2207"/>
    <cellStyle name="40% - Accent4 3 5 3" xfId="2208"/>
    <cellStyle name="40% - Accent4 3 6" xfId="2209"/>
    <cellStyle name="40% - Accent4 3 6 2" xfId="2210"/>
    <cellStyle name="40% - Accent4 3 7" xfId="2211"/>
    <cellStyle name="40% - Accent4 3 8" xfId="2212"/>
    <cellStyle name="40% - Accent4 3 9" xfId="8986"/>
    <cellStyle name="40% - Accent4 4" xfId="2213"/>
    <cellStyle name="40% - Accent4 4 10" xfId="24420"/>
    <cellStyle name="40% - Accent4 4 10 2" xfId="24421"/>
    <cellStyle name="40% - Accent4 4 10 2 2" xfId="24422"/>
    <cellStyle name="40% - Accent4 4 10 2 3" xfId="24423"/>
    <cellStyle name="40% - Accent4 4 10 3" xfId="24424"/>
    <cellStyle name="40% - Accent4 4 10 3 2" xfId="24425"/>
    <cellStyle name="40% - Accent4 4 10 4" xfId="24426"/>
    <cellStyle name="40% - Accent4 4 10 5" xfId="24427"/>
    <cellStyle name="40% - Accent4 4 11" xfId="24428"/>
    <cellStyle name="40% - Accent4 4 11 2" xfId="24429"/>
    <cellStyle name="40% - Accent4 4 11 3" xfId="24430"/>
    <cellStyle name="40% - Accent4 4 12" xfId="24431"/>
    <cellStyle name="40% - Accent4 4 12 2" xfId="24432"/>
    <cellStyle name="40% - Accent4 4 12 3" xfId="24433"/>
    <cellStyle name="40% - Accent4 4 13" xfId="24434"/>
    <cellStyle name="40% - Accent4 4 13 2" xfId="24435"/>
    <cellStyle name="40% - Accent4 4 14" xfId="24436"/>
    <cellStyle name="40% - Accent4 4 15" xfId="24437"/>
    <cellStyle name="40% - Accent4 4 16" xfId="24438"/>
    <cellStyle name="40% - Accent4 4 2" xfId="2214"/>
    <cellStyle name="40% - Accent4 4 2 10" xfId="24439"/>
    <cellStyle name="40% - Accent4 4 2 10 2" xfId="24440"/>
    <cellStyle name="40% - Accent4 4 2 10 3" xfId="24441"/>
    <cellStyle name="40% - Accent4 4 2 11" xfId="24442"/>
    <cellStyle name="40% - Accent4 4 2 11 2" xfId="24443"/>
    <cellStyle name="40% - Accent4 4 2 11 3" xfId="24444"/>
    <cellStyle name="40% - Accent4 4 2 12" xfId="24445"/>
    <cellStyle name="40% - Accent4 4 2 12 2" xfId="24446"/>
    <cellStyle name="40% - Accent4 4 2 13" xfId="24447"/>
    <cellStyle name="40% - Accent4 4 2 14" xfId="24448"/>
    <cellStyle name="40% - Accent4 4 2 15" xfId="24449"/>
    <cellStyle name="40% - Accent4 4 2 2" xfId="2215"/>
    <cellStyle name="40% - Accent4 4 2 2 10" xfId="24450"/>
    <cellStyle name="40% - Accent4 4 2 2 10 2" xfId="24451"/>
    <cellStyle name="40% - Accent4 4 2 2 10 3" xfId="24452"/>
    <cellStyle name="40% - Accent4 4 2 2 11" xfId="24453"/>
    <cellStyle name="40% - Accent4 4 2 2 11 2" xfId="24454"/>
    <cellStyle name="40% - Accent4 4 2 2 12" xfId="24455"/>
    <cellStyle name="40% - Accent4 4 2 2 13" xfId="24456"/>
    <cellStyle name="40% - Accent4 4 2 2 2" xfId="2216"/>
    <cellStyle name="40% - Accent4 4 2 2 2 10" xfId="24457"/>
    <cellStyle name="40% - Accent4 4 2 2 2 10 2" xfId="24458"/>
    <cellStyle name="40% - Accent4 4 2 2 2 11" xfId="24459"/>
    <cellStyle name="40% - Accent4 4 2 2 2 12" xfId="24460"/>
    <cellStyle name="40% - Accent4 4 2 2 2 2" xfId="2217"/>
    <cellStyle name="40% - Accent4 4 2 2 2 2 10" xfId="24461"/>
    <cellStyle name="40% - Accent4 4 2 2 2 2 2" xfId="2218"/>
    <cellStyle name="40% - Accent4 4 2 2 2 2 2 2" xfId="24462"/>
    <cellStyle name="40% - Accent4 4 2 2 2 2 2 2 2" xfId="24463"/>
    <cellStyle name="40% - Accent4 4 2 2 2 2 2 2 2 2" xfId="24464"/>
    <cellStyle name="40% - Accent4 4 2 2 2 2 2 2 2 3" xfId="24465"/>
    <cellStyle name="40% - Accent4 4 2 2 2 2 2 2 3" xfId="24466"/>
    <cellStyle name="40% - Accent4 4 2 2 2 2 2 2 3 2" xfId="24467"/>
    <cellStyle name="40% - Accent4 4 2 2 2 2 2 2 3 3" xfId="24468"/>
    <cellStyle name="40% - Accent4 4 2 2 2 2 2 2 4" xfId="24469"/>
    <cellStyle name="40% - Accent4 4 2 2 2 2 2 2 4 2" xfId="24470"/>
    <cellStyle name="40% - Accent4 4 2 2 2 2 2 2 5" xfId="24471"/>
    <cellStyle name="40% - Accent4 4 2 2 2 2 2 2 6" xfId="24472"/>
    <cellStyle name="40% - Accent4 4 2 2 2 2 2 3" xfId="24473"/>
    <cellStyle name="40% - Accent4 4 2 2 2 2 2 3 2" xfId="24474"/>
    <cellStyle name="40% - Accent4 4 2 2 2 2 2 3 2 2" xfId="24475"/>
    <cellStyle name="40% - Accent4 4 2 2 2 2 2 3 2 3" xfId="24476"/>
    <cellStyle name="40% - Accent4 4 2 2 2 2 2 3 3" xfId="24477"/>
    <cellStyle name="40% - Accent4 4 2 2 2 2 2 3 3 2" xfId="24478"/>
    <cellStyle name="40% - Accent4 4 2 2 2 2 2 3 3 3" xfId="24479"/>
    <cellStyle name="40% - Accent4 4 2 2 2 2 2 3 4" xfId="24480"/>
    <cellStyle name="40% - Accent4 4 2 2 2 2 2 3 4 2" xfId="24481"/>
    <cellStyle name="40% - Accent4 4 2 2 2 2 2 3 5" xfId="24482"/>
    <cellStyle name="40% - Accent4 4 2 2 2 2 2 3 6" xfId="24483"/>
    <cellStyle name="40% - Accent4 4 2 2 2 2 2 4" xfId="24484"/>
    <cellStyle name="40% - Accent4 4 2 2 2 2 2 4 2" xfId="24485"/>
    <cellStyle name="40% - Accent4 4 2 2 2 2 2 4 2 2" xfId="24486"/>
    <cellStyle name="40% - Accent4 4 2 2 2 2 2 4 2 3" xfId="24487"/>
    <cellStyle name="40% - Accent4 4 2 2 2 2 2 4 3" xfId="24488"/>
    <cellStyle name="40% - Accent4 4 2 2 2 2 2 4 3 2" xfId="24489"/>
    <cellStyle name="40% - Accent4 4 2 2 2 2 2 4 4" xfId="24490"/>
    <cellStyle name="40% - Accent4 4 2 2 2 2 2 4 5" xfId="24491"/>
    <cellStyle name="40% - Accent4 4 2 2 2 2 2 5" xfId="24492"/>
    <cellStyle name="40% - Accent4 4 2 2 2 2 2 5 2" xfId="24493"/>
    <cellStyle name="40% - Accent4 4 2 2 2 2 2 5 3" xfId="24494"/>
    <cellStyle name="40% - Accent4 4 2 2 2 2 2 6" xfId="24495"/>
    <cellStyle name="40% - Accent4 4 2 2 2 2 2 6 2" xfId="24496"/>
    <cellStyle name="40% - Accent4 4 2 2 2 2 2 6 3" xfId="24497"/>
    <cellStyle name="40% - Accent4 4 2 2 2 2 2 7" xfId="24498"/>
    <cellStyle name="40% - Accent4 4 2 2 2 2 2 7 2" xfId="24499"/>
    <cellStyle name="40% - Accent4 4 2 2 2 2 2 8" xfId="24500"/>
    <cellStyle name="40% - Accent4 4 2 2 2 2 2 9" xfId="24501"/>
    <cellStyle name="40% - Accent4 4 2 2 2 2 3" xfId="24502"/>
    <cellStyle name="40% - Accent4 4 2 2 2 2 3 2" xfId="24503"/>
    <cellStyle name="40% - Accent4 4 2 2 2 2 3 2 2" xfId="24504"/>
    <cellStyle name="40% - Accent4 4 2 2 2 2 3 2 3" xfId="24505"/>
    <cellStyle name="40% - Accent4 4 2 2 2 2 3 3" xfId="24506"/>
    <cellStyle name="40% - Accent4 4 2 2 2 2 3 3 2" xfId="24507"/>
    <cellStyle name="40% - Accent4 4 2 2 2 2 3 3 3" xfId="24508"/>
    <cellStyle name="40% - Accent4 4 2 2 2 2 3 4" xfId="24509"/>
    <cellStyle name="40% - Accent4 4 2 2 2 2 3 4 2" xfId="24510"/>
    <cellStyle name="40% - Accent4 4 2 2 2 2 3 5" xfId="24511"/>
    <cellStyle name="40% - Accent4 4 2 2 2 2 3 6" xfId="24512"/>
    <cellStyle name="40% - Accent4 4 2 2 2 2 4" xfId="24513"/>
    <cellStyle name="40% - Accent4 4 2 2 2 2 4 2" xfId="24514"/>
    <cellStyle name="40% - Accent4 4 2 2 2 2 4 2 2" xfId="24515"/>
    <cellStyle name="40% - Accent4 4 2 2 2 2 4 2 3" xfId="24516"/>
    <cellStyle name="40% - Accent4 4 2 2 2 2 4 3" xfId="24517"/>
    <cellStyle name="40% - Accent4 4 2 2 2 2 4 3 2" xfId="24518"/>
    <cellStyle name="40% - Accent4 4 2 2 2 2 4 3 3" xfId="24519"/>
    <cellStyle name="40% - Accent4 4 2 2 2 2 4 4" xfId="24520"/>
    <cellStyle name="40% - Accent4 4 2 2 2 2 4 4 2" xfId="24521"/>
    <cellStyle name="40% - Accent4 4 2 2 2 2 4 5" xfId="24522"/>
    <cellStyle name="40% - Accent4 4 2 2 2 2 4 6" xfId="24523"/>
    <cellStyle name="40% - Accent4 4 2 2 2 2 5" xfId="24524"/>
    <cellStyle name="40% - Accent4 4 2 2 2 2 5 2" xfId="24525"/>
    <cellStyle name="40% - Accent4 4 2 2 2 2 5 2 2" xfId="24526"/>
    <cellStyle name="40% - Accent4 4 2 2 2 2 5 2 3" xfId="24527"/>
    <cellStyle name="40% - Accent4 4 2 2 2 2 5 3" xfId="24528"/>
    <cellStyle name="40% - Accent4 4 2 2 2 2 5 3 2" xfId="24529"/>
    <cellStyle name="40% - Accent4 4 2 2 2 2 5 4" xfId="24530"/>
    <cellStyle name="40% - Accent4 4 2 2 2 2 5 5" xfId="24531"/>
    <cellStyle name="40% - Accent4 4 2 2 2 2 6" xfId="24532"/>
    <cellStyle name="40% - Accent4 4 2 2 2 2 6 2" xfId="24533"/>
    <cellStyle name="40% - Accent4 4 2 2 2 2 6 3" xfId="24534"/>
    <cellStyle name="40% - Accent4 4 2 2 2 2 7" xfId="24535"/>
    <cellStyle name="40% - Accent4 4 2 2 2 2 7 2" xfId="24536"/>
    <cellStyle name="40% - Accent4 4 2 2 2 2 7 3" xfId="24537"/>
    <cellStyle name="40% - Accent4 4 2 2 2 2 8" xfId="24538"/>
    <cellStyle name="40% - Accent4 4 2 2 2 2 8 2" xfId="24539"/>
    <cellStyle name="40% - Accent4 4 2 2 2 2 9" xfId="24540"/>
    <cellStyle name="40% - Accent4 4 2 2 2 3" xfId="2219"/>
    <cellStyle name="40% - Accent4 4 2 2 2 3 2" xfId="24541"/>
    <cellStyle name="40% - Accent4 4 2 2 2 3 2 2" xfId="24542"/>
    <cellStyle name="40% - Accent4 4 2 2 2 3 2 2 2" xfId="24543"/>
    <cellStyle name="40% - Accent4 4 2 2 2 3 2 2 3" xfId="24544"/>
    <cellStyle name="40% - Accent4 4 2 2 2 3 2 3" xfId="24545"/>
    <cellStyle name="40% - Accent4 4 2 2 2 3 2 3 2" xfId="24546"/>
    <cellStyle name="40% - Accent4 4 2 2 2 3 2 3 3" xfId="24547"/>
    <cellStyle name="40% - Accent4 4 2 2 2 3 2 4" xfId="24548"/>
    <cellStyle name="40% - Accent4 4 2 2 2 3 2 4 2" xfId="24549"/>
    <cellStyle name="40% - Accent4 4 2 2 2 3 2 5" xfId="24550"/>
    <cellStyle name="40% - Accent4 4 2 2 2 3 2 6" xfId="24551"/>
    <cellStyle name="40% - Accent4 4 2 2 2 3 3" xfId="24552"/>
    <cellStyle name="40% - Accent4 4 2 2 2 3 3 2" xfId="24553"/>
    <cellStyle name="40% - Accent4 4 2 2 2 3 3 2 2" xfId="24554"/>
    <cellStyle name="40% - Accent4 4 2 2 2 3 3 2 3" xfId="24555"/>
    <cellStyle name="40% - Accent4 4 2 2 2 3 3 3" xfId="24556"/>
    <cellStyle name="40% - Accent4 4 2 2 2 3 3 3 2" xfId="24557"/>
    <cellStyle name="40% - Accent4 4 2 2 2 3 3 3 3" xfId="24558"/>
    <cellStyle name="40% - Accent4 4 2 2 2 3 3 4" xfId="24559"/>
    <cellStyle name="40% - Accent4 4 2 2 2 3 3 4 2" xfId="24560"/>
    <cellStyle name="40% - Accent4 4 2 2 2 3 3 5" xfId="24561"/>
    <cellStyle name="40% - Accent4 4 2 2 2 3 3 6" xfId="24562"/>
    <cellStyle name="40% - Accent4 4 2 2 2 3 4" xfId="24563"/>
    <cellStyle name="40% - Accent4 4 2 2 2 3 4 2" xfId="24564"/>
    <cellStyle name="40% - Accent4 4 2 2 2 3 4 2 2" xfId="24565"/>
    <cellStyle name="40% - Accent4 4 2 2 2 3 4 2 3" xfId="24566"/>
    <cellStyle name="40% - Accent4 4 2 2 2 3 4 3" xfId="24567"/>
    <cellStyle name="40% - Accent4 4 2 2 2 3 4 3 2" xfId="24568"/>
    <cellStyle name="40% - Accent4 4 2 2 2 3 4 4" xfId="24569"/>
    <cellStyle name="40% - Accent4 4 2 2 2 3 4 5" xfId="24570"/>
    <cellStyle name="40% - Accent4 4 2 2 2 3 5" xfId="24571"/>
    <cellStyle name="40% - Accent4 4 2 2 2 3 5 2" xfId="24572"/>
    <cellStyle name="40% - Accent4 4 2 2 2 3 5 3" xfId="24573"/>
    <cellStyle name="40% - Accent4 4 2 2 2 3 6" xfId="24574"/>
    <cellStyle name="40% - Accent4 4 2 2 2 3 6 2" xfId="24575"/>
    <cellStyle name="40% - Accent4 4 2 2 2 3 6 3" xfId="24576"/>
    <cellStyle name="40% - Accent4 4 2 2 2 3 7" xfId="24577"/>
    <cellStyle name="40% - Accent4 4 2 2 2 3 7 2" xfId="24578"/>
    <cellStyle name="40% - Accent4 4 2 2 2 3 8" xfId="24579"/>
    <cellStyle name="40% - Accent4 4 2 2 2 3 9" xfId="24580"/>
    <cellStyle name="40% - Accent4 4 2 2 2 4" xfId="24581"/>
    <cellStyle name="40% - Accent4 4 2 2 2 4 2" xfId="24582"/>
    <cellStyle name="40% - Accent4 4 2 2 2 4 2 2" xfId="24583"/>
    <cellStyle name="40% - Accent4 4 2 2 2 4 2 2 2" xfId="24584"/>
    <cellStyle name="40% - Accent4 4 2 2 2 4 2 2 3" xfId="24585"/>
    <cellStyle name="40% - Accent4 4 2 2 2 4 2 3" xfId="24586"/>
    <cellStyle name="40% - Accent4 4 2 2 2 4 2 3 2" xfId="24587"/>
    <cellStyle name="40% - Accent4 4 2 2 2 4 2 3 3" xfId="24588"/>
    <cellStyle name="40% - Accent4 4 2 2 2 4 2 4" xfId="24589"/>
    <cellStyle name="40% - Accent4 4 2 2 2 4 2 4 2" xfId="24590"/>
    <cellStyle name="40% - Accent4 4 2 2 2 4 2 5" xfId="24591"/>
    <cellStyle name="40% - Accent4 4 2 2 2 4 2 6" xfId="24592"/>
    <cellStyle name="40% - Accent4 4 2 2 2 4 3" xfId="24593"/>
    <cellStyle name="40% - Accent4 4 2 2 2 4 3 2" xfId="24594"/>
    <cellStyle name="40% - Accent4 4 2 2 2 4 3 2 2" xfId="24595"/>
    <cellStyle name="40% - Accent4 4 2 2 2 4 3 2 3" xfId="24596"/>
    <cellStyle name="40% - Accent4 4 2 2 2 4 3 3" xfId="24597"/>
    <cellStyle name="40% - Accent4 4 2 2 2 4 3 3 2" xfId="24598"/>
    <cellStyle name="40% - Accent4 4 2 2 2 4 3 3 3" xfId="24599"/>
    <cellStyle name="40% - Accent4 4 2 2 2 4 3 4" xfId="24600"/>
    <cellStyle name="40% - Accent4 4 2 2 2 4 3 4 2" xfId="24601"/>
    <cellStyle name="40% - Accent4 4 2 2 2 4 3 5" xfId="24602"/>
    <cellStyle name="40% - Accent4 4 2 2 2 4 3 6" xfId="24603"/>
    <cellStyle name="40% - Accent4 4 2 2 2 4 4" xfId="24604"/>
    <cellStyle name="40% - Accent4 4 2 2 2 4 4 2" xfId="24605"/>
    <cellStyle name="40% - Accent4 4 2 2 2 4 4 2 2" xfId="24606"/>
    <cellStyle name="40% - Accent4 4 2 2 2 4 4 2 3" xfId="24607"/>
    <cellStyle name="40% - Accent4 4 2 2 2 4 4 3" xfId="24608"/>
    <cellStyle name="40% - Accent4 4 2 2 2 4 4 3 2" xfId="24609"/>
    <cellStyle name="40% - Accent4 4 2 2 2 4 4 4" xfId="24610"/>
    <cellStyle name="40% - Accent4 4 2 2 2 4 4 5" xfId="24611"/>
    <cellStyle name="40% - Accent4 4 2 2 2 4 5" xfId="24612"/>
    <cellStyle name="40% - Accent4 4 2 2 2 4 5 2" xfId="24613"/>
    <cellStyle name="40% - Accent4 4 2 2 2 4 5 3" xfId="24614"/>
    <cellStyle name="40% - Accent4 4 2 2 2 4 6" xfId="24615"/>
    <cellStyle name="40% - Accent4 4 2 2 2 4 6 2" xfId="24616"/>
    <cellStyle name="40% - Accent4 4 2 2 2 4 6 3" xfId="24617"/>
    <cellStyle name="40% - Accent4 4 2 2 2 4 7" xfId="24618"/>
    <cellStyle name="40% - Accent4 4 2 2 2 4 7 2" xfId="24619"/>
    <cellStyle name="40% - Accent4 4 2 2 2 4 8" xfId="24620"/>
    <cellStyle name="40% - Accent4 4 2 2 2 4 9" xfId="24621"/>
    <cellStyle name="40% - Accent4 4 2 2 2 5" xfId="24622"/>
    <cellStyle name="40% - Accent4 4 2 2 2 5 2" xfId="24623"/>
    <cellStyle name="40% - Accent4 4 2 2 2 5 2 2" xfId="24624"/>
    <cellStyle name="40% - Accent4 4 2 2 2 5 2 3" xfId="24625"/>
    <cellStyle name="40% - Accent4 4 2 2 2 5 3" xfId="24626"/>
    <cellStyle name="40% - Accent4 4 2 2 2 5 3 2" xfId="24627"/>
    <cellStyle name="40% - Accent4 4 2 2 2 5 3 3" xfId="24628"/>
    <cellStyle name="40% - Accent4 4 2 2 2 5 4" xfId="24629"/>
    <cellStyle name="40% - Accent4 4 2 2 2 5 4 2" xfId="24630"/>
    <cellStyle name="40% - Accent4 4 2 2 2 5 5" xfId="24631"/>
    <cellStyle name="40% - Accent4 4 2 2 2 5 6" xfId="24632"/>
    <cellStyle name="40% - Accent4 4 2 2 2 6" xfId="24633"/>
    <cellStyle name="40% - Accent4 4 2 2 2 6 2" xfId="24634"/>
    <cellStyle name="40% - Accent4 4 2 2 2 6 2 2" xfId="24635"/>
    <cellStyle name="40% - Accent4 4 2 2 2 6 2 3" xfId="24636"/>
    <cellStyle name="40% - Accent4 4 2 2 2 6 3" xfId="24637"/>
    <cellStyle name="40% - Accent4 4 2 2 2 6 3 2" xfId="24638"/>
    <cellStyle name="40% - Accent4 4 2 2 2 6 3 3" xfId="24639"/>
    <cellStyle name="40% - Accent4 4 2 2 2 6 4" xfId="24640"/>
    <cellStyle name="40% - Accent4 4 2 2 2 6 4 2" xfId="24641"/>
    <cellStyle name="40% - Accent4 4 2 2 2 6 5" xfId="24642"/>
    <cellStyle name="40% - Accent4 4 2 2 2 6 6" xfId="24643"/>
    <cellStyle name="40% - Accent4 4 2 2 2 7" xfId="24644"/>
    <cellStyle name="40% - Accent4 4 2 2 2 7 2" xfId="24645"/>
    <cellStyle name="40% - Accent4 4 2 2 2 7 2 2" xfId="24646"/>
    <cellStyle name="40% - Accent4 4 2 2 2 7 2 3" xfId="24647"/>
    <cellStyle name="40% - Accent4 4 2 2 2 7 3" xfId="24648"/>
    <cellStyle name="40% - Accent4 4 2 2 2 7 3 2" xfId="24649"/>
    <cellStyle name="40% - Accent4 4 2 2 2 7 4" xfId="24650"/>
    <cellStyle name="40% - Accent4 4 2 2 2 7 5" xfId="24651"/>
    <cellStyle name="40% - Accent4 4 2 2 2 8" xfId="24652"/>
    <cellStyle name="40% - Accent4 4 2 2 2 8 2" xfId="24653"/>
    <cellStyle name="40% - Accent4 4 2 2 2 8 3" xfId="24654"/>
    <cellStyle name="40% - Accent4 4 2 2 2 9" xfId="24655"/>
    <cellStyle name="40% - Accent4 4 2 2 2 9 2" xfId="24656"/>
    <cellStyle name="40% - Accent4 4 2 2 2 9 3" xfId="24657"/>
    <cellStyle name="40% - Accent4 4 2 2 3" xfId="2220"/>
    <cellStyle name="40% - Accent4 4 2 2 3 10" xfId="24658"/>
    <cellStyle name="40% - Accent4 4 2 2 3 2" xfId="2221"/>
    <cellStyle name="40% - Accent4 4 2 2 3 2 2" xfId="24659"/>
    <cellStyle name="40% - Accent4 4 2 2 3 2 2 2" xfId="24660"/>
    <cellStyle name="40% - Accent4 4 2 2 3 2 2 2 2" xfId="24661"/>
    <cellStyle name="40% - Accent4 4 2 2 3 2 2 2 3" xfId="24662"/>
    <cellStyle name="40% - Accent4 4 2 2 3 2 2 3" xfId="24663"/>
    <cellStyle name="40% - Accent4 4 2 2 3 2 2 3 2" xfId="24664"/>
    <cellStyle name="40% - Accent4 4 2 2 3 2 2 3 3" xfId="24665"/>
    <cellStyle name="40% - Accent4 4 2 2 3 2 2 4" xfId="24666"/>
    <cellStyle name="40% - Accent4 4 2 2 3 2 2 4 2" xfId="24667"/>
    <cellStyle name="40% - Accent4 4 2 2 3 2 2 5" xfId="24668"/>
    <cellStyle name="40% - Accent4 4 2 2 3 2 2 6" xfId="24669"/>
    <cellStyle name="40% - Accent4 4 2 2 3 2 3" xfId="24670"/>
    <cellStyle name="40% - Accent4 4 2 2 3 2 3 2" xfId="24671"/>
    <cellStyle name="40% - Accent4 4 2 2 3 2 3 2 2" xfId="24672"/>
    <cellStyle name="40% - Accent4 4 2 2 3 2 3 2 3" xfId="24673"/>
    <cellStyle name="40% - Accent4 4 2 2 3 2 3 3" xfId="24674"/>
    <cellStyle name="40% - Accent4 4 2 2 3 2 3 3 2" xfId="24675"/>
    <cellStyle name="40% - Accent4 4 2 2 3 2 3 3 3" xfId="24676"/>
    <cellStyle name="40% - Accent4 4 2 2 3 2 3 4" xfId="24677"/>
    <cellStyle name="40% - Accent4 4 2 2 3 2 3 4 2" xfId="24678"/>
    <cellStyle name="40% - Accent4 4 2 2 3 2 3 5" xfId="24679"/>
    <cellStyle name="40% - Accent4 4 2 2 3 2 3 6" xfId="24680"/>
    <cellStyle name="40% - Accent4 4 2 2 3 2 4" xfId="24681"/>
    <cellStyle name="40% - Accent4 4 2 2 3 2 4 2" xfId="24682"/>
    <cellStyle name="40% - Accent4 4 2 2 3 2 4 2 2" xfId="24683"/>
    <cellStyle name="40% - Accent4 4 2 2 3 2 4 2 3" xfId="24684"/>
    <cellStyle name="40% - Accent4 4 2 2 3 2 4 3" xfId="24685"/>
    <cellStyle name="40% - Accent4 4 2 2 3 2 4 3 2" xfId="24686"/>
    <cellStyle name="40% - Accent4 4 2 2 3 2 4 4" xfId="24687"/>
    <cellStyle name="40% - Accent4 4 2 2 3 2 4 5" xfId="24688"/>
    <cellStyle name="40% - Accent4 4 2 2 3 2 5" xfId="24689"/>
    <cellStyle name="40% - Accent4 4 2 2 3 2 5 2" xfId="24690"/>
    <cellStyle name="40% - Accent4 4 2 2 3 2 5 3" xfId="24691"/>
    <cellStyle name="40% - Accent4 4 2 2 3 2 6" xfId="24692"/>
    <cellStyle name="40% - Accent4 4 2 2 3 2 6 2" xfId="24693"/>
    <cellStyle name="40% - Accent4 4 2 2 3 2 6 3" xfId="24694"/>
    <cellStyle name="40% - Accent4 4 2 2 3 2 7" xfId="24695"/>
    <cellStyle name="40% - Accent4 4 2 2 3 2 7 2" xfId="24696"/>
    <cellStyle name="40% - Accent4 4 2 2 3 2 8" xfId="24697"/>
    <cellStyle name="40% - Accent4 4 2 2 3 2 9" xfId="24698"/>
    <cellStyle name="40% - Accent4 4 2 2 3 3" xfId="24699"/>
    <cellStyle name="40% - Accent4 4 2 2 3 3 2" xfId="24700"/>
    <cellStyle name="40% - Accent4 4 2 2 3 3 2 2" xfId="24701"/>
    <cellStyle name="40% - Accent4 4 2 2 3 3 2 3" xfId="24702"/>
    <cellStyle name="40% - Accent4 4 2 2 3 3 3" xfId="24703"/>
    <cellStyle name="40% - Accent4 4 2 2 3 3 3 2" xfId="24704"/>
    <cellStyle name="40% - Accent4 4 2 2 3 3 3 3" xfId="24705"/>
    <cellStyle name="40% - Accent4 4 2 2 3 3 4" xfId="24706"/>
    <cellStyle name="40% - Accent4 4 2 2 3 3 4 2" xfId="24707"/>
    <cellStyle name="40% - Accent4 4 2 2 3 3 5" xfId="24708"/>
    <cellStyle name="40% - Accent4 4 2 2 3 3 6" xfId="24709"/>
    <cellStyle name="40% - Accent4 4 2 2 3 4" xfId="24710"/>
    <cellStyle name="40% - Accent4 4 2 2 3 4 2" xfId="24711"/>
    <cellStyle name="40% - Accent4 4 2 2 3 4 2 2" xfId="24712"/>
    <cellStyle name="40% - Accent4 4 2 2 3 4 2 3" xfId="24713"/>
    <cellStyle name="40% - Accent4 4 2 2 3 4 3" xfId="24714"/>
    <cellStyle name="40% - Accent4 4 2 2 3 4 3 2" xfId="24715"/>
    <cellStyle name="40% - Accent4 4 2 2 3 4 3 3" xfId="24716"/>
    <cellStyle name="40% - Accent4 4 2 2 3 4 4" xfId="24717"/>
    <cellStyle name="40% - Accent4 4 2 2 3 4 4 2" xfId="24718"/>
    <cellStyle name="40% - Accent4 4 2 2 3 4 5" xfId="24719"/>
    <cellStyle name="40% - Accent4 4 2 2 3 4 6" xfId="24720"/>
    <cellStyle name="40% - Accent4 4 2 2 3 5" xfId="24721"/>
    <cellStyle name="40% - Accent4 4 2 2 3 5 2" xfId="24722"/>
    <cellStyle name="40% - Accent4 4 2 2 3 5 2 2" xfId="24723"/>
    <cellStyle name="40% - Accent4 4 2 2 3 5 2 3" xfId="24724"/>
    <cellStyle name="40% - Accent4 4 2 2 3 5 3" xfId="24725"/>
    <cellStyle name="40% - Accent4 4 2 2 3 5 3 2" xfId="24726"/>
    <cellStyle name="40% - Accent4 4 2 2 3 5 4" xfId="24727"/>
    <cellStyle name="40% - Accent4 4 2 2 3 5 5" xfId="24728"/>
    <cellStyle name="40% - Accent4 4 2 2 3 6" xfId="24729"/>
    <cellStyle name="40% - Accent4 4 2 2 3 6 2" xfId="24730"/>
    <cellStyle name="40% - Accent4 4 2 2 3 6 3" xfId="24731"/>
    <cellStyle name="40% - Accent4 4 2 2 3 7" xfId="24732"/>
    <cellStyle name="40% - Accent4 4 2 2 3 7 2" xfId="24733"/>
    <cellStyle name="40% - Accent4 4 2 2 3 7 3" xfId="24734"/>
    <cellStyle name="40% - Accent4 4 2 2 3 8" xfId="24735"/>
    <cellStyle name="40% - Accent4 4 2 2 3 8 2" xfId="24736"/>
    <cellStyle name="40% - Accent4 4 2 2 3 9" xfId="24737"/>
    <cellStyle name="40% - Accent4 4 2 2 4" xfId="2222"/>
    <cellStyle name="40% - Accent4 4 2 2 4 2" xfId="24738"/>
    <cellStyle name="40% - Accent4 4 2 2 4 2 2" xfId="24739"/>
    <cellStyle name="40% - Accent4 4 2 2 4 2 2 2" xfId="24740"/>
    <cellStyle name="40% - Accent4 4 2 2 4 2 2 3" xfId="24741"/>
    <cellStyle name="40% - Accent4 4 2 2 4 2 3" xfId="24742"/>
    <cellStyle name="40% - Accent4 4 2 2 4 2 3 2" xfId="24743"/>
    <cellStyle name="40% - Accent4 4 2 2 4 2 3 3" xfId="24744"/>
    <cellStyle name="40% - Accent4 4 2 2 4 2 4" xfId="24745"/>
    <cellStyle name="40% - Accent4 4 2 2 4 2 4 2" xfId="24746"/>
    <cellStyle name="40% - Accent4 4 2 2 4 2 5" xfId="24747"/>
    <cellStyle name="40% - Accent4 4 2 2 4 2 6" xfId="24748"/>
    <cellStyle name="40% - Accent4 4 2 2 4 3" xfId="24749"/>
    <cellStyle name="40% - Accent4 4 2 2 4 3 2" xfId="24750"/>
    <cellStyle name="40% - Accent4 4 2 2 4 3 2 2" xfId="24751"/>
    <cellStyle name="40% - Accent4 4 2 2 4 3 2 3" xfId="24752"/>
    <cellStyle name="40% - Accent4 4 2 2 4 3 3" xfId="24753"/>
    <cellStyle name="40% - Accent4 4 2 2 4 3 3 2" xfId="24754"/>
    <cellStyle name="40% - Accent4 4 2 2 4 3 3 3" xfId="24755"/>
    <cellStyle name="40% - Accent4 4 2 2 4 3 4" xfId="24756"/>
    <cellStyle name="40% - Accent4 4 2 2 4 3 4 2" xfId="24757"/>
    <cellStyle name="40% - Accent4 4 2 2 4 3 5" xfId="24758"/>
    <cellStyle name="40% - Accent4 4 2 2 4 3 6" xfId="24759"/>
    <cellStyle name="40% - Accent4 4 2 2 4 4" xfId="24760"/>
    <cellStyle name="40% - Accent4 4 2 2 4 4 2" xfId="24761"/>
    <cellStyle name="40% - Accent4 4 2 2 4 4 2 2" xfId="24762"/>
    <cellStyle name="40% - Accent4 4 2 2 4 4 2 3" xfId="24763"/>
    <cellStyle name="40% - Accent4 4 2 2 4 4 3" xfId="24764"/>
    <cellStyle name="40% - Accent4 4 2 2 4 4 3 2" xfId="24765"/>
    <cellStyle name="40% - Accent4 4 2 2 4 4 4" xfId="24766"/>
    <cellStyle name="40% - Accent4 4 2 2 4 4 5" xfId="24767"/>
    <cellStyle name="40% - Accent4 4 2 2 4 5" xfId="24768"/>
    <cellStyle name="40% - Accent4 4 2 2 4 5 2" xfId="24769"/>
    <cellStyle name="40% - Accent4 4 2 2 4 5 3" xfId="24770"/>
    <cellStyle name="40% - Accent4 4 2 2 4 6" xfId="24771"/>
    <cellStyle name="40% - Accent4 4 2 2 4 6 2" xfId="24772"/>
    <cellStyle name="40% - Accent4 4 2 2 4 6 3" xfId="24773"/>
    <cellStyle name="40% - Accent4 4 2 2 4 7" xfId="24774"/>
    <cellStyle name="40% - Accent4 4 2 2 4 7 2" xfId="24775"/>
    <cellStyle name="40% - Accent4 4 2 2 4 8" xfId="24776"/>
    <cellStyle name="40% - Accent4 4 2 2 4 9" xfId="24777"/>
    <cellStyle name="40% - Accent4 4 2 2 5" xfId="24778"/>
    <cellStyle name="40% - Accent4 4 2 2 5 2" xfId="24779"/>
    <cellStyle name="40% - Accent4 4 2 2 5 2 2" xfId="24780"/>
    <cellStyle name="40% - Accent4 4 2 2 5 2 2 2" xfId="24781"/>
    <cellStyle name="40% - Accent4 4 2 2 5 2 2 3" xfId="24782"/>
    <cellStyle name="40% - Accent4 4 2 2 5 2 3" xfId="24783"/>
    <cellStyle name="40% - Accent4 4 2 2 5 2 3 2" xfId="24784"/>
    <cellStyle name="40% - Accent4 4 2 2 5 2 3 3" xfId="24785"/>
    <cellStyle name="40% - Accent4 4 2 2 5 2 4" xfId="24786"/>
    <cellStyle name="40% - Accent4 4 2 2 5 2 4 2" xfId="24787"/>
    <cellStyle name="40% - Accent4 4 2 2 5 2 5" xfId="24788"/>
    <cellStyle name="40% - Accent4 4 2 2 5 2 6" xfId="24789"/>
    <cellStyle name="40% - Accent4 4 2 2 5 3" xfId="24790"/>
    <cellStyle name="40% - Accent4 4 2 2 5 3 2" xfId="24791"/>
    <cellStyle name="40% - Accent4 4 2 2 5 3 2 2" xfId="24792"/>
    <cellStyle name="40% - Accent4 4 2 2 5 3 2 3" xfId="24793"/>
    <cellStyle name="40% - Accent4 4 2 2 5 3 3" xfId="24794"/>
    <cellStyle name="40% - Accent4 4 2 2 5 3 3 2" xfId="24795"/>
    <cellStyle name="40% - Accent4 4 2 2 5 3 3 3" xfId="24796"/>
    <cellStyle name="40% - Accent4 4 2 2 5 3 4" xfId="24797"/>
    <cellStyle name="40% - Accent4 4 2 2 5 3 4 2" xfId="24798"/>
    <cellStyle name="40% - Accent4 4 2 2 5 3 5" xfId="24799"/>
    <cellStyle name="40% - Accent4 4 2 2 5 3 6" xfId="24800"/>
    <cellStyle name="40% - Accent4 4 2 2 5 4" xfId="24801"/>
    <cellStyle name="40% - Accent4 4 2 2 5 4 2" xfId="24802"/>
    <cellStyle name="40% - Accent4 4 2 2 5 4 2 2" xfId="24803"/>
    <cellStyle name="40% - Accent4 4 2 2 5 4 2 3" xfId="24804"/>
    <cellStyle name="40% - Accent4 4 2 2 5 4 3" xfId="24805"/>
    <cellStyle name="40% - Accent4 4 2 2 5 4 3 2" xfId="24806"/>
    <cellStyle name="40% - Accent4 4 2 2 5 4 4" xfId="24807"/>
    <cellStyle name="40% - Accent4 4 2 2 5 4 5" xfId="24808"/>
    <cellStyle name="40% - Accent4 4 2 2 5 5" xfId="24809"/>
    <cellStyle name="40% - Accent4 4 2 2 5 5 2" xfId="24810"/>
    <cellStyle name="40% - Accent4 4 2 2 5 5 3" xfId="24811"/>
    <cellStyle name="40% - Accent4 4 2 2 5 6" xfId="24812"/>
    <cellStyle name="40% - Accent4 4 2 2 5 6 2" xfId="24813"/>
    <cellStyle name="40% - Accent4 4 2 2 5 6 3" xfId="24814"/>
    <cellStyle name="40% - Accent4 4 2 2 5 7" xfId="24815"/>
    <cellStyle name="40% - Accent4 4 2 2 5 7 2" xfId="24816"/>
    <cellStyle name="40% - Accent4 4 2 2 5 8" xfId="24817"/>
    <cellStyle name="40% - Accent4 4 2 2 5 9" xfId="24818"/>
    <cellStyle name="40% - Accent4 4 2 2 6" xfId="24819"/>
    <cellStyle name="40% - Accent4 4 2 2 6 2" xfId="24820"/>
    <cellStyle name="40% - Accent4 4 2 2 6 2 2" xfId="24821"/>
    <cellStyle name="40% - Accent4 4 2 2 6 2 3" xfId="24822"/>
    <cellStyle name="40% - Accent4 4 2 2 6 3" xfId="24823"/>
    <cellStyle name="40% - Accent4 4 2 2 6 3 2" xfId="24824"/>
    <cellStyle name="40% - Accent4 4 2 2 6 3 3" xfId="24825"/>
    <cellStyle name="40% - Accent4 4 2 2 6 4" xfId="24826"/>
    <cellStyle name="40% - Accent4 4 2 2 6 4 2" xfId="24827"/>
    <cellStyle name="40% - Accent4 4 2 2 6 5" xfId="24828"/>
    <cellStyle name="40% - Accent4 4 2 2 6 6" xfId="24829"/>
    <cellStyle name="40% - Accent4 4 2 2 7" xfId="24830"/>
    <cellStyle name="40% - Accent4 4 2 2 7 2" xfId="24831"/>
    <cellStyle name="40% - Accent4 4 2 2 7 2 2" xfId="24832"/>
    <cellStyle name="40% - Accent4 4 2 2 7 2 3" xfId="24833"/>
    <cellStyle name="40% - Accent4 4 2 2 7 3" xfId="24834"/>
    <cellStyle name="40% - Accent4 4 2 2 7 3 2" xfId="24835"/>
    <cellStyle name="40% - Accent4 4 2 2 7 3 3" xfId="24836"/>
    <cellStyle name="40% - Accent4 4 2 2 7 4" xfId="24837"/>
    <cellStyle name="40% - Accent4 4 2 2 7 4 2" xfId="24838"/>
    <cellStyle name="40% - Accent4 4 2 2 7 5" xfId="24839"/>
    <cellStyle name="40% - Accent4 4 2 2 7 6" xfId="24840"/>
    <cellStyle name="40% - Accent4 4 2 2 8" xfId="24841"/>
    <cellStyle name="40% - Accent4 4 2 2 8 2" xfId="24842"/>
    <cellStyle name="40% - Accent4 4 2 2 8 2 2" xfId="24843"/>
    <cellStyle name="40% - Accent4 4 2 2 8 2 3" xfId="24844"/>
    <cellStyle name="40% - Accent4 4 2 2 8 3" xfId="24845"/>
    <cellStyle name="40% - Accent4 4 2 2 8 3 2" xfId="24846"/>
    <cellStyle name="40% - Accent4 4 2 2 8 4" xfId="24847"/>
    <cellStyle name="40% - Accent4 4 2 2 8 5" xfId="24848"/>
    <cellStyle name="40% - Accent4 4 2 2 9" xfId="24849"/>
    <cellStyle name="40% - Accent4 4 2 2 9 2" xfId="24850"/>
    <cellStyle name="40% - Accent4 4 2 2 9 3" xfId="24851"/>
    <cellStyle name="40% - Accent4 4 2 3" xfId="2223"/>
    <cellStyle name="40% - Accent4 4 2 3 10" xfId="24852"/>
    <cellStyle name="40% - Accent4 4 2 3 10 2" xfId="24853"/>
    <cellStyle name="40% - Accent4 4 2 3 11" xfId="24854"/>
    <cellStyle name="40% - Accent4 4 2 3 12" xfId="24855"/>
    <cellStyle name="40% - Accent4 4 2 3 2" xfId="2224"/>
    <cellStyle name="40% - Accent4 4 2 3 2 10" xfId="24856"/>
    <cellStyle name="40% - Accent4 4 2 3 2 2" xfId="2225"/>
    <cellStyle name="40% - Accent4 4 2 3 2 2 2" xfId="24857"/>
    <cellStyle name="40% - Accent4 4 2 3 2 2 2 2" xfId="24858"/>
    <cellStyle name="40% - Accent4 4 2 3 2 2 2 2 2" xfId="24859"/>
    <cellStyle name="40% - Accent4 4 2 3 2 2 2 2 3" xfId="24860"/>
    <cellStyle name="40% - Accent4 4 2 3 2 2 2 3" xfId="24861"/>
    <cellStyle name="40% - Accent4 4 2 3 2 2 2 3 2" xfId="24862"/>
    <cellStyle name="40% - Accent4 4 2 3 2 2 2 3 3" xfId="24863"/>
    <cellStyle name="40% - Accent4 4 2 3 2 2 2 4" xfId="24864"/>
    <cellStyle name="40% - Accent4 4 2 3 2 2 2 4 2" xfId="24865"/>
    <cellStyle name="40% - Accent4 4 2 3 2 2 2 5" xfId="24866"/>
    <cellStyle name="40% - Accent4 4 2 3 2 2 2 6" xfId="24867"/>
    <cellStyle name="40% - Accent4 4 2 3 2 2 3" xfId="24868"/>
    <cellStyle name="40% - Accent4 4 2 3 2 2 3 2" xfId="24869"/>
    <cellStyle name="40% - Accent4 4 2 3 2 2 3 2 2" xfId="24870"/>
    <cellStyle name="40% - Accent4 4 2 3 2 2 3 2 3" xfId="24871"/>
    <cellStyle name="40% - Accent4 4 2 3 2 2 3 3" xfId="24872"/>
    <cellStyle name="40% - Accent4 4 2 3 2 2 3 3 2" xfId="24873"/>
    <cellStyle name="40% - Accent4 4 2 3 2 2 3 3 3" xfId="24874"/>
    <cellStyle name="40% - Accent4 4 2 3 2 2 3 4" xfId="24875"/>
    <cellStyle name="40% - Accent4 4 2 3 2 2 3 4 2" xfId="24876"/>
    <cellStyle name="40% - Accent4 4 2 3 2 2 3 5" xfId="24877"/>
    <cellStyle name="40% - Accent4 4 2 3 2 2 3 6" xfId="24878"/>
    <cellStyle name="40% - Accent4 4 2 3 2 2 4" xfId="24879"/>
    <cellStyle name="40% - Accent4 4 2 3 2 2 4 2" xfId="24880"/>
    <cellStyle name="40% - Accent4 4 2 3 2 2 4 2 2" xfId="24881"/>
    <cellStyle name="40% - Accent4 4 2 3 2 2 4 2 3" xfId="24882"/>
    <cellStyle name="40% - Accent4 4 2 3 2 2 4 3" xfId="24883"/>
    <cellStyle name="40% - Accent4 4 2 3 2 2 4 3 2" xfId="24884"/>
    <cellStyle name="40% - Accent4 4 2 3 2 2 4 4" xfId="24885"/>
    <cellStyle name="40% - Accent4 4 2 3 2 2 4 5" xfId="24886"/>
    <cellStyle name="40% - Accent4 4 2 3 2 2 5" xfId="24887"/>
    <cellStyle name="40% - Accent4 4 2 3 2 2 5 2" xfId="24888"/>
    <cellStyle name="40% - Accent4 4 2 3 2 2 5 3" xfId="24889"/>
    <cellStyle name="40% - Accent4 4 2 3 2 2 6" xfId="24890"/>
    <cellStyle name="40% - Accent4 4 2 3 2 2 6 2" xfId="24891"/>
    <cellStyle name="40% - Accent4 4 2 3 2 2 6 3" xfId="24892"/>
    <cellStyle name="40% - Accent4 4 2 3 2 2 7" xfId="24893"/>
    <cellStyle name="40% - Accent4 4 2 3 2 2 7 2" xfId="24894"/>
    <cellStyle name="40% - Accent4 4 2 3 2 2 8" xfId="24895"/>
    <cellStyle name="40% - Accent4 4 2 3 2 2 9" xfId="24896"/>
    <cellStyle name="40% - Accent4 4 2 3 2 3" xfId="24897"/>
    <cellStyle name="40% - Accent4 4 2 3 2 3 2" xfId="24898"/>
    <cellStyle name="40% - Accent4 4 2 3 2 3 2 2" xfId="24899"/>
    <cellStyle name="40% - Accent4 4 2 3 2 3 2 3" xfId="24900"/>
    <cellStyle name="40% - Accent4 4 2 3 2 3 3" xfId="24901"/>
    <cellStyle name="40% - Accent4 4 2 3 2 3 3 2" xfId="24902"/>
    <cellStyle name="40% - Accent4 4 2 3 2 3 3 3" xfId="24903"/>
    <cellStyle name="40% - Accent4 4 2 3 2 3 4" xfId="24904"/>
    <cellStyle name="40% - Accent4 4 2 3 2 3 4 2" xfId="24905"/>
    <cellStyle name="40% - Accent4 4 2 3 2 3 5" xfId="24906"/>
    <cellStyle name="40% - Accent4 4 2 3 2 3 6" xfId="24907"/>
    <cellStyle name="40% - Accent4 4 2 3 2 4" xfId="24908"/>
    <cellStyle name="40% - Accent4 4 2 3 2 4 2" xfId="24909"/>
    <cellStyle name="40% - Accent4 4 2 3 2 4 2 2" xfId="24910"/>
    <cellStyle name="40% - Accent4 4 2 3 2 4 2 3" xfId="24911"/>
    <cellStyle name="40% - Accent4 4 2 3 2 4 3" xfId="24912"/>
    <cellStyle name="40% - Accent4 4 2 3 2 4 3 2" xfId="24913"/>
    <cellStyle name="40% - Accent4 4 2 3 2 4 3 3" xfId="24914"/>
    <cellStyle name="40% - Accent4 4 2 3 2 4 4" xfId="24915"/>
    <cellStyle name="40% - Accent4 4 2 3 2 4 4 2" xfId="24916"/>
    <cellStyle name="40% - Accent4 4 2 3 2 4 5" xfId="24917"/>
    <cellStyle name="40% - Accent4 4 2 3 2 4 6" xfId="24918"/>
    <cellStyle name="40% - Accent4 4 2 3 2 5" xfId="24919"/>
    <cellStyle name="40% - Accent4 4 2 3 2 5 2" xfId="24920"/>
    <cellStyle name="40% - Accent4 4 2 3 2 5 2 2" xfId="24921"/>
    <cellStyle name="40% - Accent4 4 2 3 2 5 2 3" xfId="24922"/>
    <cellStyle name="40% - Accent4 4 2 3 2 5 3" xfId="24923"/>
    <cellStyle name="40% - Accent4 4 2 3 2 5 3 2" xfId="24924"/>
    <cellStyle name="40% - Accent4 4 2 3 2 5 4" xfId="24925"/>
    <cellStyle name="40% - Accent4 4 2 3 2 5 5" xfId="24926"/>
    <cellStyle name="40% - Accent4 4 2 3 2 6" xfId="24927"/>
    <cellStyle name="40% - Accent4 4 2 3 2 6 2" xfId="24928"/>
    <cellStyle name="40% - Accent4 4 2 3 2 6 3" xfId="24929"/>
    <cellStyle name="40% - Accent4 4 2 3 2 7" xfId="24930"/>
    <cellStyle name="40% - Accent4 4 2 3 2 7 2" xfId="24931"/>
    <cellStyle name="40% - Accent4 4 2 3 2 7 3" xfId="24932"/>
    <cellStyle name="40% - Accent4 4 2 3 2 8" xfId="24933"/>
    <cellStyle name="40% - Accent4 4 2 3 2 8 2" xfId="24934"/>
    <cellStyle name="40% - Accent4 4 2 3 2 9" xfId="24935"/>
    <cellStyle name="40% - Accent4 4 2 3 3" xfId="2226"/>
    <cellStyle name="40% - Accent4 4 2 3 3 2" xfId="24936"/>
    <cellStyle name="40% - Accent4 4 2 3 3 2 2" xfId="24937"/>
    <cellStyle name="40% - Accent4 4 2 3 3 2 2 2" xfId="24938"/>
    <cellStyle name="40% - Accent4 4 2 3 3 2 2 3" xfId="24939"/>
    <cellStyle name="40% - Accent4 4 2 3 3 2 3" xfId="24940"/>
    <cellStyle name="40% - Accent4 4 2 3 3 2 3 2" xfId="24941"/>
    <cellStyle name="40% - Accent4 4 2 3 3 2 3 3" xfId="24942"/>
    <cellStyle name="40% - Accent4 4 2 3 3 2 4" xfId="24943"/>
    <cellStyle name="40% - Accent4 4 2 3 3 2 4 2" xfId="24944"/>
    <cellStyle name="40% - Accent4 4 2 3 3 2 5" xfId="24945"/>
    <cellStyle name="40% - Accent4 4 2 3 3 2 6" xfId="24946"/>
    <cellStyle name="40% - Accent4 4 2 3 3 3" xfId="24947"/>
    <cellStyle name="40% - Accent4 4 2 3 3 3 2" xfId="24948"/>
    <cellStyle name="40% - Accent4 4 2 3 3 3 2 2" xfId="24949"/>
    <cellStyle name="40% - Accent4 4 2 3 3 3 2 3" xfId="24950"/>
    <cellStyle name="40% - Accent4 4 2 3 3 3 3" xfId="24951"/>
    <cellStyle name="40% - Accent4 4 2 3 3 3 3 2" xfId="24952"/>
    <cellStyle name="40% - Accent4 4 2 3 3 3 3 3" xfId="24953"/>
    <cellStyle name="40% - Accent4 4 2 3 3 3 4" xfId="24954"/>
    <cellStyle name="40% - Accent4 4 2 3 3 3 4 2" xfId="24955"/>
    <cellStyle name="40% - Accent4 4 2 3 3 3 5" xfId="24956"/>
    <cellStyle name="40% - Accent4 4 2 3 3 3 6" xfId="24957"/>
    <cellStyle name="40% - Accent4 4 2 3 3 4" xfId="24958"/>
    <cellStyle name="40% - Accent4 4 2 3 3 4 2" xfId="24959"/>
    <cellStyle name="40% - Accent4 4 2 3 3 4 2 2" xfId="24960"/>
    <cellStyle name="40% - Accent4 4 2 3 3 4 2 3" xfId="24961"/>
    <cellStyle name="40% - Accent4 4 2 3 3 4 3" xfId="24962"/>
    <cellStyle name="40% - Accent4 4 2 3 3 4 3 2" xfId="24963"/>
    <cellStyle name="40% - Accent4 4 2 3 3 4 4" xfId="24964"/>
    <cellStyle name="40% - Accent4 4 2 3 3 4 5" xfId="24965"/>
    <cellStyle name="40% - Accent4 4 2 3 3 5" xfId="24966"/>
    <cellStyle name="40% - Accent4 4 2 3 3 5 2" xfId="24967"/>
    <cellStyle name="40% - Accent4 4 2 3 3 5 3" xfId="24968"/>
    <cellStyle name="40% - Accent4 4 2 3 3 6" xfId="24969"/>
    <cellStyle name="40% - Accent4 4 2 3 3 6 2" xfId="24970"/>
    <cellStyle name="40% - Accent4 4 2 3 3 6 3" xfId="24971"/>
    <cellStyle name="40% - Accent4 4 2 3 3 7" xfId="24972"/>
    <cellStyle name="40% - Accent4 4 2 3 3 7 2" xfId="24973"/>
    <cellStyle name="40% - Accent4 4 2 3 3 8" xfId="24974"/>
    <cellStyle name="40% - Accent4 4 2 3 3 9" xfId="24975"/>
    <cellStyle name="40% - Accent4 4 2 3 4" xfId="24976"/>
    <cellStyle name="40% - Accent4 4 2 3 4 2" xfId="24977"/>
    <cellStyle name="40% - Accent4 4 2 3 4 2 2" xfId="24978"/>
    <cellStyle name="40% - Accent4 4 2 3 4 2 2 2" xfId="24979"/>
    <cellStyle name="40% - Accent4 4 2 3 4 2 2 3" xfId="24980"/>
    <cellStyle name="40% - Accent4 4 2 3 4 2 3" xfId="24981"/>
    <cellStyle name="40% - Accent4 4 2 3 4 2 3 2" xfId="24982"/>
    <cellStyle name="40% - Accent4 4 2 3 4 2 3 3" xfId="24983"/>
    <cellStyle name="40% - Accent4 4 2 3 4 2 4" xfId="24984"/>
    <cellStyle name="40% - Accent4 4 2 3 4 2 4 2" xfId="24985"/>
    <cellStyle name="40% - Accent4 4 2 3 4 2 5" xfId="24986"/>
    <cellStyle name="40% - Accent4 4 2 3 4 2 6" xfId="24987"/>
    <cellStyle name="40% - Accent4 4 2 3 4 3" xfId="24988"/>
    <cellStyle name="40% - Accent4 4 2 3 4 3 2" xfId="24989"/>
    <cellStyle name="40% - Accent4 4 2 3 4 3 2 2" xfId="24990"/>
    <cellStyle name="40% - Accent4 4 2 3 4 3 2 3" xfId="24991"/>
    <cellStyle name="40% - Accent4 4 2 3 4 3 3" xfId="24992"/>
    <cellStyle name="40% - Accent4 4 2 3 4 3 3 2" xfId="24993"/>
    <cellStyle name="40% - Accent4 4 2 3 4 3 3 3" xfId="24994"/>
    <cellStyle name="40% - Accent4 4 2 3 4 3 4" xfId="24995"/>
    <cellStyle name="40% - Accent4 4 2 3 4 3 4 2" xfId="24996"/>
    <cellStyle name="40% - Accent4 4 2 3 4 3 5" xfId="24997"/>
    <cellStyle name="40% - Accent4 4 2 3 4 3 6" xfId="24998"/>
    <cellStyle name="40% - Accent4 4 2 3 4 4" xfId="24999"/>
    <cellStyle name="40% - Accent4 4 2 3 4 4 2" xfId="25000"/>
    <cellStyle name="40% - Accent4 4 2 3 4 4 2 2" xfId="25001"/>
    <cellStyle name="40% - Accent4 4 2 3 4 4 2 3" xfId="25002"/>
    <cellStyle name="40% - Accent4 4 2 3 4 4 3" xfId="25003"/>
    <cellStyle name="40% - Accent4 4 2 3 4 4 3 2" xfId="25004"/>
    <cellStyle name="40% - Accent4 4 2 3 4 4 4" xfId="25005"/>
    <cellStyle name="40% - Accent4 4 2 3 4 4 5" xfId="25006"/>
    <cellStyle name="40% - Accent4 4 2 3 4 5" xfId="25007"/>
    <cellStyle name="40% - Accent4 4 2 3 4 5 2" xfId="25008"/>
    <cellStyle name="40% - Accent4 4 2 3 4 5 3" xfId="25009"/>
    <cellStyle name="40% - Accent4 4 2 3 4 6" xfId="25010"/>
    <cellStyle name="40% - Accent4 4 2 3 4 6 2" xfId="25011"/>
    <cellStyle name="40% - Accent4 4 2 3 4 6 3" xfId="25012"/>
    <cellStyle name="40% - Accent4 4 2 3 4 7" xfId="25013"/>
    <cellStyle name="40% - Accent4 4 2 3 4 7 2" xfId="25014"/>
    <cellStyle name="40% - Accent4 4 2 3 4 8" xfId="25015"/>
    <cellStyle name="40% - Accent4 4 2 3 4 9" xfId="25016"/>
    <cellStyle name="40% - Accent4 4 2 3 5" xfId="25017"/>
    <cellStyle name="40% - Accent4 4 2 3 5 2" xfId="25018"/>
    <cellStyle name="40% - Accent4 4 2 3 5 2 2" xfId="25019"/>
    <cellStyle name="40% - Accent4 4 2 3 5 2 3" xfId="25020"/>
    <cellStyle name="40% - Accent4 4 2 3 5 3" xfId="25021"/>
    <cellStyle name="40% - Accent4 4 2 3 5 3 2" xfId="25022"/>
    <cellStyle name="40% - Accent4 4 2 3 5 3 3" xfId="25023"/>
    <cellStyle name="40% - Accent4 4 2 3 5 4" xfId="25024"/>
    <cellStyle name="40% - Accent4 4 2 3 5 4 2" xfId="25025"/>
    <cellStyle name="40% - Accent4 4 2 3 5 5" xfId="25026"/>
    <cellStyle name="40% - Accent4 4 2 3 5 6" xfId="25027"/>
    <cellStyle name="40% - Accent4 4 2 3 6" xfId="25028"/>
    <cellStyle name="40% - Accent4 4 2 3 6 2" xfId="25029"/>
    <cellStyle name="40% - Accent4 4 2 3 6 2 2" xfId="25030"/>
    <cellStyle name="40% - Accent4 4 2 3 6 2 3" xfId="25031"/>
    <cellStyle name="40% - Accent4 4 2 3 6 3" xfId="25032"/>
    <cellStyle name="40% - Accent4 4 2 3 6 3 2" xfId="25033"/>
    <cellStyle name="40% - Accent4 4 2 3 6 3 3" xfId="25034"/>
    <cellStyle name="40% - Accent4 4 2 3 6 4" xfId="25035"/>
    <cellStyle name="40% - Accent4 4 2 3 6 4 2" xfId="25036"/>
    <cellStyle name="40% - Accent4 4 2 3 6 5" xfId="25037"/>
    <cellStyle name="40% - Accent4 4 2 3 6 6" xfId="25038"/>
    <cellStyle name="40% - Accent4 4 2 3 7" xfId="25039"/>
    <cellStyle name="40% - Accent4 4 2 3 7 2" xfId="25040"/>
    <cellStyle name="40% - Accent4 4 2 3 7 2 2" xfId="25041"/>
    <cellStyle name="40% - Accent4 4 2 3 7 2 3" xfId="25042"/>
    <cellStyle name="40% - Accent4 4 2 3 7 3" xfId="25043"/>
    <cellStyle name="40% - Accent4 4 2 3 7 3 2" xfId="25044"/>
    <cellStyle name="40% - Accent4 4 2 3 7 4" xfId="25045"/>
    <cellStyle name="40% - Accent4 4 2 3 7 5" xfId="25046"/>
    <cellStyle name="40% - Accent4 4 2 3 8" xfId="25047"/>
    <cellStyle name="40% - Accent4 4 2 3 8 2" xfId="25048"/>
    <cellStyle name="40% - Accent4 4 2 3 8 3" xfId="25049"/>
    <cellStyle name="40% - Accent4 4 2 3 9" xfId="25050"/>
    <cellStyle name="40% - Accent4 4 2 3 9 2" xfId="25051"/>
    <cellStyle name="40% - Accent4 4 2 3 9 3" xfId="25052"/>
    <cellStyle name="40% - Accent4 4 2 4" xfId="2227"/>
    <cellStyle name="40% - Accent4 4 2 4 10" xfId="25053"/>
    <cellStyle name="40% - Accent4 4 2 4 2" xfId="2228"/>
    <cellStyle name="40% - Accent4 4 2 4 2 2" xfId="25054"/>
    <cellStyle name="40% - Accent4 4 2 4 2 2 2" xfId="25055"/>
    <cellStyle name="40% - Accent4 4 2 4 2 2 2 2" xfId="25056"/>
    <cellStyle name="40% - Accent4 4 2 4 2 2 2 3" xfId="25057"/>
    <cellStyle name="40% - Accent4 4 2 4 2 2 3" xfId="25058"/>
    <cellStyle name="40% - Accent4 4 2 4 2 2 3 2" xfId="25059"/>
    <cellStyle name="40% - Accent4 4 2 4 2 2 3 3" xfId="25060"/>
    <cellStyle name="40% - Accent4 4 2 4 2 2 4" xfId="25061"/>
    <cellStyle name="40% - Accent4 4 2 4 2 2 4 2" xfId="25062"/>
    <cellStyle name="40% - Accent4 4 2 4 2 2 5" xfId="25063"/>
    <cellStyle name="40% - Accent4 4 2 4 2 2 6" xfId="25064"/>
    <cellStyle name="40% - Accent4 4 2 4 2 3" xfId="25065"/>
    <cellStyle name="40% - Accent4 4 2 4 2 3 2" xfId="25066"/>
    <cellStyle name="40% - Accent4 4 2 4 2 3 2 2" xfId="25067"/>
    <cellStyle name="40% - Accent4 4 2 4 2 3 2 3" xfId="25068"/>
    <cellStyle name="40% - Accent4 4 2 4 2 3 3" xfId="25069"/>
    <cellStyle name="40% - Accent4 4 2 4 2 3 3 2" xfId="25070"/>
    <cellStyle name="40% - Accent4 4 2 4 2 3 3 3" xfId="25071"/>
    <cellStyle name="40% - Accent4 4 2 4 2 3 4" xfId="25072"/>
    <cellStyle name="40% - Accent4 4 2 4 2 3 4 2" xfId="25073"/>
    <cellStyle name="40% - Accent4 4 2 4 2 3 5" xfId="25074"/>
    <cellStyle name="40% - Accent4 4 2 4 2 3 6" xfId="25075"/>
    <cellStyle name="40% - Accent4 4 2 4 2 4" xfId="25076"/>
    <cellStyle name="40% - Accent4 4 2 4 2 4 2" xfId="25077"/>
    <cellStyle name="40% - Accent4 4 2 4 2 4 2 2" xfId="25078"/>
    <cellStyle name="40% - Accent4 4 2 4 2 4 2 3" xfId="25079"/>
    <cellStyle name="40% - Accent4 4 2 4 2 4 3" xfId="25080"/>
    <cellStyle name="40% - Accent4 4 2 4 2 4 3 2" xfId="25081"/>
    <cellStyle name="40% - Accent4 4 2 4 2 4 4" xfId="25082"/>
    <cellStyle name="40% - Accent4 4 2 4 2 4 5" xfId="25083"/>
    <cellStyle name="40% - Accent4 4 2 4 2 5" xfId="25084"/>
    <cellStyle name="40% - Accent4 4 2 4 2 5 2" xfId="25085"/>
    <cellStyle name="40% - Accent4 4 2 4 2 5 3" xfId="25086"/>
    <cellStyle name="40% - Accent4 4 2 4 2 6" xfId="25087"/>
    <cellStyle name="40% - Accent4 4 2 4 2 6 2" xfId="25088"/>
    <cellStyle name="40% - Accent4 4 2 4 2 6 3" xfId="25089"/>
    <cellStyle name="40% - Accent4 4 2 4 2 7" xfId="25090"/>
    <cellStyle name="40% - Accent4 4 2 4 2 7 2" xfId="25091"/>
    <cellStyle name="40% - Accent4 4 2 4 2 8" xfId="25092"/>
    <cellStyle name="40% - Accent4 4 2 4 2 9" xfId="25093"/>
    <cellStyle name="40% - Accent4 4 2 4 3" xfId="25094"/>
    <cellStyle name="40% - Accent4 4 2 4 3 2" xfId="25095"/>
    <cellStyle name="40% - Accent4 4 2 4 3 2 2" xfId="25096"/>
    <cellStyle name="40% - Accent4 4 2 4 3 2 3" xfId="25097"/>
    <cellStyle name="40% - Accent4 4 2 4 3 3" xfId="25098"/>
    <cellStyle name="40% - Accent4 4 2 4 3 3 2" xfId="25099"/>
    <cellStyle name="40% - Accent4 4 2 4 3 3 3" xfId="25100"/>
    <cellStyle name="40% - Accent4 4 2 4 3 4" xfId="25101"/>
    <cellStyle name="40% - Accent4 4 2 4 3 4 2" xfId="25102"/>
    <cellStyle name="40% - Accent4 4 2 4 3 5" xfId="25103"/>
    <cellStyle name="40% - Accent4 4 2 4 3 6" xfId="25104"/>
    <cellStyle name="40% - Accent4 4 2 4 4" xfId="25105"/>
    <cellStyle name="40% - Accent4 4 2 4 4 2" xfId="25106"/>
    <cellStyle name="40% - Accent4 4 2 4 4 2 2" xfId="25107"/>
    <cellStyle name="40% - Accent4 4 2 4 4 2 3" xfId="25108"/>
    <cellStyle name="40% - Accent4 4 2 4 4 3" xfId="25109"/>
    <cellStyle name="40% - Accent4 4 2 4 4 3 2" xfId="25110"/>
    <cellStyle name="40% - Accent4 4 2 4 4 3 3" xfId="25111"/>
    <cellStyle name="40% - Accent4 4 2 4 4 4" xfId="25112"/>
    <cellStyle name="40% - Accent4 4 2 4 4 4 2" xfId="25113"/>
    <cellStyle name="40% - Accent4 4 2 4 4 5" xfId="25114"/>
    <cellStyle name="40% - Accent4 4 2 4 4 6" xfId="25115"/>
    <cellStyle name="40% - Accent4 4 2 4 5" xfId="25116"/>
    <cellStyle name="40% - Accent4 4 2 4 5 2" xfId="25117"/>
    <cellStyle name="40% - Accent4 4 2 4 5 2 2" xfId="25118"/>
    <cellStyle name="40% - Accent4 4 2 4 5 2 3" xfId="25119"/>
    <cellStyle name="40% - Accent4 4 2 4 5 3" xfId="25120"/>
    <cellStyle name="40% - Accent4 4 2 4 5 3 2" xfId="25121"/>
    <cellStyle name="40% - Accent4 4 2 4 5 4" xfId="25122"/>
    <cellStyle name="40% - Accent4 4 2 4 5 5" xfId="25123"/>
    <cellStyle name="40% - Accent4 4 2 4 6" xfId="25124"/>
    <cellStyle name="40% - Accent4 4 2 4 6 2" xfId="25125"/>
    <cellStyle name="40% - Accent4 4 2 4 6 3" xfId="25126"/>
    <cellStyle name="40% - Accent4 4 2 4 7" xfId="25127"/>
    <cellStyle name="40% - Accent4 4 2 4 7 2" xfId="25128"/>
    <cellStyle name="40% - Accent4 4 2 4 7 3" xfId="25129"/>
    <cellStyle name="40% - Accent4 4 2 4 8" xfId="25130"/>
    <cellStyle name="40% - Accent4 4 2 4 8 2" xfId="25131"/>
    <cellStyle name="40% - Accent4 4 2 4 9" xfId="25132"/>
    <cellStyle name="40% - Accent4 4 2 5" xfId="2229"/>
    <cellStyle name="40% - Accent4 4 2 5 2" xfId="25133"/>
    <cellStyle name="40% - Accent4 4 2 5 2 2" xfId="25134"/>
    <cellStyle name="40% - Accent4 4 2 5 2 2 2" xfId="25135"/>
    <cellStyle name="40% - Accent4 4 2 5 2 2 3" xfId="25136"/>
    <cellStyle name="40% - Accent4 4 2 5 2 3" xfId="25137"/>
    <cellStyle name="40% - Accent4 4 2 5 2 3 2" xfId="25138"/>
    <cellStyle name="40% - Accent4 4 2 5 2 3 3" xfId="25139"/>
    <cellStyle name="40% - Accent4 4 2 5 2 4" xfId="25140"/>
    <cellStyle name="40% - Accent4 4 2 5 2 4 2" xfId="25141"/>
    <cellStyle name="40% - Accent4 4 2 5 2 5" xfId="25142"/>
    <cellStyle name="40% - Accent4 4 2 5 2 6" xfId="25143"/>
    <cellStyle name="40% - Accent4 4 2 5 3" xfId="25144"/>
    <cellStyle name="40% - Accent4 4 2 5 3 2" xfId="25145"/>
    <cellStyle name="40% - Accent4 4 2 5 3 2 2" xfId="25146"/>
    <cellStyle name="40% - Accent4 4 2 5 3 2 3" xfId="25147"/>
    <cellStyle name="40% - Accent4 4 2 5 3 3" xfId="25148"/>
    <cellStyle name="40% - Accent4 4 2 5 3 3 2" xfId="25149"/>
    <cellStyle name="40% - Accent4 4 2 5 3 3 3" xfId="25150"/>
    <cellStyle name="40% - Accent4 4 2 5 3 4" xfId="25151"/>
    <cellStyle name="40% - Accent4 4 2 5 3 4 2" xfId="25152"/>
    <cellStyle name="40% - Accent4 4 2 5 3 5" xfId="25153"/>
    <cellStyle name="40% - Accent4 4 2 5 3 6" xfId="25154"/>
    <cellStyle name="40% - Accent4 4 2 5 4" xfId="25155"/>
    <cellStyle name="40% - Accent4 4 2 5 4 2" xfId="25156"/>
    <cellStyle name="40% - Accent4 4 2 5 4 2 2" xfId="25157"/>
    <cellStyle name="40% - Accent4 4 2 5 4 2 3" xfId="25158"/>
    <cellStyle name="40% - Accent4 4 2 5 4 3" xfId="25159"/>
    <cellStyle name="40% - Accent4 4 2 5 4 3 2" xfId="25160"/>
    <cellStyle name="40% - Accent4 4 2 5 4 4" xfId="25161"/>
    <cellStyle name="40% - Accent4 4 2 5 4 5" xfId="25162"/>
    <cellStyle name="40% - Accent4 4 2 5 5" xfId="25163"/>
    <cellStyle name="40% - Accent4 4 2 5 5 2" xfId="25164"/>
    <cellStyle name="40% - Accent4 4 2 5 5 3" xfId="25165"/>
    <cellStyle name="40% - Accent4 4 2 5 6" xfId="25166"/>
    <cellStyle name="40% - Accent4 4 2 5 6 2" xfId="25167"/>
    <cellStyle name="40% - Accent4 4 2 5 6 3" xfId="25168"/>
    <cellStyle name="40% - Accent4 4 2 5 7" xfId="25169"/>
    <cellStyle name="40% - Accent4 4 2 5 7 2" xfId="25170"/>
    <cellStyle name="40% - Accent4 4 2 5 8" xfId="25171"/>
    <cellStyle name="40% - Accent4 4 2 5 9" xfId="25172"/>
    <cellStyle name="40% - Accent4 4 2 6" xfId="25173"/>
    <cellStyle name="40% - Accent4 4 2 6 2" xfId="25174"/>
    <cellStyle name="40% - Accent4 4 2 6 2 2" xfId="25175"/>
    <cellStyle name="40% - Accent4 4 2 6 2 2 2" xfId="25176"/>
    <cellStyle name="40% - Accent4 4 2 6 2 2 3" xfId="25177"/>
    <cellStyle name="40% - Accent4 4 2 6 2 3" xfId="25178"/>
    <cellStyle name="40% - Accent4 4 2 6 2 3 2" xfId="25179"/>
    <cellStyle name="40% - Accent4 4 2 6 2 3 3" xfId="25180"/>
    <cellStyle name="40% - Accent4 4 2 6 2 4" xfId="25181"/>
    <cellStyle name="40% - Accent4 4 2 6 2 4 2" xfId="25182"/>
    <cellStyle name="40% - Accent4 4 2 6 2 5" xfId="25183"/>
    <cellStyle name="40% - Accent4 4 2 6 2 6" xfId="25184"/>
    <cellStyle name="40% - Accent4 4 2 6 3" xfId="25185"/>
    <cellStyle name="40% - Accent4 4 2 6 3 2" xfId="25186"/>
    <cellStyle name="40% - Accent4 4 2 6 3 2 2" xfId="25187"/>
    <cellStyle name="40% - Accent4 4 2 6 3 2 3" xfId="25188"/>
    <cellStyle name="40% - Accent4 4 2 6 3 3" xfId="25189"/>
    <cellStyle name="40% - Accent4 4 2 6 3 3 2" xfId="25190"/>
    <cellStyle name="40% - Accent4 4 2 6 3 3 3" xfId="25191"/>
    <cellStyle name="40% - Accent4 4 2 6 3 4" xfId="25192"/>
    <cellStyle name="40% - Accent4 4 2 6 3 4 2" xfId="25193"/>
    <cellStyle name="40% - Accent4 4 2 6 3 5" xfId="25194"/>
    <cellStyle name="40% - Accent4 4 2 6 3 6" xfId="25195"/>
    <cellStyle name="40% - Accent4 4 2 6 4" xfId="25196"/>
    <cellStyle name="40% - Accent4 4 2 6 4 2" xfId="25197"/>
    <cellStyle name="40% - Accent4 4 2 6 4 2 2" xfId="25198"/>
    <cellStyle name="40% - Accent4 4 2 6 4 2 3" xfId="25199"/>
    <cellStyle name="40% - Accent4 4 2 6 4 3" xfId="25200"/>
    <cellStyle name="40% - Accent4 4 2 6 4 3 2" xfId="25201"/>
    <cellStyle name="40% - Accent4 4 2 6 4 4" xfId="25202"/>
    <cellStyle name="40% - Accent4 4 2 6 4 5" xfId="25203"/>
    <cellStyle name="40% - Accent4 4 2 6 5" xfId="25204"/>
    <cellStyle name="40% - Accent4 4 2 6 5 2" xfId="25205"/>
    <cellStyle name="40% - Accent4 4 2 6 5 3" xfId="25206"/>
    <cellStyle name="40% - Accent4 4 2 6 6" xfId="25207"/>
    <cellStyle name="40% - Accent4 4 2 6 6 2" xfId="25208"/>
    <cellStyle name="40% - Accent4 4 2 6 6 3" xfId="25209"/>
    <cellStyle name="40% - Accent4 4 2 6 7" xfId="25210"/>
    <cellStyle name="40% - Accent4 4 2 6 7 2" xfId="25211"/>
    <cellStyle name="40% - Accent4 4 2 6 8" xfId="25212"/>
    <cellStyle name="40% - Accent4 4 2 6 9" xfId="25213"/>
    <cellStyle name="40% - Accent4 4 2 7" xfId="25214"/>
    <cellStyle name="40% - Accent4 4 2 7 2" xfId="25215"/>
    <cellStyle name="40% - Accent4 4 2 7 2 2" xfId="25216"/>
    <cellStyle name="40% - Accent4 4 2 7 2 3" xfId="25217"/>
    <cellStyle name="40% - Accent4 4 2 7 3" xfId="25218"/>
    <cellStyle name="40% - Accent4 4 2 7 3 2" xfId="25219"/>
    <cellStyle name="40% - Accent4 4 2 7 3 3" xfId="25220"/>
    <cellStyle name="40% - Accent4 4 2 7 4" xfId="25221"/>
    <cellStyle name="40% - Accent4 4 2 7 4 2" xfId="25222"/>
    <cellStyle name="40% - Accent4 4 2 7 5" xfId="25223"/>
    <cellStyle name="40% - Accent4 4 2 7 6" xfId="25224"/>
    <cellStyle name="40% - Accent4 4 2 8" xfId="25225"/>
    <cellStyle name="40% - Accent4 4 2 8 2" xfId="25226"/>
    <cellStyle name="40% - Accent4 4 2 8 2 2" xfId="25227"/>
    <cellStyle name="40% - Accent4 4 2 8 2 3" xfId="25228"/>
    <cellStyle name="40% - Accent4 4 2 8 3" xfId="25229"/>
    <cellStyle name="40% - Accent4 4 2 8 3 2" xfId="25230"/>
    <cellStyle name="40% - Accent4 4 2 8 3 3" xfId="25231"/>
    <cellStyle name="40% - Accent4 4 2 8 4" xfId="25232"/>
    <cellStyle name="40% - Accent4 4 2 8 4 2" xfId="25233"/>
    <cellStyle name="40% - Accent4 4 2 8 5" xfId="25234"/>
    <cellStyle name="40% - Accent4 4 2 8 6" xfId="25235"/>
    <cellStyle name="40% - Accent4 4 2 9" xfId="25236"/>
    <cellStyle name="40% - Accent4 4 2 9 2" xfId="25237"/>
    <cellStyle name="40% - Accent4 4 2 9 2 2" xfId="25238"/>
    <cellStyle name="40% - Accent4 4 2 9 2 3" xfId="25239"/>
    <cellStyle name="40% - Accent4 4 2 9 3" xfId="25240"/>
    <cellStyle name="40% - Accent4 4 2 9 3 2" xfId="25241"/>
    <cellStyle name="40% - Accent4 4 2 9 4" xfId="25242"/>
    <cellStyle name="40% - Accent4 4 2 9 5" xfId="25243"/>
    <cellStyle name="40% - Accent4 4 3" xfId="2230"/>
    <cellStyle name="40% - Accent4 4 3 10" xfId="25244"/>
    <cellStyle name="40% - Accent4 4 3 10 2" xfId="25245"/>
    <cellStyle name="40% - Accent4 4 3 10 3" xfId="25246"/>
    <cellStyle name="40% - Accent4 4 3 11" xfId="25247"/>
    <cellStyle name="40% - Accent4 4 3 11 2" xfId="25248"/>
    <cellStyle name="40% - Accent4 4 3 12" xfId="25249"/>
    <cellStyle name="40% - Accent4 4 3 13" xfId="25250"/>
    <cellStyle name="40% - Accent4 4 3 14" xfId="25251"/>
    <cellStyle name="40% - Accent4 4 3 2" xfId="2231"/>
    <cellStyle name="40% - Accent4 4 3 2 10" xfId="25252"/>
    <cellStyle name="40% - Accent4 4 3 2 10 2" xfId="25253"/>
    <cellStyle name="40% - Accent4 4 3 2 11" xfId="25254"/>
    <cellStyle name="40% - Accent4 4 3 2 12" xfId="25255"/>
    <cellStyle name="40% - Accent4 4 3 2 2" xfId="2232"/>
    <cellStyle name="40% - Accent4 4 3 2 2 10" xfId="25256"/>
    <cellStyle name="40% - Accent4 4 3 2 2 2" xfId="2233"/>
    <cellStyle name="40% - Accent4 4 3 2 2 2 2" xfId="25257"/>
    <cellStyle name="40% - Accent4 4 3 2 2 2 2 2" xfId="25258"/>
    <cellStyle name="40% - Accent4 4 3 2 2 2 2 2 2" xfId="25259"/>
    <cellStyle name="40% - Accent4 4 3 2 2 2 2 2 3" xfId="25260"/>
    <cellStyle name="40% - Accent4 4 3 2 2 2 2 3" xfId="25261"/>
    <cellStyle name="40% - Accent4 4 3 2 2 2 2 3 2" xfId="25262"/>
    <cellStyle name="40% - Accent4 4 3 2 2 2 2 3 3" xfId="25263"/>
    <cellStyle name="40% - Accent4 4 3 2 2 2 2 4" xfId="25264"/>
    <cellStyle name="40% - Accent4 4 3 2 2 2 2 4 2" xfId="25265"/>
    <cellStyle name="40% - Accent4 4 3 2 2 2 2 5" xfId="25266"/>
    <cellStyle name="40% - Accent4 4 3 2 2 2 2 6" xfId="25267"/>
    <cellStyle name="40% - Accent4 4 3 2 2 2 3" xfId="25268"/>
    <cellStyle name="40% - Accent4 4 3 2 2 2 3 2" xfId="25269"/>
    <cellStyle name="40% - Accent4 4 3 2 2 2 3 2 2" xfId="25270"/>
    <cellStyle name="40% - Accent4 4 3 2 2 2 3 2 3" xfId="25271"/>
    <cellStyle name="40% - Accent4 4 3 2 2 2 3 3" xfId="25272"/>
    <cellStyle name="40% - Accent4 4 3 2 2 2 3 3 2" xfId="25273"/>
    <cellStyle name="40% - Accent4 4 3 2 2 2 3 3 3" xfId="25274"/>
    <cellStyle name="40% - Accent4 4 3 2 2 2 3 4" xfId="25275"/>
    <cellStyle name="40% - Accent4 4 3 2 2 2 3 4 2" xfId="25276"/>
    <cellStyle name="40% - Accent4 4 3 2 2 2 3 5" xfId="25277"/>
    <cellStyle name="40% - Accent4 4 3 2 2 2 3 6" xfId="25278"/>
    <cellStyle name="40% - Accent4 4 3 2 2 2 4" xfId="25279"/>
    <cellStyle name="40% - Accent4 4 3 2 2 2 4 2" xfId="25280"/>
    <cellStyle name="40% - Accent4 4 3 2 2 2 4 2 2" xfId="25281"/>
    <cellStyle name="40% - Accent4 4 3 2 2 2 4 2 3" xfId="25282"/>
    <cellStyle name="40% - Accent4 4 3 2 2 2 4 3" xfId="25283"/>
    <cellStyle name="40% - Accent4 4 3 2 2 2 4 3 2" xfId="25284"/>
    <cellStyle name="40% - Accent4 4 3 2 2 2 4 4" xfId="25285"/>
    <cellStyle name="40% - Accent4 4 3 2 2 2 4 5" xfId="25286"/>
    <cellStyle name="40% - Accent4 4 3 2 2 2 5" xfId="25287"/>
    <cellStyle name="40% - Accent4 4 3 2 2 2 5 2" xfId="25288"/>
    <cellStyle name="40% - Accent4 4 3 2 2 2 5 3" xfId="25289"/>
    <cellStyle name="40% - Accent4 4 3 2 2 2 6" xfId="25290"/>
    <cellStyle name="40% - Accent4 4 3 2 2 2 6 2" xfId="25291"/>
    <cellStyle name="40% - Accent4 4 3 2 2 2 6 3" xfId="25292"/>
    <cellStyle name="40% - Accent4 4 3 2 2 2 7" xfId="25293"/>
    <cellStyle name="40% - Accent4 4 3 2 2 2 7 2" xfId="25294"/>
    <cellStyle name="40% - Accent4 4 3 2 2 2 8" xfId="25295"/>
    <cellStyle name="40% - Accent4 4 3 2 2 2 9" xfId="25296"/>
    <cellStyle name="40% - Accent4 4 3 2 2 3" xfId="25297"/>
    <cellStyle name="40% - Accent4 4 3 2 2 3 2" xfId="25298"/>
    <cellStyle name="40% - Accent4 4 3 2 2 3 2 2" xfId="25299"/>
    <cellStyle name="40% - Accent4 4 3 2 2 3 2 3" xfId="25300"/>
    <cellStyle name="40% - Accent4 4 3 2 2 3 3" xfId="25301"/>
    <cellStyle name="40% - Accent4 4 3 2 2 3 3 2" xfId="25302"/>
    <cellStyle name="40% - Accent4 4 3 2 2 3 3 3" xfId="25303"/>
    <cellStyle name="40% - Accent4 4 3 2 2 3 4" xfId="25304"/>
    <cellStyle name="40% - Accent4 4 3 2 2 3 4 2" xfId="25305"/>
    <cellStyle name="40% - Accent4 4 3 2 2 3 5" xfId="25306"/>
    <cellStyle name="40% - Accent4 4 3 2 2 3 6" xfId="25307"/>
    <cellStyle name="40% - Accent4 4 3 2 2 4" xfId="25308"/>
    <cellStyle name="40% - Accent4 4 3 2 2 4 2" xfId="25309"/>
    <cellStyle name="40% - Accent4 4 3 2 2 4 2 2" xfId="25310"/>
    <cellStyle name="40% - Accent4 4 3 2 2 4 2 3" xfId="25311"/>
    <cellStyle name="40% - Accent4 4 3 2 2 4 3" xfId="25312"/>
    <cellStyle name="40% - Accent4 4 3 2 2 4 3 2" xfId="25313"/>
    <cellStyle name="40% - Accent4 4 3 2 2 4 3 3" xfId="25314"/>
    <cellStyle name="40% - Accent4 4 3 2 2 4 4" xfId="25315"/>
    <cellStyle name="40% - Accent4 4 3 2 2 4 4 2" xfId="25316"/>
    <cellStyle name="40% - Accent4 4 3 2 2 4 5" xfId="25317"/>
    <cellStyle name="40% - Accent4 4 3 2 2 4 6" xfId="25318"/>
    <cellStyle name="40% - Accent4 4 3 2 2 5" xfId="25319"/>
    <cellStyle name="40% - Accent4 4 3 2 2 5 2" xfId="25320"/>
    <cellStyle name="40% - Accent4 4 3 2 2 5 2 2" xfId="25321"/>
    <cellStyle name="40% - Accent4 4 3 2 2 5 2 3" xfId="25322"/>
    <cellStyle name="40% - Accent4 4 3 2 2 5 3" xfId="25323"/>
    <cellStyle name="40% - Accent4 4 3 2 2 5 3 2" xfId="25324"/>
    <cellStyle name="40% - Accent4 4 3 2 2 5 4" xfId="25325"/>
    <cellStyle name="40% - Accent4 4 3 2 2 5 5" xfId="25326"/>
    <cellStyle name="40% - Accent4 4 3 2 2 6" xfId="25327"/>
    <cellStyle name="40% - Accent4 4 3 2 2 6 2" xfId="25328"/>
    <cellStyle name="40% - Accent4 4 3 2 2 6 3" xfId="25329"/>
    <cellStyle name="40% - Accent4 4 3 2 2 7" xfId="25330"/>
    <cellStyle name="40% - Accent4 4 3 2 2 7 2" xfId="25331"/>
    <cellStyle name="40% - Accent4 4 3 2 2 7 3" xfId="25332"/>
    <cellStyle name="40% - Accent4 4 3 2 2 8" xfId="25333"/>
    <cellStyle name="40% - Accent4 4 3 2 2 8 2" xfId="25334"/>
    <cellStyle name="40% - Accent4 4 3 2 2 9" xfId="25335"/>
    <cellStyle name="40% - Accent4 4 3 2 3" xfId="2234"/>
    <cellStyle name="40% - Accent4 4 3 2 3 2" xfId="25336"/>
    <cellStyle name="40% - Accent4 4 3 2 3 2 2" xfId="25337"/>
    <cellStyle name="40% - Accent4 4 3 2 3 2 2 2" xfId="25338"/>
    <cellStyle name="40% - Accent4 4 3 2 3 2 2 3" xfId="25339"/>
    <cellStyle name="40% - Accent4 4 3 2 3 2 3" xfId="25340"/>
    <cellStyle name="40% - Accent4 4 3 2 3 2 3 2" xfId="25341"/>
    <cellStyle name="40% - Accent4 4 3 2 3 2 3 3" xfId="25342"/>
    <cellStyle name="40% - Accent4 4 3 2 3 2 4" xfId="25343"/>
    <cellStyle name="40% - Accent4 4 3 2 3 2 4 2" xfId="25344"/>
    <cellStyle name="40% - Accent4 4 3 2 3 2 5" xfId="25345"/>
    <cellStyle name="40% - Accent4 4 3 2 3 2 6" xfId="25346"/>
    <cellStyle name="40% - Accent4 4 3 2 3 3" xfId="25347"/>
    <cellStyle name="40% - Accent4 4 3 2 3 3 2" xfId="25348"/>
    <cellStyle name="40% - Accent4 4 3 2 3 3 2 2" xfId="25349"/>
    <cellStyle name="40% - Accent4 4 3 2 3 3 2 3" xfId="25350"/>
    <cellStyle name="40% - Accent4 4 3 2 3 3 3" xfId="25351"/>
    <cellStyle name="40% - Accent4 4 3 2 3 3 3 2" xfId="25352"/>
    <cellStyle name="40% - Accent4 4 3 2 3 3 3 3" xfId="25353"/>
    <cellStyle name="40% - Accent4 4 3 2 3 3 4" xfId="25354"/>
    <cellStyle name="40% - Accent4 4 3 2 3 3 4 2" xfId="25355"/>
    <cellStyle name="40% - Accent4 4 3 2 3 3 5" xfId="25356"/>
    <cellStyle name="40% - Accent4 4 3 2 3 3 6" xfId="25357"/>
    <cellStyle name="40% - Accent4 4 3 2 3 4" xfId="25358"/>
    <cellStyle name="40% - Accent4 4 3 2 3 4 2" xfId="25359"/>
    <cellStyle name="40% - Accent4 4 3 2 3 4 2 2" xfId="25360"/>
    <cellStyle name="40% - Accent4 4 3 2 3 4 2 3" xfId="25361"/>
    <cellStyle name="40% - Accent4 4 3 2 3 4 3" xfId="25362"/>
    <cellStyle name="40% - Accent4 4 3 2 3 4 3 2" xfId="25363"/>
    <cellStyle name="40% - Accent4 4 3 2 3 4 4" xfId="25364"/>
    <cellStyle name="40% - Accent4 4 3 2 3 4 5" xfId="25365"/>
    <cellStyle name="40% - Accent4 4 3 2 3 5" xfId="25366"/>
    <cellStyle name="40% - Accent4 4 3 2 3 5 2" xfId="25367"/>
    <cellStyle name="40% - Accent4 4 3 2 3 5 3" xfId="25368"/>
    <cellStyle name="40% - Accent4 4 3 2 3 6" xfId="25369"/>
    <cellStyle name="40% - Accent4 4 3 2 3 6 2" xfId="25370"/>
    <cellStyle name="40% - Accent4 4 3 2 3 6 3" xfId="25371"/>
    <cellStyle name="40% - Accent4 4 3 2 3 7" xfId="25372"/>
    <cellStyle name="40% - Accent4 4 3 2 3 7 2" xfId="25373"/>
    <cellStyle name="40% - Accent4 4 3 2 3 8" xfId="25374"/>
    <cellStyle name="40% - Accent4 4 3 2 3 9" xfId="25375"/>
    <cellStyle name="40% - Accent4 4 3 2 4" xfId="25376"/>
    <cellStyle name="40% - Accent4 4 3 2 4 2" xfId="25377"/>
    <cellStyle name="40% - Accent4 4 3 2 4 2 2" xfId="25378"/>
    <cellStyle name="40% - Accent4 4 3 2 4 2 2 2" xfId="25379"/>
    <cellStyle name="40% - Accent4 4 3 2 4 2 2 3" xfId="25380"/>
    <cellStyle name="40% - Accent4 4 3 2 4 2 3" xfId="25381"/>
    <cellStyle name="40% - Accent4 4 3 2 4 2 3 2" xfId="25382"/>
    <cellStyle name="40% - Accent4 4 3 2 4 2 3 3" xfId="25383"/>
    <cellStyle name="40% - Accent4 4 3 2 4 2 4" xfId="25384"/>
    <cellStyle name="40% - Accent4 4 3 2 4 2 4 2" xfId="25385"/>
    <cellStyle name="40% - Accent4 4 3 2 4 2 5" xfId="25386"/>
    <cellStyle name="40% - Accent4 4 3 2 4 2 6" xfId="25387"/>
    <cellStyle name="40% - Accent4 4 3 2 4 3" xfId="25388"/>
    <cellStyle name="40% - Accent4 4 3 2 4 3 2" xfId="25389"/>
    <cellStyle name="40% - Accent4 4 3 2 4 3 2 2" xfId="25390"/>
    <cellStyle name="40% - Accent4 4 3 2 4 3 2 3" xfId="25391"/>
    <cellStyle name="40% - Accent4 4 3 2 4 3 3" xfId="25392"/>
    <cellStyle name="40% - Accent4 4 3 2 4 3 3 2" xfId="25393"/>
    <cellStyle name="40% - Accent4 4 3 2 4 3 3 3" xfId="25394"/>
    <cellStyle name="40% - Accent4 4 3 2 4 3 4" xfId="25395"/>
    <cellStyle name="40% - Accent4 4 3 2 4 3 4 2" xfId="25396"/>
    <cellStyle name="40% - Accent4 4 3 2 4 3 5" xfId="25397"/>
    <cellStyle name="40% - Accent4 4 3 2 4 3 6" xfId="25398"/>
    <cellStyle name="40% - Accent4 4 3 2 4 4" xfId="25399"/>
    <cellStyle name="40% - Accent4 4 3 2 4 4 2" xfId="25400"/>
    <cellStyle name="40% - Accent4 4 3 2 4 4 2 2" xfId="25401"/>
    <cellStyle name="40% - Accent4 4 3 2 4 4 2 3" xfId="25402"/>
    <cellStyle name="40% - Accent4 4 3 2 4 4 3" xfId="25403"/>
    <cellStyle name="40% - Accent4 4 3 2 4 4 3 2" xfId="25404"/>
    <cellStyle name="40% - Accent4 4 3 2 4 4 4" xfId="25405"/>
    <cellStyle name="40% - Accent4 4 3 2 4 4 5" xfId="25406"/>
    <cellStyle name="40% - Accent4 4 3 2 4 5" xfId="25407"/>
    <cellStyle name="40% - Accent4 4 3 2 4 5 2" xfId="25408"/>
    <cellStyle name="40% - Accent4 4 3 2 4 5 3" xfId="25409"/>
    <cellStyle name="40% - Accent4 4 3 2 4 6" xfId="25410"/>
    <cellStyle name="40% - Accent4 4 3 2 4 6 2" xfId="25411"/>
    <cellStyle name="40% - Accent4 4 3 2 4 6 3" xfId="25412"/>
    <cellStyle name="40% - Accent4 4 3 2 4 7" xfId="25413"/>
    <cellStyle name="40% - Accent4 4 3 2 4 7 2" xfId="25414"/>
    <cellStyle name="40% - Accent4 4 3 2 4 8" xfId="25415"/>
    <cellStyle name="40% - Accent4 4 3 2 4 9" xfId="25416"/>
    <cellStyle name="40% - Accent4 4 3 2 5" xfId="25417"/>
    <cellStyle name="40% - Accent4 4 3 2 5 2" xfId="25418"/>
    <cellStyle name="40% - Accent4 4 3 2 5 2 2" xfId="25419"/>
    <cellStyle name="40% - Accent4 4 3 2 5 2 3" xfId="25420"/>
    <cellStyle name="40% - Accent4 4 3 2 5 3" xfId="25421"/>
    <cellStyle name="40% - Accent4 4 3 2 5 3 2" xfId="25422"/>
    <cellStyle name="40% - Accent4 4 3 2 5 3 3" xfId="25423"/>
    <cellStyle name="40% - Accent4 4 3 2 5 4" xfId="25424"/>
    <cellStyle name="40% - Accent4 4 3 2 5 4 2" xfId="25425"/>
    <cellStyle name="40% - Accent4 4 3 2 5 5" xfId="25426"/>
    <cellStyle name="40% - Accent4 4 3 2 5 6" xfId="25427"/>
    <cellStyle name="40% - Accent4 4 3 2 6" xfId="25428"/>
    <cellStyle name="40% - Accent4 4 3 2 6 2" xfId="25429"/>
    <cellStyle name="40% - Accent4 4 3 2 6 2 2" xfId="25430"/>
    <cellStyle name="40% - Accent4 4 3 2 6 2 3" xfId="25431"/>
    <cellStyle name="40% - Accent4 4 3 2 6 3" xfId="25432"/>
    <cellStyle name="40% - Accent4 4 3 2 6 3 2" xfId="25433"/>
    <cellStyle name="40% - Accent4 4 3 2 6 3 3" xfId="25434"/>
    <cellStyle name="40% - Accent4 4 3 2 6 4" xfId="25435"/>
    <cellStyle name="40% - Accent4 4 3 2 6 4 2" xfId="25436"/>
    <cellStyle name="40% - Accent4 4 3 2 6 5" xfId="25437"/>
    <cellStyle name="40% - Accent4 4 3 2 6 6" xfId="25438"/>
    <cellStyle name="40% - Accent4 4 3 2 7" xfId="25439"/>
    <cellStyle name="40% - Accent4 4 3 2 7 2" xfId="25440"/>
    <cellStyle name="40% - Accent4 4 3 2 7 2 2" xfId="25441"/>
    <cellStyle name="40% - Accent4 4 3 2 7 2 3" xfId="25442"/>
    <cellStyle name="40% - Accent4 4 3 2 7 3" xfId="25443"/>
    <cellStyle name="40% - Accent4 4 3 2 7 3 2" xfId="25444"/>
    <cellStyle name="40% - Accent4 4 3 2 7 4" xfId="25445"/>
    <cellStyle name="40% - Accent4 4 3 2 7 5" xfId="25446"/>
    <cellStyle name="40% - Accent4 4 3 2 8" xfId="25447"/>
    <cellStyle name="40% - Accent4 4 3 2 8 2" xfId="25448"/>
    <cellStyle name="40% - Accent4 4 3 2 8 3" xfId="25449"/>
    <cellStyle name="40% - Accent4 4 3 2 9" xfId="25450"/>
    <cellStyle name="40% - Accent4 4 3 2 9 2" xfId="25451"/>
    <cellStyle name="40% - Accent4 4 3 2 9 3" xfId="25452"/>
    <cellStyle name="40% - Accent4 4 3 3" xfId="2235"/>
    <cellStyle name="40% - Accent4 4 3 3 10" xfId="25453"/>
    <cellStyle name="40% - Accent4 4 3 3 2" xfId="2236"/>
    <cellStyle name="40% - Accent4 4 3 3 2 2" xfId="25454"/>
    <cellStyle name="40% - Accent4 4 3 3 2 2 2" xfId="25455"/>
    <cellStyle name="40% - Accent4 4 3 3 2 2 2 2" xfId="25456"/>
    <cellStyle name="40% - Accent4 4 3 3 2 2 2 3" xfId="25457"/>
    <cellStyle name="40% - Accent4 4 3 3 2 2 3" xfId="25458"/>
    <cellStyle name="40% - Accent4 4 3 3 2 2 3 2" xfId="25459"/>
    <cellStyle name="40% - Accent4 4 3 3 2 2 3 3" xfId="25460"/>
    <cellStyle name="40% - Accent4 4 3 3 2 2 4" xfId="25461"/>
    <cellStyle name="40% - Accent4 4 3 3 2 2 4 2" xfId="25462"/>
    <cellStyle name="40% - Accent4 4 3 3 2 2 5" xfId="25463"/>
    <cellStyle name="40% - Accent4 4 3 3 2 2 6" xfId="25464"/>
    <cellStyle name="40% - Accent4 4 3 3 2 3" xfId="25465"/>
    <cellStyle name="40% - Accent4 4 3 3 2 3 2" xfId="25466"/>
    <cellStyle name="40% - Accent4 4 3 3 2 3 2 2" xfId="25467"/>
    <cellStyle name="40% - Accent4 4 3 3 2 3 2 3" xfId="25468"/>
    <cellStyle name="40% - Accent4 4 3 3 2 3 3" xfId="25469"/>
    <cellStyle name="40% - Accent4 4 3 3 2 3 3 2" xfId="25470"/>
    <cellStyle name="40% - Accent4 4 3 3 2 3 3 3" xfId="25471"/>
    <cellStyle name="40% - Accent4 4 3 3 2 3 4" xfId="25472"/>
    <cellStyle name="40% - Accent4 4 3 3 2 3 4 2" xfId="25473"/>
    <cellStyle name="40% - Accent4 4 3 3 2 3 5" xfId="25474"/>
    <cellStyle name="40% - Accent4 4 3 3 2 3 6" xfId="25475"/>
    <cellStyle name="40% - Accent4 4 3 3 2 4" xfId="25476"/>
    <cellStyle name="40% - Accent4 4 3 3 2 4 2" xfId="25477"/>
    <cellStyle name="40% - Accent4 4 3 3 2 4 2 2" xfId="25478"/>
    <cellStyle name="40% - Accent4 4 3 3 2 4 2 3" xfId="25479"/>
    <cellStyle name="40% - Accent4 4 3 3 2 4 3" xfId="25480"/>
    <cellStyle name="40% - Accent4 4 3 3 2 4 3 2" xfId="25481"/>
    <cellStyle name="40% - Accent4 4 3 3 2 4 4" xfId="25482"/>
    <cellStyle name="40% - Accent4 4 3 3 2 4 5" xfId="25483"/>
    <cellStyle name="40% - Accent4 4 3 3 2 5" xfId="25484"/>
    <cellStyle name="40% - Accent4 4 3 3 2 5 2" xfId="25485"/>
    <cellStyle name="40% - Accent4 4 3 3 2 5 3" xfId="25486"/>
    <cellStyle name="40% - Accent4 4 3 3 2 6" xfId="25487"/>
    <cellStyle name="40% - Accent4 4 3 3 2 6 2" xfId="25488"/>
    <cellStyle name="40% - Accent4 4 3 3 2 6 3" xfId="25489"/>
    <cellStyle name="40% - Accent4 4 3 3 2 7" xfId="25490"/>
    <cellStyle name="40% - Accent4 4 3 3 2 7 2" xfId="25491"/>
    <cellStyle name="40% - Accent4 4 3 3 2 8" xfId="25492"/>
    <cellStyle name="40% - Accent4 4 3 3 2 9" xfId="25493"/>
    <cellStyle name="40% - Accent4 4 3 3 3" xfId="25494"/>
    <cellStyle name="40% - Accent4 4 3 3 3 2" xfId="25495"/>
    <cellStyle name="40% - Accent4 4 3 3 3 2 2" xfId="25496"/>
    <cellStyle name="40% - Accent4 4 3 3 3 2 3" xfId="25497"/>
    <cellStyle name="40% - Accent4 4 3 3 3 3" xfId="25498"/>
    <cellStyle name="40% - Accent4 4 3 3 3 3 2" xfId="25499"/>
    <cellStyle name="40% - Accent4 4 3 3 3 3 3" xfId="25500"/>
    <cellStyle name="40% - Accent4 4 3 3 3 4" xfId="25501"/>
    <cellStyle name="40% - Accent4 4 3 3 3 4 2" xfId="25502"/>
    <cellStyle name="40% - Accent4 4 3 3 3 5" xfId="25503"/>
    <cellStyle name="40% - Accent4 4 3 3 3 6" xfId="25504"/>
    <cellStyle name="40% - Accent4 4 3 3 4" xfId="25505"/>
    <cellStyle name="40% - Accent4 4 3 3 4 2" xfId="25506"/>
    <cellStyle name="40% - Accent4 4 3 3 4 2 2" xfId="25507"/>
    <cellStyle name="40% - Accent4 4 3 3 4 2 3" xfId="25508"/>
    <cellStyle name="40% - Accent4 4 3 3 4 3" xfId="25509"/>
    <cellStyle name="40% - Accent4 4 3 3 4 3 2" xfId="25510"/>
    <cellStyle name="40% - Accent4 4 3 3 4 3 3" xfId="25511"/>
    <cellStyle name="40% - Accent4 4 3 3 4 4" xfId="25512"/>
    <cellStyle name="40% - Accent4 4 3 3 4 4 2" xfId="25513"/>
    <cellStyle name="40% - Accent4 4 3 3 4 5" xfId="25514"/>
    <cellStyle name="40% - Accent4 4 3 3 4 6" xfId="25515"/>
    <cellStyle name="40% - Accent4 4 3 3 5" xfId="25516"/>
    <cellStyle name="40% - Accent4 4 3 3 5 2" xfId="25517"/>
    <cellStyle name="40% - Accent4 4 3 3 5 2 2" xfId="25518"/>
    <cellStyle name="40% - Accent4 4 3 3 5 2 3" xfId="25519"/>
    <cellStyle name="40% - Accent4 4 3 3 5 3" xfId="25520"/>
    <cellStyle name="40% - Accent4 4 3 3 5 3 2" xfId="25521"/>
    <cellStyle name="40% - Accent4 4 3 3 5 4" xfId="25522"/>
    <cellStyle name="40% - Accent4 4 3 3 5 5" xfId="25523"/>
    <cellStyle name="40% - Accent4 4 3 3 6" xfId="25524"/>
    <cellStyle name="40% - Accent4 4 3 3 6 2" xfId="25525"/>
    <cellStyle name="40% - Accent4 4 3 3 6 3" xfId="25526"/>
    <cellStyle name="40% - Accent4 4 3 3 7" xfId="25527"/>
    <cellStyle name="40% - Accent4 4 3 3 7 2" xfId="25528"/>
    <cellStyle name="40% - Accent4 4 3 3 7 3" xfId="25529"/>
    <cellStyle name="40% - Accent4 4 3 3 8" xfId="25530"/>
    <cellStyle name="40% - Accent4 4 3 3 8 2" xfId="25531"/>
    <cellStyle name="40% - Accent4 4 3 3 9" xfId="25532"/>
    <cellStyle name="40% - Accent4 4 3 4" xfId="2237"/>
    <cellStyle name="40% - Accent4 4 3 4 2" xfId="25533"/>
    <cellStyle name="40% - Accent4 4 3 4 2 2" xfId="25534"/>
    <cellStyle name="40% - Accent4 4 3 4 2 2 2" xfId="25535"/>
    <cellStyle name="40% - Accent4 4 3 4 2 2 3" xfId="25536"/>
    <cellStyle name="40% - Accent4 4 3 4 2 3" xfId="25537"/>
    <cellStyle name="40% - Accent4 4 3 4 2 3 2" xfId="25538"/>
    <cellStyle name="40% - Accent4 4 3 4 2 3 3" xfId="25539"/>
    <cellStyle name="40% - Accent4 4 3 4 2 4" xfId="25540"/>
    <cellStyle name="40% - Accent4 4 3 4 2 4 2" xfId="25541"/>
    <cellStyle name="40% - Accent4 4 3 4 2 5" xfId="25542"/>
    <cellStyle name="40% - Accent4 4 3 4 2 6" xfId="25543"/>
    <cellStyle name="40% - Accent4 4 3 4 3" xfId="25544"/>
    <cellStyle name="40% - Accent4 4 3 4 3 2" xfId="25545"/>
    <cellStyle name="40% - Accent4 4 3 4 3 2 2" xfId="25546"/>
    <cellStyle name="40% - Accent4 4 3 4 3 2 3" xfId="25547"/>
    <cellStyle name="40% - Accent4 4 3 4 3 3" xfId="25548"/>
    <cellStyle name="40% - Accent4 4 3 4 3 3 2" xfId="25549"/>
    <cellStyle name="40% - Accent4 4 3 4 3 3 3" xfId="25550"/>
    <cellStyle name="40% - Accent4 4 3 4 3 4" xfId="25551"/>
    <cellStyle name="40% - Accent4 4 3 4 3 4 2" xfId="25552"/>
    <cellStyle name="40% - Accent4 4 3 4 3 5" xfId="25553"/>
    <cellStyle name="40% - Accent4 4 3 4 3 6" xfId="25554"/>
    <cellStyle name="40% - Accent4 4 3 4 4" xfId="25555"/>
    <cellStyle name="40% - Accent4 4 3 4 4 2" xfId="25556"/>
    <cellStyle name="40% - Accent4 4 3 4 4 2 2" xfId="25557"/>
    <cellStyle name="40% - Accent4 4 3 4 4 2 3" xfId="25558"/>
    <cellStyle name="40% - Accent4 4 3 4 4 3" xfId="25559"/>
    <cellStyle name="40% - Accent4 4 3 4 4 3 2" xfId="25560"/>
    <cellStyle name="40% - Accent4 4 3 4 4 4" xfId="25561"/>
    <cellStyle name="40% - Accent4 4 3 4 4 5" xfId="25562"/>
    <cellStyle name="40% - Accent4 4 3 4 5" xfId="25563"/>
    <cellStyle name="40% - Accent4 4 3 4 5 2" xfId="25564"/>
    <cellStyle name="40% - Accent4 4 3 4 5 3" xfId="25565"/>
    <cellStyle name="40% - Accent4 4 3 4 6" xfId="25566"/>
    <cellStyle name="40% - Accent4 4 3 4 6 2" xfId="25567"/>
    <cellStyle name="40% - Accent4 4 3 4 6 3" xfId="25568"/>
    <cellStyle name="40% - Accent4 4 3 4 7" xfId="25569"/>
    <cellStyle name="40% - Accent4 4 3 4 7 2" xfId="25570"/>
    <cellStyle name="40% - Accent4 4 3 4 8" xfId="25571"/>
    <cellStyle name="40% - Accent4 4 3 4 9" xfId="25572"/>
    <cellStyle name="40% - Accent4 4 3 5" xfId="25573"/>
    <cellStyle name="40% - Accent4 4 3 5 2" xfId="25574"/>
    <cellStyle name="40% - Accent4 4 3 5 2 2" xfId="25575"/>
    <cellStyle name="40% - Accent4 4 3 5 2 2 2" xfId="25576"/>
    <cellStyle name="40% - Accent4 4 3 5 2 2 3" xfId="25577"/>
    <cellStyle name="40% - Accent4 4 3 5 2 3" xfId="25578"/>
    <cellStyle name="40% - Accent4 4 3 5 2 3 2" xfId="25579"/>
    <cellStyle name="40% - Accent4 4 3 5 2 3 3" xfId="25580"/>
    <cellStyle name="40% - Accent4 4 3 5 2 4" xfId="25581"/>
    <cellStyle name="40% - Accent4 4 3 5 2 4 2" xfId="25582"/>
    <cellStyle name="40% - Accent4 4 3 5 2 5" xfId="25583"/>
    <cellStyle name="40% - Accent4 4 3 5 2 6" xfId="25584"/>
    <cellStyle name="40% - Accent4 4 3 5 3" xfId="25585"/>
    <cellStyle name="40% - Accent4 4 3 5 3 2" xfId="25586"/>
    <cellStyle name="40% - Accent4 4 3 5 3 2 2" xfId="25587"/>
    <cellStyle name="40% - Accent4 4 3 5 3 2 3" xfId="25588"/>
    <cellStyle name="40% - Accent4 4 3 5 3 3" xfId="25589"/>
    <cellStyle name="40% - Accent4 4 3 5 3 3 2" xfId="25590"/>
    <cellStyle name="40% - Accent4 4 3 5 3 3 3" xfId="25591"/>
    <cellStyle name="40% - Accent4 4 3 5 3 4" xfId="25592"/>
    <cellStyle name="40% - Accent4 4 3 5 3 4 2" xfId="25593"/>
    <cellStyle name="40% - Accent4 4 3 5 3 5" xfId="25594"/>
    <cellStyle name="40% - Accent4 4 3 5 3 6" xfId="25595"/>
    <cellStyle name="40% - Accent4 4 3 5 4" xfId="25596"/>
    <cellStyle name="40% - Accent4 4 3 5 4 2" xfId="25597"/>
    <cellStyle name="40% - Accent4 4 3 5 4 2 2" xfId="25598"/>
    <cellStyle name="40% - Accent4 4 3 5 4 2 3" xfId="25599"/>
    <cellStyle name="40% - Accent4 4 3 5 4 3" xfId="25600"/>
    <cellStyle name="40% - Accent4 4 3 5 4 3 2" xfId="25601"/>
    <cellStyle name="40% - Accent4 4 3 5 4 4" xfId="25602"/>
    <cellStyle name="40% - Accent4 4 3 5 4 5" xfId="25603"/>
    <cellStyle name="40% - Accent4 4 3 5 5" xfId="25604"/>
    <cellStyle name="40% - Accent4 4 3 5 5 2" xfId="25605"/>
    <cellStyle name="40% - Accent4 4 3 5 5 3" xfId="25606"/>
    <cellStyle name="40% - Accent4 4 3 5 6" xfId="25607"/>
    <cellStyle name="40% - Accent4 4 3 5 6 2" xfId="25608"/>
    <cellStyle name="40% - Accent4 4 3 5 6 3" xfId="25609"/>
    <cellStyle name="40% - Accent4 4 3 5 7" xfId="25610"/>
    <cellStyle name="40% - Accent4 4 3 5 7 2" xfId="25611"/>
    <cellStyle name="40% - Accent4 4 3 5 8" xfId="25612"/>
    <cellStyle name="40% - Accent4 4 3 5 9" xfId="25613"/>
    <cellStyle name="40% - Accent4 4 3 6" xfId="25614"/>
    <cellStyle name="40% - Accent4 4 3 6 2" xfId="25615"/>
    <cellStyle name="40% - Accent4 4 3 6 2 2" xfId="25616"/>
    <cellStyle name="40% - Accent4 4 3 6 2 3" xfId="25617"/>
    <cellStyle name="40% - Accent4 4 3 6 3" xfId="25618"/>
    <cellStyle name="40% - Accent4 4 3 6 3 2" xfId="25619"/>
    <cellStyle name="40% - Accent4 4 3 6 3 3" xfId="25620"/>
    <cellStyle name="40% - Accent4 4 3 6 4" xfId="25621"/>
    <cellStyle name="40% - Accent4 4 3 6 4 2" xfId="25622"/>
    <cellStyle name="40% - Accent4 4 3 6 5" xfId="25623"/>
    <cellStyle name="40% - Accent4 4 3 6 6" xfId="25624"/>
    <cellStyle name="40% - Accent4 4 3 7" xfId="25625"/>
    <cellStyle name="40% - Accent4 4 3 7 2" xfId="25626"/>
    <cellStyle name="40% - Accent4 4 3 7 2 2" xfId="25627"/>
    <cellStyle name="40% - Accent4 4 3 7 2 3" xfId="25628"/>
    <cellStyle name="40% - Accent4 4 3 7 3" xfId="25629"/>
    <cellStyle name="40% - Accent4 4 3 7 3 2" xfId="25630"/>
    <cellStyle name="40% - Accent4 4 3 7 3 3" xfId="25631"/>
    <cellStyle name="40% - Accent4 4 3 7 4" xfId="25632"/>
    <cellStyle name="40% - Accent4 4 3 7 4 2" xfId="25633"/>
    <cellStyle name="40% - Accent4 4 3 7 5" xfId="25634"/>
    <cellStyle name="40% - Accent4 4 3 7 6" xfId="25635"/>
    <cellStyle name="40% - Accent4 4 3 8" xfId="25636"/>
    <cellStyle name="40% - Accent4 4 3 8 2" xfId="25637"/>
    <cellStyle name="40% - Accent4 4 3 8 2 2" xfId="25638"/>
    <cellStyle name="40% - Accent4 4 3 8 2 3" xfId="25639"/>
    <cellStyle name="40% - Accent4 4 3 8 3" xfId="25640"/>
    <cellStyle name="40% - Accent4 4 3 8 3 2" xfId="25641"/>
    <cellStyle name="40% - Accent4 4 3 8 4" xfId="25642"/>
    <cellStyle name="40% - Accent4 4 3 8 5" xfId="25643"/>
    <cellStyle name="40% - Accent4 4 3 9" xfId="25644"/>
    <cellStyle name="40% - Accent4 4 3 9 2" xfId="25645"/>
    <cellStyle name="40% - Accent4 4 3 9 3" xfId="25646"/>
    <cellStyle name="40% - Accent4 4 4" xfId="2238"/>
    <cellStyle name="40% - Accent4 4 4 10" xfId="25647"/>
    <cellStyle name="40% - Accent4 4 4 10 2" xfId="25648"/>
    <cellStyle name="40% - Accent4 4 4 11" xfId="25649"/>
    <cellStyle name="40% - Accent4 4 4 12" xfId="25650"/>
    <cellStyle name="40% - Accent4 4 4 2" xfId="2239"/>
    <cellStyle name="40% - Accent4 4 4 2 10" xfId="25651"/>
    <cellStyle name="40% - Accent4 4 4 2 2" xfId="2240"/>
    <cellStyle name="40% - Accent4 4 4 2 2 2" xfId="25652"/>
    <cellStyle name="40% - Accent4 4 4 2 2 2 2" xfId="25653"/>
    <cellStyle name="40% - Accent4 4 4 2 2 2 2 2" xfId="25654"/>
    <cellStyle name="40% - Accent4 4 4 2 2 2 2 3" xfId="25655"/>
    <cellStyle name="40% - Accent4 4 4 2 2 2 3" xfId="25656"/>
    <cellStyle name="40% - Accent4 4 4 2 2 2 3 2" xfId="25657"/>
    <cellStyle name="40% - Accent4 4 4 2 2 2 3 3" xfId="25658"/>
    <cellStyle name="40% - Accent4 4 4 2 2 2 4" xfId="25659"/>
    <cellStyle name="40% - Accent4 4 4 2 2 2 4 2" xfId="25660"/>
    <cellStyle name="40% - Accent4 4 4 2 2 2 5" xfId="25661"/>
    <cellStyle name="40% - Accent4 4 4 2 2 2 6" xfId="25662"/>
    <cellStyle name="40% - Accent4 4 4 2 2 3" xfId="25663"/>
    <cellStyle name="40% - Accent4 4 4 2 2 3 2" xfId="25664"/>
    <cellStyle name="40% - Accent4 4 4 2 2 3 2 2" xfId="25665"/>
    <cellStyle name="40% - Accent4 4 4 2 2 3 2 3" xfId="25666"/>
    <cellStyle name="40% - Accent4 4 4 2 2 3 3" xfId="25667"/>
    <cellStyle name="40% - Accent4 4 4 2 2 3 3 2" xfId="25668"/>
    <cellStyle name="40% - Accent4 4 4 2 2 3 3 3" xfId="25669"/>
    <cellStyle name="40% - Accent4 4 4 2 2 3 4" xfId="25670"/>
    <cellStyle name="40% - Accent4 4 4 2 2 3 4 2" xfId="25671"/>
    <cellStyle name="40% - Accent4 4 4 2 2 3 5" xfId="25672"/>
    <cellStyle name="40% - Accent4 4 4 2 2 3 6" xfId="25673"/>
    <cellStyle name="40% - Accent4 4 4 2 2 4" xfId="25674"/>
    <cellStyle name="40% - Accent4 4 4 2 2 4 2" xfId="25675"/>
    <cellStyle name="40% - Accent4 4 4 2 2 4 2 2" xfId="25676"/>
    <cellStyle name="40% - Accent4 4 4 2 2 4 2 3" xfId="25677"/>
    <cellStyle name="40% - Accent4 4 4 2 2 4 3" xfId="25678"/>
    <cellStyle name="40% - Accent4 4 4 2 2 4 3 2" xfId="25679"/>
    <cellStyle name="40% - Accent4 4 4 2 2 4 4" xfId="25680"/>
    <cellStyle name="40% - Accent4 4 4 2 2 4 5" xfId="25681"/>
    <cellStyle name="40% - Accent4 4 4 2 2 5" xfId="25682"/>
    <cellStyle name="40% - Accent4 4 4 2 2 5 2" xfId="25683"/>
    <cellStyle name="40% - Accent4 4 4 2 2 5 3" xfId="25684"/>
    <cellStyle name="40% - Accent4 4 4 2 2 6" xfId="25685"/>
    <cellStyle name="40% - Accent4 4 4 2 2 6 2" xfId="25686"/>
    <cellStyle name="40% - Accent4 4 4 2 2 6 3" xfId="25687"/>
    <cellStyle name="40% - Accent4 4 4 2 2 7" xfId="25688"/>
    <cellStyle name="40% - Accent4 4 4 2 2 7 2" xfId="25689"/>
    <cellStyle name="40% - Accent4 4 4 2 2 8" xfId="25690"/>
    <cellStyle name="40% - Accent4 4 4 2 2 9" xfId="25691"/>
    <cellStyle name="40% - Accent4 4 4 2 3" xfId="25692"/>
    <cellStyle name="40% - Accent4 4 4 2 3 2" xfId="25693"/>
    <cellStyle name="40% - Accent4 4 4 2 3 2 2" xfId="25694"/>
    <cellStyle name="40% - Accent4 4 4 2 3 2 3" xfId="25695"/>
    <cellStyle name="40% - Accent4 4 4 2 3 3" xfId="25696"/>
    <cellStyle name="40% - Accent4 4 4 2 3 3 2" xfId="25697"/>
    <cellStyle name="40% - Accent4 4 4 2 3 3 3" xfId="25698"/>
    <cellStyle name="40% - Accent4 4 4 2 3 4" xfId="25699"/>
    <cellStyle name="40% - Accent4 4 4 2 3 4 2" xfId="25700"/>
    <cellStyle name="40% - Accent4 4 4 2 3 5" xfId="25701"/>
    <cellStyle name="40% - Accent4 4 4 2 3 6" xfId="25702"/>
    <cellStyle name="40% - Accent4 4 4 2 4" xfId="25703"/>
    <cellStyle name="40% - Accent4 4 4 2 4 2" xfId="25704"/>
    <cellStyle name="40% - Accent4 4 4 2 4 2 2" xfId="25705"/>
    <cellStyle name="40% - Accent4 4 4 2 4 2 3" xfId="25706"/>
    <cellStyle name="40% - Accent4 4 4 2 4 3" xfId="25707"/>
    <cellStyle name="40% - Accent4 4 4 2 4 3 2" xfId="25708"/>
    <cellStyle name="40% - Accent4 4 4 2 4 3 3" xfId="25709"/>
    <cellStyle name="40% - Accent4 4 4 2 4 4" xfId="25710"/>
    <cellStyle name="40% - Accent4 4 4 2 4 4 2" xfId="25711"/>
    <cellStyle name="40% - Accent4 4 4 2 4 5" xfId="25712"/>
    <cellStyle name="40% - Accent4 4 4 2 4 6" xfId="25713"/>
    <cellStyle name="40% - Accent4 4 4 2 5" xfId="25714"/>
    <cellStyle name="40% - Accent4 4 4 2 5 2" xfId="25715"/>
    <cellStyle name="40% - Accent4 4 4 2 5 2 2" xfId="25716"/>
    <cellStyle name="40% - Accent4 4 4 2 5 2 3" xfId="25717"/>
    <cellStyle name="40% - Accent4 4 4 2 5 3" xfId="25718"/>
    <cellStyle name="40% - Accent4 4 4 2 5 3 2" xfId="25719"/>
    <cellStyle name="40% - Accent4 4 4 2 5 4" xfId="25720"/>
    <cellStyle name="40% - Accent4 4 4 2 5 5" xfId="25721"/>
    <cellStyle name="40% - Accent4 4 4 2 6" xfId="25722"/>
    <cellStyle name="40% - Accent4 4 4 2 6 2" xfId="25723"/>
    <cellStyle name="40% - Accent4 4 4 2 6 3" xfId="25724"/>
    <cellStyle name="40% - Accent4 4 4 2 7" xfId="25725"/>
    <cellStyle name="40% - Accent4 4 4 2 7 2" xfId="25726"/>
    <cellStyle name="40% - Accent4 4 4 2 7 3" xfId="25727"/>
    <cellStyle name="40% - Accent4 4 4 2 8" xfId="25728"/>
    <cellStyle name="40% - Accent4 4 4 2 8 2" xfId="25729"/>
    <cellStyle name="40% - Accent4 4 4 2 9" xfId="25730"/>
    <cellStyle name="40% - Accent4 4 4 3" xfId="2241"/>
    <cellStyle name="40% - Accent4 4 4 3 2" xfId="25731"/>
    <cellStyle name="40% - Accent4 4 4 3 2 2" xfId="25732"/>
    <cellStyle name="40% - Accent4 4 4 3 2 2 2" xfId="25733"/>
    <cellStyle name="40% - Accent4 4 4 3 2 2 3" xfId="25734"/>
    <cellStyle name="40% - Accent4 4 4 3 2 3" xfId="25735"/>
    <cellStyle name="40% - Accent4 4 4 3 2 3 2" xfId="25736"/>
    <cellStyle name="40% - Accent4 4 4 3 2 3 3" xfId="25737"/>
    <cellStyle name="40% - Accent4 4 4 3 2 4" xfId="25738"/>
    <cellStyle name="40% - Accent4 4 4 3 2 4 2" xfId="25739"/>
    <cellStyle name="40% - Accent4 4 4 3 2 5" xfId="25740"/>
    <cellStyle name="40% - Accent4 4 4 3 2 6" xfId="25741"/>
    <cellStyle name="40% - Accent4 4 4 3 3" xfId="25742"/>
    <cellStyle name="40% - Accent4 4 4 3 3 2" xfId="25743"/>
    <cellStyle name="40% - Accent4 4 4 3 3 2 2" xfId="25744"/>
    <cellStyle name="40% - Accent4 4 4 3 3 2 3" xfId="25745"/>
    <cellStyle name="40% - Accent4 4 4 3 3 3" xfId="25746"/>
    <cellStyle name="40% - Accent4 4 4 3 3 3 2" xfId="25747"/>
    <cellStyle name="40% - Accent4 4 4 3 3 3 3" xfId="25748"/>
    <cellStyle name="40% - Accent4 4 4 3 3 4" xfId="25749"/>
    <cellStyle name="40% - Accent4 4 4 3 3 4 2" xfId="25750"/>
    <cellStyle name="40% - Accent4 4 4 3 3 5" xfId="25751"/>
    <cellStyle name="40% - Accent4 4 4 3 3 6" xfId="25752"/>
    <cellStyle name="40% - Accent4 4 4 3 4" xfId="25753"/>
    <cellStyle name="40% - Accent4 4 4 3 4 2" xfId="25754"/>
    <cellStyle name="40% - Accent4 4 4 3 4 2 2" xfId="25755"/>
    <cellStyle name="40% - Accent4 4 4 3 4 2 3" xfId="25756"/>
    <cellStyle name="40% - Accent4 4 4 3 4 3" xfId="25757"/>
    <cellStyle name="40% - Accent4 4 4 3 4 3 2" xfId="25758"/>
    <cellStyle name="40% - Accent4 4 4 3 4 4" xfId="25759"/>
    <cellStyle name="40% - Accent4 4 4 3 4 5" xfId="25760"/>
    <cellStyle name="40% - Accent4 4 4 3 5" xfId="25761"/>
    <cellStyle name="40% - Accent4 4 4 3 5 2" xfId="25762"/>
    <cellStyle name="40% - Accent4 4 4 3 5 3" xfId="25763"/>
    <cellStyle name="40% - Accent4 4 4 3 6" xfId="25764"/>
    <cellStyle name="40% - Accent4 4 4 3 6 2" xfId="25765"/>
    <cellStyle name="40% - Accent4 4 4 3 6 3" xfId="25766"/>
    <cellStyle name="40% - Accent4 4 4 3 7" xfId="25767"/>
    <cellStyle name="40% - Accent4 4 4 3 7 2" xfId="25768"/>
    <cellStyle name="40% - Accent4 4 4 3 8" xfId="25769"/>
    <cellStyle name="40% - Accent4 4 4 3 9" xfId="25770"/>
    <cellStyle name="40% - Accent4 4 4 4" xfId="25771"/>
    <cellStyle name="40% - Accent4 4 4 4 2" xfId="25772"/>
    <cellStyle name="40% - Accent4 4 4 4 2 2" xfId="25773"/>
    <cellStyle name="40% - Accent4 4 4 4 2 2 2" xfId="25774"/>
    <cellStyle name="40% - Accent4 4 4 4 2 2 3" xfId="25775"/>
    <cellStyle name="40% - Accent4 4 4 4 2 3" xfId="25776"/>
    <cellStyle name="40% - Accent4 4 4 4 2 3 2" xfId="25777"/>
    <cellStyle name="40% - Accent4 4 4 4 2 3 3" xfId="25778"/>
    <cellStyle name="40% - Accent4 4 4 4 2 4" xfId="25779"/>
    <cellStyle name="40% - Accent4 4 4 4 2 4 2" xfId="25780"/>
    <cellStyle name="40% - Accent4 4 4 4 2 5" xfId="25781"/>
    <cellStyle name="40% - Accent4 4 4 4 2 6" xfId="25782"/>
    <cellStyle name="40% - Accent4 4 4 4 3" xfId="25783"/>
    <cellStyle name="40% - Accent4 4 4 4 3 2" xfId="25784"/>
    <cellStyle name="40% - Accent4 4 4 4 3 2 2" xfId="25785"/>
    <cellStyle name="40% - Accent4 4 4 4 3 2 3" xfId="25786"/>
    <cellStyle name="40% - Accent4 4 4 4 3 3" xfId="25787"/>
    <cellStyle name="40% - Accent4 4 4 4 3 3 2" xfId="25788"/>
    <cellStyle name="40% - Accent4 4 4 4 3 3 3" xfId="25789"/>
    <cellStyle name="40% - Accent4 4 4 4 3 4" xfId="25790"/>
    <cellStyle name="40% - Accent4 4 4 4 3 4 2" xfId="25791"/>
    <cellStyle name="40% - Accent4 4 4 4 3 5" xfId="25792"/>
    <cellStyle name="40% - Accent4 4 4 4 3 6" xfId="25793"/>
    <cellStyle name="40% - Accent4 4 4 4 4" xfId="25794"/>
    <cellStyle name="40% - Accent4 4 4 4 4 2" xfId="25795"/>
    <cellStyle name="40% - Accent4 4 4 4 4 2 2" xfId="25796"/>
    <cellStyle name="40% - Accent4 4 4 4 4 2 3" xfId="25797"/>
    <cellStyle name="40% - Accent4 4 4 4 4 3" xfId="25798"/>
    <cellStyle name="40% - Accent4 4 4 4 4 3 2" xfId="25799"/>
    <cellStyle name="40% - Accent4 4 4 4 4 4" xfId="25800"/>
    <cellStyle name="40% - Accent4 4 4 4 4 5" xfId="25801"/>
    <cellStyle name="40% - Accent4 4 4 4 5" xfId="25802"/>
    <cellStyle name="40% - Accent4 4 4 4 5 2" xfId="25803"/>
    <cellStyle name="40% - Accent4 4 4 4 5 3" xfId="25804"/>
    <cellStyle name="40% - Accent4 4 4 4 6" xfId="25805"/>
    <cellStyle name="40% - Accent4 4 4 4 6 2" xfId="25806"/>
    <cellStyle name="40% - Accent4 4 4 4 6 3" xfId="25807"/>
    <cellStyle name="40% - Accent4 4 4 4 7" xfId="25808"/>
    <cellStyle name="40% - Accent4 4 4 4 7 2" xfId="25809"/>
    <cellStyle name="40% - Accent4 4 4 4 8" xfId="25810"/>
    <cellStyle name="40% - Accent4 4 4 4 9" xfId="25811"/>
    <cellStyle name="40% - Accent4 4 4 5" xfId="25812"/>
    <cellStyle name="40% - Accent4 4 4 5 2" xfId="25813"/>
    <cellStyle name="40% - Accent4 4 4 5 2 2" xfId="25814"/>
    <cellStyle name="40% - Accent4 4 4 5 2 3" xfId="25815"/>
    <cellStyle name="40% - Accent4 4 4 5 3" xfId="25816"/>
    <cellStyle name="40% - Accent4 4 4 5 3 2" xfId="25817"/>
    <cellStyle name="40% - Accent4 4 4 5 3 3" xfId="25818"/>
    <cellStyle name="40% - Accent4 4 4 5 4" xfId="25819"/>
    <cellStyle name="40% - Accent4 4 4 5 4 2" xfId="25820"/>
    <cellStyle name="40% - Accent4 4 4 5 5" xfId="25821"/>
    <cellStyle name="40% - Accent4 4 4 5 6" xfId="25822"/>
    <cellStyle name="40% - Accent4 4 4 6" xfId="25823"/>
    <cellStyle name="40% - Accent4 4 4 6 2" xfId="25824"/>
    <cellStyle name="40% - Accent4 4 4 6 2 2" xfId="25825"/>
    <cellStyle name="40% - Accent4 4 4 6 2 3" xfId="25826"/>
    <cellStyle name="40% - Accent4 4 4 6 3" xfId="25827"/>
    <cellStyle name="40% - Accent4 4 4 6 3 2" xfId="25828"/>
    <cellStyle name="40% - Accent4 4 4 6 3 3" xfId="25829"/>
    <cellStyle name="40% - Accent4 4 4 6 4" xfId="25830"/>
    <cellStyle name="40% - Accent4 4 4 6 4 2" xfId="25831"/>
    <cellStyle name="40% - Accent4 4 4 6 5" xfId="25832"/>
    <cellStyle name="40% - Accent4 4 4 6 6" xfId="25833"/>
    <cellStyle name="40% - Accent4 4 4 7" xfId="25834"/>
    <cellStyle name="40% - Accent4 4 4 7 2" xfId="25835"/>
    <cellStyle name="40% - Accent4 4 4 7 2 2" xfId="25836"/>
    <cellStyle name="40% - Accent4 4 4 7 2 3" xfId="25837"/>
    <cellStyle name="40% - Accent4 4 4 7 3" xfId="25838"/>
    <cellStyle name="40% - Accent4 4 4 7 3 2" xfId="25839"/>
    <cellStyle name="40% - Accent4 4 4 7 4" xfId="25840"/>
    <cellStyle name="40% - Accent4 4 4 7 5" xfId="25841"/>
    <cellStyle name="40% - Accent4 4 4 8" xfId="25842"/>
    <cellStyle name="40% - Accent4 4 4 8 2" xfId="25843"/>
    <cellStyle name="40% - Accent4 4 4 8 3" xfId="25844"/>
    <cellStyle name="40% - Accent4 4 4 9" xfId="25845"/>
    <cellStyle name="40% - Accent4 4 4 9 2" xfId="25846"/>
    <cellStyle name="40% - Accent4 4 4 9 3" xfId="25847"/>
    <cellStyle name="40% - Accent4 4 5" xfId="2242"/>
    <cellStyle name="40% - Accent4 4 5 10" xfId="25848"/>
    <cellStyle name="40% - Accent4 4 5 2" xfId="2243"/>
    <cellStyle name="40% - Accent4 4 5 2 2" xfId="25849"/>
    <cellStyle name="40% - Accent4 4 5 2 2 2" xfId="25850"/>
    <cellStyle name="40% - Accent4 4 5 2 2 2 2" xfId="25851"/>
    <cellStyle name="40% - Accent4 4 5 2 2 2 3" xfId="25852"/>
    <cellStyle name="40% - Accent4 4 5 2 2 3" xfId="25853"/>
    <cellStyle name="40% - Accent4 4 5 2 2 3 2" xfId="25854"/>
    <cellStyle name="40% - Accent4 4 5 2 2 3 3" xfId="25855"/>
    <cellStyle name="40% - Accent4 4 5 2 2 4" xfId="25856"/>
    <cellStyle name="40% - Accent4 4 5 2 2 4 2" xfId="25857"/>
    <cellStyle name="40% - Accent4 4 5 2 2 5" xfId="25858"/>
    <cellStyle name="40% - Accent4 4 5 2 2 6" xfId="25859"/>
    <cellStyle name="40% - Accent4 4 5 2 3" xfId="25860"/>
    <cellStyle name="40% - Accent4 4 5 2 3 2" xfId="25861"/>
    <cellStyle name="40% - Accent4 4 5 2 3 2 2" xfId="25862"/>
    <cellStyle name="40% - Accent4 4 5 2 3 2 3" xfId="25863"/>
    <cellStyle name="40% - Accent4 4 5 2 3 3" xfId="25864"/>
    <cellStyle name="40% - Accent4 4 5 2 3 3 2" xfId="25865"/>
    <cellStyle name="40% - Accent4 4 5 2 3 3 3" xfId="25866"/>
    <cellStyle name="40% - Accent4 4 5 2 3 4" xfId="25867"/>
    <cellStyle name="40% - Accent4 4 5 2 3 4 2" xfId="25868"/>
    <cellStyle name="40% - Accent4 4 5 2 3 5" xfId="25869"/>
    <cellStyle name="40% - Accent4 4 5 2 3 6" xfId="25870"/>
    <cellStyle name="40% - Accent4 4 5 2 4" xfId="25871"/>
    <cellStyle name="40% - Accent4 4 5 2 4 2" xfId="25872"/>
    <cellStyle name="40% - Accent4 4 5 2 4 2 2" xfId="25873"/>
    <cellStyle name="40% - Accent4 4 5 2 4 2 3" xfId="25874"/>
    <cellStyle name="40% - Accent4 4 5 2 4 3" xfId="25875"/>
    <cellStyle name="40% - Accent4 4 5 2 4 3 2" xfId="25876"/>
    <cellStyle name="40% - Accent4 4 5 2 4 4" xfId="25877"/>
    <cellStyle name="40% - Accent4 4 5 2 4 5" xfId="25878"/>
    <cellStyle name="40% - Accent4 4 5 2 5" xfId="25879"/>
    <cellStyle name="40% - Accent4 4 5 2 5 2" xfId="25880"/>
    <cellStyle name="40% - Accent4 4 5 2 5 3" xfId="25881"/>
    <cellStyle name="40% - Accent4 4 5 2 6" xfId="25882"/>
    <cellStyle name="40% - Accent4 4 5 2 6 2" xfId="25883"/>
    <cellStyle name="40% - Accent4 4 5 2 6 3" xfId="25884"/>
    <cellStyle name="40% - Accent4 4 5 2 7" xfId="25885"/>
    <cellStyle name="40% - Accent4 4 5 2 7 2" xfId="25886"/>
    <cellStyle name="40% - Accent4 4 5 2 8" xfId="25887"/>
    <cellStyle name="40% - Accent4 4 5 2 9" xfId="25888"/>
    <cellStyle name="40% - Accent4 4 5 3" xfId="25889"/>
    <cellStyle name="40% - Accent4 4 5 3 2" xfId="25890"/>
    <cellStyle name="40% - Accent4 4 5 3 2 2" xfId="25891"/>
    <cellStyle name="40% - Accent4 4 5 3 2 3" xfId="25892"/>
    <cellStyle name="40% - Accent4 4 5 3 3" xfId="25893"/>
    <cellStyle name="40% - Accent4 4 5 3 3 2" xfId="25894"/>
    <cellStyle name="40% - Accent4 4 5 3 3 3" xfId="25895"/>
    <cellStyle name="40% - Accent4 4 5 3 4" xfId="25896"/>
    <cellStyle name="40% - Accent4 4 5 3 4 2" xfId="25897"/>
    <cellStyle name="40% - Accent4 4 5 3 5" xfId="25898"/>
    <cellStyle name="40% - Accent4 4 5 3 6" xfId="25899"/>
    <cellStyle name="40% - Accent4 4 5 4" xfId="25900"/>
    <cellStyle name="40% - Accent4 4 5 4 2" xfId="25901"/>
    <cellStyle name="40% - Accent4 4 5 4 2 2" xfId="25902"/>
    <cellStyle name="40% - Accent4 4 5 4 2 3" xfId="25903"/>
    <cellStyle name="40% - Accent4 4 5 4 3" xfId="25904"/>
    <cellStyle name="40% - Accent4 4 5 4 3 2" xfId="25905"/>
    <cellStyle name="40% - Accent4 4 5 4 3 3" xfId="25906"/>
    <cellStyle name="40% - Accent4 4 5 4 4" xfId="25907"/>
    <cellStyle name="40% - Accent4 4 5 4 4 2" xfId="25908"/>
    <cellStyle name="40% - Accent4 4 5 4 5" xfId="25909"/>
    <cellStyle name="40% - Accent4 4 5 4 6" xfId="25910"/>
    <cellStyle name="40% - Accent4 4 5 5" xfId="25911"/>
    <cellStyle name="40% - Accent4 4 5 5 2" xfId="25912"/>
    <cellStyle name="40% - Accent4 4 5 5 2 2" xfId="25913"/>
    <cellStyle name="40% - Accent4 4 5 5 2 3" xfId="25914"/>
    <cellStyle name="40% - Accent4 4 5 5 3" xfId="25915"/>
    <cellStyle name="40% - Accent4 4 5 5 3 2" xfId="25916"/>
    <cellStyle name="40% - Accent4 4 5 5 4" xfId="25917"/>
    <cellStyle name="40% - Accent4 4 5 5 5" xfId="25918"/>
    <cellStyle name="40% - Accent4 4 5 6" xfId="25919"/>
    <cellStyle name="40% - Accent4 4 5 6 2" xfId="25920"/>
    <cellStyle name="40% - Accent4 4 5 6 3" xfId="25921"/>
    <cellStyle name="40% - Accent4 4 5 7" xfId="25922"/>
    <cellStyle name="40% - Accent4 4 5 7 2" xfId="25923"/>
    <cellStyle name="40% - Accent4 4 5 7 3" xfId="25924"/>
    <cellStyle name="40% - Accent4 4 5 8" xfId="25925"/>
    <cellStyle name="40% - Accent4 4 5 8 2" xfId="25926"/>
    <cellStyle name="40% - Accent4 4 5 9" xfId="25927"/>
    <cellStyle name="40% - Accent4 4 6" xfId="2244"/>
    <cellStyle name="40% - Accent4 4 6 2" xfId="25928"/>
    <cellStyle name="40% - Accent4 4 6 2 2" xfId="25929"/>
    <cellStyle name="40% - Accent4 4 6 2 2 2" xfId="25930"/>
    <cellStyle name="40% - Accent4 4 6 2 2 3" xfId="25931"/>
    <cellStyle name="40% - Accent4 4 6 2 3" xfId="25932"/>
    <cellStyle name="40% - Accent4 4 6 2 3 2" xfId="25933"/>
    <cellStyle name="40% - Accent4 4 6 2 3 3" xfId="25934"/>
    <cellStyle name="40% - Accent4 4 6 2 4" xfId="25935"/>
    <cellStyle name="40% - Accent4 4 6 2 4 2" xfId="25936"/>
    <cellStyle name="40% - Accent4 4 6 2 5" xfId="25937"/>
    <cellStyle name="40% - Accent4 4 6 2 6" xfId="25938"/>
    <cellStyle name="40% - Accent4 4 6 3" xfId="25939"/>
    <cellStyle name="40% - Accent4 4 6 3 2" xfId="25940"/>
    <cellStyle name="40% - Accent4 4 6 3 2 2" xfId="25941"/>
    <cellStyle name="40% - Accent4 4 6 3 2 3" xfId="25942"/>
    <cellStyle name="40% - Accent4 4 6 3 3" xfId="25943"/>
    <cellStyle name="40% - Accent4 4 6 3 3 2" xfId="25944"/>
    <cellStyle name="40% - Accent4 4 6 3 3 3" xfId="25945"/>
    <cellStyle name="40% - Accent4 4 6 3 4" xfId="25946"/>
    <cellStyle name="40% - Accent4 4 6 3 4 2" xfId="25947"/>
    <cellStyle name="40% - Accent4 4 6 3 5" xfId="25948"/>
    <cellStyle name="40% - Accent4 4 6 3 6" xfId="25949"/>
    <cellStyle name="40% - Accent4 4 6 4" xfId="25950"/>
    <cellStyle name="40% - Accent4 4 6 4 2" xfId="25951"/>
    <cellStyle name="40% - Accent4 4 6 4 2 2" xfId="25952"/>
    <cellStyle name="40% - Accent4 4 6 4 2 3" xfId="25953"/>
    <cellStyle name="40% - Accent4 4 6 4 3" xfId="25954"/>
    <cellStyle name="40% - Accent4 4 6 4 3 2" xfId="25955"/>
    <cellStyle name="40% - Accent4 4 6 4 4" xfId="25956"/>
    <cellStyle name="40% - Accent4 4 6 4 5" xfId="25957"/>
    <cellStyle name="40% - Accent4 4 6 5" xfId="25958"/>
    <cellStyle name="40% - Accent4 4 6 5 2" xfId="25959"/>
    <cellStyle name="40% - Accent4 4 6 5 3" xfId="25960"/>
    <cellStyle name="40% - Accent4 4 6 6" xfId="25961"/>
    <cellStyle name="40% - Accent4 4 6 6 2" xfId="25962"/>
    <cellStyle name="40% - Accent4 4 6 6 3" xfId="25963"/>
    <cellStyle name="40% - Accent4 4 6 7" xfId="25964"/>
    <cellStyle name="40% - Accent4 4 6 7 2" xfId="25965"/>
    <cellStyle name="40% - Accent4 4 6 8" xfId="25966"/>
    <cellStyle name="40% - Accent4 4 6 9" xfId="25967"/>
    <cellStyle name="40% - Accent4 4 7" xfId="8987"/>
    <cellStyle name="40% - Accent4 4 7 2" xfId="25968"/>
    <cellStyle name="40% - Accent4 4 7 2 2" xfId="25969"/>
    <cellStyle name="40% - Accent4 4 7 2 2 2" xfId="25970"/>
    <cellStyle name="40% - Accent4 4 7 2 2 3" xfId="25971"/>
    <cellStyle name="40% - Accent4 4 7 2 3" xfId="25972"/>
    <cellStyle name="40% - Accent4 4 7 2 3 2" xfId="25973"/>
    <cellStyle name="40% - Accent4 4 7 2 3 3" xfId="25974"/>
    <cellStyle name="40% - Accent4 4 7 2 4" xfId="25975"/>
    <cellStyle name="40% - Accent4 4 7 2 4 2" xfId="25976"/>
    <cellStyle name="40% - Accent4 4 7 2 5" xfId="25977"/>
    <cellStyle name="40% - Accent4 4 7 2 6" xfId="25978"/>
    <cellStyle name="40% - Accent4 4 7 3" xfId="25979"/>
    <cellStyle name="40% - Accent4 4 7 3 2" xfId="25980"/>
    <cellStyle name="40% - Accent4 4 7 3 2 2" xfId="25981"/>
    <cellStyle name="40% - Accent4 4 7 3 2 3" xfId="25982"/>
    <cellStyle name="40% - Accent4 4 7 3 3" xfId="25983"/>
    <cellStyle name="40% - Accent4 4 7 3 3 2" xfId="25984"/>
    <cellStyle name="40% - Accent4 4 7 3 3 3" xfId="25985"/>
    <cellStyle name="40% - Accent4 4 7 3 4" xfId="25986"/>
    <cellStyle name="40% - Accent4 4 7 3 4 2" xfId="25987"/>
    <cellStyle name="40% - Accent4 4 7 3 5" xfId="25988"/>
    <cellStyle name="40% - Accent4 4 7 3 6" xfId="25989"/>
    <cellStyle name="40% - Accent4 4 7 4" xfId="25990"/>
    <cellStyle name="40% - Accent4 4 7 4 2" xfId="25991"/>
    <cellStyle name="40% - Accent4 4 7 4 2 2" xfId="25992"/>
    <cellStyle name="40% - Accent4 4 7 4 2 3" xfId="25993"/>
    <cellStyle name="40% - Accent4 4 7 4 3" xfId="25994"/>
    <cellStyle name="40% - Accent4 4 7 4 3 2" xfId="25995"/>
    <cellStyle name="40% - Accent4 4 7 4 4" xfId="25996"/>
    <cellStyle name="40% - Accent4 4 7 4 5" xfId="25997"/>
    <cellStyle name="40% - Accent4 4 7 5" xfId="25998"/>
    <cellStyle name="40% - Accent4 4 7 5 2" xfId="25999"/>
    <cellStyle name="40% - Accent4 4 7 5 3" xfId="26000"/>
    <cellStyle name="40% - Accent4 4 7 6" xfId="26001"/>
    <cellStyle name="40% - Accent4 4 7 6 2" xfId="26002"/>
    <cellStyle name="40% - Accent4 4 7 6 3" xfId="26003"/>
    <cellStyle name="40% - Accent4 4 7 7" xfId="26004"/>
    <cellStyle name="40% - Accent4 4 7 7 2" xfId="26005"/>
    <cellStyle name="40% - Accent4 4 7 8" xfId="26006"/>
    <cellStyle name="40% - Accent4 4 7 9" xfId="26007"/>
    <cellStyle name="40% - Accent4 4 8" xfId="26008"/>
    <cellStyle name="40% - Accent4 4 8 2" xfId="26009"/>
    <cellStyle name="40% - Accent4 4 8 2 2" xfId="26010"/>
    <cellStyle name="40% - Accent4 4 8 2 3" xfId="26011"/>
    <cellStyle name="40% - Accent4 4 8 3" xfId="26012"/>
    <cellStyle name="40% - Accent4 4 8 3 2" xfId="26013"/>
    <cellStyle name="40% - Accent4 4 8 3 3" xfId="26014"/>
    <cellStyle name="40% - Accent4 4 8 4" xfId="26015"/>
    <cellStyle name="40% - Accent4 4 8 4 2" xfId="26016"/>
    <cellStyle name="40% - Accent4 4 8 5" xfId="26017"/>
    <cellStyle name="40% - Accent4 4 8 6" xfId="26018"/>
    <cellStyle name="40% - Accent4 4 9" xfId="26019"/>
    <cellStyle name="40% - Accent4 4 9 2" xfId="26020"/>
    <cellStyle name="40% - Accent4 4 9 2 2" xfId="26021"/>
    <cellStyle name="40% - Accent4 4 9 2 3" xfId="26022"/>
    <cellStyle name="40% - Accent4 4 9 3" xfId="26023"/>
    <cellStyle name="40% - Accent4 4 9 3 2" xfId="26024"/>
    <cellStyle name="40% - Accent4 4 9 3 3" xfId="26025"/>
    <cellStyle name="40% - Accent4 4 9 4" xfId="26026"/>
    <cellStyle name="40% - Accent4 4 9 4 2" xfId="26027"/>
    <cellStyle name="40% - Accent4 4 9 5" xfId="26028"/>
    <cellStyle name="40% - Accent4 4 9 6" xfId="26029"/>
    <cellStyle name="40% - Accent4 5" xfId="2245"/>
    <cellStyle name="40% - Accent4 5 2" xfId="2246"/>
    <cellStyle name="40% - Accent4 5 2 2" xfId="2247"/>
    <cellStyle name="40% - Accent4 5 2 2 2" xfId="2248"/>
    <cellStyle name="40% - Accent4 5 2 2 2 2" xfId="2249"/>
    <cellStyle name="40% - Accent4 5 2 2 3" xfId="2250"/>
    <cellStyle name="40% - Accent4 5 2 3" xfId="2251"/>
    <cellStyle name="40% - Accent4 5 2 3 2" xfId="2252"/>
    <cellStyle name="40% - Accent4 5 2 4" xfId="2253"/>
    <cellStyle name="40% - Accent4 5 2 5" xfId="58076"/>
    <cellStyle name="40% - Accent4 5 3" xfId="2254"/>
    <cellStyle name="40% - Accent4 5 3 2" xfId="2255"/>
    <cellStyle name="40% - Accent4 5 3 2 2" xfId="2256"/>
    <cellStyle name="40% - Accent4 5 3 3" xfId="2257"/>
    <cellStyle name="40% - Accent4 5 4" xfId="2258"/>
    <cellStyle name="40% - Accent4 5 4 2" xfId="2259"/>
    <cellStyle name="40% - Accent4 5 5" xfId="2260"/>
    <cellStyle name="40% - Accent4 5 6" xfId="8988"/>
    <cellStyle name="40% - Accent4 6" xfId="2261"/>
    <cellStyle name="40% - Accent4 6 2" xfId="2262"/>
    <cellStyle name="40% - Accent4 6 2 2" xfId="2263"/>
    <cellStyle name="40% - Accent4 6 2 2 2" xfId="2264"/>
    <cellStyle name="40% - Accent4 6 2 3" xfId="2265"/>
    <cellStyle name="40% - Accent4 6 2 4" xfId="58077"/>
    <cellStyle name="40% - Accent4 6 2 5" xfId="58078"/>
    <cellStyle name="40% - Accent4 6 3" xfId="2266"/>
    <cellStyle name="40% - Accent4 6 3 2" xfId="2267"/>
    <cellStyle name="40% - Accent4 6 4" xfId="2268"/>
    <cellStyle name="40% - Accent4 6 5" xfId="58079"/>
    <cellStyle name="40% - Accent4 7" xfId="2269"/>
    <cellStyle name="40% - Accent4 7 2" xfId="2270"/>
    <cellStyle name="40% - Accent4 7 2 2" xfId="2271"/>
    <cellStyle name="40% - Accent4 7 2 2 2" xfId="2272"/>
    <cellStyle name="40% - Accent4 7 2 3" xfId="2273"/>
    <cellStyle name="40% - Accent4 7 3" xfId="2274"/>
    <cellStyle name="40% - Accent4 7 3 2" xfId="2275"/>
    <cellStyle name="40% - Accent4 7 4" xfId="2276"/>
    <cellStyle name="40% - Accent4 7 5" xfId="58080"/>
    <cellStyle name="40% - Accent4 8" xfId="2277"/>
    <cellStyle name="40% - Accent4 8 2" xfId="2278"/>
    <cellStyle name="40% - Accent4 8 2 2" xfId="2279"/>
    <cellStyle name="40% - Accent4 8 2 2 2" xfId="2280"/>
    <cellStyle name="40% - Accent4 8 2 3" xfId="2281"/>
    <cellStyle name="40% - Accent4 8 3" xfId="2282"/>
    <cellStyle name="40% - Accent4 8 3 2" xfId="2283"/>
    <cellStyle name="40% - Accent4 8 4" xfId="2284"/>
    <cellStyle name="40% - Accent4 8 5" xfId="58081"/>
    <cellStyle name="40% - Accent4 9" xfId="2285"/>
    <cellStyle name="40% - Accent4 9 2" xfId="2286"/>
    <cellStyle name="40% - Accent4 9 2 2" xfId="2287"/>
    <cellStyle name="40% - Accent4 9 3" xfId="2288"/>
    <cellStyle name="40% - Accent4 9 4" xfId="58082"/>
    <cellStyle name="40% - Accent5 10" xfId="2289"/>
    <cellStyle name="40% - Accent5 10 2" xfId="2290"/>
    <cellStyle name="40% - Accent5 10 2 2" xfId="2291"/>
    <cellStyle name="40% - Accent5 10 3" xfId="2292"/>
    <cellStyle name="40% - Accent5 10 4" xfId="58083"/>
    <cellStyle name="40% - Accent5 11" xfId="2293"/>
    <cellStyle name="40% - Accent5 11 2" xfId="2294"/>
    <cellStyle name="40% - Accent5 11 2 2" xfId="2295"/>
    <cellStyle name="40% - Accent5 11 3" xfId="2296"/>
    <cellStyle name="40% - Accent5 11 4" xfId="58084"/>
    <cellStyle name="40% - Accent5 12" xfId="2297"/>
    <cellStyle name="40% - Accent5 12 2" xfId="2298"/>
    <cellStyle name="40% - Accent5 12 3" xfId="58085"/>
    <cellStyle name="40% - Accent5 13" xfId="2299"/>
    <cellStyle name="40% - Accent5 13 2" xfId="58086"/>
    <cellStyle name="40% - Accent5 14" xfId="8989"/>
    <cellStyle name="40% - Accent5 15" xfId="9408"/>
    <cellStyle name="40% - Accent5 16" xfId="9409"/>
    <cellStyle name="40% - Accent5 17" xfId="9410"/>
    <cellStyle name="40% - Accent5 17 2" xfId="58087"/>
    <cellStyle name="40% - Accent5 18" xfId="58088"/>
    <cellStyle name="40% - Accent5 19" xfId="58089"/>
    <cellStyle name="40% - Accent5 2" xfId="2300"/>
    <cellStyle name="40% - Accent5 2 2" xfId="2301"/>
    <cellStyle name="40% - Accent5 2 2 2" xfId="2302"/>
    <cellStyle name="40% - Accent5 2 2 2 2" xfId="2303"/>
    <cellStyle name="40% - Accent5 2 2 2 2 2" xfId="2304"/>
    <cellStyle name="40% - Accent5 2 2 2 2 2 2" xfId="2305"/>
    <cellStyle name="40% - Accent5 2 2 2 2 2 2 2" xfId="2306"/>
    <cellStyle name="40% - Accent5 2 2 2 2 2 3" xfId="2307"/>
    <cellStyle name="40% - Accent5 2 2 2 2 3" xfId="2308"/>
    <cellStyle name="40% - Accent5 2 2 2 2 3 2" xfId="2309"/>
    <cellStyle name="40% - Accent5 2 2 2 2 4" xfId="2310"/>
    <cellStyle name="40% - Accent5 2 2 2 2 5" xfId="58090"/>
    <cellStyle name="40% - Accent5 2 2 2 3" xfId="2311"/>
    <cellStyle name="40% - Accent5 2 2 2 3 2" xfId="2312"/>
    <cellStyle name="40% - Accent5 2 2 2 3 2 2" xfId="2313"/>
    <cellStyle name="40% - Accent5 2 2 2 3 3" xfId="2314"/>
    <cellStyle name="40% - Accent5 2 2 2 4" xfId="2315"/>
    <cellStyle name="40% - Accent5 2 2 2 4 2" xfId="2316"/>
    <cellStyle name="40% - Accent5 2 2 2 5" xfId="2317"/>
    <cellStyle name="40% - Accent5 2 2 2 6" xfId="58091"/>
    <cellStyle name="40% - Accent5 2 2 3" xfId="2318"/>
    <cellStyle name="40% - Accent5 2 2 3 2" xfId="2319"/>
    <cellStyle name="40% - Accent5 2 2 3 2 2" xfId="2320"/>
    <cellStyle name="40% - Accent5 2 2 3 2 2 2" xfId="2321"/>
    <cellStyle name="40% - Accent5 2 2 3 2 3" xfId="2322"/>
    <cellStyle name="40% - Accent5 2 2 3 3" xfId="2323"/>
    <cellStyle name="40% - Accent5 2 2 3 3 2" xfId="2324"/>
    <cellStyle name="40% - Accent5 2 2 3 4" xfId="2325"/>
    <cellStyle name="40% - Accent5 2 2 3 5" xfId="58092"/>
    <cellStyle name="40% - Accent5 2 2 4" xfId="2326"/>
    <cellStyle name="40% - Accent5 2 2 4 2" xfId="2327"/>
    <cellStyle name="40% - Accent5 2 2 4 2 2" xfId="2328"/>
    <cellStyle name="40% - Accent5 2 2 4 3" xfId="2329"/>
    <cellStyle name="40% - Accent5 2 2 5" xfId="2330"/>
    <cellStyle name="40% - Accent5 2 2 5 2" xfId="2331"/>
    <cellStyle name="40% - Accent5 2 2 6" xfId="2332"/>
    <cellStyle name="40% - Accent5 2 2 7" xfId="58093"/>
    <cellStyle name="40% - Accent5 2 3" xfId="2333"/>
    <cellStyle name="40% - Accent5 2 3 2" xfId="2334"/>
    <cellStyle name="40% - Accent5 2 3 2 2" xfId="2335"/>
    <cellStyle name="40% - Accent5 2 3 2 2 2" xfId="2336"/>
    <cellStyle name="40% - Accent5 2 3 2 2 2 2" xfId="2337"/>
    <cellStyle name="40% - Accent5 2 3 2 2 3" xfId="2338"/>
    <cellStyle name="40% - Accent5 2 3 2 3" xfId="2339"/>
    <cellStyle name="40% - Accent5 2 3 2 3 2" xfId="2340"/>
    <cellStyle name="40% - Accent5 2 3 2 4" xfId="2341"/>
    <cellStyle name="40% - Accent5 2 3 3" xfId="2342"/>
    <cellStyle name="40% - Accent5 2 3 3 2" xfId="2343"/>
    <cellStyle name="40% - Accent5 2 3 3 2 2" xfId="2344"/>
    <cellStyle name="40% - Accent5 2 3 3 3" xfId="2345"/>
    <cellStyle name="40% - Accent5 2 3 4" xfId="2346"/>
    <cellStyle name="40% - Accent5 2 3 4 2" xfId="2347"/>
    <cellStyle name="40% - Accent5 2 3 5" xfId="2348"/>
    <cellStyle name="40% - Accent5 2 3 6" xfId="58094"/>
    <cellStyle name="40% - Accent5 2 4" xfId="2349"/>
    <cellStyle name="40% - Accent5 2 4 2" xfId="2350"/>
    <cellStyle name="40% - Accent5 2 4 2 2" xfId="2351"/>
    <cellStyle name="40% - Accent5 2 4 2 2 2" xfId="2352"/>
    <cellStyle name="40% - Accent5 2 4 2 3" xfId="2353"/>
    <cellStyle name="40% - Accent5 2 4 3" xfId="2354"/>
    <cellStyle name="40% - Accent5 2 4 3 2" xfId="2355"/>
    <cellStyle name="40% - Accent5 2 4 4" xfId="2356"/>
    <cellStyle name="40% - Accent5 2 4 5" xfId="58095"/>
    <cellStyle name="40% - Accent5 2 5" xfId="2357"/>
    <cellStyle name="40% - Accent5 2 5 2" xfId="2358"/>
    <cellStyle name="40% - Accent5 2 5 2 2" xfId="2359"/>
    <cellStyle name="40% - Accent5 2 5 3" xfId="2360"/>
    <cellStyle name="40% - Accent5 2 5 4" xfId="58096"/>
    <cellStyle name="40% - Accent5 2 6" xfId="2361"/>
    <cellStyle name="40% - Accent5 2 6 2" xfId="2362"/>
    <cellStyle name="40% - Accent5 2 6 3" xfId="58097"/>
    <cellStyle name="40% - Accent5 2 7" xfId="2363"/>
    <cellStyle name="40% - Accent5 2 8" xfId="2364"/>
    <cellStyle name="40% - Accent5 2 9" xfId="58098"/>
    <cellStyle name="40% - Accent5 20" xfId="58099"/>
    <cellStyle name="40% - Accent5 21" xfId="58100"/>
    <cellStyle name="40% - Accent5 3" xfId="2365"/>
    <cellStyle name="40% - Accent5 3 2" xfId="2366"/>
    <cellStyle name="40% - Accent5 3 2 2" xfId="2367"/>
    <cellStyle name="40% - Accent5 3 2 2 2" xfId="2368"/>
    <cellStyle name="40% - Accent5 3 2 2 2 2" xfId="2369"/>
    <cellStyle name="40% - Accent5 3 2 2 2 2 2" xfId="2370"/>
    <cellStyle name="40% - Accent5 3 2 2 2 2 2 2" xfId="2371"/>
    <cellStyle name="40% - Accent5 3 2 2 2 2 3" xfId="2372"/>
    <cellStyle name="40% - Accent5 3 2 2 2 3" xfId="2373"/>
    <cellStyle name="40% - Accent5 3 2 2 2 3 2" xfId="2374"/>
    <cellStyle name="40% - Accent5 3 2 2 2 4" xfId="2375"/>
    <cellStyle name="40% - Accent5 3 2 2 2 5" xfId="8990"/>
    <cellStyle name="40% - Accent5 3 2 2 3" xfId="2376"/>
    <cellStyle name="40% - Accent5 3 2 2 3 2" xfId="2377"/>
    <cellStyle name="40% - Accent5 3 2 2 3 2 2" xfId="2378"/>
    <cellStyle name="40% - Accent5 3 2 2 3 3" xfId="2379"/>
    <cellStyle name="40% - Accent5 3 2 2 4" xfId="2380"/>
    <cellStyle name="40% - Accent5 3 2 2 4 2" xfId="2381"/>
    <cellStyle name="40% - Accent5 3 2 2 5" xfId="2382"/>
    <cellStyle name="40% - Accent5 3 2 2 6" xfId="8991"/>
    <cellStyle name="40% - Accent5 3 2 3" xfId="2383"/>
    <cellStyle name="40% - Accent5 3 2 3 2" xfId="2384"/>
    <cellStyle name="40% - Accent5 3 2 3 2 2" xfId="2385"/>
    <cellStyle name="40% - Accent5 3 2 3 2 2 2" xfId="2386"/>
    <cellStyle name="40% - Accent5 3 2 3 2 3" xfId="2387"/>
    <cellStyle name="40% - Accent5 3 2 3 3" xfId="2388"/>
    <cellStyle name="40% - Accent5 3 2 3 3 2" xfId="2389"/>
    <cellStyle name="40% - Accent5 3 2 3 4" xfId="2390"/>
    <cellStyle name="40% - Accent5 3 2 3 5" xfId="8992"/>
    <cellStyle name="40% - Accent5 3 2 4" xfId="2391"/>
    <cellStyle name="40% - Accent5 3 2 4 2" xfId="2392"/>
    <cellStyle name="40% - Accent5 3 2 4 2 2" xfId="2393"/>
    <cellStyle name="40% - Accent5 3 2 4 3" xfId="2394"/>
    <cellStyle name="40% - Accent5 3 2 5" xfId="2395"/>
    <cellStyle name="40% - Accent5 3 2 5 2" xfId="2396"/>
    <cellStyle name="40% - Accent5 3 2 6" xfId="2397"/>
    <cellStyle name="40% - Accent5 3 2 7" xfId="8993"/>
    <cellStyle name="40% - Accent5 3 3" xfId="2398"/>
    <cellStyle name="40% - Accent5 3 3 2" xfId="2399"/>
    <cellStyle name="40% - Accent5 3 3 2 2" xfId="2400"/>
    <cellStyle name="40% - Accent5 3 3 2 2 2" xfId="2401"/>
    <cellStyle name="40% - Accent5 3 3 2 2 2 2" xfId="2402"/>
    <cellStyle name="40% - Accent5 3 3 2 2 3" xfId="2403"/>
    <cellStyle name="40% - Accent5 3 3 2 3" xfId="2404"/>
    <cellStyle name="40% - Accent5 3 3 2 3 2" xfId="2405"/>
    <cellStyle name="40% - Accent5 3 3 2 4" xfId="2406"/>
    <cellStyle name="40% - Accent5 3 3 2 5" xfId="8994"/>
    <cellStyle name="40% - Accent5 3 3 3" xfId="2407"/>
    <cellStyle name="40% - Accent5 3 3 3 2" xfId="2408"/>
    <cellStyle name="40% - Accent5 3 3 3 2 2" xfId="2409"/>
    <cellStyle name="40% - Accent5 3 3 3 3" xfId="2410"/>
    <cellStyle name="40% - Accent5 3 3 4" xfId="2411"/>
    <cellStyle name="40% - Accent5 3 3 4 2" xfId="2412"/>
    <cellStyle name="40% - Accent5 3 3 5" xfId="2413"/>
    <cellStyle name="40% - Accent5 3 3 6" xfId="8995"/>
    <cellStyle name="40% - Accent5 3 4" xfId="2414"/>
    <cellStyle name="40% - Accent5 3 4 2" xfId="2415"/>
    <cellStyle name="40% - Accent5 3 4 2 2" xfId="2416"/>
    <cellStyle name="40% - Accent5 3 4 2 2 2" xfId="2417"/>
    <cellStyle name="40% - Accent5 3 4 2 3" xfId="2418"/>
    <cellStyle name="40% - Accent5 3 4 3" xfId="2419"/>
    <cellStyle name="40% - Accent5 3 4 3 2" xfId="2420"/>
    <cellStyle name="40% - Accent5 3 4 4" xfId="2421"/>
    <cellStyle name="40% - Accent5 3 4 5" xfId="8996"/>
    <cellStyle name="40% - Accent5 3 5" xfId="2422"/>
    <cellStyle name="40% - Accent5 3 5 2" xfId="2423"/>
    <cellStyle name="40% - Accent5 3 5 2 2" xfId="2424"/>
    <cellStyle name="40% - Accent5 3 5 3" xfId="2425"/>
    <cellStyle name="40% - Accent5 3 6" xfId="2426"/>
    <cellStyle name="40% - Accent5 3 6 2" xfId="2427"/>
    <cellStyle name="40% - Accent5 3 7" xfId="2428"/>
    <cellStyle name="40% - Accent5 3 8" xfId="2429"/>
    <cellStyle name="40% - Accent5 3 9" xfId="8997"/>
    <cellStyle name="40% - Accent5 4" xfId="2430"/>
    <cellStyle name="40% - Accent5 4 10" xfId="26030"/>
    <cellStyle name="40% - Accent5 4 10 2" xfId="26031"/>
    <cellStyle name="40% - Accent5 4 10 2 2" xfId="26032"/>
    <cellStyle name="40% - Accent5 4 10 2 3" xfId="26033"/>
    <cellStyle name="40% - Accent5 4 10 3" xfId="26034"/>
    <cellStyle name="40% - Accent5 4 10 3 2" xfId="26035"/>
    <cellStyle name="40% - Accent5 4 10 4" xfId="26036"/>
    <cellStyle name="40% - Accent5 4 10 5" xfId="26037"/>
    <cellStyle name="40% - Accent5 4 11" xfId="26038"/>
    <cellStyle name="40% - Accent5 4 11 2" xfId="26039"/>
    <cellStyle name="40% - Accent5 4 11 3" xfId="26040"/>
    <cellStyle name="40% - Accent5 4 12" xfId="26041"/>
    <cellStyle name="40% - Accent5 4 12 2" xfId="26042"/>
    <cellStyle name="40% - Accent5 4 12 3" xfId="26043"/>
    <cellStyle name="40% - Accent5 4 13" xfId="26044"/>
    <cellStyle name="40% - Accent5 4 13 2" xfId="26045"/>
    <cellStyle name="40% - Accent5 4 14" xfId="26046"/>
    <cellStyle name="40% - Accent5 4 15" xfId="26047"/>
    <cellStyle name="40% - Accent5 4 16" xfId="26048"/>
    <cellStyle name="40% - Accent5 4 2" xfId="2431"/>
    <cellStyle name="40% - Accent5 4 2 10" xfId="26049"/>
    <cellStyle name="40% - Accent5 4 2 10 2" xfId="26050"/>
    <cellStyle name="40% - Accent5 4 2 10 3" xfId="26051"/>
    <cellStyle name="40% - Accent5 4 2 11" xfId="26052"/>
    <cellStyle name="40% - Accent5 4 2 11 2" xfId="26053"/>
    <cellStyle name="40% - Accent5 4 2 11 3" xfId="26054"/>
    <cellStyle name="40% - Accent5 4 2 12" xfId="26055"/>
    <cellStyle name="40% - Accent5 4 2 12 2" xfId="26056"/>
    <cellStyle name="40% - Accent5 4 2 13" xfId="26057"/>
    <cellStyle name="40% - Accent5 4 2 14" xfId="26058"/>
    <cellStyle name="40% - Accent5 4 2 15" xfId="26059"/>
    <cellStyle name="40% - Accent5 4 2 2" xfId="2432"/>
    <cellStyle name="40% - Accent5 4 2 2 10" xfId="26060"/>
    <cellStyle name="40% - Accent5 4 2 2 10 2" xfId="26061"/>
    <cellStyle name="40% - Accent5 4 2 2 10 3" xfId="26062"/>
    <cellStyle name="40% - Accent5 4 2 2 11" xfId="26063"/>
    <cellStyle name="40% - Accent5 4 2 2 11 2" xfId="26064"/>
    <cellStyle name="40% - Accent5 4 2 2 12" xfId="26065"/>
    <cellStyle name="40% - Accent5 4 2 2 13" xfId="26066"/>
    <cellStyle name="40% - Accent5 4 2 2 2" xfId="2433"/>
    <cellStyle name="40% - Accent5 4 2 2 2 10" xfId="26067"/>
    <cellStyle name="40% - Accent5 4 2 2 2 10 2" xfId="26068"/>
    <cellStyle name="40% - Accent5 4 2 2 2 11" xfId="26069"/>
    <cellStyle name="40% - Accent5 4 2 2 2 12" xfId="26070"/>
    <cellStyle name="40% - Accent5 4 2 2 2 2" xfId="2434"/>
    <cellStyle name="40% - Accent5 4 2 2 2 2 10" xfId="26071"/>
    <cellStyle name="40% - Accent5 4 2 2 2 2 2" xfId="2435"/>
    <cellStyle name="40% - Accent5 4 2 2 2 2 2 2" xfId="26072"/>
    <cellStyle name="40% - Accent5 4 2 2 2 2 2 2 2" xfId="26073"/>
    <cellStyle name="40% - Accent5 4 2 2 2 2 2 2 2 2" xfId="26074"/>
    <cellStyle name="40% - Accent5 4 2 2 2 2 2 2 2 3" xfId="26075"/>
    <cellStyle name="40% - Accent5 4 2 2 2 2 2 2 3" xfId="26076"/>
    <cellStyle name="40% - Accent5 4 2 2 2 2 2 2 3 2" xfId="26077"/>
    <cellStyle name="40% - Accent5 4 2 2 2 2 2 2 3 3" xfId="26078"/>
    <cellStyle name="40% - Accent5 4 2 2 2 2 2 2 4" xfId="26079"/>
    <cellStyle name="40% - Accent5 4 2 2 2 2 2 2 4 2" xfId="26080"/>
    <cellStyle name="40% - Accent5 4 2 2 2 2 2 2 5" xfId="26081"/>
    <cellStyle name="40% - Accent5 4 2 2 2 2 2 2 6" xfId="26082"/>
    <cellStyle name="40% - Accent5 4 2 2 2 2 2 3" xfId="26083"/>
    <cellStyle name="40% - Accent5 4 2 2 2 2 2 3 2" xfId="26084"/>
    <cellStyle name="40% - Accent5 4 2 2 2 2 2 3 2 2" xfId="26085"/>
    <cellStyle name="40% - Accent5 4 2 2 2 2 2 3 2 3" xfId="26086"/>
    <cellStyle name="40% - Accent5 4 2 2 2 2 2 3 3" xfId="26087"/>
    <cellStyle name="40% - Accent5 4 2 2 2 2 2 3 3 2" xfId="26088"/>
    <cellStyle name="40% - Accent5 4 2 2 2 2 2 3 3 3" xfId="26089"/>
    <cellStyle name="40% - Accent5 4 2 2 2 2 2 3 4" xfId="26090"/>
    <cellStyle name="40% - Accent5 4 2 2 2 2 2 3 4 2" xfId="26091"/>
    <cellStyle name="40% - Accent5 4 2 2 2 2 2 3 5" xfId="26092"/>
    <cellStyle name="40% - Accent5 4 2 2 2 2 2 3 6" xfId="26093"/>
    <cellStyle name="40% - Accent5 4 2 2 2 2 2 4" xfId="26094"/>
    <cellStyle name="40% - Accent5 4 2 2 2 2 2 4 2" xfId="26095"/>
    <cellStyle name="40% - Accent5 4 2 2 2 2 2 4 2 2" xfId="26096"/>
    <cellStyle name="40% - Accent5 4 2 2 2 2 2 4 2 3" xfId="26097"/>
    <cellStyle name="40% - Accent5 4 2 2 2 2 2 4 3" xfId="26098"/>
    <cellStyle name="40% - Accent5 4 2 2 2 2 2 4 3 2" xfId="26099"/>
    <cellStyle name="40% - Accent5 4 2 2 2 2 2 4 4" xfId="26100"/>
    <cellStyle name="40% - Accent5 4 2 2 2 2 2 4 5" xfId="26101"/>
    <cellStyle name="40% - Accent5 4 2 2 2 2 2 5" xfId="26102"/>
    <cellStyle name="40% - Accent5 4 2 2 2 2 2 5 2" xfId="26103"/>
    <cellStyle name="40% - Accent5 4 2 2 2 2 2 5 3" xfId="26104"/>
    <cellStyle name="40% - Accent5 4 2 2 2 2 2 6" xfId="26105"/>
    <cellStyle name="40% - Accent5 4 2 2 2 2 2 6 2" xfId="26106"/>
    <cellStyle name="40% - Accent5 4 2 2 2 2 2 6 3" xfId="26107"/>
    <cellStyle name="40% - Accent5 4 2 2 2 2 2 7" xfId="26108"/>
    <cellStyle name="40% - Accent5 4 2 2 2 2 2 7 2" xfId="26109"/>
    <cellStyle name="40% - Accent5 4 2 2 2 2 2 8" xfId="26110"/>
    <cellStyle name="40% - Accent5 4 2 2 2 2 2 9" xfId="26111"/>
    <cellStyle name="40% - Accent5 4 2 2 2 2 3" xfId="26112"/>
    <cellStyle name="40% - Accent5 4 2 2 2 2 3 2" xfId="26113"/>
    <cellStyle name="40% - Accent5 4 2 2 2 2 3 2 2" xfId="26114"/>
    <cellStyle name="40% - Accent5 4 2 2 2 2 3 2 3" xfId="26115"/>
    <cellStyle name="40% - Accent5 4 2 2 2 2 3 3" xfId="26116"/>
    <cellStyle name="40% - Accent5 4 2 2 2 2 3 3 2" xfId="26117"/>
    <cellStyle name="40% - Accent5 4 2 2 2 2 3 3 3" xfId="26118"/>
    <cellStyle name="40% - Accent5 4 2 2 2 2 3 4" xfId="26119"/>
    <cellStyle name="40% - Accent5 4 2 2 2 2 3 4 2" xfId="26120"/>
    <cellStyle name="40% - Accent5 4 2 2 2 2 3 5" xfId="26121"/>
    <cellStyle name="40% - Accent5 4 2 2 2 2 3 6" xfId="26122"/>
    <cellStyle name="40% - Accent5 4 2 2 2 2 4" xfId="26123"/>
    <cellStyle name="40% - Accent5 4 2 2 2 2 4 2" xfId="26124"/>
    <cellStyle name="40% - Accent5 4 2 2 2 2 4 2 2" xfId="26125"/>
    <cellStyle name="40% - Accent5 4 2 2 2 2 4 2 3" xfId="26126"/>
    <cellStyle name="40% - Accent5 4 2 2 2 2 4 3" xfId="26127"/>
    <cellStyle name="40% - Accent5 4 2 2 2 2 4 3 2" xfId="26128"/>
    <cellStyle name="40% - Accent5 4 2 2 2 2 4 3 3" xfId="26129"/>
    <cellStyle name="40% - Accent5 4 2 2 2 2 4 4" xfId="26130"/>
    <cellStyle name="40% - Accent5 4 2 2 2 2 4 4 2" xfId="26131"/>
    <cellStyle name="40% - Accent5 4 2 2 2 2 4 5" xfId="26132"/>
    <cellStyle name="40% - Accent5 4 2 2 2 2 4 6" xfId="26133"/>
    <cellStyle name="40% - Accent5 4 2 2 2 2 5" xfId="26134"/>
    <cellStyle name="40% - Accent5 4 2 2 2 2 5 2" xfId="26135"/>
    <cellStyle name="40% - Accent5 4 2 2 2 2 5 2 2" xfId="26136"/>
    <cellStyle name="40% - Accent5 4 2 2 2 2 5 2 3" xfId="26137"/>
    <cellStyle name="40% - Accent5 4 2 2 2 2 5 3" xfId="26138"/>
    <cellStyle name="40% - Accent5 4 2 2 2 2 5 3 2" xfId="26139"/>
    <cellStyle name="40% - Accent5 4 2 2 2 2 5 4" xfId="26140"/>
    <cellStyle name="40% - Accent5 4 2 2 2 2 5 5" xfId="26141"/>
    <cellStyle name="40% - Accent5 4 2 2 2 2 6" xfId="26142"/>
    <cellStyle name="40% - Accent5 4 2 2 2 2 6 2" xfId="26143"/>
    <cellStyle name="40% - Accent5 4 2 2 2 2 6 3" xfId="26144"/>
    <cellStyle name="40% - Accent5 4 2 2 2 2 7" xfId="26145"/>
    <cellStyle name="40% - Accent5 4 2 2 2 2 7 2" xfId="26146"/>
    <cellStyle name="40% - Accent5 4 2 2 2 2 7 3" xfId="26147"/>
    <cellStyle name="40% - Accent5 4 2 2 2 2 8" xfId="26148"/>
    <cellStyle name="40% - Accent5 4 2 2 2 2 8 2" xfId="26149"/>
    <cellStyle name="40% - Accent5 4 2 2 2 2 9" xfId="26150"/>
    <cellStyle name="40% - Accent5 4 2 2 2 3" xfId="2436"/>
    <cellStyle name="40% - Accent5 4 2 2 2 3 2" xfId="26151"/>
    <cellStyle name="40% - Accent5 4 2 2 2 3 2 2" xfId="26152"/>
    <cellStyle name="40% - Accent5 4 2 2 2 3 2 2 2" xfId="26153"/>
    <cellStyle name="40% - Accent5 4 2 2 2 3 2 2 3" xfId="26154"/>
    <cellStyle name="40% - Accent5 4 2 2 2 3 2 3" xfId="26155"/>
    <cellStyle name="40% - Accent5 4 2 2 2 3 2 3 2" xfId="26156"/>
    <cellStyle name="40% - Accent5 4 2 2 2 3 2 3 3" xfId="26157"/>
    <cellStyle name="40% - Accent5 4 2 2 2 3 2 4" xfId="26158"/>
    <cellStyle name="40% - Accent5 4 2 2 2 3 2 4 2" xfId="26159"/>
    <cellStyle name="40% - Accent5 4 2 2 2 3 2 5" xfId="26160"/>
    <cellStyle name="40% - Accent5 4 2 2 2 3 2 6" xfId="26161"/>
    <cellStyle name="40% - Accent5 4 2 2 2 3 3" xfId="26162"/>
    <cellStyle name="40% - Accent5 4 2 2 2 3 3 2" xfId="26163"/>
    <cellStyle name="40% - Accent5 4 2 2 2 3 3 2 2" xfId="26164"/>
    <cellStyle name="40% - Accent5 4 2 2 2 3 3 2 3" xfId="26165"/>
    <cellStyle name="40% - Accent5 4 2 2 2 3 3 3" xfId="26166"/>
    <cellStyle name="40% - Accent5 4 2 2 2 3 3 3 2" xfId="26167"/>
    <cellStyle name="40% - Accent5 4 2 2 2 3 3 3 3" xfId="26168"/>
    <cellStyle name="40% - Accent5 4 2 2 2 3 3 4" xfId="26169"/>
    <cellStyle name="40% - Accent5 4 2 2 2 3 3 4 2" xfId="26170"/>
    <cellStyle name="40% - Accent5 4 2 2 2 3 3 5" xfId="26171"/>
    <cellStyle name="40% - Accent5 4 2 2 2 3 3 6" xfId="26172"/>
    <cellStyle name="40% - Accent5 4 2 2 2 3 4" xfId="26173"/>
    <cellStyle name="40% - Accent5 4 2 2 2 3 4 2" xfId="26174"/>
    <cellStyle name="40% - Accent5 4 2 2 2 3 4 2 2" xfId="26175"/>
    <cellStyle name="40% - Accent5 4 2 2 2 3 4 2 3" xfId="26176"/>
    <cellStyle name="40% - Accent5 4 2 2 2 3 4 3" xfId="26177"/>
    <cellStyle name="40% - Accent5 4 2 2 2 3 4 3 2" xfId="26178"/>
    <cellStyle name="40% - Accent5 4 2 2 2 3 4 4" xfId="26179"/>
    <cellStyle name="40% - Accent5 4 2 2 2 3 4 5" xfId="26180"/>
    <cellStyle name="40% - Accent5 4 2 2 2 3 5" xfId="26181"/>
    <cellStyle name="40% - Accent5 4 2 2 2 3 5 2" xfId="26182"/>
    <cellStyle name="40% - Accent5 4 2 2 2 3 5 3" xfId="26183"/>
    <cellStyle name="40% - Accent5 4 2 2 2 3 6" xfId="26184"/>
    <cellStyle name="40% - Accent5 4 2 2 2 3 6 2" xfId="26185"/>
    <cellStyle name="40% - Accent5 4 2 2 2 3 6 3" xfId="26186"/>
    <cellStyle name="40% - Accent5 4 2 2 2 3 7" xfId="26187"/>
    <cellStyle name="40% - Accent5 4 2 2 2 3 7 2" xfId="26188"/>
    <cellStyle name="40% - Accent5 4 2 2 2 3 8" xfId="26189"/>
    <cellStyle name="40% - Accent5 4 2 2 2 3 9" xfId="26190"/>
    <cellStyle name="40% - Accent5 4 2 2 2 4" xfId="26191"/>
    <cellStyle name="40% - Accent5 4 2 2 2 4 2" xfId="26192"/>
    <cellStyle name="40% - Accent5 4 2 2 2 4 2 2" xfId="26193"/>
    <cellStyle name="40% - Accent5 4 2 2 2 4 2 2 2" xfId="26194"/>
    <cellStyle name="40% - Accent5 4 2 2 2 4 2 2 3" xfId="26195"/>
    <cellStyle name="40% - Accent5 4 2 2 2 4 2 3" xfId="26196"/>
    <cellStyle name="40% - Accent5 4 2 2 2 4 2 3 2" xfId="26197"/>
    <cellStyle name="40% - Accent5 4 2 2 2 4 2 3 3" xfId="26198"/>
    <cellStyle name="40% - Accent5 4 2 2 2 4 2 4" xfId="26199"/>
    <cellStyle name="40% - Accent5 4 2 2 2 4 2 4 2" xfId="26200"/>
    <cellStyle name="40% - Accent5 4 2 2 2 4 2 5" xfId="26201"/>
    <cellStyle name="40% - Accent5 4 2 2 2 4 2 6" xfId="26202"/>
    <cellStyle name="40% - Accent5 4 2 2 2 4 3" xfId="26203"/>
    <cellStyle name="40% - Accent5 4 2 2 2 4 3 2" xfId="26204"/>
    <cellStyle name="40% - Accent5 4 2 2 2 4 3 2 2" xfId="26205"/>
    <cellStyle name="40% - Accent5 4 2 2 2 4 3 2 3" xfId="26206"/>
    <cellStyle name="40% - Accent5 4 2 2 2 4 3 3" xfId="26207"/>
    <cellStyle name="40% - Accent5 4 2 2 2 4 3 3 2" xfId="26208"/>
    <cellStyle name="40% - Accent5 4 2 2 2 4 3 3 3" xfId="26209"/>
    <cellStyle name="40% - Accent5 4 2 2 2 4 3 4" xfId="26210"/>
    <cellStyle name="40% - Accent5 4 2 2 2 4 3 4 2" xfId="26211"/>
    <cellStyle name="40% - Accent5 4 2 2 2 4 3 5" xfId="26212"/>
    <cellStyle name="40% - Accent5 4 2 2 2 4 3 6" xfId="26213"/>
    <cellStyle name="40% - Accent5 4 2 2 2 4 4" xfId="26214"/>
    <cellStyle name="40% - Accent5 4 2 2 2 4 4 2" xfId="26215"/>
    <cellStyle name="40% - Accent5 4 2 2 2 4 4 2 2" xfId="26216"/>
    <cellStyle name="40% - Accent5 4 2 2 2 4 4 2 3" xfId="26217"/>
    <cellStyle name="40% - Accent5 4 2 2 2 4 4 3" xfId="26218"/>
    <cellStyle name="40% - Accent5 4 2 2 2 4 4 3 2" xfId="26219"/>
    <cellStyle name="40% - Accent5 4 2 2 2 4 4 4" xfId="26220"/>
    <cellStyle name="40% - Accent5 4 2 2 2 4 4 5" xfId="26221"/>
    <cellStyle name="40% - Accent5 4 2 2 2 4 5" xfId="26222"/>
    <cellStyle name="40% - Accent5 4 2 2 2 4 5 2" xfId="26223"/>
    <cellStyle name="40% - Accent5 4 2 2 2 4 5 3" xfId="26224"/>
    <cellStyle name="40% - Accent5 4 2 2 2 4 6" xfId="26225"/>
    <cellStyle name="40% - Accent5 4 2 2 2 4 6 2" xfId="26226"/>
    <cellStyle name="40% - Accent5 4 2 2 2 4 6 3" xfId="26227"/>
    <cellStyle name="40% - Accent5 4 2 2 2 4 7" xfId="26228"/>
    <cellStyle name="40% - Accent5 4 2 2 2 4 7 2" xfId="26229"/>
    <cellStyle name="40% - Accent5 4 2 2 2 4 8" xfId="26230"/>
    <cellStyle name="40% - Accent5 4 2 2 2 4 9" xfId="26231"/>
    <cellStyle name="40% - Accent5 4 2 2 2 5" xfId="26232"/>
    <cellStyle name="40% - Accent5 4 2 2 2 5 2" xfId="26233"/>
    <cellStyle name="40% - Accent5 4 2 2 2 5 2 2" xfId="26234"/>
    <cellStyle name="40% - Accent5 4 2 2 2 5 2 3" xfId="26235"/>
    <cellStyle name="40% - Accent5 4 2 2 2 5 3" xfId="26236"/>
    <cellStyle name="40% - Accent5 4 2 2 2 5 3 2" xfId="26237"/>
    <cellStyle name="40% - Accent5 4 2 2 2 5 3 3" xfId="26238"/>
    <cellStyle name="40% - Accent5 4 2 2 2 5 4" xfId="26239"/>
    <cellStyle name="40% - Accent5 4 2 2 2 5 4 2" xfId="26240"/>
    <cellStyle name="40% - Accent5 4 2 2 2 5 5" xfId="26241"/>
    <cellStyle name="40% - Accent5 4 2 2 2 5 6" xfId="26242"/>
    <cellStyle name="40% - Accent5 4 2 2 2 6" xfId="26243"/>
    <cellStyle name="40% - Accent5 4 2 2 2 6 2" xfId="26244"/>
    <cellStyle name="40% - Accent5 4 2 2 2 6 2 2" xfId="26245"/>
    <cellStyle name="40% - Accent5 4 2 2 2 6 2 3" xfId="26246"/>
    <cellStyle name="40% - Accent5 4 2 2 2 6 3" xfId="26247"/>
    <cellStyle name="40% - Accent5 4 2 2 2 6 3 2" xfId="26248"/>
    <cellStyle name="40% - Accent5 4 2 2 2 6 3 3" xfId="26249"/>
    <cellStyle name="40% - Accent5 4 2 2 2 6 4" xfId="26250"/>
    <cellStyle name="40% - Accent5 4 2 2 2 6 4 2" xfId="26251"/>
    <cellStyle name="40% - Accent5 4 2 2 2 6 5" xfId="26252"/>
    <cellStyle name="40% - Accent5 4 2 2 2 6 6" xfId="26253"/>
    <cellStyle name="40% - Accent5 4 2 2 2 7" xfId="26254"/>
    <cellStyle name="40% - Accent5 4 2 2 2 7 2" xfId="26255"/>
    <cellStyle name="40% - Accent5 4 2 2 2 7 2 2" xfId="26256"/>
    <cellStyle name="40% - Accent5 4 2 2 2 7 2 3" xfId="26257"/>
    <cellStyle name="40% - Accent5 4 2 2 2 7 3" xfId="26258"/>
    <cellStyle name="40% - Accent5 4 2 2 2 7 3 2" xfId="26259"/>
    <cellStyle name="40% - Accent5 4 2 2 2 7 4" xfId="26260"/>
    <cellStyle name="40% - Accent5 4 2 2 2 7 5" xfId="26261"/>
    <cellStyle name="40% - Accent5 4 2 2 2 8" xfId="26262"/>
    <cellStyle name="40% - Accent5 4 2 2 2 8 2" xfId="26263"/>
    <cellStyle name="40% - Accent5 4 2 2 2 8 3" xfId="26264"/>
    <cellStyle name="40% - Accent5 4 2 2 2 9" xfId="26265"/>
    <cellStyle name="40% - Accent5 4 2 2 2 9 2" xfId="26266"/>
    <cellStyle name="40% - Accent5 4 2 2 2 9 3" xfId="26267"/>
    <cellStyle name="40% - Accent5 4 2 2 3" xfId="2437"/>
    <cellStyle name="40% - Accent5 4 2 2 3 10" xfId="26268"/>
    <cellStyle name="40% - Accent5 4 2 2 3 2" xfId="2438"/>
    <cellStyle name="40% - Accent5 4 2 2 3 2 2" xfId="26269"/>
    <cellStyle name="40% - Accent5 4 2 2 3 2 2 2" xfId="26270"/>
    <cellStyle name="40% - Accent5 4 2 2 3 2 2 2 2" xfId="26271"/>
    <cellStyle name="40% - Accent5 4 2 2 3 2 2 2 3" xfId="26272"/>
    <cellStyle name="40% - Accent5 4 2 2 3 2 2 3" xfId="26273"/>
    <cellStyle name="40% - Accent5 4 2 2 3 2 2 3 2" xfId="26274"/>
    <cellStyle name="40% - Accent5 4 2 2 3 2 2 3 3" xfId="26275"/>
    <cellStyle name="40% - Accent5 4 2 2 3 2 2 4" xfId="26276"/>
    <cellStyle name="40% - Accent5 4 2 2 3 2 2 4 2" xfId="26277"/>
    <cellStyle name="40% - Accent5 4 2 2 3 2 2 5" xfId="26278"/>
    <cellStyle name="40% - Accent5 4 2 2 3 2 2 6" xfId="26279"/>
    <cellStyle name="40% - Accent5 4 2 2 3 2 3" xfId="26280"/>
    <cellStyle name="40% - Accent5 4 2 2 3 2 3 2" xfId="26281"/>
    <cellStyle name="40% - Accent5 4 2 2 3 2 3 2 2" xfId="26282"/>
    <cellStyle name="40% - Accent5 4 2 2 3 2 3 2 3" xfId="26283"/>
    <cellStyle name="40% - Accent5 4 2 2 3 2 3 3" xfId="26284"/>
    <cellStyle name="40% - Accent5 4 2 2 3 2 3 3 2" xfId="26285"/>
    <cellStyle name="40% - Accent5 4 2 2 3 2 3 3 3" xfId="26286"/>
    <cellStyle name="40% - Accent5 4 2 2 3 2 3 4" xfId="26287"/>
    <cellStyle name="40% - Accent5 4 2 2 3 2 3 4 2" xfId="26288"/>
    <cellStyle name="40% - Accent5 4 2 2 3 2 3 5" xfId="26289"/>
    <cellStyle name="40% - Accent5 4 2 2 3 2 3 6" xfId="26290"/>
    <cellStyle name="40% - Accent5 4 2 2 3 2 4" xfId="26291"/>
    <cellStyle name="40% - Accent5 4 2 2 3 2 4 2" xfId="26292"/>
    <cellStyle name="40% - Accent5 4 2 2 3 2 4 2 2" xfId="26293"/>
    <cellStyle name="40% - Accent5 4 2 2 3 2 4 2 3" xfId="26294"/>
    <cellStyle name="40% - Accent5 4 2 2 3 2 4 3" xfId="26295"/>
    <cellStyle name="40% - Accent5 4 2 2 3 2 4 3 2" xfId="26296"/>
    <cellStyle name="40% - Accent5 4 2 2 3 2 4 4" xfId="26297"/>
    <cellStyle name="40% - Accent5 4 2 2 3 2 4 5" xfId="26298"/>
    <cellStyle name="40% - Accent5 4 2 2 3 2 5" xfId="26299"/>
    <cellStyle name="40% - Accent5 4 2 2 3 2 5 2" xfId="26300"/>
    <cellStyle name="40% - Accent5 4 2 2 3 2 5 3" xfId="26301"/>
    <cellStyle name="40% - Accent5 4 2 2 3 2 6" xfId="26302"/>
    <cellStyle name="40% - Accent5 4 2 2 3 2 6 2" xfId="26303"/>
    <cellStyle name="40% - Accent5 4 2 2 3 2 6 3" xfId="26304"/>
    <cellStyle name="40% - Accent5 4 2 2 3 2 7" xfId="26305"/>
    <cellStyle name="40% - Accent5 4 2 2 3 2 7 2" xfId="26306"/>
    <cellStyle name="40% - Accent5 4 2 2 3 2 8" xfId="26307"/>
    <cellStyle name="40% - Accent5 4 2 2 3 2 9" xfId="26308"/>
    <cellStyle name="40% - Accent5 4 2 2 3 3" xfId="26309"/>
    <cellStyle name="40% - Accent5 4 2 2 3 3 2" xfId="26310"/>
    <cellStyle name="40% - Accent5 4 2 2 3 3 2 2" xfId="26311"/>
    <cellStyle name="40% - Accent5 4 2 2 3 3 2 3" xfId="26312"/>
    <cellStyle name="40% - Accent5 4 2 2 3 3 3" xfId="26313"/>
    <cellStyle name="40% - Accent5 4 2 2 3 3 3 2" xfId="26314"/>
    <cellStyle name="40% - Accent5 4 2 2 3 3 3 3" xfId="26315"/>
    <cellStyle name="40% - Accent5 4 2 2 3 3 4" xfId="26316"/>
    <cellStyle name="40% - Accent5 4 2 2 3 3 4 2" xfId="26317"/>
    <cellStyle name="40% - Accent5 4 2 2 3 3 5" xfId="26318"/>
    <cellStyle name="40% - Accent5 4 2 2 3 3 6" xfId="26319"/>
    <cellStyle name="40% - Accent5 4 2 2 3 4" xfId="26320"/>
    <cellStyle name="40% - Accent5 4 2 2 3 4 2" xfId="26321"/>
    <cellStyle name="40% - Accent5 4 2 2 3 4 2 2" xfId="26322"/>
    <cellStyle name="40% - Accent5 4 2 2 3 4 2 3" xfId="26323"/>
    <cellStyle name="40% - Accent5 4 2 2 3 4 3" xfId="26324"/>
    <cellStyle name="40% - Accent5 4 2 2 3 4 3 2" xfId="26325"/>
    <cellStyle name="40% - Accent5 4 2 2 3 4 3 3" xfId="26326"/>
    <cellStyle name="40% - Accent5 4 2 2 3 4 4" xfId="26327"/>
    <cellStyle name="40% - Accent5 4 2 2 3 4 4 2" xfId="26328"/>
    <cellStyle name="40% - Accent5 4 2 2 3 4 5" xfId="26329"/>
    <cellStyle name="40% - Accent5 4 2 2 3 4 6" xfId="26330"/>
    <cellStyle name="40% - Accent5 4 2 2 3 5" xfId="26331"/>
    <cellStyle name="40% - Accent5 4 2 2 3 5 2" xfId="26332"/>
    <cellStyle name="40% - Accent5 4 2 2 3 5 2 2" xfId="26333"/>
    <cellStyle name="40% - Accent5 4 2 2 3 5 2 3" xfId="26334"/>
    <cellStyle name="40% - Accent5 4 2 2 3 5 3" xfId="26335"/>
    <cellStyle name="40% - Accent5 4 2 2 3 5 3 2" xfId="26336"/>
    <cellStyle name="40% - Accent5 4 2 2 3 5 4" xfId="26337"/>
    <cellStyle name="40% - Accent5 4 2 2 3 5 5" xfId="26338"/>
    <cellStyle name="40% - Accent5 4 2 2 3 6" xfId="26339"/>
    <cellStyle name="40% - Accent5 4 2 2 3 6 2" xfId="26340"/>
    <cellStyle name="40% - Accent5 4 2 2 3 6 3" xfId="26341"/>
    <cellStyle name="40% - Accent5 4 2 2 3 7" xfId="26342"/>
    <cellStyle name="40% - Accent5 4 2 2 3 7 2" xfId="26343"/>
    <cellStyle name="40% - Accent5 4 2 2 3 7 3" xfId="26344"/>
    <cellStyle name="40% - Accent5 4 2 2 3 8" xfId="26345"/>
    <cellStyle name="40% - Accent5 4 2 2 3 8 2" xfId="26346"/>
    <cellStyle name="40% - Accent5 4 2 2 3 9" xfId="26347"/>
    <cellStyle name="40% - Accent5 4 2 2 4" xfId="2439"/>
    <cellStyle name="40% - Accent5 4 2 2 4 2" xfId="26348"/>
    <cellStyle name="40% - Accent5 4 2 2 4 2 2" xfId="26349"/>
    <cellStyle name="40% - Accent5 4 2 2 4 2 2 2" xfId="26350"/>
    <cellStyle name="40% - Accent5 4 2 2 4 2 2 3" xfId="26351"/>
    <cellStyle name="40% - Accent5 4 2 2 4 2 3" xfId="26352"/>
    <cellStyle name="40% - Accent5 4 2 2 4 2 3 2" xfId="26353"/>
    <cellStyle name="40% - Accent5 4 2 2 4 2 3 3" xfId="26354"/>
    <cellStyle name="40% - Accent5 4 2 2 4 2 4" xfId="26355"/>
    <cellStyle name="40% - Accent5 4 2 2 4 2 4 2" xfId="26356"/>
    <cellStyle name="40% - Accent5 4 2 2 4 2 5" xfId="26357"/>
    <cellStyle name="40% - Accent5 4 2 2 4 2 6" xfId="26358"/>
    <cellStyle name="40% - Accent5 4 2 2 4 3" xfId="26359"/>
    <cellStyle name="40% - Accent5 4 2 2 4 3 2" xfId="26360"/>
    <cellStyle name="40% - Accent5 4 2 2 4 3 2 2" xfId="26361"/>
    <cellStyle name="40% - Accent5 4 2 2 4 3 2 3" xfId="26362"/>
    <cellStyle name="40% - Accent5 4 2 2 4 3 3" xfId="26363"/>
    <cellStyle name="40% - Accent5 4 2 2 4 3 3 2" xfId="26364"/>
    <cellStyle name="40% - Accent5 4 2 2 4 3 3 3" xfId="26365"/>
    <cellStyle name="40% - Accent5 4 2 2 4 3 4" xfId="26366"/>
    <cellStyle name="40% - Accent5 4 2 2 4 3 4 2" xfId="26367"/>
    <cellStyle name="40% - Accent5 4 2 2 4 3 5" xfId="26368"/>
    <cellStyle name="40% - Accent5 4 2 2 4 3 6" xfId="26369"/>
    <cellStyle name="40% - Accent5 4 2 2 4 4" xfId="26370"/>
    <cellStyle name="40% - Accent5 4 2 2 4 4 2" xfId="26371"/>
    <cellStyle name="40% - Accent5 4 2 2 4 4 2 2" xfId="26372"/>
    <cellStyle name="40% - Accent5 4 2 2 4 4 2 3" xfId="26373"/>
    <cellStyle name="40% - Accent5 4 2 2 4 4 3" xfId="26374"/>
    <cellStyle name="40% - Accent5 4 2 2 4 4 3 2" xfId="26375"/>
    <cellStyle name="40% - Accent5 4 2 2 4 4 4" xfId="26376"/>
    <cellStyle name="40% - Accent5 4 2 2 4 4 5" xfId="26377"/>
    <cellStyle name="40% - Accent5 4 2 2 4 5" xfId="26378"/>
    <cellStyle name="40% - Accent5 4 2 2 4 5 2" xfId="26379"/>
    <cellStyle name="40% - Accent5 4 2 2 4 5 3" xfId="26380"/>
    <cellStyle name="40% - Accent5 4 2 2 4 6" xfId="26381"/>
    <cellStyle name="40% - Accent5 4 2 2 4 6 2" xfId="26382"/>
    <cellStyle name="40% - Accent5 4 2 2 4 6 3" xfId="26383"/>
    <cellStyle name="40% - Accent5 4 2 2 4 7" xfId="26384"/>
    <cellStyle name="40% - Accent5 4 2 2 4 7 2" xfId="26385"/>
    <cellStyle name="40% - Accent5 4 2 2 4 8" xfId="26386"/>
    <cellStyle name="40% - Accent5 4 2 2 4 9" xfId="26387"/>
    <cellStyle name="40% - Accent5 4 2 2 5" xfId="26388"/>
    <cellStyle name="40% - Accent5 4 2 2 5 2" xfId="26389"/>
    <cellStyle name="40% - Accent5 4 2 2 5 2 2" xfId="26390"/>
    <cellStyle name="40% - Accent5 4 2 2 5 2 2 2" xfId="26391"/>
    <cellStyle name="40% - Accent5 4 2 2 5 2 2 3" xfId="26392"/>
    <cellStyle name="40% - Accent5 4 2 2 5 2 3" xfId="26393"/>
    <cellStyle name="40% - Accent5 4 2 2 5 2 3 2" xfId="26394"/>
    <cellStyle name="40% - Accent5 4 2 2 5 2 3 3" xfId="26395"/>
    <cellStyle name="40% - Accent5 4 2 2 5 2 4" xfId="26396"/>
    <cellStyle name="40% - Accent5 4 2 2 5 2 4 2" xfId="26397"/>
    <cellStyle name="40% - Accent5 4 2 2 5 2 5" xfId="26398"/>
    <cellStyle name="40% - Accent5 4 2 2 5 2 6" xfId="26399"/>
    <cellStyle name="40% - Accent5 4 2 2 5 3" xfId="26400"/>
    <cellStyle name="40% - Accent5 4 2 2 5 3 2" xfId="26401"/>
    <cellStyle name="40% - Accent5 4 2 2 5 3 2 2" xfId="26402"/>
    <cellStyle name="40% - Accent5 4 2 2 5 3 2 3" xfId="26403"/>
    <cellStyle name="40% - Accent5 4 2 2 5 3 3" xfId="26404"/>
    <cellStyle name="40% - Accent5 4 2 2 5 3 3 2" xfId="26405"/>
    <cellStyle name="40% - Accent5 4 2 2 5 3 3 3" xfId="26406"/>
    <cellStyle name="40% - Accent5 4 2 2 5 3 4" xfId="26407"/>
    <cellStyle name="40% - Accent5 4 2 2 5 3 4 2" xfId="26408"/>
    <cellStyle name="40% - Accent5 4 2 2 5 3 5" xfId="26409"/>
    <cellStyle name="40% - Accent5 4 2 2 5 3 6" xfId="26410"/>
    <cellStyle name="40% - Accent5 4 2 2 5 4" xfId="26411"/>
    <cellStyle name="40% - Accent5 4 2 2 5 4 2" xfId="26412"/>
    <cellStyle name="40% - Accent5 4 2 2 5 4 2 2" xfId="26413"/>
    <cellStyle name="40% - Accent5 4 2 2 5 4 2 3" xfId="26414"/>
    <cellStyle name="40% - Accent5 4 2 2 5 4 3" xfId="26415"/>
    <cellStyle name="40% - Accent5 4 2 2 5 4 3 2" xfId="26416"/>
    <cellStyle name="40% - Accent5 4 2 2 5 4 4" xfId="26417"/>
    <cellStyle name="40% - Accent5 4 2 2 5 4 5" xfId="26418"/>
    <cellStyle name="40% - Accent5 4 2 2 5 5" xfId="26419"/>
    <cellStyle name="40% - Accent5 4 2 2 5 5 2" xfId="26420"/>
    <cellStyle name="40% - Accent5 4 2 2 5 5 3" xfId="26421"/>
    <cellStyle name="40% - Accent5 4 2 2 5 6" xfId="26422"/>
    <cellStyle name="40% - Accent5 4 2 2 5 6 2" xfId="26423"/>
    <cellStyle name="40% - Accent5 4 2 2 5 6 3" xfId="26424"/>
    <cellStyle name="40% - Accent5 4 2 2 5 7" xfId="26425"/>
    <cellStyle name="40% - Accent5 4 2 2 5 7 2" xfId="26426"/>
    <cellStyle name="40% - Accent5 4 2 2 5 8" xfId="26427"/>
    <cellStyle name="40% - Accent5 4 2 2 5 9" xfId="26428"/>
    <cellStyle name="40% - Accent5 4 2 2 6" xfId="26429"/>
    <cellStyle name="40% - Accent5 4 2 2 6 2" xfId="26430"/>
    <cellStyle name="40% - Accent5 4 2 2 6 2 2" xfId="26431"/>
    <cellStyle name="40% - Accent5 4 2 2 6 2 3" xfId="26432"/>
    <cellStyle name="40% - Accent5 4 2 2 6 3" xfId="26433"/>
    <cellStyle name="40% - Accent5 4 2 2 6 3 2" xfId="26434"/>
    <cellStyle name="40% - Accent5 4 2 2 6 3 3" xfId="26435"/>
    <cellStyle name="40% - Accent5 4 2 2 6 4" xfId="26436"/>
    <cellStyle name="40% - Accent5 4 2 2 6 4 2" xfId="26437"/>
    <cellStyle name="40% - Accent5 4 2 2 6 5" xfId="26438"/>
    <cellStyle name="40% - Accent5 4 2 2 6 6" xfId="26439"/>
    <cellStyle name="40% - Accent5 4 2 2 7" xfId="26440"/>
    <cellStyle name="40% - Accent5 4 2 2 7 2" xfId="26441"/>
    <cellStyle name="40% - Accent5 4 2 2 7 2 2" xfId="26442"/>
    <cellStyle name="40% - Accent5 4 2 2 7 2 3" xfId="26443"/>
    <cellStyle name="40% - Accent5 4 2 2 7 3" xfId="26444"/>
    <cellStyle name="40% - Accent5 4 2 2 7 3 2" xfId="26445"/>
    <cellStyle name="40% - Accent5 4 2 2 7 3 3" xfId="26446"/>
    <cellStyle name="40% - Accent5 4 2 2 7 4" xfId="26447"/>
    <cellStyle name="40% - Accent5 4 2 2 7 4 2" xfId="26448"/>
    <cellStyle name="40% - Accent5 4 2 2 7 5" xfId="26449"/>
    <cellStyle name="40% - Accent5 4 2 2 7 6" xfId="26450"/>
    <cellStyle name="40% - Accent5 4 2 2 8" xfId="26451"/>
    <cellStyle name="40% - Accent5 4 2 2 8 2" xfId="26452"/>
    <cellStyle name="40% - Accent5 4 2 2 8 2 2" xfId="26453"/>
    <cellStyle name="40% - Accent5 4 2 2 8 2 3" xfId="26454"/>
    <cellStyle name="40% - Accent5 4 2 2 8 3" xfId="26455"/>
    <cellStyle name="40% - Accent5 4 2 2 8 3 2" xfId="26456"/>
    <cellStyle name="40% - Accent5 4 2 2 8 4" xfId="26457"/>
    <cellStyle name="40% - Accent5 4 2 2 8 5" xfId="26458"/>
    <cellStyle name="40% - Accent5 4 2 2 9" xfId="26459"/>
    <cellStyle name="40% - Accent5 4 2 2 9 2" xfId="26460"/>
    <cellStyle name="40% - Accent5 4 2 2 9 3" xfId="26461"/>
    <cellStyle name="40% - Accent5 4 2 3" xfId="2440"/>
    <cellStyle name="40% - Accent5 4 2 3 10" xfId="26462"/>
    <cellStyle name="40% - Accent5 4 2 3 10 2" xfId="26463"/>
    <cellStyle name="40% - Accent5 4 2 3 11" xfId="26464"/>
    <cellStyle name="40% - Accent5 4 2 3 12" xfId="26465"/>
    <cellStyle name="40% - Accent5 4 2 3 2" xfId="2441"/>
    <cellStyle name="40% - Accent5 4 2 3 2 10" xfId="26466"/>
    <cellStyle name="40% - Accent5 4 2 3 2 2" xfId="2442"/>
    <cellStyle name="40% - Accent5 4 2 3 2 2 2" xfId="26467"/>
    <cellStyle name="40% - Accent5 4 2 3 2 2 2 2" xfId="26468"/>
    <cellStyle name="40% - Accent5 4 2 3 2 2 2 2 2" xfId="26469"/>
    <cellStyle name="40% - Accent5 4 2 3 2 2 2 2 3" xfId="26470"/>
    <cellStyle name="40% - Accent5 4 2 3 2 2 2 3" xfId="26471"/>
    <cellStyle name="40% - Accent5 4 2 3 2 2 2 3 2" xfId="26472"/>
    <cellStyle name="40% - Accent5 4 2 3 2 2 2 3 3" xfId="26473"/>
    <cellStyle name="40% - Accent5 4 2 3 2 2 2 4" xfId="26474"/>
    <cellStyle name="40% - Accent5 4 2 3 2 2 2 4 2" xfId="26475"/>
    <cellStyle name="40% - Accent5 4 2 3 2 2 2 5" xfId="26476"/>
    <cellStyle name="40% - Accent5 4 2 3 2 2 2 6" xfId="26477"/>
    <cellStyle name="40% - Accent5 4 2 3 2 2 3" xfId="26478"/>
    <cellStyle name="40% - Accent5 4 2 3 2 2 3 2" xfId="26479"/>
    <cellStyle name="40% - Accent5 4 2 3 2 2 3 2 2" xfId="26480"/>
    <cellStyle name="40% - Accent5 4 2 3 2 2 3 2 3" xfId="26481"/>
    <cellStyle name="40% - Accent5 4 2 3 2 2 3 3" xfId="26482"/>
    <cellStyle name="40% - Accent5 4 2 3 2 2 3 3 2" xfId="26483"/>
    <cellStyle name="40% - Accent5 4 2 3 2 2 3 3 3" xfId="26484"/>
    <cellStyle name="40% - Accent5 4 2 3 2 2 3 4" xfId="26485"/>
    <cellStyle name="40% - Accent5 4 2 3 2 2 3 4 2" xfId="26486"/>
    <cellStyle name="40% - Accent5 4 2 3 2 2 3 5" xfId="26487"/>
    <cellStyle name="40% - Accent5 4 2 3 2 2 3 6" xfId="26488"/>
    <cellStyle name="40% - Accent5 4 2 3 2 2 4" xfId="26489"/>
    <cellStyle name="40% - Accent5 4 2 3 2 2 4 2" xfId="26490"/>
    <cellStyle name="40% - Accent5 4 2 3 2 2 4 2 2" xfId="26491"/>
    <cellStyle name="40% - Accent5 4 2 3 2 2 4 2 3" xfId="26492"/>
    <cellStyle name="40% - Accent5 4 2 3 2 2 4 3" xfId="26493"/>
    <cellStyle name="40% - Accent5 4 2 3 2 2 4 3 2" xfId="26494"/>
    <cellStyle name="40% - Accent5 4 2 3 2 2 4 4" xfId="26495"/>
    <cellStyle name="40% - Accent5 4 2 3 2 2 4 5" xfId="26496"/>
    <cellStyle name="40% - Accent5 4 2 3 2 2 5" xfId="26497"/>
    <cellStyle name="40% - Accent5 4 2 3 2 2 5 2" xfId="26498"/>
    <cellStyle name="40% - Accent5 4 2 3 2 2 5 3" xfId="26499"/>
    <cellStyle name="40% - Accent5 4 2 3 2 2 6" xfId="26500"/>
    <cellStyle name="40% - Accent5 4 2 3 2 2 6 2" xfId="26501"/>
    <cellStyle name="40% - Accent5 4 2 3 2 2 6 3" xfId="26502"/>
    <cellStyle name="40% - Accent5 4 2 3 2 2 7" xfId="26503"/>
    <cellStyle name="40% - Accent5 4 2 3 2 2 7 2" xfId="26504"/>
    <cellStyle name="40% - Accent5 4 2 3 2 2 8" xfId="26505"/>
    <cellStyle name="40% - Accent5 4 2 3 2 2 9" xfId="26506"/>
    <cellStyle name="40% - Accent5 4 2 3 2 3" xfId="26507"/>
    <cellStyle name="40% - Accent5 4 2 3 2 3 2" xfId="26508"/>
    <cellStyle name="40% - Accent5 4 2 3 2 3 2 2" xfId="26509"/>
    <cellStyle name="40% - Accent5 4 2 3 2 3 2 3" xfId="26510"/>
    <cellStyle name="40% - Accent5 4 2 3 2 3 3" xfId="26511"/>
    <cellStyle name="40% - Accent5 4 2 3 2 3 3 2" xfId="26512"/>
    <cellStyle name="40% - Accent5 4 2 3 2 3 3 3" xfId="26513"/>
    <cellStyle name="40% - Accent5 4 2 3 2 3 4" xfId="26514"/>
    <cellStyle name="40% - Accent5 4 2 3 2 3 4 2" xfId="26515"/>
    <cellStyle name="40% - Accent5 4 2 3 2 3 5" xfId="26516"/>
    <cellStyle name="40% - Accent5 4 2 3 2 3 6" xfId="26517"/>
    <cellStyle name="40% - Accent5 4 2 3 2 4" xfId="26518"/>
    <cellStyle name="40% - Accent5 4 2 3 2 4 2" xfId="26519"/>
    <cellStyle name="40% - Accent5 4 2 3 2 4 2 2" xfId="26520"/>
    <cellStyle name="40% - Accent5 4 2 3 2 4 2 3" xfId="26521"/>
    <cellStyle name="40% - Accent5 4 2 3 2 4 3" xfId="26522"/>
    <cellStyle name="40% - Accent5 4 2 3 2 4 3 2" xfId="26523"/>
    <cellStyle name="40% - Accent5 4 2 3 2 4 3 3" xfId="26524"/>
    <cellStyle name="40% - Accent5 4 2 3 2 4 4" xfId="26525"/>
    <cellStyle name="40% - Accent5 4 2 3 2 4 4 2" xfId="26526"/>
    <cellStyle name="40% - Accent5 4 2 3 2 4 5" xfId="26527"/>
    <cellStyle name="40% - Accent5 4 2 3 2 4 6" xfId="26528"/>
    <cellStyle name="40% - Accent5 4 2 3 2 5" xfId="26529"/>
    <cellStyle name="40% - Accent5 4 2 3 2 5 2" xfId="26530"/>
    <cellStyle name="40% - Accent5 4 2 3 2 5 2 2" xfId="26531"/>
    <cellStyle name="40% - Accent5 4 2 3 2 5 2 3" xfId="26532"/>
    <cellStyle name="40% - Accent5 4 2 3 2 5 3" xfId="26533"/>
    <cellStyle name="40% - Accent5 4 2 3 2 5 3 2" xfId="26534"/>
    <cellStyle name="40% - Accent5 4 2 3 2 5 4" xfId="26535"/>
    <cellStyle name="40% - Accent5 4 2 3 2 5 5" xfId="26536"/>
    <cellStyle name="40% - Accent5 4 2 3 2 6" xfId="26537"/>
    <cellStyle name="40% - Accent5 4 2 3 2 6 2" xfId="26538"/>
    <cellStyle name="40% - Accent5 4 2 3 2 6 3" xfId="26539"/>
    <cellStyle name="40% - Accent5 4 2 3 2 7" xfId="26540"/>
    <cellStyle name="40% - Accent5 4 2 3 2 7 2" xfId="26541"/>
    <cellStyle name="40% - Accent5 4 2 3 2 7 3" xfId="26542"/>
    <cellStyle name="40% - Accent5 4 2 3 2 8" xfId="26543"/>
    <cellStyle name="40% - Accent5 4 2 3 2 8 2" xfId="26544"/>
    <cellStyle name="40% - Accent5 4 2 3 2 9" xfId="26545"/>
    <cellStyle name="40% - Accent5 4 2 3 3" xfId="2443"/>
    <cellStyle name="40% - Accent5 4 2 3 3 2" xfId="26546"/>
    <cellStyle name="40% - Accent5 4 2 3 3 2 2" xfId="26547"/>
    <cellStyle name="40% - Accent5 4 2 3 3 2 2 2" xfId="26548"/>
    <cellStyle name="40% - Accent5 4 2 3 3 2 2 3" xfId="26549"/>
    <cellStyle name="40% - Accent5 4 2 3 3 2 3" xfId="26550"/>
    <cellStyle name="40% - Accent5 4 2 3 3 2 3 2" xfId="26551"/>
    <cellStyle name="40% - Accent5 4 2 3 3 2 3 3" xfId="26552"/>
    <cellStyle name="40% - Accent5 4 2 3 3 2 4" xfId="26553"/>
    <cellStyle name="40% - Accent5 4 2 3 3 2 4 2" xfId="26554"/>
    <cellStyle name="40% - Accent5 4 2 3 3 2 5" xfId="26555"/>
    <cellStyle name="40% - Accent5 4 2 3 3 2 6" xfId="26556"/>
    <cellStyle name="40% - Accent5 4 2 3 3 3" xfId="26557"/>
    <cellStyle name="40% - Accent5 4 2 3 3 3 2" xfId="26558"/>
    <cellStyle name="40% - Accent5 4 2 3 3 3 2 2" xfId="26559"/>
    <cellStyle name="40% - Accent5 4 2 3 3 3 2 3" xfId="26560"/>
    <cellStyle name="40% - Accent5 4 2 3 3 3 3" xfId="26561"/>
    <cellStyle name="40% - Accent5 4 2 3 3 3 3 2" xfId="26562"/>
    <cellStyle name="40% - Accent5 4 2 3 3 3 3 3" xfId="26563"/>
    <cellStyle name="40% - Accent5 4 2 3 3 3 4" xfId="26564"/>
    <cellStyle name="40% - Accent5 4 2 3 3 3 4 2" xfId="26565"/>
    <cellStyle name="40% - Accent5 4 2 3 3 3 5" xfId="26566"/>
    <cellStyle name="40% - Accent5 4 2 3 3 3 6" xfId="26567"/>
    <cellStyle name="40% - Accent5 4 2 3 3 4" xfId="26568"/>
    <cellStyle name="40% - Accent5 4 2 3 3 4 2" xfId="26569"/>
    <cellStyle name="40% - Accent5 4 2 3 3 4 2 2" xfId="26570"/>
    <cellStyle name="40% - Accent5 4 2 3 3 4 2 3" xfId="26571"/>
    <cellStyle name="40% - Accent5 4 2 3 3 4 3" xfId="26572"/>
    <cellStyle name="40% - Accent5 4 2 3 3 4 3 2" xfId="26573"/>
    <cellStyle name="40% - Accent5 4 2 3 3 4 4" xfId="26574"/>
    <cellStyle name="40% - Accent5 4 2 3 3 4 5" xfId="26575"/>
    <cellStyle name="40% - Accent5 4 2 3 3 5" xfId="26576"/>
    <cellStyle name="40% - Accent5 4 2 3 3 5 2" xfId="26577"/>
    <cellStyle name="40% - Accent5 4 2 3 3 5 3" xfId="26578"/>
    <cellStyle name="40% - Accent5 4 2 3 3 6" xfId="26579"/>
    <cellStyle name="40% - Accent5 4 2 3 3 6 2" xfId="26580"/>
    <cellStyle name="40% - Accent5 4 2 3 3 6 3" xfId="26581"/>
    <cellStyle name="40% - Accent5 4 2 3 3 7" xfId="26582"/>
    <cellStyle name="40% - Accent5 4 2 3 3 7 2" xfId="26583"/>
    <cellStyle name="40% - Accent5 4 2 3 3 8" xfId="26584"/>
    <cellStyle name="40% - Accent5 4 2 3 3 9" xfId="26585"/>
    <cellStyle name="40% - Accent5 4 2 3 4" xfId="26586"/>
    <cellStyle name="40% - Accent5 4 2 3 4 2" xfId="26587"/>
    <cellStyle name="40% - Accent5 4 2 3 4 2 2" xfId="26588"/>
    <cellStyle name="40% - Accent5 4 2 3 4 2 2 2" xfId="26589"/>
    <cellStyle name="40% - Accent5 4 2 3 4 2 2 3" xfId="26590"/>
    <cellStyle name="40% - Accent5 4 2 3 4 2 3" xfId="26591"/>
    <cellStyle name="40% - Accent5 4 2 3 4 2 3 2" xfId="26592"/>
    <cellStyle name="40% - Accent5 4 2 3 4 2 3 3" xfId="26593"/>
    <cellStyle name="40% - Accent5 4 2 3 4 2 4" xfId="26594"/>
    <cellStyle name="40% - Accent5 4 2 3 4 2 4 2" xfId="26595"/>
    <cellStyle name="40% - Accent5 4 2 3 4 2 5" xfId="26596"/>
    <cellStyle name="40% - Accent5 4 2 3 4 2 6" xfId="26597"/>
    <cellStyle name="40% - Accent5 4 2 3 4 3" xfId="26598"/>
    <cellStyle name="40% - Accent5 4 2 3 4 3 2" xfId="26599"/>
    <cellStyle name="40% - Accent5 4 2 3 4 3 2 2" xfId="26600"/>
    <cellStyle name="40% - Accent5 4 2 3 4 3 2 3" xfId="26601"/>
    <cellStyle name="40% - Accent5 4 2 3 4 3 3" xfId="26602"/>
    <cellStyle name="40% - Accent5 4 2 3 4 3 3 2" xfId="26603"/>
    <cellStyle name="40% - Accent5 4 2 3 4 3 3 3" xfId="26604"/>
    <cellStyle name="40% - Accent5 4 2 3 4 3 4" xfId="26605"/>
    <cellStyle name="40% - Accent5 4 2 3 4 3 4 2" xfId="26606"/>
    <cellStyle name="40% - Accent5 4 2 3 4 3 5" xfId="26607"/>
    <cellStyle name="40% - Accent5 4 2 3 4 3 6" xfId="26608"/>
    <cellStyle name="40% - Accent5 4 2 3 4 4" xfId="26609"/>
    <cellStyle name="40% - Accent5 4 2 3 4 4 2" xfId="26610"/>
    <cellStyle name="40% - Accent5 4 2 3 4 4 2 2" xfId="26611"/>
    <cellStyle name="40% - Accent5 4 2 3 4 4 2 3" xfId="26612"/>
    <cellStyle name="40% - Accent5 4 2 3 4 4 3" xfId="26613"/>
    <cellStyle name="40% - Accent5 4 2 3 4 4 3 2" xfId="26614"/>
    <cellStyle name="40% - Accent5 4 2 3 4 4 4" xfId="26615"/>
    <cellStyle name="40% - Accent5 4 2 3 4 4 5" xfId="26616"/>
    <cellStyle name="40% - Accent5 4 2 3 4 5" xfId="26617"/>
    <cellStyle name="40% - Accent5 4 2 3 4 5 2" xfId="26618"/>
    <cellStyle name="40% - Accent5 4 2 3 4 5 3" xfId="26619"/>
    <cellStyle name="40% - Accent5 4 2 3 4 6" xfId="26620"/>
    <cellStyle name="40% - Accent5 4 2 3 4 6 2" xfId="26621"/>
    <cellStyle name="40% - Accent5 4 2 3 4 6 3" xfId="26622"/>
    <cellStyle name="40% - Accent5 4 2 3 4 7" xfId="26623"/>
    <cellStyle name="40% - Accent5 4 2 3 4 7 2" xfId="26624"/>
    <cellStyle name="40% - Accent5 4 2 3 4 8" xfId="26625"/>
    <cellStyle name="40% - Accent5 4 2 3 4 9" xfId="26626"/>
    <cellStyle name="40% - Accent5 4 2 3 5" xfId="26627"/>
    <cellStyle name="40% - Accent5 4 2 3 5 2" xfId="26628"/>
    <cellStyle name="40% - Accent5 4 2 3 5 2 2" xfId="26629"/>
    <cellStyle name="40% - Accent5 4 2 3 5 2 3" xfId="26630"/>
    <cellStyle name="40% - Accent5 4 2 3 5 3" xfId="26631"/>
    <cellStyle name="40% - Accent5 4 2 3 5 3 2" xfId="26632"/>
    <cellStyle name="40% - Accent5 4 2 3 5 3 3" xfId="26633"/>
    <cellStyle name="40% - Accent5 4 2 3 5 4" xfId="26634"/>
    <cellStyle name="40% - Accent5 4 2 3 5 4 2" xfId="26635"/>
    <cellStyle name="40% - Accent5 4 2 3 5 5" xfId="26636"/>
    <cellStyle name="40% - Accent5 4 2 3 5 6" xfId="26637"/>
    <cellStyle name="40% - Accent5 4 2 3 6" xfId="26638"/>
    <cellStyle name="40% - Accent5 4 2 3 6 2" xfId="26639"/>
    <cellStyle name="40% - Accent5 4 2 3 6 2 2" xfId="26640"/>
    <cellStyle name="40% - Accent5 4 2 3 6 2 3" xfId="26641"/>
    <cellStyle name="40% - Accent5 4 2 3 6 3" xfId="26642"/>
    <cellStyle name="40% - Accent5 4 2 3 6 3 2" xfId="26643"/>
    <cellStyle name="40% - Accent5 4 2 3 6 3 3" xfId="26644"/>
    <cellStyle name="40% - Accent5 4 2 3 6 4" xfId="26645"/>
    <cellStyle name="40% - Accent5 4 2 3 6 4 2" xfId="26646"/>
    <cellStyle name="40% - Accent5 4 2 3 6 5" xfId="26647"/>
    <cellStyle name="40% - Accent5 4 2 3 6 6" xfId="26648"/>
    <cellStyle name="40% - Accent5 4 2 3 7" xfId="26649"/>
    <cellStyle name="40% - Accent5 4 2 3 7 2" xfId="26650"/>
    <cellStyle name="40% - Accent5 4 2 3 7 2 2" xfId="26651"/>
    <cellStyle name="40% - Accent5 4 2 3 7 2 3" xfId="26652"/>
    <cellStyle name="40% - Accent5 4 2 3 7 3" xfId="26653"/>
    <cellStyle name="40% - Accent5 4 2 3 7 3 2" xfId="26654"/>
    <cellStyle name="40% - Accent5 4 2 3 7 4" xfId="26655"/>
    <cellStyle name="40% - Accent5 4 2 3 7 5" xfId="26656"/>
    <cellStyle name="40% - Accent5 4 2 3 8" xfId="26657"/>
    <cellStyle name="40% - Accent5 4 2 3 8 2" xfId="26658"/>
    <cellStyle name="40% - Accent5 4 2 3 8 3" xfId="26659"/>
    <cellStyle name="40% - Accent5 4 2 3 9" xfId="26660"/>
    <cellStyle name="40% - Accent5 4 2 3 9 2" xfId="26661"/>
    <cellStyle name="40% - Accent5 4 2 3 9 3" xfId="26662"/>
    <cellStyle name="40% - Accent5 4 2 4" xfId="2444"/>
    <cellStyle name="40% - Accent5 4 2 4 10" xfId="26663"/>
    <cellStyle name="40% - Accent5 4 2 4 2" xfId="2445"/>
    <cellStyle name="40% - Accent5 4 2 4 2 2" xfId="26664"/>
    <cellStyle name="40% - Accent5 4 2 4 2 2 2" xfId="26665"/>
    <cellStyle name="40% - Accent5 4 2 4 2 2 2 2" xfId="26666"/>
    <cellStyle name="40% - Accent5 4 2 4 2 2 2 3" xfId="26667"/>
    <cellStyle name="40% - Accent5 4 2 4 2 2 3" xfId="26668"/>
    <cellStyle name="40% - Accent5 4 2 4 2 2 3 2" xfId="26669"/>
    <cellStyle name="40% - Accent5 4 2 4 2 2 3 3" xfId="26670"/>
    <cellStyle name="40% - Accent5 4 2 4 2 2 4" xfId="26671"/>
    <cellStyle name="40% - Accent5 4 2 4 2 2 4 2" xfId="26672"/>
    <cellStyle name="40% - Accent5 4 2 4 2 2 5" xfId="26673"/>
    <cellStyle name="40% - Accent5 4 2 4 2 2 6" xfId="26674"/>
    <cellStyle name="40% - Accent5 4 2 4 2 3" xfId="26675"/>
    <cellStyle name="40% - Accent5 4 2 4 2 3 2" xfId="26676"/>
    <cellStyle name="40% - Accent5 4 2 4 2 3 2 2" xfId="26677"/>
    <cellStyle name="40% - Accent5 4 2 4 2 3 2 3" xfId="26678"/>
    <cellStyle name="40% - Accent5 4 2 4 2 3 3" xfId="26679"/>
    <cellStyle name="40% - Accent5 4 2 4 2 3 3 2" xfId="26680"/>
    <cellStyle name="40% - Accent5 4 2 4 2 3 3 3" xfId="26681"/>
    <cellStyle name="40% - Accent5 4 2 4 2 3 4" xfId="26682"/>
    <cellStyle name="40% - Accent5 4 2 4 2 3 4 2" xfId="26683"/>
    <cellStyle name="40% - Accent5 4 2 4 2 3 5" xfId="26684"/>
    <cellStyle name="40% - Accent5 4 2 4 2 3 6" xfId="26685"/>
    <cellStyle name="40% - Accent5 4 2 4 2 4" xfId="26686"/>
    <cellStyle name="40% - Accent5 4 2 4 2 4 2" xfId="26687"/>
    <cellStyle name="40% - Accent5 4 2 4 2 4 2 2" xfId="26688"/>
    <cellStyle name="40% - Accent5 4 2 4 2 4 2 3" xfId="26689"/>
    <cellStyle name="40% - Accent5 4 2 4 2 4 3" xfId="26690"/>
    <cellStyle name="40% - Accent5 4 2 4 2 4 3 2" xfId="26691"/>
    <cellStyle name="40% - Accent5 4 2 4 2 4 4" xfId="26692"/>
    <cellStyle name="40% - Accent5 4 2 4 2 4 5" xfId="26693"/>
    <cellStyle name="40% - Accent5 4 2 4 2 5" xfId="26694"/>
    <cellStyle name="40% - Accent5 4 2 4 2 5 2" xfId="26695"/>
    <cellStyle name="40% - Accent5 4 2 4 2 5 3" xfId="26696"/>
    <cellStyle name="40% - Accent5 4 2 4 2 6" xfId="26697"/>
    <cellStyle name="40% - Accent5 4 2 4 2 6 2" xfId="26698"/>
    <cellStyle name="40% - Accent5 4 2 4 2 6 3" xfId="26699"/>
    <cellStyle name="40% - Accent5 4 2 4 2 7" xfId="26700"/>
    <cellStyle name="40% - Accent5 4 2 4 2 7 2" xfId="26701"/>
    <cellStyle name="40% - Accent5 4 2 4 2 8" xfId="26702"/>
    <cellStyle name="40% - Accent5 4 2 4 2 9" xfId="26703"/>
    <cellStyle name="40% - Accent5 4 2 4 3" xfId="26704"/>
    <cellStyle name="40% - Accent5 4 2 4 3 2" xfId="26705"/>
    <cellStyle name="40% - Accent5 4 2 4 3 2 2" xfId="26706"/>
    <cellStyle name="40% - Accent5 4 2 4 3 2 3" xfId="26707"/>
    <cellStyle name="40% - Accent5 4 2 4 3 3" xfId="26708"/>
    <cellStyle name="40% - Accent5 4 2 4 3 3 2" xfId="26709"/>
    <cellStyle name="40% - Accent5 4 2 4 3 3 3" xfId="26710"/>
    <cellStyle name="40% - Accent5 4 2 4 3 4" xfId="26711"/>
    <cellStyle name="40% - Accent5 4 2 4 3 4 2" xfId="26712"/>
    <cellStyle name="40% - Accent5 4 2 4 3 5" xfId="26713"/>
    <cellStyle name="40% - Accent5 4 2 4 3 6" xfId="26714"/>
    <cellStyle name="40% - Accent5 4 2 4 4" xfId="26715"/>
    <cellStyle name="40% - Accent5 4 2 4 4 2" xfId="26716"/>
    <cellStyle name="40% - Accent5 4 2 4 4 2 2" xfId="26717"/>
    <cellStyle name="40% - Accent5 4 2 4 4 2 3" xfId="26718"/>
    <cellStyle name="40% - Accent5 4 2 4 4 3" xfId="26719"/>
    <cellStyle name="40% - Accent5 4 2 4 4 3 2" xfId="26720"/>
    <cellStyle name="40% - Accent5 4 2 4 4 3 3" xfId="26721"/>
    <cellStyle name="40% - Accent5 4 2 4 4 4" xfId="26722"/>
    <cellStyle name="40% - Accent5 4 2 4 4 4 2" xfId="26723"/>
    <cellStyle name="40% - Accent5 4 2 4 4 5" xfId="26724"/>
    <cellStyle name="40% - Accent5 4 2 4 4 6" xfId="26725"/>
    <cellStyle name="40% - Accent5 4 2 4 5" xfId="26726"/>
    <cellStyle name="40% - Accent5 4 2 4 5 2" xfId="26727"/>
    <cellStyle name="40% - Accent5 4 2 4 5 2 2" xfId="26728"/>
    <cellStyle name="40% - Accent5 4 2 4 5 2 3" xfId="26729"/>
    <cellStyle name="40% - Accent5 4 2 4 5 3" xfId="26730"/>
    <cellStyle name="40% - Accent5 4 2 4 5 3 2" xfId="26731"/>
    <cellStyle name="40% - Accent5 4 2 4 5 4" xfId="26732"/>
    <cellStyle name="40% - Accent5 4 2 4 5 5" xfId="26733"/>
    <cellStyle name="40% - Accent5 4 2 4 6" xfId="26734"/>
    <cellStyle name="40% - Accent5 4 2 4 6 2" xfId="26735"/>
    <cellStyle name="40% - Accent5 4 2 4 6 3" xfId="26736"/>
    <cellStyle name="40% - Accent5 4 2 4 7" xfId="26737"/>
    <cellStyle name="40% - Accent5 4 2 4 7 2" xfId="26738"/>
    <cellStyle name="40% - Accent5 4 2 4 7 3" xfId="26739"/>
    <cellStyle name="40% - Accent5 4 2 4 8" xfId="26740"/>
    <cellStyle name="40% - Accent5 4 2 4 8 2" xfId="26741"/>
    <cellStyle name="40% - Accent5 4 2 4 9" xfId="26742"/>
    <cellStyle name="40% - Accent5 4 2 5" xfId="2446"/>
    <cellStyle name="40% - Accent5 4 2 5 2" xfId="26743"/>
    <cellStyle name="40% - Accent5 4 2 5 2 2" xfId="26744"/>
    <cellStyle name="40% - Accent5 4 2 5 2 2 2" xfId="26745"/>
    <cellStyle name="40% - Accent5 4 2 5 2 2 3" xfId="26746"/>
    <cellStyle name="40% - Accent5 4 2 5 2 3" xfId="26747"/>
    <cellStyle name="40% - Accent5 4 2 5 2 3 2" xfId="26748"/>
    <cellStyle name="40% - Accent5 4 2 5 2 3 3" xfId="26749"/>
    <cellStyle name="40% - Accent5 4 2 5 2 4" xfId="26750"/>
    <cellStyle name="40% - Accent5 4 2 5 2 4 2" xfId="26751"/>
    <cellStyle name="40% - Accent5 4 2 5 2 5" xfId="26752"/>
    <cellStyle name="40% - Accent5 4 2 5 2 6" xfId="26753"/>
    <cellStyle name="40% - Accent5 4 2 5 3" xfId="26754"/>
    <cellStyle name="40% - Accent5 4 2 5 3 2" xfId="26755"/>
    <cellStyle name="40% - Accent5 4 2 5 3 2 2" xfId="26756"/>
    <cellStyle name="40% - Accent5 4 2 5 3 2 3" xfId="26757"/>
    <cellStyle name="40% - Accent5 4 2 5 3 3" xfId="26758"/>
    <cellStyle name="40% - Accent5 4 2 5 3 3 2" xfId="26759"/>
    <cellStyle name="40% - Accent5 4 2 5 3 3 3" xfId="26760"/>
    <cellStyle name="40% - Accent5 4 2 5 3 4" xfId="26761"/>
    <cellStyle name="40% - Accent5 4 2 5 3 4 2" xfId="26762"/>
    <cellStyle name="40% - Accent5 4 2 5 3 5" xfId="26763"/>
    <cellStyle name="40% - Accent5 4 2 5 3 6" xfId="26764"/>
    <cellStyle name="40% - Accent5 4 2 5 4" xfId="26765"/>
    <cellStyle name="40% - Accent5 4 2 5 4 2" xfId="26766"/>
    <cellStyle name="40% - Accent5 4 2 5 4 2 2" xfId="26767"/>
    <cellStyle name="40% - Accent5 4 2 5 4 2 3" xfId="26768"/>
    <cellStyle name="40% - Accent5 4 2 5 4 3" xfId="26769"/>
    <cellStyle name="40% - Accent5 4 2 5 4 3 2" xfId="26770"/>
    <cellStyle name="40% - Accent5 4 2 5 4 4" xfId="26771"/>
    <cellStyle name="40% - Accent5 4 2 5 4 5" xfId="26772"/>
    <cellStyle name="40% - Accent5 4 2 5 5" xfId="26773"/>
    <cellStyle name="40% - Accent5 4 2 5 5 2" xfId="26774"/>
    <cellStyle name="40% - Accent5 4 2 5 5 3" xfId="26775"/>
    <cellStyle name="40% - Accent5 4 2 5 6" xfId="26776"/>
    <cellStyle name="40% - Accent5 4 2 5 6 2" xfId="26777"/>
    <cellStyle name="40% - Accent5 4 2 5 6 3" xfId="26778"/>
    <cellStyle name="40% - Accent5 4 2 5 7" xfId="26779"/>
    <cellStyle name="40% - Accent5 4 2 5 7 2" xfId="26780"/>
    <cellStyle name="40% - Accent5 4 2 5 8" xfId="26781"/>
    <cellStyle name="40% - Accent5 4 2 5 9" xfId="26782"/>
    <cellStyle name="40% - Accent5 4 2 6" xfId="26783"/>
    <cellStyle name="40% - Accent5 4 2 6 2" xfId="26784"/>
    <cellStyle name="40% - Accent5 4 2 6 2 2" xfId="26785"/>
    <cellStyle name="40% - Accent5 4 2 6 2 2 2" xfId="26786"/>
    <cellStyle name="40% - Accent5 4 2 6 2 2 3" xfId="26787"/>
    <cellStyle name="40% - Accent5 4 2 6 2 3" xfId="26788"/>
    <cellStyle name="40% - Accent5 4 2 6 2 3 2" xfId="26789"/>
    <cellStyle name="40% - Accent5 4 2 6 2 3 3" xfId="26790"/>
    <cellStyle name="40% - Accent5 4 2 6 2 4" xfId="26791"/>
    <cellStyle name="40% - Accent5 4 2 6 2 4 2" xfId="26792"/>
    <cellStyle name="40% - Accent5 4 2 6 2 5" xfId="26793"/>
    <cellStyle name="40% - Accent5 4 2 6 2 6" xfId="26794"/>
    <cellStyle name="40% - Accent5 4 2 6 3" xfId="26795"/>
    <cellStyle name="40% - Accent5 4 2 6 3 2" xfId="26796"/>
    <cellStyle name="40% - Accent5 4 2 6 3 2 2" xfId="26797"/>
    <cellStyle name="40% - Accent5 4 2 6 3 2 3" xfId="26798"/>
    <cellStyle name="40% - Accent5 4 2 6 3 3" xfId="26799"/>
    <cellStyle name="40% - Accent5 4 2 6 3 3 2" xfId="26800"/>
    <cellStyle name="40% - Accent5 4 2 6 3 3 3" xfId="26801"/>
    <cellStyle name="40% - Accent5 4 2 6 3 4" xfId="26802"/>
    <cellStyle name="40% - Accent5 4 2 6 3 4 2" xfId="26803"/>
    <cellStyle name="40% - Accent5 4 2 6 3 5" xfId="26804"/>
    <cellStyle name="40% - Accent5 4 2 6 3 6" xfId="26805"/>
    <cellStyle name="40% - Accent5 4 2 6 4" xfId="26806"/>
    <cellStyle name="40% - Accent5 4 2 6 4 2" xfId="26807"/>
    <cellStyle name="40% - Accent5 4 2 6 4 2 2" xfId="26808"/>
    <cellStyle name="40% - Accent5 4 2 6 4 2 3" xfId="26809"/>
    <cellStyle name="40% - Accent5 4 2 6 4 3" xfId="26810"/>
    <cellStyle name="40% - Accent5 4 2 6 4 3 2" xfId="26811"/>
    <cellStyle name="40% - Accent5 4 2 6 4 4" xfId="26812"/>
    <cellStyle name="40% - Accent5 4 2 6 4 5" xfId="26813"/>
    <cellStyle name="40% - Accent5 4 2 6 5" xfId="26814"/>
    <cellStyle name="40% - Accent5 4 2 6 5 2" xfId="26815"/>
    <cellStyle name="40% - Accent5 4 2 6 5 3" xfId="26816"/>
    <cellStyle name="40% - Accent5 4 2 6 6" xfId="26817"/>
    <cellStyle name="40% - Accent5 4 2 6 6 2" xfId="26818"/>
    <cellStyle name="40% - Accent5 4 2 6 6 3" xfId="26819"/>
    <cellStyle name="40% - Accent5 4 2 6 7" xfId="26820"/>
    <cellStyle name="40% - Accent5 4 2 6 7 2" xfId="26821"/>
    <cellStyle name="40% - Accent5 4 2 6 8" xfId="26822"/>
    <cellStyle name="40% - Accent5 4 2 6 9" xfId="26823"/>
    <cellStyle name="40% - Accent5 4 2 7" xfId="26824"/>
    <cellStyle name="40% - Accent5 4 2 7 2" xfId="26825"/>
    <cellStyle name="40% - Accent5 4 2 7 2 2" xfId="26826"/>
    <cellStyle name="40% - Accent5 4 2 7 2 3" xfId="26827"/>
    <cellStyle name="40% - Accent5 4 2 7 3" xfId="26828"/>
    <cellStyle name="40% - Accent5 4 2 7 3 2" xfId="26829"/>
    <cellStyle name="40% - Accent5 4 2 7 3 3" xfId="26830"/>
    <cellStyle name="40% - Accent5 4 2 7 4" xfId="26831"/>
    <cellStyle name="40% - Accent5 4 2 7 4 2" xfId="26832"/>
    <cellStyle name="40% - Accent5 4 2 7 5" xfId="26833"/>
    <cellStyle name="40% - Accent5 4 2 7 6" xfId="26834"/>
    <cellStyle name="40% - Accent5 4 2 8" xfId="26835"/>
    <cellStyle name="40% - Accent5 4 2 8 2" xfId="26836"/>
    <cellStyle name="40% - Accent5 4 2 8 2 2" xfId="26837"/>
    <cellStyle name="40% - Accent5 4 2 8 2 3" xfId="26838"/>
    <cellStyle name="40% - Accent5 4 2 8 3" xfId="26839"/>
    <cellStyle name="40% - Accent5 4 2 8 3 2" xfId="26840"/>
    <cellStyle name="40% - Accent5 4 2 8 3 3" xfId="26841"/>
    <cellStyle name="40% - Accent5 4 2 8 4" xfId="26842"/>
    <cellStyle name="40% - Accent5 4 2 8 4 2" xfId="26843"/>
    <cellStyle name="40% - Accent5 4 2 8 5" xfId="26844"/>
    <cellStyle name="40% - Accent5 4 2 8 6" xfId="26845"/>
    <cellStyle name="40% - Accent5 4 2 9" xfId="26846"/>
    <cellStyle name="40% - Accent5 4 2 9 2" xfId="26847"/>
    <cellStyle name="40% - Accent5 4 2 9 2 2" xfId="26848"/>
    <cellStyle name="40% - Accent5 4 2 9 2 3" xfId="26849"/>
    <cellStyle name="40% - Accent5 4 2 9 3" xfId="26850"/>
    <cellStyle name="40% - Accent5 4 2 9 3 2" xfId="26851"/>
    <cellStyle name="40% - Accent5 4 2 9 4" xfId="26852"/>
    <cellStyle name="40% - Accent5 4 2 9 5" xfId="26853"/>
    <cellStyle name="40% - Accent5 4 3" xfId="2447"/>
    <cellStyle name="40% - Accent5 4 3 10" xfId="26854"/>
    <cellStyle name="40% - Accent5 4 3 10 2" xfId="26855"/>
    <cellStyle name="40% - Accent5 4 3 10 3" xfId="26856"/>
    <cellStyle name="40% - Accent5 4 3 11" xfId="26857"/>
    <cellStyle name="40% - Accent5 4 3 11 2" xfId="26858"/>
    <cellStyle name="40% - Accent5 4 3 12" xfId="26859"/>
    <cellStyle name="40% - Accent5 4 3 13" xfId="26860"/>
    <cellStyle name="40% - Accent5 4 3 14" xfId="26861"/>
    <cellStyle name="40% - Accent5 4 3 2" xfId="2448"/>
    <cellStyle name="40% - Accent5 4 3 2 10" xfId="26862"/>
    <cellStyle name="40% - Accent5 4 3 2 10 2" xfId="26863"/>
    <cellStyle name="40% - Accent5 4 3 2 11" xfId="26864"/>
    <cellStyle name="40% - Accent5 4 3 2 12" xfId="26865"/>
    <cellStyle name="40% - Accent5 4 3 2 2" xfId="2449"/>
    <cellStyle name="40% - Accent5 4 3 2 2 10" xfId="26866"/>
    <cellStyle name="40% - Accent5 4 3 2 2 2" xfId="2450"/>
    <cellStyle name="40% - Accent5 4 3 2 2 2 2" xfId="26867"/>
    <cellStyle name="40% - Accent5 4 3 2 2 2 2 2" xfId="26868"/>
    <cellStyle name="40% - Accent5 4 3 2 2 2 2 2 2" xfId="26869"/>
    <cellStyle name="40% - Accent5 4 3 2 2 2 2 2 3" xfId="26870"/>
    <cellStyle name="40% - Accent5 4 3 2 2 2 2 3" xfId="26871"/>
    <cellStyle name="40% - Accent5 4 3 2 2 2 2 3 2" xfId="26872"/>
    <cellStyle name="40% - Accent5 4 3 2 2 2 2 3 3" xfId="26873"/>
    <cellStyle name="40% - Accent5 4 3 2 2 2 2 4" xfId="26874"/>
    <cellStyle name="40% - Accent5 4 3 2 2 2 2 4 2" xfId="26875"/>
    <cellStyle name="40% - Accent5 4 3 2 2 2 2 5" xfId="26876"/>
    <cellStyle name="40% - Accent5 4 3 2 2 2 2 6" xfId="26877"/>
    <cellStyle name="40% - Accent5 4 3 2 2 2 3" xfId="26878"/>
    <cellStyle name="40% - Accent5 4 3 2 2 2 3 2" xfId="26879"/>
    <cellStyle name="40% - Accent5 4 3 2 2 2 3 2 2" xfId="26880"/>
    <cellStyle name="40% - Accent5 4 3 2 2 2 3 2 3" xfId="26881"/>
    <cellStyle name="40% - Accent5 4 3 2 2 2 3 3" xfId="26882"/>
    <cellStyle name="40% - Accent5 4 3 2 2 2 3 3 2" xfId="26883"/>
    <cellStyle name="40% - Accent5 4 3 2 2 2 3 3 3" xfId="26884"/>
    <cellStyle name="40% - Accent5 4 3 2 2 2 3 4" xfId="26885"/>
    <cellStyle name="40% - Accent5 4 3 2 2 2 3 4 2" xfId="26886"/>
    <cellStyle name="40% - Accent5 4 3 2 2 2 3 5" xfId="26887"/>
    <cellStyle name="40% - Accent5 4 3 2 2 2 3 6" xfId="26888"/>
    <cellStyle name="40% - Accent5 4 3 2 2 2 4" xfId="26889"/>
    <cellStyle name="40% - Accent5 4 3 2 2 2 4 2" xfId="26890"/>
    <cellStyle name="40% - Accent5 4 3 2 2 2 4 2 2" xfId="26891"/>
    <cellStyle name="40% - Accent5 4 3 2 2 2 4 2 3" xfId="26892"/>
    <cellStyle name="40% - Accent5 4 3 2 2 2 4 3" xfId="26893"/>
    <cellStyle name="40% - Accent5 4 3 2 2 2 4 3 2" xfId="26894"/>
    <cellStyle name="40% - Accent5 4 3 2 2 2 4 4" xfId="26895"/>
    <cellStyle name="40% - Accent5 4 3 2 2 2 4 5" xfId="26896"/>
    <cellStyle name="40% - Accent5 4 3 2 2 2 5" xfId="26897"/>
    <cellStyle name="40% - Accent5 4 3 2 2 2 5 2" xfId="26898"/>
    <cellStyle name="40% - Accent5 4 3 2 2 2 5 3" xfId="26899"/>
    <cellStyle name="40% - Accent5 4 3 2 2 2 6" xfId="26900"/>
    <cellStyle name="40% - Accent5 4 3 2 2 2 6 2" xfId="26901"/>
    <cellStyle name="40% - Accent5 4 3 2 2 2 6 3" xfId="26902"/>
    <cellStyle name="40% - Accent5 4 3 2 2 2 7" xfId="26903"/>
    <cellStyle name="40% - Accent5 4 3 2 2 2 7 2" xfId="26904"/>
    <cellStyle name="40% - Accent5 4 3 2 2 2 8" xfId="26905"/>
    <cellStyle name="40% - Accent5 4 3 2 2 2 9" xfId="26906"/>
    <cellStyle name="40% - Accent5 4 3 2 2 3" xfId="26907"/>
    <cellStyle name="40% - Accent5 4 3 2 2 3 2" xfId="26908"/>
    <cellStyle name="40% - Accent5 4 3 2 2 3 2 2" xfId="26909"/>
    <cellStyle name="40% - Accent5 4 3 2 2 3 2 3" xfId="26910"/>
    <cellStyle name="40% - Accent5 4 3 2 2 3 3" xfId="26911"/>
    <cellStyle name="40% - Accent5 4 3 2 2 3 3 2" xfId="26912"/>
    <cellStyle name="40% - Accent5 4 3 2 2 3 3 3" xfId="26913"/>
    <cellStyle name="40% - Accent5 4 3 2 2 3 4" xfId="26914"/>
    <cellStyle name="40% - Accent5 4 3 2 2 3 4 2" xfId="26915"/>
    <cellStyle name="40% - Accent5 4 3 2 2 3 5" xfId="26916"/>
    <cellStyle name="40% - Accent5 4 3 2 2 3 6" xfId="26917"/>
    <cellStyle name="40% - Accent5 4 3 2 2 4" xfId="26918"/>
    <cellStyle name="40% - Accent5 4 3 2 2 4 2" xfId="26919"/>
    <cellStyle name="40% - Accent5 4 3 2 2 4 2 2" xfId="26920"/>
    <cellStyle name="40% - Accent5 4 3 2 2 4 2 3" xfId="26921"/>
    <cellStyle name="40% - Accent5 4 3 2 2 4 3" xfId="26922"/>
    <cellStyle name="40% - Accent5 4 3 2 2 4 3 2" xfId="26923"/>
    <cellStyle name="40% - Accent5 4 3 2 2 4 3 3" xfId="26924"/>
    <cellStyle name="40% - Accent5 4 3 2 2 4 4" xfId="26925"/>
    <cellStyle name="40% - Accent5 4 3 2 2 4 4 2" xfId="26926"/>
    <cellStyle name="40% - Accent5 4 3 2 2 4 5" xfId="26927"/>
    <cellStyle name="40% - Accent5 4 3 2 2 4 6" xfId="26928"/>
    <cellStyle name="40% - Accent5 4 3 2 2 5" xfId="26929"/>
    <cellStyle name="40% - Accent5 4 3 2 2 5 2" xfId="26930"/>
    <cellStyle name="40% - Accent5 4 3 2 2 5 2 2" xfId="26931"/>
    <cellStyle name="40% - Accent5 4 3 2 2 5 2 3" xfId="26932"/>
    <cellStyle name="40% - Accent5 4 3 2 2 5 3" xfId="26933"/>
    <cellStyle name="40% - Accent5 4 3 2 2 5 3 2" xfId="26934"/>
    <cellStyle name="40% - Accent5 4 3 2 2 5 4" xfId="26935"/>
    <cellStyle name="40% - Accent5 4 3 2 2 5 5" xfId="26936"/>
    <cellStyle name="40% - Accent5 4 3 2 2 6" xfId="26937"/>
    <cellStyle name="40% - Accent5 4 3 2 2 6 2" xfId="26938"/>
    <cellStyle name="40% - Accent5 4 3 2 2 6 3" xfId="26939"/>
    <cellStyle name="40% - Accent5 4 3 2 2 7" xfId="26940"/>
    <cellStyle name="40% - Accent5 4 3 2 2 7 2" xfId="26941"/>
    <cellStyle name="40% - Accent5 4 3 2 2 7 3" xfId="26942"/>
    <cellStyle name="40% - Accent5 4 3 2 2 8" xfId="26943"/>
    <cellStyle name="40% - Accent5 4 3 2 2 8 2" xfId="26944"/>
    <cellStyle name="40% - Accent5 4 3 2 2 9" xfId="26945"/>
    <cellStyle name="40% - Accent5 4 3 2 3" xfId="2451"/>
    <cellStyle name="40% - Accent5 4 3 2 3 2" xfId="26946"/>
    <cellStyle name="40% - Accent5 4 3 2 3 2 2" xfId="26947"/>
    <cellStyle name="40% - Accent5 4 3 2 3 2 2 2" xfId="26948"/>
    <cellStyle name="40% - Accent5 4 3 2 3 2 2 3" xfId="26949"/>
    <cellStyle name="40% - Accent5 4 3 2 3 2 3" xfId="26950"/>
    <cellStyle name="40% - Accent5 4 3 2 3 2 3 2" xfId="26951"/>
    <cellStyle name="40% - Accent5 4 3 2 3 2 3 3" xfId="26952"/>
    <cellStyle name="40% - Accent5 4 3 2 3 2 4" xfId="26953"/>
    <cellStyle name="40% - Accent5 4 3 2 3 2 4 2" xfId="26954"/>
    <cellStyle name="40% - Accent5 4 3 2 3 2 5" xfId="26955"/>
    <cellStyle name="40% - Accent5 4 3 2 3 2 6" xfId="26956"/>
    <cellStyle name="40% - Accent5 4 3 2 3 3" xfId="26957"/>
    <cellStyle name="40% - Accent5 4 3 2 3 3 2" xfId="26958"/>
    <cellStyle name="40% - Accent5 4 3 2 3 3 2 2" xfId="26959"/>
    <cellStyle name="40% - Accent5 4 3 2 3 3 2 3" xfId="26960"/>
    <cellStyle name="40% - Accent5 4 3 2 3 3 3" xfId="26961"/>
    <cellStyle name="40% - Accent5 4 3 2 3 3 3 2" xfId="26962"/>
    <cellStyle name="40% - Accent5 4 3 2 3 3 3 3" xfId="26963"/>
    <cellStyle name="40% - Accent5 4 3 2 3 3 4" xfId="26964"/>
    <cellStyle name="40% - Accent5 4 3 2 3 3 4 2" xfId="26965"/>
    <cellStyle name="40% - Accent5 4 3 2 3 3 5" xfId="26966"/>
    <cellStyle name="40% - Accent5 4 3 2 3 3 6" xfId="26967"/>
    <cellStyle name="40% - Accent5 4 3 2 3 4" xfId="26968"/>
    <cellStyle name="40% - Accent5 4 3 2 3 4 2" xfId="26969"/>
    <cellStyle name="40% - Accent5 4 3 2 3 4 2 2" xfId="26970"/>
    <cellStyle name="40% - Accent5 4 3 2 3 4 2 3" xfId="26971"/>
    <cellStyle name="40% - Accent5 4 3 2 3 4 3" xfId="26972"/>
    <cellStyle name="40% - Accent5 4 3 2 3 4 3 2" xfId="26973"/>
    <cellStyle name="40% - Accent5 4 3 2 3 4 4" xfId="26974"/>
    <cellStyle name="40% - Accent5 4 3 2 3 4 5" xfId="26975"/>
    <cellStyle name="40% - Accent5 4 3 2 3 5" xfId="26976"/>
    <cellStyle name="40% - Accent5 4 3 2 3 5 2" xfId="26977"/>
    <cellStyle name="40% - Accent5 4 3 2 3 5 3" xfId="26978"/>
    <cellStyle name="40% - Accent5 4 3 2 3 6" xfId="26979"/>
    <cellStyle name="40% - Accent5 4 3 2 3 6 2" xfId="26980"/>
    <cellStyle name="40% - Accent5 4 3 2 3 6 3" xfId="26981"/>
    <cellStyle name="40% - Accent5 4 3 2 3 7" xfId="26982"/>
    <cellStyle name="40% - Accent5 4 3 2 3 7 2" xfId="26983"/>
    <cellStyle name="40% - Accent5 4 3 2 3 8" xfId="26984"/>
    <cellStyle name="40% - Accent5 4 3 2 3 9" xfId="26985"/>
    <cellStyle name="40% - Accent5 4 3 2 4" xfId="26986"/>
    <cellStyle name="40% - Accent5 4 3 2 4 2" xfId="26987"/>
    <cellStyle name="40% - Accent5 4 3 2 4 2 2" xfId="26988"/>
    <cellStyle name="40% - Accent5 4 3 2 4 2 2 2" xfId="26989"/>
    <cellStyle name="40% - Accent5 4 3 2 4 2 2 3" xfId="26990"/>
    <cellStyle name="40% - Accent5 4 3 2 4 2 3" xfId="26991"/>
    <cellStyle name="40% - Accent5 4 3 2 4 2 3 2" xfId="26992"/>
    <cellStyle name="40% - Accent5 4 3 2 4 2 3 3" xfId="26993"/>
    <cellStyle name="40% - Accent5 4 3 2 4 2 4" xfId="26994"/>
    <cellStyle name="40% - Accent5 4 3 2 4 2 4 2" xfId="26995"/>
    <cellStyle name="40% - Accent5 4 3 2 4 2 5" xfId="26996"/>
    <cellStyle name="40% - Accent5 4 3 2 4 2 6" xfId="26997"/>
    <cellStyle name="40% - Accent5 4 3 2 4 3" xfId="26998"/>
    <cellStyle name="40% - Accent5 4 3 2 4 3 2" xfId="26999"/>
    <cellStyle name="40% - Accent5 4 3 2 4 3 2 2" xfId="27000"/>
    <cellStyle name="40% - Accent5 4 3 2 4 3 2 3" xfId="27001"/>
    <cellStyle name="40% - Accent5 4 3 2 4 3 3" xfId="27002"/>
    <cellStyle name="40% - Accent5 4 3 2 4 3 3 2" xfId="27003"/>
    <cellStyle name="40% - Accent5 4 3 2 4 3 3 3" xfId="27004"/>
    <cellStyle name="40% - Accent5 4 3 2 4 3 4" xfId="27005"/>
    <cellStyle name="40% - Accent5 4 3 2 4 3 4 2" xfId="27006"/>
    <cellStyle name="40% - Accent5 4 3 2 4 3 5" xfId="27007"/>
    <cellStyle name="40% - Accent5 4 3 2 4 3 6" xfId="27008"/>
    <cellStyle name="40% - Accent5 4 3 2 4 4" xfId="27009"/>
    <cellStyle name="40% - Accent5 4 3 2 4 4 2" xfId="27010"/>
    <cellStyle name="40% - Accent5 4 3 2 4 4 2 2" xfId="27011"/>
    <cellStyle name="40% - Accent5 4 3 2 4 4 2 3" xfId="27012"/>
    <cellStyle name="40% - Accent5 4 3 2 4 4 3" xfId="27013"/>
    <cellStyle name="40% - Accent5 4 3 2 4 4 3 2" xfId="27014"/>
    <cellStyle name="40% - Accent5 4 3 2 4 4 4" xfId="27015"/>
    <cellStyle name="40% - Accent5 4 3 2 4 4 5" xfId="27016"/>
    <cellStyle name="40% - Accent5 4 3 2 4 5" xfId="27017"/>
    <cellStyle name="40% - Accent5 4 3 2 4 5 2" xfId="27018"/>
    <cellStyle name="40% - Accent5 4 3 2 4 5 3" xfId="27019"/>
    <cellStyle name="40% - Accent5 4 3 2 4 6" xfId="27020"/>
    <cellStyle name="40% - Accent5 4 3 2 4 6 2" xfId="27021"/>
    <cellStyle name="40% - Accent5 4 3 2 4 6 3" xfId="27022"/>
    <cellStyle name="40% - Accent5 4 3 2 4 7" xfId="27023"/>
    <cellStyle name="40% - Accent5 4 3 2 4 7 2" xfId="27024"/>
    <cellStyle name="40% - Accent5 4 3 2 4 8" xfId="27025"/>
    <cellStyle name="40% - Accent5 4 3 2 4 9" xfId="27026"/>
    <cellStyle name="40% - Accent5 4 3 2 5" xfId="27027"/>
    <cellStyle name="40% - Accent5 4 3 2 5 2" xfId="27028"/>
    <cellStyle name="40% - Accent5 4 3 2 5 2 2" xfId="27029"/>
    <cellStyle name="40% - Accent5 4 3 2 5 2 3" xfId="27030"/>
    <cellStyle name="40% - Accent5 4 3 2 5 3" xfId="27031"/>
    <cellStyle name="40% - Accent5 4 3 2 5 3 2" xfId="27032"/>
    <cellStyle name="40% - Accent5 4 3 2 5 3 3" xfId="27033"/>
    <cellStyle name="40% - Accent5 4 3 2 5 4" xfId="27034"/>
    <cellStyle name="40% - Accent5 4 3 2 5 4 2" xfId="27035"/>
    <cellStyle name="40% - Accent5 4 3 2 5 5" xfId="27036"/>
    <cellStyle name="40% - Accent5 4 3 2 5 6" xfId="27037"/>
    <cellStyle name="40% - Accent5 4 3 2 6" xfId="27038"/>
    <cellStyle name="40% - Accent5 4 3 2 6 2" xfId="27039"/>
    <cellStyle name="40% - Accent5 4 3 2 6 2 2" xfId="27040"/>
    <cellStyle name="40% - Accent5 4 3 2 6 2 3" xfId="27041"/>
    <cellStyle name="40% - Accent5 4 3 2 6 3" xfId="27042"/>
    <cellStyle name="40% - Accent5 4 3 2 6 3 2" xfId="27043"/>
    <cellStyle name="40% - Accent5 4 3 2 6 3 3" xfId="27044"/>
    <cellStyle name="40% - Accent5 4 3 2 6 4" xfId="27045"/>
    <cellStyle name="40% - Accent5 4 3 2 6 4 2" xfId="27046"/>
    <cellStyle name="40% - Accent5 4 3 2 6 5" xfId="27047"/>
    <cellStyle name="40% - Accent5 4 3 2 6 6" xfId="27048"/>
    <cellStyle name="40% - Accent5 4 3 2 7" xfId="27049"/>
    <cellStyle name="40% - Accent5 4 3 2 7 2" xfId="27050"/>
    <cellStyle name="40% - Accent5 4 3 2 7 2 2" xfId="27051"/>
    <cellStyle name="40% - Accent5 4 3 2 7 2 3" xfId="27052"/>
    <cellStyle name="40% - Accent5 4 3 2 7 3" xfId="27053"/>
    <cellStyle name="40% - Accent5 4 3 2 7 3 2" xfId="27054"/>
    <cellStyle name="40% - Accent5 4 3 2 7 4" xfId="27055"/>
    <cellStyle name="40% - Accent5 4 3 2 7 5" xfId="27056"/>
    <cellStyle name="40% - Accent5 4 3 2 8" xfId="27057"/>
    <cellStyle name="40% - Accent5 4 3 2 8 2" xfId="27058"/>
    <cellStyle name="40% - Accent5 4 3 2 8 3" xfId="27059"/>
    <cellStyle name="40% - Accent5 4 3 2 9" xfId="27060"/>
    <cellStyle name="40% - Accent5 4 3 2 9 2" xfId="27061"/>
    <cellStyle name="40% - Accent5 4 3 2 9 3" xfId="27062"/>
    <cellStyle name="40% - Accent5 4 3 3" xfId="2452"/>
    <cellStyle name="40% - Accent5 4 3 3 10" xfId="27063"/>
    <cellStyle name="40% - Accent5 4 3 3 2" xfId="2453"/>
    <cellStyle name="40% - Accent5 4 3 3 2 2" xfId="27064"/>
    <cellStyle name="40% - Accent5 4 3 3 2 2 2" xfId="27065"/>
    <cellStyle name="40% - Accent5 4 3 3 2 2 2 2" xfId="27066"/>
    <cellStyle name="40% - Accent5 4 3 3 2 2 2 3" xfId="27067"/>
    <cellStyle name="40% - Accent5 4 3 3 2 2 3" xfId="27068"/>
    <cellStyle name="40% - Accent5 4 3 3 2 2 3 2" xfId="27069"/>
    <cellStyle name="40% - Accent5 4 3 3 2 2 3 3" xfId="27070"/>
    <cellStyle name="40% - Accent5 4 3 3 2 2 4" xfId="27071"/>
    <cellStyle name="40% - Accent5 4 3 3 2 2 4 2" xfId="27072"/>
    <cellStyle name="40% - Accent5 4 3 3 2 2 5" xfId="27073"/>
    <cellStyle name="40% - Accent5 4 3 3 2 2 6" xfId="27074"/>
    <cellStyle name="40% - Accent5 4 3 3 2 3" xfId="27075"/>
    <cellStyle name="40% - Accent5 4 3 3 2 3 2" xfId="27076"/>
    <cellStyle name="40% - Accent5 4 3 3 2 3 2 2" xfId="27077"/>
    <cellStyle name="40% - Accent5 4 3 3 2 3 2 3" xfId="27078"/>
    <cellStyle name="40% - Accent5 4 3 3 2 3 3" xfId="27079"/>
    <cellStyle name="40% - Accent5 4 3 3 2 3 3 2" xfId="27080"/>
    <cellStyle name="40% - Accent5 4 3 3 2 3 3 3" xfId="27081"/>
    <cellStyle name="40% - Accent5 4 3 3 2 3 4" xfId="27082"/>
    <cellStyle name="40% - Accent5 4 3 3 2 3 4 2" xfId="27083"/>
    <cellStyle name="40% - Accent5 4 3 3 2 3 5" xfId="27084"/>
    <cellStyle name="40% - Accent5 4 3 3 2 3 6" xfId="27085"/>
    <cellStyle name="40% - Accent5 4 3 3 2 4" xfId="27086"/>
    <cellStyle name="40% - Accent5 4 3 3 2 4 2" xfId="27087"/>
    <cellStyle name="40% - Accent5 4 3 3 2 4 2 2" xfId="27088"/>
    <cellStyle name="40% - Accent5 4 3 3 2 4 2 3" xfId="27089"/>
    <cellStyle name="40% - Accent5 4 3 3 2 4 3" xfId="27090"/>
    <cellStyle name="40% - Accent5 4 3 3 2 4 3 2" xfId="27091"/>
    <cellStyle name="40% - Accent5 4 3 3 2 4 4" xfId="27092"/>
    <cellStyle name="40% - Accent5 4 3 3 2 4 5" xfId="27093"/>
    <cellStyle name="40% - Accent5 4 3 3 2 5" xfId="27094"/>
    <cellStyle name="40% - Accent5 4 3 3 2 5 2" xfId="27095"/>
    <cellStyle name="40% - Accent5 4 3 3 2 5 3" xfId="27096"/>
    <cellStyle name="40% - Accent5 4 3 3 2 6" xfId="27097"/>
    <cellStyle name="40% - Accent5 4 3 3 2 6 2" xfId="27098"/>
    <cellStyle name="40% - Accent5 4 3 3 2 6 3" xfId="27099"/>
    <cellStyle name="40% - Accent5 4 3 3 2 7" xfId="27100"/>
    <cellStyle name="40% - Accent5 4 3 3 2 7 2" xfId="27101"/>
    <cellStyle name="40% - Accent5 4 3 3 2 8" xfId="27102"/>
    <cellStyle name="40% - Accent5 4 3 3 2 9" xfId="27103"/>
    <cellStyle name="40% - Accent5 4 3 3 3" xfId="27104"/>
    <cellStyle name="40% - Accent5 4 3 3 3 2" xfId="27105"/>
    <cellStyle name="40% - Accent5 4 3 3 3 2 2" xfId="27106"/>
    <cellStyle name="40% - Accent5 4 3 3 3 2 3" xfId="27107"/>
    <cellStyle name="40% - Accent5 4 3 3 3 3" xfId="27108"/>
    <cellStyle name="40% - Accent5 4 3 3 3 3 2" xfId="27109"/>
    <cellStyle name="40% - Accent5 4 3 3 3 3 3" xfId="27110"/>
    <cellStyle name="40% - Accent5 4 3 3 3 4" xfId="27111"/>
    <cellStyle name="40% - Accent5 4 3 3 3 4 2" xfId="27112"/>
    <cellStyle name="40% - Accent5 4 3 3 3 5" xfId="27113"/>
    <cellStyle name="40% - Accent5 4 3 3 3 6" xfId="27114"/>
    <cellStyle name="40% - Accent5 4 3 3 4" xfId="27115"/>
    <cellStyle name="40% - Accent5 4 3 3 4 2" xfId="27116"/>
    <cellStyle name="40% - Accent5 4 3 3 4 2 2" xfId="27117"/>
    <cellStyle name="40% - Accent5 4 3 3 4 2 3" xfId="27118"/>
    <cellStyle name="40% - Accent5 4 3 3 4 3" xfId="27119"/>
    <cellStyle name="40% - Accent5 4 3 3 4 3 2" xfId="27120"/>
    <cellStyle name="40% - Accent5 4 3 3 4 3 3" xfId="27121"/>
    <cellStyle name="40% - Accent5 4 3 3 4 4" xfId="27122"/>
    <cellStyle name="40% - Accent5 4 3 3 4 4 2" xfId="27123"/>
    <cellStyle name="40% - Accent5 4 3 3 4 5" xfId="27124"/>
    <cellStyle name="40% - Accent5 4 3 3 4 6" xfId="27125"/>
    <cellStyle name="40% - Accent5 4 3 3 5" xfId="27126"/>
    <cellStyle name="40% - Accent5 4 3 3 5 2" xfId="27127"/>
    <cellStyle name="40% - Accent5 4 3 3 5 2 2" xfId="27128"/>
    <cellStyle name="40% - Accent5 4 3 3 5 2 3" xfId="27129"/>
    <cellStyle name="40% - Accent5 4 3 3 5 3" xfId="27130"/>
    <cellStyle name="40% - Accent5 4 3 3 5 3 2" xfId="27131"/>
    <cellStyle name="40% - Accent5 4 3 3 5 4" xfId="27132"/>
    <cellStyle name="40% - Accent5 4 3 3 5 5" xfId="27133"/>
    <cellStyle name="40% - Accent5 4 3 3 6" xfId="27134"/>
    <cellStyle name="40% - Accent5 4 3 3 6 2" xfId="27135"/>
    <cellStyle name="40% - Accent5 4 3 3 6 3" xfId="27136"/>
    <cellStyle name="40% - Accent5 4 3 3 7" xfId="27137"/>
    <cellStyle name="40% - Accent5 4 3 3 7 2" xfId="27138"/>
    <cellStyle name="40% - Accent5 4 3 3 7 3" xfId="27139"/>
    <cellStyle name="40% - Accent5 4 3 3 8" xfId="27140"/>
    <cellStyle name="40% - Accent5 4 3 3 8 2" xfId="27141"/>
    <cellStyle name="40% - Accent5 4 3 3 9" xfId="27142"/>
    <cellStyle name="40% - Accent5 4 3 4" xfId="2454"/>
    <cellStyle name="40% - Accent5 4 3 4 2" xfId="27143"/>
    <cellStyle name="40% - Accent5 4 3 4 2 2" xfId="27144"/>
    <cellStyle name="40% - Accent5 4 3 4 2 2 2" xfId="27145"/>
    <cellStyle name="40% - Accent5 4 3 4 2 2 3" xfId="27146"/>
    <cellStyle name="40% - Accent5 4 3 4 2 3" xfId="27147"/>
    <cellStyle name="40% - Accent5 4 3 4 2 3 2" xfId="27148"/>
    <cellStyle name="40% - Accent5 4 3 4 2 3 3" xfId="27149"/>
    <cellStyle name="40% - Accent5 4 3 4 2 4" xfId="27150"/>
    <cellStyle name="40% - Accent5 4 3 4 2 4 2" xfId="27151"/>
    <cellStyle name="40% - Accent5 4 3 4 2 5" xfId="27152"/>
    <cellStyle name="40% - Accent5 4 3 4 2 6" xfId="27153"/>
    <cellStyle name="40% - Accent5 4 3 4 3" xfId="27154"/>
    <cellStyle name="40% - Accent5 4 3 4 3 2" xfId="27155"/>
    <cellStyle name="40% - Accent5 4 3 4 3 2 2" xfId="27156"/>
    <cellStyle name="40% - Accent5 4 3 4 3 2 3" xfId="27157"/>
    <cellStyle name="40% - Accent5 4 3 4 3 3" xfId="27158"/>
    <cellStyle name="40% - Accent5 4 3 4 3 3 2" xfId="27159"/>
    <cellStyle name="40% - Accent5 4 3 4 3 3 3" xfId="27160"/>
    <cellStyle name="40% - Accent5 4 3 4 3 4" xfId="27161"/>
    <cellStyle name="40% - Accent5 4 3 4 3 4 2" xfId="27162"/>
    <cellStyle name="40% - Accent5 4 3 4 3 5" xfId="27163"/>
    <cellStyle name="40% - Accent5 4 3 4 3 6" xfId="27164"/>
    <cellStyle name="40% - Accent5 4 3 4 4" xfId="27165"/>
    <cellStyle name="40% - Accent5 4 3 4 4 2" xfId="27166"/>
    <cellStyle name="40% - Accent5 4 3 4 4 2 2" xfId="27167"/>
    <cellStyle name="40% - Accent5 4 3 4 4 2 3" xfId="27168"/>
    <cellStyle name="40% - Accent5 4 3 4 4 3" xfId="27169"/>
    <cellStyle name="40% - Accent5 4 3 4 4 3 2" xfId="27170"/>
    <cellStyle name="40% - Accent5 4 3 4 4 4" xfId="27171"/>
    <cellStyle name="40% - Accent5 4 3 4 4 5" xfId="27172"/>
    <cellStyle name="40% - Accent5 4 3 4 5" xfId="27173"/>
    <cellStyle name="40% - Accent5 4 3 4 5 2" xfId="27174"/>
    <cellStyle name="40% - Accent5 4 3 4 5 3" xfId="27175"/>
    <cellStyle name="40% - Accent5 4 3 4 6" xfId="27176"/>
    <cellStyle name="40% - Accent5 4 3 4 6 2" xfId="27177"/>
    <cellStyle name="40% - Accent5 4 3 4 6 3" xfId="27178"/>
    <cellStyle name="40% - Accent5 4 3 4 7" xfId="27179"/>
    <cellStyle name="40% - Accent5 4 3 4 7 2" xfId="27180"/>
    <cellStyle name="40% - Accent5 4 3 4 8" xfId="27181"/>
    <cellStyle name="40% - Accent5 4 3 4 9" xfId="27182"/>
    <cellStyle name="40% - Accent5 4 3 5" xfId="27183"/>
    <cellStyle name="40% - Accent5 4 3 5 2" xfId="27184"/>
    <cellStyle name="40% - Accent5 4 3 5 2 2" xfId="27185"/>
    <cellStyle name="40% - Accent5 4 3 5 2 2 2" xfId="27186"/>
    <cellStyle name="40% - Accent5 4 3 5 2 2 3" xfId="27187"/>
    <cellStyle name="40% - Accent5 4 3 5 2 3" xfId="27188"/>
    <cellStyle name="40% - Accent5 4 3 5 2 3 2" xfId="27189"/>
    <cellStyle name="40% - Accent5 4 3 5 2 3 3" xfId="27190"/>
    <cellStyle name="40% - Accent5 4 3 5 2 4" xfId="27191"/>
    <cellStyle name="40% - Accent5 4 3 5 2 4 2" xfId="27192"/>
    <cellStyle name="40% - Accent5 4 3 5 2 5" xfId="27193"/>
    <cellStyle name="40% - Accent5 4 3 5 2 6" xfId="27194"/>
    <cellStyle name="40% - Accent5 4 3 5 3" xfId="27195"/>
    <cellStyle name="40% - Accent5 4 3 5 3 2" xfId="27196"/>
    <cellStyle name="40% - Accent5 4 3 5 3 2 2" xfId="27197"/>
    <cellStyle name="40% - Accent5 4 3 5 3 2 3" xfId="27198"/>
    <cellStyle name="40% - Accent5 4 3 5 3 3" xfId="27199"/>
    <cellStyle name="40% - Accent5 4 3 5 3 3 2" xfId="27200"/>
    <cellStyle name="40% - Accent5 4 3 5 3 3 3" xfId="27201"/>
    <cellStyle name="40% - Accent5 4 3 5 3 4" xfId="27202"/>
    <cellStyle name="40% - Accent5 4 3 5 3 4 2" xfId="27203"/>
    <cellStyle name="40% - Accent5 4 3 5 3 5" xfId="27204"/>
    <cellStyle name="40% - Accent5 4 3 5 3 6" xfId="27205"/>
    <cellStyle name="40% - Accent5 4 3 5 4" xfId="27206"/>
    <cellStyle name="40% - Accent5 4 3 5 4 2" xfId="27207"/>
    <cellStyle name="40% - Accent5 4 3 5 4 2 2" xfId="27208"/>
    <cellStyle name="40% - Accent5 4 3 5 4 2 3" xfId="27209"/>
    <cellStyle name="40% - Accent5 4 3 5 4 3" xfId="27210"/>
    <cellStyle name="40% - Accent5 4 3 5 4 3 2" xfId="27211"/>
    <cellStyle name="40% - Accent5 4 3 5 4 4" xfId="27212"/>
    <cellStyle name="40% - Accent5 4 3 5 4 5" xfId="27213"/>
    <cellStyle name="40% - Accent5 4 3 5 5" xfId="27214"/>
    <cellStyle name="40% - Accent5 4 3 5 5 2" xfId="27215"/>
    <cellStyle name="40% - Accent5 4 3 5 5 3" xfId="27216"/>
    <cellStyle name="40% - Accent5 4 3 5 6" xfId="27217"/>
    <cellStyle name="40% - Accent5 4 3 5 6 2" xfId="27218"/>
    <cellStyle name="40% - Accent5 4 3 5 6 3" xfId="27219"/>
    <cellStyle name="40% - Accent5 4 3 5 7" xfId="27220"/>
    <cellStyle name="40% - Accent5 4 3 5 7 2" xfId="27221"/>
    <cellStyle name="40% - Accent5 4 3 5 8" xfId="27222"/>
    <cellStyle name="40% - Accent5 4 3 5 9" xfId="27223"/>
    <cellStyle name="40% - Accent5 4 3 6" xfId="27224"/>
    <cellStyle name="40% - Accent5 4 3 6 2" xfId="27225"/>
    <cellStyle name="40% - Accent5 4 3 6 2 2" xfId="27226"/>
    <cellStyle name="40% - Accent5 4 3 6 2 3" xfId="27227"/>
    <cellStyle name="40% - Accent5 4 3 6 3" xfId="27228"/>
    <cellStyle name="40% - Accent5 4 3 6 3 2" xfId="27229"/>
    <cellStyle name="40% - Accent5 4 3 6 3 3" xfId="27230"/>
    <cellStyle name="40% - Accent5 4 3 6 4" xfId="27231"/>
    <cellStyle name="40% - Accent5 4 3 6 4 2" xfId="27232"/>
    <cellStyle name="40% - Accent5 4 3 6 5" xfId="27233"/>
    <cellStyle name="40% - Accent5 4 3 6 6" xfId="27234"/>
    <cellStyle name="40% - Accent5 4 3 7" xfId="27235"/>
    <cellStyle name="40% - Accent5 4 3 7 2" xfId="27236"/>
    <cellStyle name="40% - Accent5 4 3 7 2 2" xfId="27237"/>
    <cellStyle name="40% - Accent5 4 3 7 2 3" xfId="27238"/>
    <cellStyle name="40% - Accent5 4 3 7 3" xfId="27239"/>
    <cellStyle name="40% - Accent5 4 3 7 3 2" xfId="27240"/>
    <cellStyle name="40% - Accent5 4 3 7 3 3" xfId="27241"/>
    <cellStyle name="40% - Accent5 4 3 7 4" xfId="27242"/>
    <cellStyle name="40% - Accent5 4 3 7 4 2" xfId="27243"/>
    <cellStyle name="40% - Accent5 4 3 7 5" xfId="27244"/>
    <cellStyle name="40% - Accent5 4 3 7 6" xfId="27245"/>
    <cellStyle name="40% - Accent5 4 3 8" xfId="27246"/>
    <cellStyle name="40% - Accent5 4 3 8 2" xfId="27247"/>
    <cellStyle name="40% - Accent5 4 3 8 2 2" xfId="27248"/>
    <cellStyle name="40% - Accent5 4 3 8 2 3" xfId="27249"/>
    <cellStyle name="40% - Accent5 4 3 8 3" xfId="27250"/>
    <cellStyle name="40% - Accent5 4 3 8 3 2" xfId="27251"/>
    <cellStyle name="40% - Accent5 4 3 8 4" xfId="27252"/>
    <cellStyle name="40% - Accent5 4 3 8 5" xfId="27253"/>
    <cellStyle name="40% - Accent5 4 3 9" xfId="27254"/>
    <cellStyle name="40% - Accent5 4 3 9 2" xfId="27255"/>
    <cellStyle name="40% - Accent5 4 3 9 3" xfId="27256"/>
    <cellStyle name="40% - Accent5 4 4" xfId="2455"/>
    <cellStyle name="40% - Accent5 4 4 10" xfId="27257"/>
    <cellStyle name="40% - Accent5 4 4 10 2" xfId="27258"/>
    <cellStyle name="40% - Accent5 4 4 11" xfId="27259"/>
    <cellStyle name="40% - Accent5 4 4 12" xfId="27260"/>
    <cellStyle name="40% - Accent5 4 4 2" xfId="2456"/>
    <cellStyle name="40% - Accent5 4 4 2 10" xfId="27261"/>
    <cellStyle name="40% - Accent5 4 4 2 2" xfId="2457"/>
    <cellStyle name="40% - Accent5 4 4 2 2 2" xfId="27262"/>
    <cellStyle name="40% - Accent5 4 4 2 2 2 2" xfId="27263"/>
    <cellStyle name="40% - Accent5 4 4 2 2 2 2 2" xfId="27264"/>
    <cellStyle name="40% - Accent5 4 4 2 2 2 2 3" xfId="27265"/>
    <cellStyle name="40% - Accent5 4 4 2 2 2 3" xfId="27266"/>
    <cellStyle name="40% - Accent5 4 4 2 2 2 3 2" xfId="27267"/>
    <cellStyle name="40% - Accent5 4 4 2 2 2 3 3" xfId="27268"/>
    <cellStyle name="40% - Accent5 4 4 2 2 2 4" xfId="27269"/>
    <cellStyle name="40% - Accent5 4 4 2 2 2 4 2" xfId="27270"/>
    <cellStyle name="40% - Accent5 4 4 2 2 2 5" xfId="27271"/>
    <cellStyle name="40% - Accent5 4 4 2 2 2 6" xfId="27272"/>
    <cellStyle name="40% - Accent5 4 4 2 2 3" xfId="27273"/>
    <cellStyle name="40% - Accent5 4 4 2 2 3 2" xfId="27274"/>
    <cellStyle name="40% - Accent5 4 4 2 2 3 2 2" xfId="27275"/>
    <cellStyle name="40% - Accent5 4 4 2 2 3 2 3" xfId="27276"/>
    <cellStyle name="40% - Accent5 4 4 2 2 3 3" xfId="27277"/>
    <cellStyle name="40% - Accent5 4 4 2 2 3 3 2" xfId="27278"/>
    <cellStyle name="40% - Accent5 4 4 2 2 3 3 3" xfId="27279"/>
    <cellStyle name="40% - Accent5 4 4 2 2 3 4" xfId="27280"/>
    <cellStyle name="40% - Accent5 4 4 2 2 3 4 2" xfId="27281"/>
    <cellStyle name="40% - Accent5 4 4 2 2 3 5" xfId="27282"/>
    <cellStyle name="40% - Accent5 4 4 2 2 3 6" xfId="27283"/>
    <cellStyle name="40% - Accent5 4 4 2 2 4" xfId="27284"/>
    <cellStyle name="40% - Accent5 4 4 2 2 4 2" xfId="27285"/>
    <cellStyle name="40% - Accent5 4 4 2 2 4 2 2" xfId="27286"/>
    <cellStyle name="40% - Accent5 4 4 2 2 4 2 3" xfId="27287"/>
    <cellStyle name="40% - Accent5 4 4 2 2 4 3" xfId="27288"/>
    <cellStyle name="40% - Accent5 4 4 2 2 4 3 2" xfId="27289"/>
    <cellStyle name="40% - Accent5 4 4 2 2 4 4" xfId="27290"/>
    <cellStyle name="40% - Accent5 4 4 2 2 4 5" xfId="27291"/>
    <cellStyle name="40% - Accent5 4 4 2 2 5" xfId="27292"/>
    <cellStyle name="40% - Accent5 4 4 2 2 5 2" xfId="27293"/>
    <cellStyle name="40% - Accent5 4 4 2 2 5 3" xfId="27294"/>
    <cellStyle name="40% - Accent5 4 4 2 2 6" xfId="27295"/>
    <cellStyle name="40% - Accent5 4 4 2 2 6 2" xfId="27296"/>
    <cellStyle name="40% - Accent5 4 4 2 2 6 3" xfId="27297"/>
    <cellStyle name="40% - Accent5 4 4 2 2 7" xfId="27298"/>
    <cellStyle name="40% - Accent5 4 4 2 2 7 2" xfId="27299"/>
    <cellStyle name="40% - Accent5 4 4 2 2 8" xfId="27300"/>
    <cellStyle name="40% - Accent5 4 4 2 2 9" xfId="27301"/>
    <cellStyle name="40% - Accent5 4 4 2 3" xfId="27302"/>
    <cellStyle name="40% - Accent5 4 4 2 3 2" xfId="27303"/>
    <cellStyle name="40% - Accent5 4 4 2 3 2 2" xfId="27304"/>
    <cellStyle name="40% - Accent5 4 4 2 3 2 3" xfId="27305"/>
    <cellStyle name="40% - Accent5 4 4 2 3 3" xfId="27306"/>
    <cellStyle name="40% - Accent5 4 4 2 3 3 2" xfId="27307"/>
    <cellStyle name="40% - Accent5 4 4 2 3 3 3" xfId="27308"/>
    <cellStyle name="40% - Accent5 4 4 2 3 4" xfId="27309"/>
    <cellStyle name="40% - Accent5 4 4 2 3 4 2" xfId="27310"/>
    <cellStyle name="40% - Accent5 4 4 2 3 5" xfId="27311"/>
    <cellStyle name="40% - Accent5 4 4 2 3 6" xfId="27312"/>
    <cellStyle name="40% - Accent5 4 4 2 4" xfId="27313"/>
    <cellStyle name="40% - Accent5 4 4 2 4 2" xfId="27314"/>
    <cellStyle name="40% - Accent5 4 4 2 4 2 2" xfId="27315"/>
    <cellStyle name="40% - Accent5 4 4 2 4 2 3" xfId="27316"/>
    <cellStyle name="40% - Accent5 4 4 2 4 3" xfId="27317"/>
    <cellStyle name="40% - Accent5 4 4 2 4 3 2" xfId="27318"/>
    <cellStyle name="40% - Accent5 4 4 2 4 3 3" xfId="27319"/>
    <cellStyle name="40% - Accent5 4 4 2 4 4" xfId="27320"/>
    <cellStyle name="40% - Accent5 4 4 2 4 4 2" xfId="27321"/>
    <cellStyle name="40% - Accent5 4 4 2 4 5" xfId="27322"/>
    <cellStyle name="40% - Accent5 4 4 2 4 6" xfId="27323"/>
    <cellStyle name="40% - Accent5 4 4 2 5" xfId="27324"/>
    <cellStyle name="40% - Accent5 4 4 2 5 2" xfId="27325"/>
    <cellStyle name="40% - Accent5 4 4 2 5 2 2" xfId="27326"/>
    <cellStyle name="40% - Accent5 4 4 2 5 2 3" xfId="27327"/>
    <cellStyle name="40% - Accent5 4 4 2 5 3" xfId="27328"/>
    <cellStyle name="40% - Accent5 4 4 2 5 3 2" xfId="27329"/>
    <cellStyle name="40% - Accent5 4 4 2 5 4" xfId="27330"/>
    <cellStyle name="40% - Accent5 4 4 2 5 5" xfId="27331"/>
    <cellStyle name="40% - Accent5 4 4 2 6" xfId="27332"/>
    <cellStyle name="40% - Accent5 4 4 2 6 2" xfId="27333"/>
    <cellStyle name="40% - Accent5 4 4 2 6 3" xfId="27334"/>
    <cellStyle name="40% - Accent5 4 4 2 7" xfId="27335"/>
    <cellStyle name="40% - Accent5 4 4 2 7 2" xfId="27336"/>
    <cellStyle name="40% - Accent5 4 4 2 7 3" xfId="27337"/>
    <cellStyle name="40% - Accent5 4 4 2 8" xfId="27338"/>
    <cellStyle name="40% - Accent5 4 4 2 8 2" xfId="27339"/>
    <cellStyle name="40% - Accent5 4 4 2 9" xfId="27340"/>
    <cellStyle name="40% - Accent5 4 4 3" xfId="2458"/>
    <cellStyle name="40% - Accent5 4 4 3 2" xfId="27341"/>
    <cellStyle name="40% - Accent5 4 4 3 2 2" xfId="27342"/>
    <cellStyle name="40% - Accent5 4 4 3 2 2 2" xfId="27343"/>
    <cellStyle name="40% - Accent5 4 4 3 2 2 3" xfId="27344"/>
    <cellStyle name="40% - Accent5 4 4 3 2 3" xfId="27345"/>
    <cellStyle name="40% - Accent5 4 4 3 2 3 2" xfId="27346"/>
    <cellStyle name="40% - Accent5 4 4 3 2 3 3" xfId="27347"/>
    <cellStyle name="40% - Accent5 4 4 3 2 4" xfId="27348"/>
    <cellStyle name="40% - Accent5 4 4 3 2 4 2" xfId="27349"/>
    <cellStyle name="40% - Accent5 4 4 3 2 5" xfId="27350"/>
    <cellStyle name="40% - Accent5 4 4 3 2 6" xfId="27351"/>
    <cellStyle name="40% - Accent5 4 4 3 3" xfId="27352"/>
    <cellStyle name="40% - Accent5 4 4 3 3 2" xfId="27353"/>
    <cellStyle name="40% - Accent5 4 4 3 3 2 2" xfId="27354"/>
    <cellStyle name="40% - Accent5 4 4 3 3 2 3" xfId="27355"/>
    <cellStyle name="40% - Accent5 4 4 3 3 3" xfId="27356"/>
    <cellStyle name="40% - Accent5 4 4 3 3 3 2" xfId="27357"/>
    <cellStyle name="40% - Accent5 4 4 3 3 3 3" xfId="27358"/>
    <cellStyle name="40% - Accent5 4 4 3 3 4" xfId="27359"/>
    <cellStyle name="40% - Accent5 4 4 3 3 4 2" xfId="27360"/>
    <cellStyle name="40% - Accent5 4 4 3 3 5" xfId="27361"/>
    <cellStyle name="40% - Accent5 4 4 3 3 6" xfId="27362"/>
    <cellStyle name="40% - Accent5 4 4 3 4" xfId="27363"/>
    <cellStyle name="40% - Accent5 4 4 3 4 2" xfId="27364"/>
    <cellStyle name="40% - Accent5 4 4 3 4 2 2" xfId="27365"/>
    <cellStyle name="40% - Accent5 4 4 3 4 2 3" xfId="27366"/>
    <cellStyle name="40% - Accent5 4 4 3 4 3" xfId="27367"/>
    <cellStyle name="40% - Accent5 4 4 3 4 3 2" xfId="27368"/>
    <cellStyle name="40% - Accent5 4 4 3 4 4" xfId="27369"/>
    <cellStyle name="40% - Accent5 4 4 3 4 5" xfId="27370"/>
    <cellStyle name="40% - Accent5 4 4 3 5" xfId="27371"/>
    <cellStyle name="40% - Accent5 4 4 3 5 2" xfId="27372"/>
    <cellStyle name="40% - Accent5 4 4 3 5 3" xfId="27373"/>
    <cellStyle name="40% - Accent5 4 4 3 6" xfId="27374"/>
    <cellStyle name="40% - Accent5 4 4 3 6 2" xfId="27375"/>
    <cellStyle name="40% - Accent5 4 4 3 6 3" xfId="27376"/>
    <cellStyle name="40% - Accent5 4 4 3 7" xfId="27377"/>
    <cellStyle name="40% - Accent5 4 4 3 7 2" xfId="27378"/>
    <cellStyle name="40% - Accent5 4 4 3 8" xfId="27379"/>
    <cellStyle name="40% - Accent5 4 4 3 9" xfId="27380"/>
    <cellStyle name="40% - Accent5 4 4 4" xfId="27381"/>
    <cellStyle name="40% - Accent5 4 4 4 2" xfId="27382"/>
    <cellStyle name="40% - Accent5 4 4 4 2 2" xfId="27383"/>
    <cellStyle name="40% - Accent5 4 4 4 2 2 2" xfId="27384"/>
    <cellStyle name="40% - Accent5 4 4 4 2 2 3" xfId="27385"/>
    <cellStyle name="40% - Accent5 4 4 4 2 3" xfId="27386"/>
    <cellStyle name="40% - Accent5 4 4 4 2 3 2" xfId="27387"/>
    <cellStyle name="40% - Accent5 4 4 4 2 3 3" xfId="27388"/>
    <cellStyle name="40% - Accent5 4 4 4 2 4" xfId="27389"/>
    <cellStyle name="40% - Accent5 4 4 4 2 4 2" xfId="27390"/>
    <cellStyle name="40% - Accent5 4 4 4 2 5" xfId="27391"/>
    <cellStyle name="40% - Accent5 4 4 4 2 6" xfId="27392"/>
    <cellStyle name="40% - Accent5 4 4 4 3" xfId="27393"/>
    <cellStyle name="40% - Accent5 4 4 4 3 2" xfId="27394"/>
    <cellStyle name="40% - Accent5 4 4 4 3 2 2" xfId="27395"/>
    <cellStyle name="40% - Accent5 4 4 4 3 2 3" xfId="27396"/>
    <cellStyle name="40% - Accent5 4 4 4 3 3" xfId="27397"/>
    <cellStyle name="40% - Accent5 4 4 4 3 3 2" xfId="27398"/>
    <cellStyle name="40% - Accent5 4 4 4 3 3 3" xfId="27399"/>
    <cellStyle name="40% - Accent5 4 4 4 3 4" xfId="27400"/>
    <cellStyle name="40% - Accent5 4 4 4 3 4 2" xfId="27401"/>
    <cellStyle name="40% - Accent5 4 4 4 3 5" xfId="27402"/>
    <cellStyle name="40% - Accent5 4 4 4 3 6" xfId="27403"/>
    <cellStyle name="40% - Accent5 4 4 4 4" xfId="27404"/>
    <cellStyle name="40% - Accent5 4 4 4 4 2" xfId="27405"/>
    <cellStyle name="40% - Accent5 4 4 4 4 2 2" xfId="27406"/>
    <cellStyle name="40% - Accent5 4 4 4 4 2 3" xfId="27407"/>
    <cellStyle name="40% - Accent5 4 4 4 4 3" xfId="27408"/>
    <cellStyle name="40% - Accent5 4 4 4 4 3 2" xfId="27409"/>
    <cellStyle name="40% - Accent5 4 4 4 4 4" xfId="27410"/>
    <cellStyle name="40% - Accent5 4 4 4 4 5" xfId="27411"/>
    <cellStyle name="40% - Accent5 4 4 4 5" xfId="27412"/>
    <cellStyle name="40% - Accent5 4 4 4 5 2" xfId="27413"/>
    <cellStyle name="40% - Accent5 4 4 4 5 3" xfId="27414"/>
    <cellStyle name="40% - Accent5 4 4 4 6" xfId="27415"/>
    <cellStyle name="40% - Accent5 4 4 4 6 2" xfId="27416"/>
    <cellStyle name="40% - Accent5 4 4 4 6 3" xfId="27417"/>
    <cellStyle name="40% - Accent5 4 4 4 7" xfId="27418"/>
    <cellStyle name="40% - Accent5 4 4 4 7 2" xfId="27419"/>
    <cellStyle name="40% - Accent5 4 4 4 8" xfId="27420"/>
    <cellStyle name="40% - Accent5 4 4 4 9" xfId="27421"/>
    <cellStyle name="40% - Accent5 4 4 5" xfId="27422"/>
    <cellStyle name="40% - Accent5 4 4 5 2" xfId="27423"/>
    <cellStyle name="40% - Accent5 4 4 5 2 2" xfId="27424"/>
    <cellStyle name="40% - Accent5 4 4 5 2 3" xfId="27425"/>
    <cellStyle name="40% - Accent5 4 4 5 3" xfId="27426"/>
    <cellStyle name="40% - Accent5 4 4 5 3 2" xfId="27427"/>
    <cellStyle name="40% - Accent5 4 4 5 3 3" xfId="27428"/>
    <cellStyle name="40% - Accent5 4 4 5 4" xfId="27429"/>
    <cellStyle name="40% - Accent5 4 4 5 4 2" xfId="27430"/>
    <cellStyle name="40% - Accent5 4 4 5 5" xfId="27431"/>
    <cellStyle name="40% - Accent5 4 4 5 6" xfId="27432"/>
    <cellStyle name="40% - Accent5 4 4 6" xfId="27433"/>
    <cellStyle name="40% - Accent5 4 4 6 2" xfId="27434"/>
    <cellStyle name="40% - Accent5 4 4 6 2 2" xfId="27435"/>
    <cellStyle name="40% - Accent5 4 4 6 2 3" xfId="27436"/>
    <cellStyle name="40% - Accent5 4 4 6 3" xfId="27437"/>
    <cellStyle name="40% - Accent5 4 4 6 3 2" xfId="27438"/>
    <cellStyle name="40% - Accent5 4 4 6 3 3" xfId="27439"/>
    <cellStyle name="40% - Accent5 4 4 6 4" xfId="27440"/>
    <cellStyle name="40% - Accent5 4 4 6 4 2" xfId="27441"/>
    <cellStyle name="40% - Accent5 4 4 6 5" xfId="27442"/>
    <cellStyle name="40% - Accent5 4 4 6 6" xfId="27443"/>
    <cellStyle name="40% - Accent5 4 4 7" xfId="27444"/>
    <cellStyle name="40% - Accent5 4 4 7 2" xfId="27445"/>
    <cellStyle name="40% - Accent5 4 4 7 2 2" xfId="27446"/>
    <cellStyle name="40% - Accent5 4 4 7 2 3" xfId="27447"/>
    <cellStyle name="40% - Accent5 4 4 7 3" xfId="27448"/>
    <cellStyle name="40% - Accent5 4 4 7 3 2" xfId="27449"/>
    <cellStyle name="40% - Accent5 4 4 7 4" xfId="27450"/>
    <cellStyle name="40% - Accent5 4 4 7 5" xfId="27451"/>
    <cellStyle name="40% - Accent5 4 4 8" xfId="27452"/>
    <cellStyle name="40% - Accent5 4 4 8 2" xfId="27453"/>
    <cellStyle name="40% - Accent5 4 4 8 3" xfId="27454"/>
    <cellStyle name="40% - Accent5 4 4 9" xfId="27455"/>
    <cellStyle name="40% - Accent5 4 4 9 2" xfId="27456"/>
    <cellStyle name="40% - Accent5 4 4 9 3" xfId="27457"/>
    <cellStyle name="40% - Accent5 4 5" xfId="2459"/>
    <cellStyle name="40% - Accent5 4 5 10" xfId="27458"/>
    <cellStyle name="40% - Accent5 4 5 2" xfId="2460"/>
    <cellStyle name="40% - Accent5 4 5 2 2" xfId="27459"/>
    <cellStyle name="40% - Accent5 4 5 2 2 2" xfId="27460"/>
    <cellStyle name="40% - Accent5 4 5 2 2 2 2" xfId="27461"/>
    <cellStyle name="40% - Accent5 4 5 2 2 2 3" xfId="27462"/>
    <cellStyle name="40% - Accent5 4 5 2 2 3" xfId="27463"/>
    <cellStyle name="40% - Accent5 4 5 2 2 3 2" xfId="27464"/>
    <cellStyle name="40% - Accent5 4 5 2 2 3 3" xfId="27465"/>
    <cellStyle name="40% - Accent5 4 5 2 2 4" xfId="27466"/>
    <cellStyle name="40% - Accent5 4 5 2 2 4 2" xfId="27467"/>
    <cellStyle name="40% - Accent5 4 5 2 2 5" xfId="27468"/>
    <cellStyle name="40% - Accent5 4 5 2 2 6" xfId="27469"/>
    <cellStyle name="40% - Accent5 4 5 2 3" xfId="27470"/>
    <cellStyle name="40% - Accent5 4 5 2 3 2" xfId="27471"/>
    <cellStyle name="40% - Accent5 4 5 2 3 2 2" xfId="27472"/>
    <cellStyle name="40% - Accent5 4 5 2 3 2 3" xfId="27473"/>
    <cellStyle name="40% - Accent5 4 5 2 3 3" xfId="27474"/>
    <cellStyle name="40% - Accent5 4 5 2 3 3 2" xfId="27475"/>
    <cellStyle name="40% - Accent5 4 5 2 3 3 3" xfId="27476"/>
    <cellStyle name="40% - Accent5 4 5 2 3 4" xfId="27477"/>
    <cellStyle name="40% - Accent5 4 5 2 3 4 2" xfId="27478"/>
    <cellStyle name="40% - Accent5 4 5 2 3 5" xfId="27479"/>
    <cellStyle name="40% - Accent5 4 5 2 3 6" xfId="27480"/>
    <cellStyle name="40% - Accent5 4 5 2 4" xfId="27481"/>
    <cellStyle name="40% - Accent5 4 5 2 4 2" xfId="27482"/>
    <cellStyle name="40% - Accent5 4 5 2 4 2 2" xfId="27483"/>
    <cellStyle name="40% - Accent5 4 5 2 4 2 3" xfId="27484"/>
    <cellStyle name="40% - Accent5 4 5 2 4 3" xfId="27485"/>
    <cellStyle name="40% - Accent5 4 5 2 4 3 2" xfId="27486"/>
    <cellStyle name="40% - Accent5 4 5 2 4 4" xfId="27487"/>
    <cellStyle name="40% - Accent5 4 5 2 4 5" xfId="27488"/>
    <cellStyle name="40% - Accent5 4 5 2 5" xfId="27489"/>
    <cellStyle name="40% - Accent5 4 5 2 5 2" xfId="27490"/>
    <cellStyle name="40% - Accent5 4 5 2 5 3" xfId="27491"/>
    <cellStyle name="40% - Accent5 4 5 2 6" xfId="27492"/>
    <cellStyle name="40% - Accent5 4 5 2 6 2" xfId="27493"/>
    <cellStyle name="40% - Accent5 4 5 2 6 3" xfId="27494"/>
    <cellStyle name="40% - Accent5 4 5 2 7" xfId="27495"/>
    <cellStyle name="40% - Accent5 4 5 2 7 2" xfId="27496"/>
    <cellStyle name="40% - Accent5 4 5 2 8" xfId="27497"/>
    <cellStyle name="40% - Accent5 4 5 2 9" xfId="27498"/>
    <cellStyle name="40% - Accent5 4 5 3" xfId="27499"/>
    <cellStyle name="40% - Accent5 4 5 3 2" xfId="27500"/>
    <cellStyle name="40% - Accent5 4 5 3 2 2" xfId="27501"/>
    <cellStyle name="40% - Accent5 4 5 3 2 3" xfId="27502"/>
    <cellStyle name="40% - Accent5 4 5 3 3" xfId="27503"/>
    <cellStyle name="40% - Accent5 4 5 3 3 2" xfId="27504"/>
    <cellStyle name="40% - Accent5 4 5 3 3 3" xfId="27505"/>
    <cellStyle name="40% - Accent5 4 5 3 4" xfId="27506"/>
    <cellStyle name="40% - Accent5 4 5 3 4 2" xfId="27507"/>
    <cellStyle name="40% - Accent5 4 5 3 5" xfId="27508"/>
    <cellStyle name="40% - Accent5 4 5 3 6" xfId="27509"/>
    <cellStyle name="40% - Accent5 4 5 4" xfId="27510"/>
    <cellStyle name="40% - Accent5 4 5 4 2" xfId="27511"/>
    <cellStyle name="40% - Accent5 4 5 4 2 2" xfId="27512"/>
    <cellStyle name="40% - Accent5 4 5 4 2 3" xfId="27513"/>
    <cellStyle name="40% - Accent5 4 5 4 3" xfId="27514"/>
    <cellStyle name="40% - Accent5 4 5 4 3 2" xfId="27515"/>
    <cellStyle name="40% - Accent5 4 5 4 3 3" xfId="27516"/>
    <cellStyle name="40% - Accent5 4 5 4 4" xfId="27517"/>
    <cellStyle name="40% - Accent5 4 5 4 4 2" xfId="27518"/>
    <cellStyle name="40% - Accent5 4 5 4 5" xfId="27519"/>
    <cellStyle name="40% - Accent5 4 5 4 6" xfId="27520"/>
    <cellStyle name="40% - Accent5 4 5 5" xfId="27521"/>
    <cellStyle name="40% - Accent5 4 5 5 2" xfId="27522"/>
    <cellStyle name="40% - Accent5 4 5 5 2 2" xfId="27523"/>
    <cellStyle name="40% - Accent5 4 5 5 2 3" xfId="27524"/>
    <cellStyle name="40% - Accent5 4 5 5 3" xfId="27525"/>
    <cellStyle name="40% - Accent5 4 5 5 3 2" xfId="27526"/>
    <cellStyle name="40% - Accent5 4 5 5 4" xfId="27527"/>
    <cellStyle name="40% - Accent5 4 5 5 5" xfId="27528"/>
    <cellStyle name="40% - Accent5 4 5 6" xfId="27529"/>
    <cellStyle name="40% - Accent5 4 5 6 2" xfId="27530"/>
    <cellStyle name="40% - Accent5 4 5 6 3" xfId="27531"/>
    <cellStyle name="40% - Accent5 4 5 7" xfId="27532"/>
    <cellStyle name="40% - Accent5 4 5 7 2" xfId="27533"/>
    <cellStyle name="40% - Accent5 4 5 7 3" xfId="27534"/>
    <cellStyle name="40% - Accent5 4 5 8" xfId="27535"/>
    <cellStyle name="40% - Accent5 4 5 8 2" xfId="27536"/>
    <cellStyle name="40% - Accent5 4 5 9" xfId="27537"/>
    <cellStyle name="40% - Accent5 4 6" xfId="2461"/>
    <cellStyle name="40% - Accent5 4 6 2" xfId="27538"/>
    <cellStyle name="40% - Accent5 4 6 2 2" xfId="27539"/>
    <cellStyle name="40% - Accent5 4 6 2 2 2" xfId="27540"/>
    <cellStyle name="40% - Accent5 4 6 2 2 3" xfId="27541"/>
    <cellStyle name="40% - Accent5 4 6 2 3" xfId="27542"/>
    <cellStyle name="40% - Accent5 4 6 2 3 2" xfId="27543"/>
    <cellStyle name="40% - Accent5 4 6 2 3 3" xfId="27544"/>
    <cellStyle name="40% - Accent5 4 6 2 4" xfId="27545"/>
    <cellStyle name="40% - Accent5 4 6 2 4 2" xfId="27546"/>
    <cellStyle name="40% - Accent5 4 6 2 5" xfId="27547"/>
    <cellStyle name="40% - Accent5 4 6 2 6" xfId="27548"/>
    <cellStyle name="40% - Accent5 4 6 3" xfId="27549"/>
    <cellStyle name="40% - Accent5 4 6 3 2" xfId="27550"/>
    <cellStyle name="40% - Accent5 4 6 3 2 2" xfId="27551"/>
    <cellStyle name="40% - Accent5 4 6 3 2 3" xfId="27552"/>
    <cellStyle name="40% - Accent5 4 6 3 3" xfId="27553"/>
    <cellStyle name="40% - Accent5 4 6 3 3 2" xfId="27554"/>
    <cellStyle name="40% - Accent5 4 6 3 3 3" xfId="27555"/>
    <cellStyle name="40% - Accent5 4 6 3 4" xfId="27556"/>
    <cellStyle name="40% - Accent5 4 6 3 4 2" xfId="27557"/>
    <cellStyle name="40% - Accent5 4 6 3 5" xfId="27558"/>
    <cellStyle name="40% - Accent5 4 6 3 6" xfId="27559"/>
    <cellStyle name="40% - Accent5 4 6 4" xfId="27560"/>
    <cellStyle name="40% - Accent5 4 6 4 2" xfId="27561"/>
    <cellStyle name="40% - Accent5 4 6 4 2 2" xfId="27562"/>
    <cellStyle name="40% - Accent5 4 6 4 2 3" xfId="27563"/>
    <cellStyle name="40% - Accent5 4 6 4 3" xfId="27564"/>
    <cellStyle name="40% - Accent5 4 6 4 3 2" xfId="27565"/>
    <cellStyle name="40% - Accent5 4 6 4 4" xfId="27566"/>
    <cellStyle name="40% - Accent5 4 6 4 5" xfId="27567"/>
    <cellStyle name="40% - Accent5 4 6 5" xfId="27568"/>
    <cellStyle name="40% - Accent5 4 6 5 2" xfId="27569"/>
    <cellStyle name="40% - Accent5 4 6 5 3" xfId="27570"/>
    <cellStyle name="40% - Accent5 4 6 6" xfId="27571"/>
    <cellStyle name="40% - Accent5 4 6 6 2" xfId="27572"/>
    <cellStyle name="40% - Accent5 4 6 6 3" xfId="27573"/>
    <cellStyle name="40% - Accent5 4 6 7" xfId="27574"/>
    <cellStyle name="40% - Accent5 4 6 7 2" xfId="27575"/>
    <cellStyle name="40% - Accent5 4 6 8" xfId="27576"/>
    <cellStyle name="40% - Accent5 4 6 9" xfId="27577"/>
    <cellStyle name="40% - Accent5 4 7" xfId="8998"/>
    <cellStyle name="40% - Accent5 4 7 2" xfId="27578"/>
    <cellStyle name="40% - Accent5 4 7 2 2" xfId="27579"/>
    <cellStyle name="40% - Accent5 4 7 2 2 2" xfId="27580"/>
    <cellStyle name="40% - Accent5 4 7 2 2 3" xfId="27581"/>
    <cellStyle name="40% - Accent5 4 7 2 3" xfId="27582"/>
    <cellStyle name="40% - Accent5 4 7 2 3 2" xfId="27583"/>
    <cellStyle name="40% - Accent5 4 7 2 3 3" xfId="27584"/>
    <cellStyle name="40% - Accent5 4 7 2 4" xfId="27585"/>
    <cellStyle name="40% - Accent5 4 7 2 4 2" xfId="27586"/>
    <cellStyle name="40% - Accent5 4 7 2 5" xfId="27587"/>
    <cellStyle name="40% - Accent5 4 7 2 6" xfId="27588"/>
    <cellStyle name="40% - Accent5 4 7 3" xfId="27589"/>
    <cellStyle name="40% - Accent5 4 7 3 2" xfId="27590"/>
    <cellStyle name="40% - Accent5 4 7 3 2 2" xfId="27591"/>
    <cellStyle name="40% - Accent5 4 7 3 2 3" xfId="27592"/>
    <cellStyle name="40% - Accent5 4 7 3 3" xfId="27593"/>
    <cellStyle name="40% - Accent5 4 7 3 3 2" xfId="27594"/>
    <cellStyle name="40% - Accent5 4 7 3 3 3" xfId="27595"/>
    <cellStyle name="40% - Accent5 4 7 3 4" xfId="27596"/>
    <cellStyle name="40% - Accent5 4 7 3 4 2" xfId="27597"/>
    <cellStyle name="40% - Accent5 4 7 3 5" xfId="27598"/>
    <cellStyle name="40% - Accent5 4 7 3 6" xfId="27599"/>
    <cellStyle name="40% - Accent5 4 7 4" xfId="27600"/>
    <cellStyle name="40% - Accent5 4 7 4 2" xfId="27601"/>
    <cellStyle name="40% - Accent5 4 7 4 2 2" xfId="27602"/>
    <cellStyle name="40% - Accent5 4 7 4 2 3" xfId="27603"/>
    <cellStyle name="40% - Accent5 4 7 4 3" xfId="27604"/>
    <cellStyle name="40% - Accent5 4 7 4 3 2" xfId="27605"/>
    <cellStyle name="40% - Accent5 4 7 4 4" xfId="27606"/>
    <cellStyle name="40% - Accent5 4 7 4 5" xfId="27607"/>
    <cellStyle name="40% - Accent5 4 7 5" xfId="27608"/>
    <cellStyle name="40% - Accent5 4 7 5 2" xfId="27609"/>
    <cellStyle name="40% - Accent5 4 7 5 3" xfId="27610"/>
    <cellStyle name="40% - Accent5 4 7 6" xfId="27611"/>
    <cellStyle name="40% - Accent5 4 7 6 2" xfId="27612"/>
    <cellStyle name="40% - Accent5 4 7 6 3" xfId="27613"/>
    <cellStyle name="40% - Accent5 4 7 7" xfId="27614"/>
    <cellStyle name="40% - Accent5 4 7 7 2" xfId="27615"/>
    <cellStyle name="40% - Accent5 4 7 8" xfId="27616"/>
    <cellStyle name="40% - Accent5 4 7 9" xfId="27617"/>
    <cellStyle name="40% - Accent5 4 8" xfId="27618"/>
    <cellStyle name="40% - Accent5 4 8 2" xfId="27619"/>
    <cellStyle name="40% - Accent5 4 8 2 2" xfId="27620"/>
    <cellStyle name="40% - Accent5 4 8 2 3" xfId="27621"/>
    <cellStyle name="40% - Accent5 4 8 3" xfId="27622"/>
    <cellStyle name="40% - Accent5 4 8 3 2" xfId="27623"/>
    <cellStyle name="40% - Accent5 4 8 3 3" xfId="27624"/>
    <cellStyle name="40% - Accent5 4 8 4" xfId="27625"/>
    <cellStyle name="40% - Accent5 4 8 4 2" xfId="27626"/>
    <cellStyle name="40% - Accent5 4 8 5" xfId="27627"/>
    <cellStyle name="40% - Accent5 4 8 6" xfId="27628"/>
    <cellStyle name="40% - Accent5 4 9" xfId="27629"/>
    <cellStyle name="40% - Accent5 4 9 2" xfId="27630"/>
    <cellStyle name="40% - Accent5 4 9 2 2" xfId="27631"/>
    <cellStyle name="40% - Accent5 4 9 2 3" xfId="27632"/>
    <cellStyle name="40% - Accent5 4 9 3" xfId="27633"/>
    <cellStyle name="40% - Accent5 4 9 3 2" xfId="27634"/>
    <cellStyle name="40% - Accent5 4 9 3 3" xfId="27635"/>
    <cellStyle name="40% - Accent5 4 9 4" xfId="27636"/>
    <cellStyle name="40% - Accent5 4 9 4 2" xfId="27637"/>
    <cellStyle name="40% - Accent5 4 9 5" xfId="27638"/>
    <cellStyle name="40% - Accent5 4 9 6" xfId="27639"/>
    <cellStyle name="40% - Accent5 5" xfId="2462"/>
    <cellStyle name="40% - Accent5 5 2" xfId="2463"/>
    <cellStyle name="40% - Accent5 5 2 2" xfId="2464"/>
    <cellStyle name="40% - Accent5 5 2 2 2" xfId="2465"/>
    <cellStyle name="40% - Accent5 5 2 2 2 2" xfId="2466"/>
    <cellStyle name="40% - Accent5 5 2 2 3" xfId="2467"/>
    <cellStyle name="40% - Accent5 5 2 3" xfId="2468"/>
    <cellStyle name="40% - Accent5 5 2 3 2" xfId="2469"/>
    <cellStyle name="40% - Accent5 5 2 4" xfId="2470"/>
    <cellStyle name="40% - Accent5 5 2 5" xfId="58101"/>
    <cellStyle name="40% - Accent5 5 3" xfId="2471"/>
    <cellStyle name="40% - Accent5 5 3 2" xfId="2472"/>
    <cellStyle name="40% - Accent5 5 3 2 2" xfId="2473"/>
    <cellStyle name="40% - Accent5 5 3 3" xfId="2474"/>
    <cellStyle name="40% - Accent5 5 4" xfId="2475"/>
    <cellStyle name="40% - Accent5 5 4 2" xfId="2476"/>
    <cellStyle name="40% - Accent5 5 5" xfId="2477"/>
    <cellStyle name="40% - Accent5 5 6" xfId="8999"/>
    <cellStyle name="40% - Accent5 6" xfId="2478"/>
    <cellStyle name="40% - Accent5 6 2" xfId="2479"/>
    <cellStyle name="40% - Accent5 6 2 2" xfId="2480"/>
    <cellStyle name="40% - Accent5 6 2 2 2" xfId="2481"/>
    <cellStyle name="40% - Accent5 6 2 3" xfId="2482"/>
    <cellStyle name="40% - Accent5 6 2 4" xfId="58102"/>
    <cellStyle name="40% - Accent5 6 2 5" xfId="58103"/>
    <cellStyle name="40% - Accent5 6 3" xfId="2483"/>
    <cellStyle name="40% - Accent5 6 3 2" xfId="2484"/>
    <cellStyle name="40% - Accent5 6 4" xfId="2485"/>
    <cellStyle name="40% - Accent5 6 5" xfId="58104"/>
    <cellStyle name="40% - Accent5 7" xfId="2486"/>
    <cellStyle name="40% - Accent5 7 2" xfId="2487"/>
    <cellStyle name="40% - Accent5 7 2 2" xfId="2488"/>
    <cellStyle name="40% - Accent5 7 2 2 2" xfId="2489"/>
    <cellStyle name="40% - Accent5 7 2 3" xfId="2490"/>
    <cellStyle name="40% - Accent5 7 3" xfId="2491"/>
    <cellStyle name="40% - Accent5 7 3 2" xfId="2492"/>
    <cellStyle name="40% - Accent5 7 4" xfId="2493"/>
    <cellStyle name="40% - Accent5 7 5" xfId="58105"/>
    <cellStyle name="40% - Accent5 8" xfId="2494"/>
    <cellStyle name="40% - Accent5 8 2" xfId="2495"/>
    <cellStyle name="40% - Accent5 8 2 2" xfId="2496"/>
    <cellStyle name="40% - Accent5 8 2 2 2" xfId="2497"/>
    <cellStyle name="40% - Accent5 8 2 3" xfId="2498"/>
    <cellStyle name="40% - Accent5 8 3" xfId="2499"/>
    <cellStyle name="40% - Accent5 8 3 2" xfId="2500"/>
    <cellStyle name="40% - Accent5 8 4" xfId="2501"/>
    <cellStyle name="40% - Accent5 8 5" xfId="58106"/>
    <cellStyle name="40% - Accent5 9" xfId="2502"/>
    <cellStyle name="40% - Accent5 9 2" xfId="2503"/>
    <cellStyle name="40% - Accent5 9 2 2" xfId="2504"/>
    <cellStyle name="40% - Accent5 9 3" xfId="2505"/>
    <cellStyle name="40% - Accent5 9 4" xfId="58107"/>
    <cellStyle name="40% - Accent6 10" xfId="2506"/>
    <cellStyle name="40% - Accent6 10 2" xfId="2507"/>
    <cellStyle name="40% - Accent6 10 2 2" xfId="2508"/>
    <cellStyle name="40% - Accent6 10 3" xfId="2509"/>
    <cellStyle name="40% - Accent6 10 4" xfId="58108"/>
    <cellStyle name="40% - Accent6 11" xfId="2510"/>
    <cellStyle name="40% - Accent6 11 2" xfId="2511"/>
    <cellStyle name="40% - Accent6 11 2 2" xfId="2512"/>
    <cellStyle name="40% - Accent6 11 3" xfId="2513"/>
    <cellStyle name="40% - Accent6 11 4" xfId="58109"/>
    <cellStyle name="40% - Accent6 12" xfId="2514"/>
    <cellStyle name="40% - Accent6 12 2" xfId="2515"/>
    <cellStyle name="40% - Accent6 12 3" xfId="58110"/>
    <cellStyle name="40% - Accent6 13" xfId="2516"/>
    <cellStyle name="40% - Accent6 13 2" xfId="58111"/>
    <cellStyle name="40% - Accent6 14" xfId="9000"/>
    <cellStyle name="40% - Accent6 15" xfId="9411"/>
    <cellStyle name="40% - Accent6 16" xfId="9412"/>
    <cellStyle name="40% - Accent6 17" xfId="9413"/>
    <cellStyle name="40% - Accent6 17 2" xfId="58112"/>
    <cellStyle name="40% - Accent6 18" xfId="58113"/>
    <cellStyle name="40% - Accent6 19" xfId="58114"/>
    <cellStyle name="40% - Accent6 2" xfId="2517"/>
    <cellStyle name="40% - Accent6 2 2" xfId="2518"/>
    <cellStyle name="40% - Accent6 2 2 2" xfId="2519"/>
    <cellStyle name="40% - Accent6 2 2 2 2" xfId="2520"/>
    <cellStyle name="40% - Accent6 2 2 2 2 2" xfId="2521"/>
    <cellStyle name="40% - Accent6 2 2 2 2 2 2" xfId="2522"/>
    <cellStyle name="40% - Accent6 2 2 2 2 2 2 2" xfId="2523"/>
    <cellStyle name="40% - Accent6 2 2 2 2 2 3" xfId="2524"/>
    <cellStyle name="40% - Accent6 2 2 2 2 3" xfId="2525"/>
    <cellStyle name="40% - Accent6 2 2 2 2 3 2" xfId="2526"/>
    <cellStyle name="40% - Accent6 2 2 2 2 4" xfId="2527"/>
    <cellStyle name="40% - Accent6 2 2 2 2 5" xfId="58115"/>
    <cellStyle name="40% - Accent6 2 2 2 3" xfId="2528"/>
    <cellStyle name="40% - Accent6 2 2 2 3 2" xfId="2529"/>
    <cellStyle name="40% - Accent6 2 2 2 3 2 2" xfId="2530"/>
    <cellStyle name="40% - Accent6 2 2 2 3 3" xfId="2531"/>
    <cellStyle name="40% - Accent6 2 2 2 4" xfId="2532"/>
    <cellStyle name="40% - Accent6 2 2 2 4 2" xfId="2533"/>
    <cellStyle name="40% - Accent6 2 2 2 5" xfId="2534"/>
    <cellStyle name="40% - Accent6 2 2 2 6" xfId="58116"/>
    <cellStyle name="40% - Accent6 2 2 3" xfId="2535"/>
    <cellStyle name="40% - Accent6 2 2 3 2" xfId="2536"/>
    <cellStyle name="40% - Accent6 2 2 3 2 2" xfId="2537"/>
    <cellStyle name="40% - Accent6 2 2 3 2 2 2" xfId="2538"/>
    <cellStyle name="40% - Accent6 2 2 3 2 3" xfId="2539"/>
    <cellStyle name="40% - Accent6 2 2 3 3" xfId="2540"/>
    <cellStyle name="40% - Accent6 2 2 3 3 2" xfId="2541"/>
    <cellStyle name="40% - Accent6 2 2 3 4" xfId="2542"/>
    <cellStyle name="40% - Accent6 2 2 3 5" xfId="58117"/>
    <cellStyle name="40% - Accent6 2 2 4" xfId="2543"/>
    <cellStyle name="40% - Accent6 2 2 4 2" xfId="2544"/>
    <cellStyle name="40% - Accent6 2 2 4 2 2" xfId="2545"/>
    <cellStyle name="40% - Accent6 2 2 4 3" xfId="2546"/>
    <cellStyle name="40% - Accent6 2 2 5" xfId="2547"/>
    <cellStyle name="40% - Accent6 2 2 5 2" xfId="2548"/>
    <cellStyle name="40% - Accent6 2 2 6" xfId="2549"/>
    <cellStyle name="40% - Accent6 2 2 7" xfId="58118"/>
    <cellStyle name="40% - Accent6 2 3" xfId="2550"/>
    <cellStyle name="40% - Accent6 2 3 2" xfId="2551"/>
    <cellStyle name="40% - Accent6 2 3 2 2" xfId="2552"/>
    <cellStyle name="40% - Accent6 2 3 2 2 2" xfId="2553"/>
    <cellStyle name="40% - Accent6 2 3 2 2 2 2" xfId="2554"/>
    <cellStyle name="40% - Accent6 2 3 2 2 3" xfId="2555"/>
    <cellStyle name="40% - Accent6 2 3 2 3" xfId="2556"/>
    <cellStyle name="40% - Accent6 2 3 2 3 2" xfId="2557"/>
    <cellStyle name="40% - Accent6 2 3 2 4" xfId="2558"/>
    <cellStyle name="40% - Accent6 2 3 3" xfId="2559"/>
    <cellStyle name="40% - Accent6 2 3 3 2" xfId="2560"/>
    <cellStyle name="40% - Accent6 2 3 3 2 2" xfId="2561"/>
    <cellStyle name="40% - Accent6 2 3 3 3" xfId="2562"/>
    <cellStyle name="40% - Accent6 2 3 4" xfId="2563"/>
    <cellStyle name="40% - Accent6 2 3 4 2" xfId="2564"/>
    <cellStyle name="40% - Accent6 2 3 5" xfId="2565"/>
    <cellStyle name="40% - Accent6 2 3 6" xfId="58119"/>
    <cellStyle name="40% - Accent6 2 4" xfId="2566"/>
    <cellStyle name="40% - Accent6 2 4 2" xfId="2567"/>
    <cellStyle name="40% - Accent6 2 4 2 2" xfId="2568"/>
    <cellStyle name="40% - Accent6 2 4 2 2 2" xfId="2569"/>
    <cellStyle name="40% - Accent6 2 4 2 3" xfId="2570"/>
    <cellStyle name="40% - Accent6 2 4 3" xfId="2571"/>
    <cellStyle name="40% - Accent6 2 4 3 2" xfId="2572"/>
    <cellStyle name="40% - Accent6 2 4 4" xfId="2573"/>
    <cellStyle name="40% - Accent6 2 4 5" xfId="58120"/>
    <cellStyle name="40% - Accent6 2 5" xfId="2574"/>
    <cellStyle name="40% - Accent6 2 5 2" xfId="2575"/>
    <cellStyle name="40% - Accent6 2 5 2 2" xfId="2576"/>
    <cellStyle name="40% - Accent6 2 5 3" xfId="2577"/>
    <cellStyle name="40% - Accent6 2 5 4" xfId="58121"/>
    <cellStyle name="40% - Accent6 2 6" xfId="2578"/>
    <cellStyle name="40% - Accent6 2 6 2" xfId="2579"/>
    <cellStyle name="40% - Accent6 2 6 3" xfId="58122"/>
    <cellStyle name="40% - Accent6 2 7" xfId="2580"/>
    <cellStyle name="40% - Accent6 2 8" xfId="2581"/>
    <cellStyle name="40% - Accent6 2 9" xfId="58123"/>
    <cellStyle name="40% - Accent6 20" xfId="58124"/>
    <cellStyle name="40% - Accent6 21" xfId="58125"/>
    <cellStyle name="40% - Accent6 3" xfId="2582"/>
    <cellStyle name="40% - Accent6 3 2" xfId="2583"/>
    <cellStyle name="40% - Accent6 3 2 2" xfId="2584"/>
    <cellStyle name="40% - Accent6 3 2 2 2" xfId="2585"/>
    <cellStyle name="40% - Accent6 3 2 2 2 2" xfId="2586"/>
    <cellStyle name="40% - Accent6 3 2 2 2 2 2" xfId="2587"/>
    <cellStyle name="40% - Accent6 3 2 2 2 2 2 2" xfId="2588"/>
    <cellStyle name="40% - Accent6 3 2 2 2 2 3" xfId="2589"/>
    <cellStyle name="40% - Accent6 3 2 2 2 3" xfId="2590"/>
    <cellStyle name="40% - Accent6 3 2 2 2 3 2" xfId="2591"/>
    <cellStyle name="40% - Accent6 3 2 2 2 4" xfId="2592"/>
    <cellStyle name="40% - Accent6 3 2 2 2 5" xfId="9001"/>
    <cellStyle name="40% - Accent6 3 2 2 3" xfId="2593"/>
    <cellStyle name="40% - Accent6 3 2 2 3 2" xfId="2594"/>
    <cellStyle name="40% - Accent6 3 2 2 3 2 2" xfId="2595"/>
    <cellStyle name="40% - Accent6 3 2 2 3 3" xfId="2596"/>
    <cellStyle name="40% - Accent6 3 2 2 4" xfId="2597"/>
    <cellStyle name="40% - Accent6 3 2 2 4 2" xfId="2598"/>
    <cellStyle name="40% - Accent6 3 2 2 5" xfId="2599"/>
    <cellStyle name="40% - Accent6 3 2 2 6" xfId="9002"/>
    <cellStyle name="40% - Accent6 3 2 3" xfId="2600"/>
    <cellStyle name="40% - Accent6 3 2 3 2" xfId="2601"/>
    <cellStyle name="40% - Accent6 3 2 3 2 2" xfId="2602"/>
    <cellStyle name="40% - Accent6 3 2 3 2 2 2" xfId="2603"/>
    <cellStyle name="40% - Accent6 3 2 3 2 3" xfId="2604"/>
    <cellStyle name="40% - Accent6 3 2 3 3" xfId="2605"/>
    <cellStyle name="40% - Accent6 3 2 3 3 2" xfId="2606"/>
    <cellStyle name="40% - Accent6 3 2 3 4" xfId="2607"/>
    <cellStyle name="40% - Accent6 3 2 3 5" xfId="9003"/>
    <cellStyle name="40% - Accent6 3 2 4" xfId="2608"/>
    <cellStyle name="40% - Accent6 3 2 4 2" xfId="2609"/>
    <cellStyle name="40% - Accent6 3 2 4 2 2" xfId="2610"/>
    <cellStyle name="40% - Accent6 3 2 4 3" xfId="2611"/>
    <cellStyle name="40% - Accent6 3 2 5" xfId="2612"/>
    <cellStyle name="40% - Accent6 3 2 5 2" xfId="2613"/>
    <cellStyle name="40% - Accent6 3 2 6" xfId="2614"/>
    <cellStyle name="40% - Accent6 3 2 7" xfId="9004"/>
    <cellStyle name="40% - Accent6 3 3" xfId="2615"/>
    <cellStyle name="40% - Accent6 3 3 2" xfId="2616"/>
    <cellStyle name="40% - Accent6 3 3 2 2" xfId="2617"/>
    <cellStyle name="40% - Accent6 3 3 2 2 2" xfId="2618"/>
    <cellStyle name="40% - Accent6 3 3 2 2 2 2" xfId="2619"/>
    <cellStyle name="40% - Accent6 3 3 2 2 3" xfId="2620"/>
    <cellStyle name="40% - Accent6 3 3 2 3" xfId="2621"/>
    <cellStyle name="40% - Accent6 3 3 2 3 2" xfId="2622"/>
    <cellStyle name="40% - Accent6 3 3 2 4" xfId="2623"/>
    <cellStyle name="40% - Accent6 3 3 2 5" xfId="9005"/>
    <cellStyle name="40% - Accent6 3 3 3" xfId="2624"/>
    <cellStyle name="40% - Accent6 3 3 3 2" xfId="2625"/>
    <cellStyle name="40% - Accent6 3 3 3 2 2" xfId="2626"/>
    <cellStyle name="40% - Accent6 3 3 3 3" xfId="2627"/>
    <cellStyle name="40% - Accent6 3 3 4" xfId="2628"/>
    <cellStyle name="40% - Accent6 3 3 4 2" xfId="2629"/>
    <cellStyle name="40% - Accent6 3 3 5" xfId="2630"/>
    <cellStyle name="40% - Accent6 3 3 6" xfId="9006"/>
    <cellStyle name="40% - Accent6 3 4" xfId="2631"/>
    <cellStyle name="40% - Accent6 3 4 2" xfId="2632"/>
    <cellStyle name="40% - Accent6 3 4 2 2" xfId="2633"/>
    <cellStyle name="40% - Accent6 3 4 2 2 2" xfId="2634"/>
    <cellStyle name="40% - Accent6 3 4 2 3" xfId="2635"/>
    <cellStyle name="40% - Accent6 3 4 3" xfId="2636"/>
    <cellStyle name="40% - Accent6 3 4 3 2" xfId="2637"/>
    <cellStyle name="40% - Accent6 3 4 4" xfId="2638"/>
    <cellStyle name="40% - Accent6 3 4 5" xfId="9007"/>
    <cellStyle name="40% - Accent6 3 5" xfId="2639"/>
    <cellStyle name="40% - Accent6 3 5 2" xfId="2640"/>
    <cellStyle name="40% - Accent6 3 5 2 2" xfId="2641"/>
    <cellStyle name="40% - Accent6 3 5 3" xfId="2642"/>
    <cellStyle name="40% - Accent6 3 6" xfId="2643"/>
    <cellStyle name="40% - Accent6 3 6 2" xfId="2644"/>
    <cellStyle name="40% - Accent6 3 7" xfId="2645"/>
    <cellStyle name="40% - Accent6 3 8" xfId="2646"/>
    <cellStyle name="40% - Accent6 3 9" xfId="9008"/>
    <cellStyle name="40% - Accent6 4" xfId="2647"/>
    <cellStyle name="40% - Accent6 4 10" xfId="27640"/>
    <cellStyle name="40% - Accent6 4 10 2" xfId="27641"/>
    <cellStyle name="40% - Accent6 4 10 2 2" xfId="27642"/>
    <cellStyle name="40% - Accent6 4 10 2 3" xfId="27643"/>
    <cellStyle name="40% - Accent6 4 10 3" xfId="27644"/>
    <cellStyle name="40% - Accent6 4 10 3 2" xfId="27645"/>
    <cellStyle name="40% - Accent6 4 10 4" xfId="27646"/>
    <cellStyle name="40% - Accent6 4 10 5" xfId="27647"/>
    <cellStyle name="40% - Accent6 4 11" xfId="27648"/>
    <cellStyle name="40% - Accent6 4 11 2" xfId="27649"/>
    <cellStyle name="40% - Accent6 4 11 3" xfId="27650"/>
    <cellStyle name="40% - Accent6 4 12" xfId="27651"/>
    <cellStyle name="40% - Accent6 4 12 2" xfId="27652"/>
    <cellStyle name="40% - Accent6 4 12 3" xfId="27653"/>
    <cellStyle name="40% - Accent6 4 13" xfId="27654"/>
    <cellStyle name="40% - Accent6 4 13 2" xfId="27655"/>
    <cellStyle name="40% - Accent6 4 14" xfId="27656"/>
    <cellStyle name="40% - Accent6 4 15" xfId="27657"/>
    <cellStyle name="40% - Accent6 4 16" xfId="27658"/>
    <cellStyle name="40% - Accent6 4 2" xfId="2648"/>
    <cellStyle name="40% - Accent6 4 2 10" xfId="27659"/>
    <cellStyle name="40% - Accent6 4 2 10 2" xfId="27660"/>
    <cellStyle name="40% - Accent6 4 2 10 3" xfId="27661"/>
    <cellStyle name="40% - Accent6 4 2 11" xfId="27662"/>
    <cellStyle name="40% - Accent6 4 2 11 2" xfId="27663"/>
    <cellStyle name="40% - Accent6 4 2 11 3" xfId="27664"/>
    <cellStyle name="40% - Accent6 4 2 12" xfId="27665"/>
    <cellStyle name="40% - Accent6 4 2 12 2" xfId="27666"/>
    <cellStyle name="40% - Accent6 4 2 13" xfId="27667"/>
    <cellStyle name="40% - Accent6 4 2 14" xfId="27668"/>
    <cellStyle name="40% - Accent6 4 2 15" xfId="27669"/>
    <cellStyle name="40% - Accent6 4 2 2" xfId="2649"/>
    <cellStyle name="40% - Accent6 4 2 2 10" xfId="27670"/>
    <cellStyle name="40% - Accent6 4 2 2 10 2" xfId="27671"/>
    <cellStyle name="40% - Accent6 4 2 2 10 3" xfId="27672"/>
    <cellStyle name="40% - Accent6 4 2 2 11" xfId="27673"/>
    <cellStyle name="40% - Accent6 4 2 2 11 2" xfId="27674"/>
    <cellStyle name="40% - Accent6 4 2 2 12" xfId="27675"/>
    <cellStyle name="40% - Accent6 4 2 2 13" xfId="27676"/>
    <cellStyle name="40% - Accent6 4 2 2 2" xfId="2650"/>
    <cellStyle name="40% - Accent6 4 2 2 2 10" xfId="27677"/>
    <cellStyle name="40% - Accent6 4 2 2 2 10 2" xfId="27678"/>
    <cellStyle name="40% - Accent6 4 2 2 2 11" xfId="27679"/>
    <cellStyle name="40% - Accent6 4 2 2 2 12" xfId="27680"/>
    <cellStyle name="40% - Accent6 4 2 2 2 2" xfId="2651"/>
    <cellStyle name="40% - Accent6 4 2 2 2 2 10" xfId="27681"/>
    <cellStyle name="40% - Accent6 4 2 2 2 2 2" xfId="2652"/>
    <cellStyle name="40% - Accent6 4 2 2 2 2 2 2" xfId="27682"/>
    <cellStyle name="40% - Accent6 4 2 2 2 2 2 2 2" xfId="27683"/>
    <cellStyle name="40% - Accent6 4 2 2 2 2 2 2 2 2" xfId="27684"/>
    <cellStyle name="40% - Accent6 4 2 2 2 2 2 2 2 3" xfId="27685"/>
    <cellStyle name="40% - Accent6 4 2 2 2 2 2 2 3" xfId="27686"/>
    <cellStyle name="40% - Accent6 4 2 2 2 2 2 2 3 2" xfId="27687"/>
    <cellStyle name="40% - Accent6 4 2 2 2 2 2 2 3 3" xfId="27688"/>
    <cellStyle name="40% - Accent6 4 2 2 2 2 2 2 4" xfId="27689"/>
    <cellStyle name="40% - Accent6 4 2 2 2 2 2 2 4 2" xfId="27690"/>
    <cellStyle name="40% - Accent6 4 2 2 2 2 2 2 5" xfId="27691"/>
    <cellStyle name="40% - Accent6 4 2 2 2 2 2 2 6" xfId="27692"/>
    <cellStyle name="40% - Accent6 4 2 2 2 2 2 3" xfId="27693"/>
    <cellStyle name="40% - Accent6 4 2 2 2 2 2 3 2" xfId="27694"/>
    <cellStyle name="40% - Accent6 4 2 2 2 2 2 3 2 2" xfId="27695"/>
    <cellStyle name="40% - Accent6 4 2 2 2 2 2 3 2 3" xfId="27696"/>
    <cellStyle name="40% - Accent6 4 2 2 2 2 2 3 3" xfId="27697"/>
    <cellStyle name="40% - Accent6 4 2 2 2 2 2 3 3 2" xfId="27698"/>
    <cellStyle name="40% - Accent6 4 2 2 2 2 2 3 3 3" xfId="27699"/>
    <cellStyle name="40% - Accent6 4 2 2 2 2 2 3 4" xfId="27700"/>
    <cellStyle name="40% - Accent6 4 2 2 2 2 2 3 4 2" xfId="27701"/>
    <cellStyle name="40% - Accent6 4 2 2 2 2 2 3 5" xfId="27702"/>
    <cellStyle name="40% - Accent6 4 2 2 2 2 2 3 6" xfId="27703"/>
    <cellStyle name="40% - Accent6 4 2 2 2 2 2 4" xfId="27704"/>
    <cellStyle name="40% - Accent6 4 2 2 2 2 2 4 2" xfId="27705"/>
    <cellStyle name="40% - Accent6 4 2 2 2 2 2 4 2 2" xfId="27706"/>
    <cellStyle name="40% - Accent6 4 2 2 2 2 2 4 2 3" xfId="27707"/>
    <cellStyle name="40% - Accent6 4 2 2 2 2 2 4 3" xfId="27708"/>
    <cellStyle name="40% - Accent6 4 2 2 2 2 2 4 3 2" xfId="27709"/>
    <cellStyle name="40% - Accent6 4 2 2 2 2 2 4 4" xfId="27710"/>
    <cellStyle name="40% - Accent6 4 2 2 2 2 2 4 5" xfId="27711"/>
    <cellStyle name="40% - Accent6 4 2 2 2 2 2 5" xfId="27712"/>
    <cellStyle name="40% - Accent6 4 2 2 2 2 2 5 2" xfId="27713"/>
    <cellStyle name="40% - Accent6 4 2 2 2 2 2 5 3" xfId="27714"/>
    <cellStyle name="40% - Accent6 4 2 2 2 2 2 6" xfId="27715"/>
    <cellStyle name="40% - Accent6 4 2 2 2 2 2 6 2" xfId="27716"/>
    <cellStyle name="40% - Accent6 4 2 2 2 2 2 6 3" xfId="27717"/>
    <cellStyle name="40% - Accent6 4 2 2 2 2 2 7" xfId="27718"/>
    <cellStyle name="40% - Accent6 4 2 2 2 2 2 7 2" xfId="27719"/>
    <cellStyle name="40% - Accent6 4 2 2 2 2 2 8" xfId="27720"/>
    <cellStyle name="40% - Accent6 4 2 2 2 2 2 9" xfId="27721"/>
    <cellStyle name="40% - Accent6 4 2 2 2 2 3" xfId="27722"/>
    <cellStyle name="40% - Accent6 4 2 2 2 2 3 2" xfId="27723"/>
    <cellStyle name="40% - Accent6 4 2 2 2 2 3 2 2" xfId="27724"/>
    <cellStyle name="40% - Accent6 4 2 2 2 2 3 2 3" xfId="27725"/>
    <cellStyle name="40% - Accent6 4 2 2 2 2 3 3" xfId="27726"/>
    <cellStyle name="40% - Accent6 4 2 2 2 2 3 3 2" xfId="27727"/>
    <cellStyle name="40% - Accent6 4 2 2 2 2 3 3 3" xfId="27728"/>
    <cellStyle name="40% - Accent6 4 2 2 2 2 3 4" xfId="27729"/>
    <cellStyle name="40% - Accent6 4 2 2 2 2 3 4 2" xfId="27730"/>
    <cellStyle name="40% - Accent6 4 2 2 2 2 3 5" xfId="27731"/>
    <cellStyle name="40% - Accent6 4 2 2 2 2 3 6" xfId="27732"/>
    <cellStyle name="40% - Accent6 4 2 2 2 2 4" xfId="27733"/>
    <cellStyle name="40% - Accent6 4 2 2 2 2 4 2" xfId="27734"/>
    <cellStyle name="40% - Accent6 4 2 2 2 2 4 2 2" xfId="27735"/>
    <cellStyle name="40% - Accent6 4 2 2 2 2 4 2 3" xfId="27736"/>
    <cellStyle name="40% - Accent6 4 2 2 2 2 4 3" xfId="27737"/>
    <cellStyle name="40% - Accent6 4 2 2 2 2 4 3 2" xfId="27738"/>
    <cellStyle name="40% - Accent6 4 2 2 2 2 4 3 3" xfId="27739"/>
    <cellStyle name="40% - Accent6 4 2 2 2 2 4 4" xfId="27740"/>
    <cellStyle name="40% - Accent6 4 2 2 2 2 4 4 2" xfId="27741"/>
    <cellStyle name="40% - Accent6 4 2 2 2 2 4 5" xfId="27742"/>
    <cellStyle name="40% - Accent6 4 2 2 2 2 4 6" xfId="27743"/>
    <cellStyle name="40% - Accent6 4 2 2 2 2 5" xfId="27744"/>
    <cellStyle name="40% - Accent6 4 2 2 2 2 5 2" xfId="27745"/>
    <cellStyle name="40% - Accent6 4 2 2 2 2 5 2 2" xfId="27746"/>
    <cellStyle name="40% - Accent6 4 2 2 2 2 5 2 3" xfId="27747"/>
    <cellStyle name="40% - Accent6 4 2 2 2 2 5 3" xfId="27748"/>
    <cellStyle name="40% - Accent6 4 2 2 2 2 5 3 2" xfId="27749"/>
    <cellStyle name="40% - Accent6 4 2 2 2 2 5 4" xfId="27750"/>
    <cellStyle name="40% - Accent6 4 2 2 2 2 5 5" xfId="27751"/>
    <cellStyle name="40% - Accent6 4 2 2 2 2 6" xfId="27752"/>
    <cellStyle name="40% - Accent6 4 2 2 2 2 6 2" xfId="27753"/>
    <cellStyle name="40% - Accent6 4 2 2 2 2 6 3" xfId="27754"/>
    <cellStyle name="40% - Accent6 4 2 2 2 2 7" xfId="27755"/>
    <cellStyle name="40% - Accent6 4 2 2 2 2 7 2" xfId="27756"/>
    <cellStyle name="40% - Accent6 4 2 2 2 2 7 3" xfId="27757"/>
    <cellStyle name="40% - Accent6 4 2 2 2 2 8" xfId="27758"/>
    <cellStyle name="40% - Accent6 4 2 2 2 2 8 2" xfId="27759"/>
    <cellStyle name="40% - Accent6 4 2 2 2 2 9" xfId="27760"/>
    <cellStyle name="40% - Accent6 4 2 2 2 3" xfId="2653"/>
    <cellStyle name="40% - Accent6 4 2 2 2 3 2" xfId="27761"/>
    <cellStyle name="40% - Accent6 4 2 2 2 3 2 2" xfId="27762"/>
    <cellStyle name="40% - Accent6 4 2 2 2 3 2 2 2" xfId="27763"/>
    <cellStyle name="40% - Accent6 4 2 2 2 3 2 2 3" xfId="27764"/>
    <cellStyle name="40% - Accent6 4 2 2 2 3 2 3" xfId="27765"/>
    <cellStyle name="40% - Accent6 4 2 2 2 3 2 3 2" xfId="27766"/>
    <cellStyle name="40% - Accent6 4 2 2 2 3 2 3 3" xfId="27767"/>
    <cellStyle name="40% - Accent6 4 2 2 2 3 2 4" xfId="27768"/>
    <cellStyle name="40% - Accent6 4 2 2 2 3 2 4 2" xfId="27769"/>
    <cellStyle name="40% - Accent6 4 2 2 2 3 2 5" xfId="27770"/>
    <cellStyle name="40% - Accent6 4 2 2 2 3 2 6" xfId="27771"/>
    <cellStyle name="40% - Accent6 4 2 2 2 3 3" xfId="27772"/>
    <cellStyle name="40% - Accent6 4 2 2 2 3 3 2" xfId="27773"/>
    <cellStyle name="40% - Accent6 4 2 2 2 3 3 2 2" xfId="27774"/>
    <cellStyle name="40% - Accent6 4 2 2 2 3 3 2 3" xfId="27775"/>
    <cellStyle name="40% - Accent6 4 2 2 2 3 3 3" xfId="27776"/>
    <cellStyle name="40% - Accent6 4 2 2 2 3 3 3 2" xfId="27777"/>
    <cellStyle name="40% - Accent6 4 2 2 2 3 3 3 3" xfId="27778"/>
    <cellStyle name="40% - Accent6 4 2 2 2 3 3 4" xfId="27779"/>
    <cellStyle name="40% - Accent6 4 2 2 2 3 3 4 2" xfId="27780"/>
    <cellStyle name="40% - Accent6 4 2 2 2 3 3 5" xfId="27781"/>
    <cellStyle name="40% - Accent6 4 2 2 2 3 3 6" xfId="27782"/>
    <cellStyle name="40% - Accent6 4 2 2 2 3 4" xfId="27783"/>
    <cellStyle name="40% - Accent6 4 2 2 2 3 4 2" xfId="27784"/>
    <cellStyle name="40% - Accent6 4 2 2 2 3 4 2 2" xfId="27785"/>
    <cellStyle name="40% - Accent6 4 2 2 2 3 4 2 3" xfId="27786"/>
    <cellStyle name="40% - Accent6 4 2 2 2 3 4 3" xfId="27787"/>
    <cellStyle name="40% - Accent6 4 2 2 2 3 4 3 2" xfId="27788"/>
    <cellStyle name="40% - Accent6 4 2 2 2 3 4 4" xfId="27789"/>
    <cellStyle name="40% - Accent6 4 2 2 2 3 4 5" xfId="27790"/>
    <cellStyle name="40% - Accent6 4 2 2 2 3 5" xfId="27791"/>
    <cellStyle name="40% - Accent6 4 2 2 2 3 5 2" xfId="27792"/>
    <cellStyle name="40% - Accent6 4 2 2 2 3 5 3" xfId="27793"/>
    <cellStyle name="40% - Accent6 4 2 2 2 3 6" xfId="27794"/>
    <cellStyle name="40% - Accent6 4 2 2 2 3 6 2" xfId="27795"/>
    <cellStyle name="40% - Accent6 4 2 2 2 3 6 3" xfId="27796"/>
    <cellStyle name="40% - Accent6 4 2 2 2 3 7" xfId="27797"/>
    <cellStyle name="40% - Accent6 4 2 2 2 3 7 2" xfId="27798"/>
    <cellStyle name="40% - Accent6 4 2 2 2 3 8" xfId="27799"/>
    <cellStyle name="40% - Accent6 4 2 2 2 3 9" xfId="27800"/>
    <cellStyle name="40% - Accent6 4 2 2 2 4" xfId="27801"/>
    <cellStyle name="40% - Accent6 4 2 2 2 4 2" xfId="27802"/>
    <cellStyle name="40% - Accent6 4 2 2 2 4 2 2" xfId="27803"/>
    <cellStyle name="40% - Accent6 4 2 2 2 4 2 2 2" xfId="27804"/>
    <cellStyle name="40% - Accent6 4 2 2 2 4 2 2 3" xfId="27805"/>
    <cellStyle name="40% - Accent6 4 2 2 2 4 2 3" xfId="27806"/>
    <cellStyle name="40% - Accent6 4 2 2 2 4 2 3 2" xfId="27807"/>
    <cellStyle name="40% - Accent6 4 2 2 2 4 2 3 3" xfId="27808"/>
    <cellStyle name="40% - Accent6 4 2 2 2 4 2 4" xfId="27809"/>
    <cellStyle name="40% - Accent6 4 2 2 2 4 2 4 2" xfId="27810"/>
    <cellStyle name="40% - Accent6 4 2 2 2 4 2 5" xfId="27811"/>
    <cellStyle name="40% - Accent6 4 2 2 2 4 2 6" xfId="27812"/>
    <cellStyle name="40% - Accent6 4 2 2 2 4 3" xfId="27813"/>
    <cellStyle name="40% - Accent6 4 2 2 2 4 3 2" xfId="27814"/>
    <cellStyle name="40% - Accent6 4 2 2 2 4 3 2 2" xfId="27815"/>
    <cellStyle name="40% - Accent6 4 2 2 2 4 3 2 3" xfId="27816"/>
    <cellStyle name="40% - Accent6 4 2 2 2 4 3 3" xfId="27817"/>
    <cellStyle name="40% - Accent6 4 2 2 2 4 3 3 2" xfId="27818"/>
    <cellStyle name="40% - Accent6 4 2 2 2 4 3 3 3" xfId="27819"/>
    <cellStyle name="40% - Accent6 4 2 2 2 4 3 4" xfId="27820"/>
    <cellStyle name="40% - Accent6 4 2 2 2 4 3 4 2" xfId="27821"/>
    <cellStyle name="40% - Accent6 4 2 2 2 4 3 5" xfId="27822"/>
    <cellStyle name="40% - Accent6 4 2 2 2 4 3 6" xfId="27823"/>
    <cellStyle name="40% - Accent6 4 2 2 2 4 4" xfId="27824"/>
    <cellStyle name="40% - Accent6 4 2 2 2 4 4 2" xfId="27825"/>
    <cellStyle name="40% - Accent6 4 2 2 2 4 4 2 2" xfId="27826"/>
    <cellStyle name="40% - Accent6 4 2 2 2 4 4 2 3" xfId="27827"/>
    <cellStyle name="40% - Accent6 4 2 2 2 4 4 3" xfId="27828"/>
    <cellStyle name="40% - Accent6 4 2 2 2 4 4 3 2" xfId="27829"/>
    <cellStyle name="40% - Accent6 4 2 2 2 4 4 4" xfId="27830"/>
    <cellStyle name="40% - Accent6 4 2 2 2 4 4 5" xfId="27831"/>
    <cellStyle name="40% - Accent6 4 2 2 2 4 5" xfId="27832"/>
    <cellStyle name="40% - Accent6 4 2 2 2 4 5 2" xfId="27833"/>
    <cellStyle name="40% - Accent6 4 2 2 2 4 5 3" xfId="27834"/>
    <cellStyle name="40% - Accent6 4 2 2 2 4 6" xfId="27835"/>
    <cellStyle name="40% - Accent6 4 2 2 2 4 6 2" xfId="27836"/>
    <cellStyle name="40% - Accent6 4 2 2 2 4 6 3" xfId="27837"/>
    <cellStyle name="40% - Accent6 4 2 2 2 4 7" xfId="27838"/>
    <cellStyle name="40% - Accent6 4 2 2 2 4 7 2" xfId="27839"/>
    <cellStyle name="40% - Accent6 4 2 2 2 4 8" xfId="27840"/>
    <cellStyle name="40% - Accent6 4 2 2 2 4 9" xfId="27841"/>
    <cellStyle name="40% - Accent6 4 2 2 2 5" xfId="27842"/>
    <cellStyle name="40% - Accent6 4 2 2 2 5 2" xfId="27843"/>
    <cellStyle name="40% - Accent6 4 2 2 2 5 2 2" xfId="27844"/>
    <cellStyle name="40% - Accent6 4 2 2 2 5 2 3" xfId="27845"/>
    <cellStyle name="40% - Accent6 4 2 2 2 5 3" xfId="27846"/>
    <cellStyle name="40% - Accent6 4 2 2 2 5 3 2" xfId="27847"/>
    <cellStyle name="40% - Accent6 4 2 2 2 5 3 3" xfId="27848"/>
    <cellStyle name="40% - Accent6 4 2 2 2 5 4" xfId="27849"/>
    <cellStyle name="40% - Accent6 4 2 2 2 5 4 2" xfId="27850"/>
    <cellStyle name="40% - Accent6 4 2 2 2 5 5" xfId="27851"/>
    <cellStyle name="40% - Accent6 4 2 2 2 5 6" xfId="27852"/>
    <cellStyle name="40% - Accent6 4 2 2 2 6" xfId="27853"/>
    <cellStyle name="40% - Accent6 4 2 2 2 6 2" xfId="27854"/>
    <cellStyle name="40% - Accent6 4 2 2 2 6 2 2" xfId="27855"/>
    <cellStyle name="40% - Accent6 4 2 2 2 6 2 3" xfId="27856"/>
    <cellStyle name="40% - Accent6 4 2 2 2 6 3" xfId="27857"/>
    <cellStyle name="40% - Accent6 4 2 2 2 6 3 2" xfId="27858"/>
    <cellStyle name="40% - Accent6 4 2 2 2 6 3 3" xfId="27859"/>
    <cellStyle name="40% - Accent6 4 2 2 2 6 4" xfId="27860"/>
    <cellStyle name="40% - Accent6 4 2 2 2 6 4 2" xfId="27861"/>
    <cellStyle name="40% - Accent6 4 2 2 2 6 5" xfId="27862"/>
    <cellStyle name="40% - Accent6 4 2 2 2 6 6" xfId="27863"/>
    <cellStyle name="40% - Accent6 4 2 2 2 7" xfId="27864"/>
    <cellStyle name="40% - Accent6 4 2 2 2 7 2" xfId="27865"/>
    <cellStyle name="40% - Accent6 4 2 2 2 7 2 2" xfId="27866"/>
    <cellStyle name="40% - Accent6 4 2 2 2 7 2 3" xfId="27867"/>
    <cellStyle name="40% - Accent6 4 2 2 2 7 3" xfId="27868"/>
    <cellStyle name="40% - Accent6 4 2 2 2 7 3 2" xfId="27869"/>
    <cellStyle name="40% - Accent6 4 2 2 2 7 4" xfId="27870"/>
    <cellStyle name="40% - Accent6 4 2 2 2 7 5" xfId="27871"/>
    <cellStyle name="40% - Accent6 4 2 2 2 8" xfId="27872"/>
    <cellStyle name="40% - Accent6 4 2 2 2 8 2" xfId="27873"/>
    <cellStyle name="40% - Accent6 4 2 2 2 8 3" xfId="27874"/>
    <cellStyle name="40% - Accent6 4 2 2 2 9" xfId="27875"/>
    <cellStyle name="40% - Accent6 4 2 2 2 9 2" xfId="27876"/>
    <cellStyle name="40% - Accent6 4 2 2 2 9 3" xfId="27877"/>
    <cellStyle name="40% - Accent6 4 2 2 3" xfId="2654"/>
    <cellStyle name="40% - Accent6 4 2 2 3 10" xfId="27878"/>
    <cellStyle name="40% - Accent6 4 2 2 3 2" xfId="2655"/>
    <cellStyle name="40% - Accent6 4 2 2 3 2 2" xfId="27879"/>
    <cellStyle name="40% - Accent6 4 2 2 3 2 2 2" xfId="27880"/>
    <cellStyle name="40% - Accent6 4 2 2 3 2 2 2 2" xfId="27881"/>
    <cellStyle name="40% - Accent6 4 2 2 3 2 2 2 3" xfId="27882"/>
    <cellStyle name="40% - Accent6 4 2 2 3 2 2 3" xfId="27883"/>
    <cellStyle name="40% - Accent6 4 2 2 3 2 2 3 2" xfId="27884"/>
    <cellStyle name="40% - Accent6 4 2 2 3 2 2 3 3" xfId="27885"/>
    <cellStyle name="40% - Accent6 4 2 2 3 2 2 4" xfId="27886"/>
    <cellStyle name="40% - Accent6 4 2 2 3 2 2 4 2" xfId="27887"/>
    <cellStyle name="40% - Accent6 4 2 2 3 2 2 5" xfId="27888"/>
    <cellStyle name="40% - Accent6 4 2 2 3 2 2 6" xfId="27889"/>
    <cellStyle name="40% - Accent6 4 2 2 3 2 3" xfId="27890"/>
    <cellStyle name="40% - Accent6 4 2 2 3 2 3 2" xfId="27891"/>
    <cellStyle name="40% - Accent6 4 2 2 3 2 3 2 2" xfId="27892"/>
    <cellStyle name="40% - Accent6 4 2 2 3 2 3 2 3" xfId="27893"/>
    <cellStyle name="40% - Accent6 4 2 2 3 2 3 3" xfId="27894"/>
    <cellStyle name="40% - Accent6 4 2 2 3 2 3 3 2" xfId="27895"/>
    <cellStyle name="40% - Accent6 4 2 2 3 2 3 3 3" xfId="27896"/>
    <cellStyle name="40% - Accent6 4 2 2 3 2 3 4" xfId="27897"/>
    <cellStyle name="40% - Accent6 4 2 2 3 2 3 4 2" xfId="27898"/>
    <cellStyle name="40% - Accent6 4 2 2 3 2 3 5" xfId="27899"/>
    <cellStyle name="40% - Accent6 4 2 2 3 2 3 6" xfId="27900"/>
    <cellStyle name="40% - Accent6 4 2 2 3 2 4" xfId="27901"/>
    <cellStyle name="40% - Accent6 4 2 2 3 2 4 2" xfId="27902"/>
    <cellStyle name="40% - Accent6 4 2 2 3 2 4 2 2" xfId="27903"/>
    <cellStyle name="40% - Accent6 4 2 2 3 2 4 2 3" xfId="27904"/>
    <cellStyle name="40% - Accent6 4 2 2 3 2 4 3" xfId="27905"/>
    <cellStyle name="40% - Accent6 4 2 2 3 2 4 3 2" xfId="27906"/>
    <cellStyle name="40% - Accent6 4 2 2 3 2 4 4" xfId="27907"/>
    <cellStyle name="40% - Accent6 4 2 2 3 2 4 5" xfId="27908"/>
    <cellStyle name="40% - Accent6 4 2 2 3 2 5" xfId="27909"/>
    <cellStyle name="40% - Accent6 4 2 2 3 2 5 2" xfId="27910"/>
    <cellStyle name="40% - Accent6 4 2 2 3 2 5 3" xfId="27911"/>
    <cellStyle name="40% - Accent6 4 2 2 3 2 6" xfId="27912"/>
    <cellStyle name="40% - Accent6 4 2 2 3 2 6 2" xfId="27913"/>
    <cellStyle name="40% - Accent6 4 2 2 3 2 6 3" xfId="27914"/>
    <cellStyle name="40% - Accent6 4 2 2 3 2 7" xfId="27915"/>
    <cellStyle name="40% - Accent6 4 2 2 3 2 7 2" xfId="27916"/>
    <cellStyle name="40% - Accent6 4 2 2 3 2 8" xfId="27917"/>
    <cellStyle name="40% - Accent6 4 2 2 3 2 9" xfId="27918"/>
    <cellStyle name="40% - Accent6 4 2 2 3 3" xfId="27919"/>
    <cellStyle name="40% - Accent6 4 2 2 3 3 2" xfId="27920"/>
    <cellStyle name="40% - Accent6 4 2 2 3 3 2 2" xfId="27921"/>
    <cellStyle name="40% - Accent6 4 2 2 3 3 2 3" xfId="27922"/>
    <cellStyle name="40% - Accent6 4 2 2 3 3 3" xfId="27923"/>
    <cellStyle name="40% - Accent6 4 2 2 3 3 3 2" xfId="27924"/>
    <cellStyle name="40% - Accent6 4 2 2 3 3 3 3" xfId="27925"/>
    <cellStyle name="40% - Accent6 4 2 2 3 3 4" xfId="27926"/>
    <cellStyle name="40% - Accent6 4 2 2 3 3 4 2" xfId="27927"/>
    <cellStyle name="40% - Accent6 4 2 2 3 3 5" xfId="27928"/>
    <cellStyle name="40% - Accent6 4 2 2 3 3 6" xfId="27929"/>
    <cellStyle name="40% - Accent6 4 2 2 3 4" xfId="27930"/>
    <cellStyle name="40% - Accent6 4 2 2 3 4 2" xfId="27931"/>
    <cellStyle name="40% - Accent6 4 2 2 3 4 2 2" xfId="27932"/>
    <cellStyle name="40% - Accent6 4 2 2 3 4 2 3" xfId="27933"/>
    <cellStyle name="40% - Accent6 4 2 2 3 4 3" xfId="27934"/>
    <cellStyle name="40% - Accent6 4 2 2 3 4 3 2" xfId="27935"/>
    <cellStyle name="40% - Accent6 4 2 2 3 4 3 3" xfId="27936"/>
    <cellStyle name="40% - Accent6 4 2 2 3 4 4" xfId="27937"/>
    <cellStyle name="40% - Accent6 4 2 2 3 4 4 2" xfId="27938"/>
    <cellStyle name="40% - Accent6 4 2 2 3 4 5" xfId="27939"/>
    <cellStyle name="40% - Accent6 4 2 2 3 4 6" xfId="27940"/>
    <cellStyle name="40% - Accent6 4 2 2 3 5" xfId="27941"/>
    <cellStyle name="40% - Accent6 4 2 2 3 5 2" xfId="27942"/>
    <cellStyle name="40% - Accent6 4 2 2 3 5 2 2" xfId="27943"/>
    <cellStyle name="40% - Accent6 4 2 2 3 5 2 3" xfId="27944"/>
    <cellStyle name="40% - Accent6 4 2 2 3 5 3" xfId="27945"/>
    <cellStyle name="40% - Accent6 4 2 2 3 5 3 2" xfId="27946"/>
    <cellStyle name="40% - Accent6 4 2 2 3 5 4" xfId="27947"/>
    <cellStyle name="40% - Accent6 4 2 2 3 5 5" xfId="27948"/>
    <cellStyle name="40% - Accent6 4 2 2 3 6" xfId="27949"/>
    <cellStyle name="40% - Accent6 4 2 2 3 6 2" xfId="27950"/>
    <cellStyle name="40% - Accent6 4 2 2 3 6 3" xfId="27951"/>
    <cellStyle name="40% - Accent6 4 2 2 3 7" xfId="27952"/>
    <cellStyle name="40% - Accent6 4 2 2 3 7 2" xfId="27953"/>
    <cellStyle name="40% - Accent6 4 2 2 3 7 3" xfId="27954"/>
    <cellStyle name="40% - Accent6 4 2 2 3 8" xfId="27955"/>
    <cellStyle name="40% - Accent6 4 2 2 3 8 2" xfId="27956"/>
    <cellStyle name="40% - Accent6 4 2 2 3 9" xfId="27957"/>
    <cellStyle name="40% - Accent6 4 2 2 4" xfId="2656"/>
    <cellStyle name="40% - Accent6 4 2 2 4 2" xfId="27958"/>
    <cellStyle name="40% - Accent6 4 2 2 4 2 2" xfId="27959"/>
    <cellStyle name="40% - Accent6 4 2 2 4 2 2 2" xfId="27960"/>
    <cellStyle name="40% - Accent6 4 2 2 4 2 2 3" xfId="27961"/>
    <cellStyle name="40% - Accent6 4 2 2 4 2 3" xfId="27962"/>
    <cellStyle name="40% - Accent6 4 2 2 4 2 3 2" xfId="27963"/>
    <cellStyle name="40% - Accent6 4 2 2 4 2 3 3" xfId="27964"/>
    <cellStyle name="40% - Accent6 4 2 2 4 2 4" xfId="27965"/>
    <cellStyle name="40% - Accent6 4 2 2 4 2 4 2" xfId="27966"/>
    <cellStyle name="40% - Accent6 4 2 2 4 2 5" xfId="27967"/>
    <cellStyle name="40% - Accent6 4 2 2 4 2 6" xfId="27968"/>
    <cellStyle name="40% - Accent6 4 2 2 4 3" xfId="27969"/>
    <cellStyle name="40% - Accent6 4 2 2 4 3 2" xfId="27970"/>
    <cellStyle name="40% - Accent6 4 2 2 4 3 2 2" xfId="27971"/>
    <cellStyle name="40% - Accent6 4 2 2 4 3 2 3" xfId="27972"/>
    <cellStyle name="40% - Accent6 4 2 2 4 3 3" xfId="27973"/>
    <cellStyle name="40% - Accent6 4 2 2 4 3 3 2" xfId="27974"/>
    <cellStyle name="40% - Accent6 4 2 2 4 3 3 3" xfId="27975"/>
    <cellStyle name="40% - Accent6 4 2 2 4 3 4" xfId="27976"/>
    <cellStyle name="40% - Accent6 4 2 2 4 3 4 2" xfId="27977"/>
    <cellStyle name="40% - Accent6 4 2 2 4 3 5" xfId="27978"/>
    <cellStyle name="40% - Accent6 4 2 2 4 3 6" xfId="27979"/>
    <cellStyle name="40% - Accent6 4 2 2 4 4" xfId="27980"/>
    <cellStyle name="40% - Accent6 4 2 2 4 4 2" xfId="27981"/>
    <cellStyle name="40% - Accent6 4 2 2 4 4 2 2" xfId="27982"/>
    <cellStyle name="40% - Accent6 4 2 2 4 4 2 3" xfId="27983"/>
    <cellStyle name="40% - Accent6 4 2 2 4 4 3" xfId="27984"/>
    <cellStyle name="40% - Accent6 4 2 2 4 4 3 2" xfId="27985"/>
    <cellStyle name="40% - Accent6 4 2 2 4 4 4" xfId="27986"/>
    <cellStyle name="40% - Accent6 4 2 2 4 4 5" xfId="27987"/>
    <cellStyle name="40% - Accent6 4 2 2 4 5" xfId="27988"/>
    <cellStyle name="40% - Accent6 4 2 2 4 5 2" xfId="27989"/>
    <cellStyle name="40% - Accent6 4 2 2 4 5 3" xfId="27990"/>
    <cellStyle name="40% - Accent6 4 2 2 4 6" xfId="27991"/>
    <cellStyle name="40% - Accent6 4 2 2 4 6 2" xfId="27992"/>
    <cellStyle name="40% - Accent6 4 2 2 4 6 3" xfId="27993"/>
    <cellStyle name="40% - Accent6 4 2 2 4 7" xfId="27994"/>
    <cellStyle name="40% - Accent6 4 2 2 4 7 2" xfId="27995"/>
    <cellStyle name="40% - Accent6 4 2 2 4 8" xfId="27996"/>
    <cellStyle name="40% - Accent6 4 2 2 4 9" xfId="27997"/>
    <cellStyle name="40% - Accent6 4 2 2 5" xfId="27998"/>
    <cellStyle name="40% - Accent6 4 2 2 5 2" xfId="27999"/>
    <cellStyle name="40% - Accent6 4 2 2 5 2 2" xfId="28000"/>
    <cellStyle name="40% - Accent6 4 2 2 5 2 2 2" xfId="28001"/>
    <cellStyle name="40% - Accent6 4 2 2 5 2 2 3" xfId="28002"/>
    <cellStyle name="40% - Accent6 4 2 2 5 2 3" xfId="28003"/>
    <cellStyle name="40% - Accent6 4 2 2 5 2 3 2" xfId="28004"/>
    <cellStyle name="40% - Accent6 4 2 2 5 2 3 3" xfId="28005"/>
    <cellStyle name="40% - Accent6 4 2 2 5 2 4" xfId="28006"/>
    <cellStyle name="40% - Accent6 4 2 2 5 2 4 2" xfId="28007"/>
    <cellStyle name="40% - Accent6 4 2 2 5 2 5" xfId="28008"/>
    <cellStyle name="40% - Accent6 4 2 2 5 2 6" xfId="28009"/>
    <cellStyle name="40% - Accent6 4 2 2 5 3" xfId="28010"/>
    <cellStyle name="40% - Accent6 4 2 2 5 3 2" xfId="28011"/>
    <cellStyle name="40% - Accent6 4 2 2 5 3 2 2" xfId="28012"/>
    <cellStyle name="40% - Accent6 4 2 2 5 3 2 3" xfId="28013"/>
    <cellStyle name="40% - Accent6 4 2 2 5 3 3" xfId="28014"/>
    <cellStyle name="40% - Accent6 4 2 2 5 3 3 2" xfId="28015"/>
    <cellStyle name="40% - Accent6 4 2 2 5 3 3 3" xfId="28016"/>
    <cellStyle name="40% - Accent6 4 2 2 5 3 4" xfId="28017"/>
    <cellStyle name="40% - Accent6 4 2 2 5 3 4 2" xfId="28018"/>
    <cellStyle name="40% - Accent6 4 2 2 5 3 5" xfId="28019"/>
    <cellStyle name="40% - Accent6 4 2 2 5 3 6" xfId="28020"/>
    <cellStyle name="40% - Accent6 4 2 2 5 4" xfId="28021"/>
    <cellStyle name="40% - Accent6 4 2 2 5 4 2" xfId="28022"/>
    <cellStyle name="40% - Accent6 4 2 2 5 4 2 2" xfId="28023"/>
    <cellStyle name="40% - Accent6 4 2 2 5 4 2 3" xfId="28024"/>
    <cellStyle name="40% - Accent6 4 2 2 5 4 3" xfId="28025"/>
    <cellStyle name="40% - Accent6 4 2 2 5 4 3 2" xfId="28026"/>
    <cellStyle name="40% - Accent6 4 2 2 5 4 4" xfId="28027"/>
    <cellStyle name="40% - Accent6 4 2 2 5 4 5" xfId="28028"/>
    <cellStyle name="40% - Accent6 4 2 2 5 5" xfId="28029"/>
    <cellStyle name="40% - Accent6 4 2 2 5 5 2" xfId="28030"/>
    <cellStyle name="40% - Accent6 4 2 2 5 5 3" xfId="28031"/>
    <cellStyle name="40% - Accent6 4 2 2 5 6" xfId="28032"/>
    <cellStyle name="40% - Accent6 4 2 2 5 6 2" xfId="28033"/>
    <cellStyle name="40% - Accent6 4 2 2 5 6 3" xfId="28034"/>
    <cellStyle name="40% - Accent6 4 2 2 5 7" xfId="28035"/>
    <cellStyle name="40% - Accent6 4 2 2 5 7 2" xfId="28036"/>
    <cellStyle name="40% - Accent6 4 2 2 5 8" xfId="28037"/>
    <cellStyle name="40% - Accent6 4 2 2 5 9" xfId="28038"/>
    <cellStyle name="40% - Accent6 4 2 2 6" xfId="28039"/>
    <cellStyle name="40% - Accent6 4 2 2 6 2" xfId="28040"/>
    <cellStyle name="40% - Accent6 4 2 2 6 2 2" xfId="28041"/>
    <cellStyle name="40% - Accent6 4 2 2 6 2 3" xfId="28042"/>
    <cellStyle name="40% - Accent6 4 2 2 6 3" xfId="28043"/>
    <cellStyle name="40% - Accent6 4 2 2 6 3 2" xfId="28044"/>
    <cellStyle name="40% - Accent6 4 2 2 6 3 3" xfId="28045"/>
    <cellStyle name="40% - Accent6 4 2 2 6 4" xfId="28046"/>
    <cellStyle name="40% - Accent6 4 2 2 6 4 2" xfId="28047"/>
    <cellStyle name="40% - Accent6 4 2 2 6 5" xfId="28048"/>
    <cellStyle name="40% - Accent6 4 2 2 6 6" xfId="28049"/>
    <cellStyle name="40% - Accent6 4 2 2 7" xfId="28050"/>
    <cellStyle name="40% - Accent6 4 2 2 7 2" xfId="28051"/>
    <cellStyle name="40% - Accent6 4 2 2 7 2 2" xfId="28052"/>
    <cellStyle name="40% - Accent6 4 2 2 7 2 3" xfId="28053"/>
    <cellStyle name="40% - Accent6 4 2 2 7 3" xfId="28054"/>
    <cellStyle name="40% - Accent6 4 2 2 7 3 2" xfId="28055"/>
    <cellStyle name="40% - Accent6 4 2 2 7 3 3" xfId="28056"/>
    <cellStyle name="40% - Accent6 4 2 2 7 4" xfId="28057"/>
    <cellStyle name="40% - Accent6 4 2 2 7 4 2" xfId="28058"/>
    <cellStyle name="40% - Accent6 4 2 2 7 5" xfId="28059"/>
    <cellStyle name="40% - Accent6 4 2 2 7 6" xfId="28060"/>
    <cellStyle name="40% - Accent6 4 2 2 8" xfId="28061"/>
    <cellStyle name="40% - Accent6 4 2 2 8 2" xfId="28062"/>
    <cellStyle name="40% - Accent6 4 2 2 8 2 2" xfId="28063"/>
    <cellStyle name="40% - Accent6 4 2 2 8 2 3" xfId="28064"/>
    <cellStyle name="40% - Accent6 4 2 2 8 3" xfId="28065"/>
    <cellStyle name="40% - Accent6 4 2 2 8 3 2" xfId="28066"/>
    <cellStyle name="40% - Accent6 4 2 2 8 4" xfId="28067"/>
    <cellStyle name="40% - Accent6 4 2 2 8 5" xfId="28068"/>
    <cellStyle name="40% - Accent6 4 2 2 9" xfId="28069"/>
    <cellStyle name="40% - Accent6 4 2 2 9 2" xfId="28070"/>
    <cellStyle name="40% - Accent6 4 2 2 9 3" xfId="28071"/>
    <cellStyle name="40% - Accent6 4 2 3" xfId="2657"/>
    <cellStyle name="40% - Accent6 4 2 3 10" xfId="28072"/>
    <cellStyle name="40% - Accent6 4 2 3 10 2" xfId="28073"/>
    <cellStyle name="40% - Accent6 4 2 3 11" xfId="28074"/>
    <cellStyle name="40% - Accent6 4 2 3 12" xfId="28075"/>
    <cellStyle name="40% - Accent6 4 2 3 2" xfId="2658"/>
    <cellStyle name="40% - Accent6 4 2 3 2 10" xfId="28076"/>
    <cellStyle name="40% - Accent6 4 2 3 2 2" xfId="2659"/>
    <cellStyle name="40% - Accent6 4 2 3 2 2 2" xfId="28077"/>
    <cellStyle name="40% - Accent6 4 2 3 2 2 2 2" xfId="28078"/>
    <cellStyle name="40% - Accent6 4 2 3 2 2 2 2 2" xfId="28079"/>
    <cellStyle name="40% - Accent6 4 2 3 2 2 2 2 3" xfId="28080"/>
    <cellStyle name="40% - Accent6 4 2 3 2 2 2 3" xfId="28081"/>
    <cellStyle name="40% - Accent6 4 2 3 2 2 2 3 2" xfId="28082"/>
    <cellStyle name="40% - Accent6 4 2 3 2 2 2 3 3" xfId="28083"/>
    <cellStyle name="40% - Accent6 4 2 3 2 2 2 4" xfId="28084"/>
    <cellStyle name="40% - Accent6 4 2 3 2 2 2 4 2" xfId="28085"/>
    <cellStyle name="40% - Accent6 4 2 3 2 2 2 5" xfId="28086"/>
    <cellStyle name="40% - Accent6 4 2 3 2 2 2 6" xfId="28087"/>
    <cellStyle name="40% - Accent6 4 2 3 2 2 3" xfId="28088"/>
    <cellStyle name="40% - Accent6 4 2 3 2 2 3 2" xfId="28089"/>
    <cellStyle name="40% - Accent6 4 2 3 2 2 3 2 2" xfId="28090"/>
    <cellStyle name="40% - Accent6 4 2 3 2 2 3 2 3" xfId="28091"/>
    <cellStyle name="40% - Accent6 4 2 3 2 2 3 3" xfId="28092"/>
    <cellStyle name="40% - Accent6 4 2 3 2 2 3 3 2" xfId="28093"/>
    <cellStyle name="40% - Accent6 4 2 3 2 2 3 3 3" xfId="28094"/>
    <cellStyle name="40% - Accent6 4 2 3 2 2 3 4" xfId="28095"/>
    <cellStyle name="40% - Accent6 4 2 3 2 2 3 4 2" xfId="28096"/>
    <cellStyle name="40% - Accent6 4 2 3 2 2 3 5" xfId="28097"/>
    <cellStyle name="40% - Accent6 4 2 3 2 2 3 6" xfId="28098"/>
    <cellStyle name="40% - Accent6 4 2 3 2 2 4" xfId="28099"/>
    <cellStyle name="40% - Accent6 4 2 3 2 2 4 2" xfId="28100"/>
    <cellStyle name="40% - Accent6 4 2 3 2 2 4 2 2" xfId="28101"/>
    <cellStyle name="40% - Accent6 4 2 3 2 2 4 2 3" xfId="28102"/>
    <cellStyle name="40% - Accent6 4 2 3 2 2 4 3" xfId="28103"/>
    <cellStyle name="40% - Accent6 4 2 3 2 2 4 3 2" xfId="28104"/>
    <cellStyle name="40% - Accent6 4 2 3 2 2 4 4" xfId="28105"/>
    <cellStyle name="40% - Accent6 4 2 3 2 2 4 5" xfId="28106"/>
    <cellStyle name="40% - Accent6 4 2 3 2 2 5" xfId="28107"/>
    <cellStyle name="40% - Accent6 4 2 3 2 2 5 2" xfId="28108"/>
    <cellStyle name="40% - Accent6 4 2 3 2 2 5 3" xfId="28109"/>
    <cellStyle name="40% - Accent6 4 2 3 2 2 6" xfId="28110"/>
    <cellStyle name="40% - Accent6 4 2 3 2 2 6 2" xfId="28111"/>
    <cellStyle name="40% - Accent6 4 2 3 2 2 6 3" xfId="28112"/>
    <cellStyle name="40% - Accent6 4 2 3 2 2 7" xfId="28113"/>
    <cellStyle name="40% - Accent6 4 2 3 2 2 7 2" xfId="28114"/>
    <cellStyle name="40% - Accent6 4 2 3 2 2 8" xfId="28115"/>
    <cellStyle name="40% - Accent6 4 2 3 2 2 9" xfId="28116"/>
    <cellStyle name="40% - Accent6 4 2 3 2 3" xfId="28117"/>
    <cellStyle name="40% - Accent6 4 2 3 2 3 2" xfId="28118"/>
    <cellStyle name="40% - Accent6 4 2 3 2 3 2 2" xfId="28119"/>
    <cellStyle name="40% - Accent6 4 2 3 2 3 2 3" xfId="28120"/>
    <cellStyle name="40% - Accent6 4 2 3 2 3 3" xfId="28121"/>
    <cellStyle name="40% - Accent6 4 2 3 2 3 3 2" xfId="28122"/>
    <cellStyle name="40% - Accent6 4 2 3 2 3 3 3" xfId="28123"/>
    <cellStyle name="40% - Accent6 4 2 3 2 3 4" xfId="28124"/>
    <cellStyle name="40% - Accent6 4 2 3 2 3 4 2" xfId="28125"/>
    <cellStyle name="40% - Accent6 4 2 3 2 3 5" xfId="28126"/>
    <cellStyle name="40% - Accent6 4 2 3 2 3 6" xfId="28127"/>
    <cellStyle name="40% - Accent6 4 2 3 2 4" xfId="28128"/>
    <cellStyle name="40% - Accent6 4 2 3 2 4 2" xfId="28129"/>
    <cellStyle name="40% - Accent6 4 2 3 2 4 2 2" xfId="28130"/>
    <cellStyle name="40% - Accent6 4 2 3 2 4 2 3" xfId="28131"/>
    <cellStyle name="40% - Accent6 4 2 3 2 4 3" xfId="28132"/>
    <cellStyle name="40% - Accent6 4 2 3 2 4 3 2" xfId="28133"/>
    <cellStyle name="40% - Accent6 4 2 3 2 4 3 3" xfId="28134"/>
    <cellStyle name="40% - Accent6 4 2 3 2 4 4" xfId="28135"/>
    <cellStyle name="40% - Accent6 4 2 3 2 4 4 2" xfId="28136"/>
    <cellStyle name="40% - Accent6 4 2 3 2 4 5" xfId="28137"/>
    <cellStyle name="40% - Accent6 4 2 3 2 4 6" xfId="28138"/>
    <cellStyle name="40% - Accent6 4 2 3 2 5" xfId="28139"/>
    <cellStyle name="40% - Accent6 4 2 3 2 5 2" xfId="28140"/>
    <cellStyle name="40% - Accent6 4 2 3 2 5 2 2" xfId="28141"/>
    <cellStyle name="40% - Accent6 4 2 3 2 5 2 3" xfId="28142"/>
    <cellStyle name="40% - Accent6 4 2 3 2 5 3" xfId="28143"/>
    <cellStyle name="40% - Accent6 4 2 3 2 5 3 2" xfId="28144"/>
    <cellStyle name="40% - Accent6 4 2 3 2 5 4" xfId="28145"/>
    <cellStyle name="40% - Accent6 4 2 3 2 5 5" xfId="28146"/>
    <cellStyle name="40% - Accent6 4 2 3 2 6" xfId="28147"/>
    <cellStyle name="40% - Accent6 4 2 3 2 6 2" xfId="28148"/>
    <cellStyle name="40% - Accent6 4 2 3 2 6 3" xfId="28149"/>
    <cellStyle name="40% - Accent6 4 2 3 2 7" xfId="28150"/>
    <cellStyle name="40% - Accent6 4 2 3 2 7 2" xfId="28151"/>
    <cellStyle name="40% - Accent6 4 2 3 2 7 3" xfId="28152"/>
    <cellStyle name="40% - Accent6 4 2 3 2 8" xfId="28153"/>
    <cellStyle name="40% - Accent6 4 2 3 2 8 2" xfId="28154"/>
    <cellStyle name="40% - Accent6 4 2 3 2 9" xfId="28155"/>
    <cellStyle name="40% - Accent6 4 2 3 3" xfId="2660"/>
    <cellStyle name="40% - Accent6 4 2 3 3 2" xfId="28156"/>
    <cellStyle name="40% - Accent6 4 2 3 3 2 2" xfId="28157"/>
    <cellStyle name="40% - Accent6 4 2 3 3 2 2 2" xfId="28158"/>
    <cellStyle name="40% - Accent6 4 2 3 3 2 2 3" xfId="28159"/>
    <cellStyle name="40% - Accent6 4 2 3 3 2 3" xfId="28160"/>
    <cellStyle name="40% - Accent6 4 2 3 3 2 3 2" xfId="28161"/>
    <cellStyle name="40% - Accent6 4 2 3 3 2 3 3" xfId="28162"/>
    <cellStyle name="40% - Accent6 4 2 3 3 2 4" xfId="28163"/>
    <cellStyle name="40% - Accent6 4 2 3 3 2 4 2" xfId="28164"/>
    <cellStyle name="40% - Accent6 4 2 3 3 2 5" xfId="28165"/>
    <cellStyle name="40% - Accent6 4 2 3 3 2 6" xfId="28166"/>
    <cellStyle name="40% - Accent6 4 2 3 3 3" xfId="28167"/>
    <cellStyle name="40% - Accent6 4 2 3 3 3 2" xfId="28168"/>
    <cellStyle name="40% - Accent6 4 2 3 3 3 2 2" xfId="28169"/>
    <cellStyle name="40% - Accent6 4 2 3 3 3 2 3" xfId="28170"/>
    <cellStyle name="40% - Accent6 4 2 3 3 3 3" xfId="28171"/>
    <cellStyle name="40% - Accent6 4 2 3 3 3 3 2" xfId="28172"/>
    <cellStyle name="40% - Accent6 4 2 3 3 3 3 3" xfId="28173"/>
    <cellStyle name="40% - Accent6 4 2 3 3 3 4" xfId="28174"/>
    <cellStyle name="40% - Accent6 4 2 3 3 3 4 2" xfId="28175"/>
    <cellStyle name="40% - Accent6 4 2 3 3 3 5" xfId="28176"/>
    <cellStyle name="40% - Accent6 4 2 3 3 3 6" xfId="28177"/>
    <cellStyle name="40% - Accent6 4 2 3 3 4" xfId="28178"/>
    <cellStyle name="40% - Accent6 4 2 3 3 4 2" xfId="28179"/>
    <cellStyle name="40% - Accent6 4 2 3 3 4 2 2" xfId="28180"/>
    <cellStyle name="40% - Accent6 4 2 3 3 4 2 3" xfId="28181"/>
    <cellStyle name="40% - Accent6 4 2 3 3 4 3" xfId="28182"/>
    <cellStyle name="40% - Accent6 4 2 3 3 4 3 2" xfId="28183"/>
    <cellStyle name="40% - Accent6 4 2 3 3 4 4" xfId="28184"/>
    <cellStyle name="40% - Accent6 4 2 3 3 4 5" xfId="28185"/>
    <cellStyle name="40% - Accent6 4 2 3 3 5" xfId="28186"/>
    <cellStyle name="40% - Accent6 4 2 3 3 5 2" xfId="28187"/>
    <cellStyle name="40% - Accent6 4 2 3 3 5 3" xfId="28188"/>
    <cellStyle name="40% - Accent6 4 2 3 3 6" xfId="28189"/>
    <cellStyle name="40% - Accent6 4 2 3 3 6 2" xfId="28190"/>
    <cellStyle name="40% - Accent6 4 2 3 3 6 3" xfId="28191"/>
    <cellStyle name="40% - Accent6 4 2 3 3 7" xfId="28192"/>
    <cellStyle name="40% - Accent6 4 2 3 3 7 2" xfId="28193"/>
    <cellStyle name="40% - Accent6 4 2 3 3 8" xfId="28194"/>
    <cellStyle name="40% - Accent6 4 2 3 3 9" xfId="28195"/>
    <cellStyle name="40% - Accent6 4 2 3 4" xfId="28196"/>
    <cellStyle name="40% - Accent6 4 2 3 4 2" xfId="28197"/>
    <cellStyle name="40% - Accent6 4 2 3 4 2 2" xfId="28198"/>
    <cellStyle name="40% - Accent6 4 2 3 4 2 2 2" xfId="28199"/>
    <cellStyle name="40% - Accent6 4 2 3 4 2 2 3" xfId="28200"/>
    <cellStyle name="40% - Accent6 4 2 3 4 2 3" xfId="28201"/>
    <cellStyle name="40% - Accent6 4 2 3 4 2 3 2" xfId="28202"/>
    <cellStyle name="40% - Accent6 4 2 3 4 2 3 3" xfId="28203"/>
    <cellStyle name="40% - Accent6 4 2 3 4 2 4" xfId="28204"/>
    <cellStyle name="40% - Accent6 4 2 3 4 2 4 2" xfId="28205"/>
    <cellStyle name="40% - Accent6 4 2 3 4 2 5" xfId="28206"/>
    <cellStyle name="40% - Accent6 4 2 3 4 2 6" xfId="28207"/>
    <cellStyle name="40% - Accent6 4 2 3 4 3" xfId="28208"/>
    <cellStyle name="40% - Accent6 4 2 3 4 3 2" xfId="28209"/>
    <cellStyle name="40% - Accent6 4 2 3 4 3 2 2" xfId="28210"/>
    <cellStyle name="40% - Accent6 4 2 3 4 3 2 3" xfId="28211"/>
    <cellStyle name="40% - Accent6 4 2 3 4 3 3" xfId="28212"/>
    <cellStyle name="40% - Accent6 4 2 3 4 3 3 2" xfId="28213"/>
    <cellStyle name="40% - Accent6 4 2 3 4 3 3 3" xfId="28214"/>
    <cellStyle name="40% - Accent6 4 2 3 4 3 4" xfId="28215"/>
    <cellStyle name="40% - Accent6 4 2 3 4 3 4 2" xfId="28216"/>
    <cellStyle name="40% - Accent6 4 2 3 4 3 5" xfId="28217"/>
    <cellStyle name="40% - Accent6 4 2 3 4 3 6" xfId="28218"/>
    <cellStyle name="40% - Accent6 4 2 3 4 4" xfId="28219"/>
    <cellStyle name="40% - Accent6 4 2 3 4 4 2" xfId="28220"/>
    <cellStyle name="40% - Accent6 4 2 3 4 4 2 2" xfId="28221"/>
    <cellStyle name="40% - Accent6 4 2 3 4 4 2 3" xfId="28222"/>
    <cellStyle name="40% - Accent6 4 2 3 4 4 3" xfId="28223"/>
    <cellStyle name="40% - Accent6 4 2 3 4 4 3 2" xfId="28224"/>
    <cellStyle name="40% - Accent6 4 2 3 4 4 4" xfId="28225"/>
    <cellStyle name="40% - Accent6 4 2 3 4 4 5" xfId="28226"/>
    <cellStyle name="40% - Accent6 4 2 3 4 5" xfId="28227"/>
    <cellStyle name="40% - Accent6 4 2 3 4 5 2" xfId="28228"/>
    <cellStyle name="40% - Accent6 4 2 3 4 5 3" xfId="28229"/>
    <cellStyle name="40% - Accent6 4 2 3 4 6" xfId="28230"/>
    <cellStyle name="40% - Accent6 4 2 3 4 6 2" xfId="28231"/>
    <cellStyle name="40% - Accent6 4 2 3 4 6 3" xfId="28232"/>
    <cellStyle name="40% - Accent6 4 2 3 4 7" xfId="28233"/>
    <cellStyle name="40% - Accent6 4 2 3 4 7 2" xfId="28234"/>
    <cellStyle name="40% - Accent6 4 2 3 4 8" xfId="28235"/>
    <cellStyle name="40% - Accent6 4 2 3 4 9" xfId="28236"/>
    <cellStyle name="40% - Accent6 4 2 3 5" xfId="28237"/>
    <cellStyle name="40% - Accent6 4 2 3 5 2" xfId="28238"/>
    <cellStyle name="40% - Accent6 4 2 3 5 2 2" xfId="28239"/>
    <cellStyle name="40% - Accent6 4 2 3 5 2 3" xfId="28240"/>
    <cellStyle name="40% - Accent6 4 2 3 5 3" xfId="28241"/>
    <cellStyle name="40% - Accent6 4 2 3 5 3 2" xfId="28242"/>
    <cellStyle name="40% - Accent6 4 2 3 5 3 3" xfId="28243"/>
    <cellStyle name="40% - Accent6 4 2 3 5 4" xfId="28244"/>
    <cellStyle name="40% - Accent6 4 2 3 5 4 2" xfId="28245"/>
    <cellStyle name="40% - Accent6 4 2 3 5 5" xfId="28246"/>
    <cellStyle name="40% - Accent6 4 2 3 5 6" xfId="28247"/>
    <cellStyle name="40% - Accent6 4 2 3 6" xfId="28248"/>
    <cellStyle name="40% - Accent6 4 2 3 6 2" xfId="28249"/>
    <cellStyle name="40% - Accent6 4 2 3 6 2 2" xfId="28250"/>
    <cellStyle name="40% - Accent6 4 2 3 6 2 3" xfId="28251"/>
    <cellStyle name="40% - Accent6 4 2 3 6 3" xfId="28252"/>
    <cellStyle name="40% - Accent6 4 2 3 6 3 2" xfId="28253"/>
    <cellStyle name="40% - Accent6 4 2 3 6 3 3" xfId="28254"/>
    <cellStyle name="40% - Accent6 4 2 3 6 4" xfId="28255"/>
    <cellStyle name="40% - Accent6 4 2 3 6 4 2" xfId="28256"/>
    <cellStyle name="40% - Accent6 4 2 3 6 5" xfId="28257"/>
    <cellStyle name="40% - Accent6 4 2 3 6 6" xfId="28258"/>
    <cellStyle name="40% - Accent6 4 2 3 7" xfId="28259"/>
    <cellStyle name="40% - Accent6 4 2 3 7 2" xfId="28260"/>
    <cellStyle name="40% - Accent6 4 2 3 7 2 2" xfId="28261"/>
    <cellStyle name="40% - Accent6 4 2 3 7 2 3" xfId="28262"/>
    <cellStyle name="40% - Accent6 4 2 3 7 3" xfId="28263"/>
    <cellStyle name="40% - Accent6 4 2 3 7 3 2" xfId="28264"/>
    <cellStyle name="40% - Accent6 4 2 3 7 4" xfId="28265"/>
    <cellStyle name="40% - Accent6 4 2 3 7 5" xfId="28266"/>
    <cellStyle name="40% - Accent6 4 2 3 8" xfId="28267"/>
    <cellStyle name="40% - Accent6 4 2 3 8 2" xfId="28268"/>
    <cellStyle name="40% - Accent6 4 2 3 8 3" xfId="28269"/>
    <cellStyle name="40% - Accent6 4 2 3 9" xfId="28270"/>
    <cellStyle name="40% - Accent6 4 2 3 9 2" xfId="28271"/>
    <cellStyle name="40% - Accent6 4 2 3 9 3" xfId="28272"/>
    <cellStyle name="40% - Accent6 4 2 4" xfId="2661"/>
    <cellStyle name="40% - Accent6 4 2 4 10" xfId="28273"/>
    <cellStyle name="40% - Accent6 4 2 4 2" xfId="2662"/>
    <cellStyle name="40% - Accent6 4 2 4 2 2" xfId="28274"/>
    <cellStyle name="40% - Accent6 4 2 4 2 2 2" xfId="28275"/>
    <cellStyle name="40% - Accent6 4 2 4 2 2 2 2" xfId="28276"/>
    <cellStyle name="40% - Accent6 4 2 4 2 2 2 3" xfId="28277"/>
    <cellStyle name="40% - Accent6 4 2 4 2 2 3" xfId="28278"/>
    <cellStyle name="40% - Accent6 4 2 4 2 2 3 2" xfId="28279"/>
    <cellStyle name="40% - Accent6 4 2 4 2 2 3 3" xfId="28280"/>
    <cellStyle name="40% - Accent6 4 2 4 2 2 4" xfId="28281"/>
    <cellStyle name="40% - Accent6 4 2 4 2 2 4 2" xfId="28282"/>
    <cellStyle name="40% - Accent6 4 2 4 2 2 5" xfId="28283"/>
    <cellStyle name="40% - Accent6 4 2 4 2 2 6" xfId="28284"/>
    <cellStyle name="40% - Accent6 4 2 4 2 3" xfId="28285"/>
    <cellStyle name="40% - Accent6 4 2 4 2 3 2" xfId="28286"/>
    <cellStyle name="40% - Accent6 4 2 4 2 3 2 2" xfId="28287"/>
    <cellStyle name="40% - Accent6 4 2 4 2 3 2 3" xfId="28288"/>
    <cellStyle name="40% - Accent6 4 2 4 2 3 3" xfId="28289"/>
    <cellStyle name="40% - Accent6 4 2 4 2 3 3 2" xfId="28290"/>
    <cellStyle name="40% - Accent6 4 2 4 2 3 3 3" xfId="28291"/>
    <cellStyle name="40% - Accent6 4 2 4 2 3 4" xfId="28292"/>
    <cellStyle name="40% - Accent6 4 2 4 2 3 4 2" xfId="28293"/>
    <cellStyle name="40% - Accent6 4 2 4 2 3 5" xfId="28294"/>
    <cellStyle name="40% - Accent6 4 2 4 2 3 6" xfId="28295"/>
    <cellStyle name="40% - Accent6 4 2 4 2 4" xfId="28296"/>
    <cellStyle name="40% - Accent6 4 2 4 2 4 2" xfId="28297"/>
    <cellStyle name="40% - Accent6 4 2 4 2 4 2 2" xfId="28298"/>
    <cellStyle name="40% - Accent6 4 2 4 2 4 2 3" xfId="28299"/>
    <cellStyle name="40% - Accent6 4 2 4 2 4 3" xfId="28300"/>
    <cellStyle name="40% - Accent6 4 2 4 2 4 3 2" xfId="28301"/>
    <cellStyle name="40% - Accent6 4 2 4 2 4 4" xfId="28302"/>
    <cellStyle name="40% - Accent6 4 2 4 2 4 5" xfId="28303"/>
    <cellStyle name="40% - Accent6 4 2 4 2 5" xfId="28304"/>
    <cellStyle name="40% - Accent6 4 2 4 2 5 2" xfId="28305"/>
    <cellStyle name="40% - Accent6 4 2 4 2 5 3" xfId="28306"/>
    <cellStyle name="40% - Accent6 4 2 4 2 6" xfId="28307"/>
    <cellStyle name="40% - Accent6 4 2 4 2 6 2" xfId="28308"/>
    <cellStyle name="40% - Accent6 4 2 4 2 6 3" xfId="28309"/>
    <cellStyle name="40% - Accent6 4 2 4 2 7" xfId="28310"/>
    <cellStyle name="40% - Accent6 4 2 4 2 7 2" xfId="28311"/>
    <cellStyle name="40% - Accent6 4 2 4 2 8" xfId="28312"/>
    <cellStyle name="40% - Accent6 4 2 4 2 9" xfId="28313"/>
    <cellStyle name="40% - Accent6 4 2 4 3" xfId="28314"/>
    <cellStyle name="40% - Accent6 4 2 4 3 2" xfId="28315"/>
    <cellStyle name="40% - Accent6 4 2 4 3 2 2" xfId="28316"/>
    <cellStyle name="40% - Accent6 4 2 4 3 2 3" xfId="28317"/>
    <cellStyle name="40% - Accent6 4 2 4 3 3" xfId="28318"/>
    <cellStyle name="40% - Accent6 4 2 4 3 3 2" xfId="28319"/>
    <cellStyle name="40% - Accent6 4 2 4 3 3 3" xfId="28320"/>
    <cellStyle name="40% - Accent6 4 2 4 3 4" xfId="28321"/>
    <cellStyle name="40% - Accent6 4 2 4 3 4 2" xfId="28322"/>
    <cellStyle name="40% - Accent6 4 2 4 3 5" xfId="28323"/>
    <cellStyle name="40% - Accent6 4 2 4 3 6" xfId="28324"/>
    <cellStyle name="40% - Accent6 4 2 4 4" xfId="28325"/>
    <cellStyle name="40% - Accent6 4 2 4 4 2" xfId="28326"/>
    <cellStyle name="40% - Accent6 4 2 4 4 2 2" xfId="28327"/>
    <cellStyle name="40% - Accent6 4 2 4 4 2 3" xfId="28328"/>
    <cellStyle name="40% - Accent6 4 2 4 4 3" xfId="28329"/>
    <cellStyle name="40% - Accent6 4 2 4 4 3 2" xfId="28330"/>
    <cellStyle name="40% - Accent6 4 2 4 4 3 3" xfId="28331"/>
    <cellStyle name="40% - Accent6 4 2 4 4 4" xfId="28332"/>
    <cellStyle name="40% - Accent6 4 2 4 4 4 2" xfId="28333"/>
    <cellStyle name="40% - Accent6 4 2 4 4 5" xfId="28334"/>
    <cellStyle name="40% - Accent6 4 2 4 4 6" xfId="28335"/>
    <cellStyle name="40% - Accent6 4 2 4 5" xfId="28336"/>
    <cellStyle name="40% - Accent6 4 2 4 5 2" xfId="28337"/>
    <cellStyle name="40% - Accent6 4 2 4 5 2 2" xfId="28338"/>
    <cellStyle name="40% - Accent6 4 2 4 5 2 3" xfId="28339"/>
    <cellStyle name="40% - Accent6 4 2 4 5 3" xfId="28340"/>
    <cellStyle name="40% - Accent6 4 2 4 5 3 2" xfId="28341"/>
    <cellStyle name="40% - Accent6 4 2 4 5 4" xfId="28342"/>
    <cellStyle name="40% - Accent6 4 2 4 5 5" xfId="28343"/>
    <cellStyle name="40% - Accent6 4 2 4 6" xfId="28344"/>
    <cellStyle name="40% - Accent6 4 2 4 6 2" xfId="28345"/>
    <cellStyle name="40% - Accent6 4 2 4 6 3" xfId="28346"/>
    <cellStyle name="40% - Accent6 4 2 4 7" xfId="28347"/>
    <cellStyle name="40% - Accent6 4 2 4 7 2" xfId="28348"/>
    <cellStyle name="40% - Accent6 4 2 4 7 3" xfId="28349"/>
    <cellStyle name="40% - Accent6 4 2 4 8" xfId="28350"/>
    <cellStyle name="40% - Accent6 4 2 4 8 2" xfId="28351"/>
    <cellStyle name="40% - Accent6 4 2 4 9" xfId="28352"/>
    <cellStyle name="40% - Accent6 4 2 5" xfId="2663"/>
    <cellStyle name="40% - Accent6 4 2 5 2" xfId="28353"/>
    <cellStyle name="40% - Accent6 4 2 5 2 2" xfId="28354"/>
    <cellStyle name="40% - Accent6 4 2 5 2 2 2" xfId="28355"/>
    <cellStyle name="40% - Accent6 4 2 5 2 2 3" xfId="28356"/>
    <cellStyle name="40% - Accent6 4 2 5 2 3" xfId="28357"/>
    <cellStyle name="40% - Accent6 4 2 5 2 3 2" xfId="28358"/>
    <cellStyle name="40% - Accent6 4 2 5 2 3 3" xfId="28359"/>
    <cellStyle name="40% - Accent6 4 2 5 2 4" xfId="28360"/>
    <cellStyle name="40% - Accent6 4 2 5 2 4 2" xfId="28361"/>
    <cellStyle name="40% - Accent6 4 2 5 2 5" xfId="28362"/>
    <cellStyle name="40% - Accent6 4 2 5 2 6" xfId="28363"/>
    <cellStyle name="40% - Accent6 4 2 5 3" xfId="28364"/>
    <cellStyle name="40% - Accent6 4 2 5 3 2" xfId="28365"/>
    <cellStyle name="40% - Accent6 4 2 5 3 2 2" xfId="28366"/>
    <cellStyle name="40% - Accent6 4 2 5 3 2 3" xfId="28367"/>
    <cellStyle name="40% - Accent6 4 2 5 3 3" xfId="28368"/>
    <cellStyle name="40% - Accent6 4 2 5 3 3 2" xfId="28369"/>
    <cellStyle name="40% - Accent6 4 2 5 3 3 3" xfId="28370"/>
    <cellStyle name="40% - Accent6 4 2 5 3 4" xfId="28371"/>
    <cellStyle name="40% - Accent6 4 2 5 3 4 2" xfId="28372"/>
    <cellStyle name="40% - Accent6 4 2 5 3 5" xfId="28373"/>
    <cellStyle name="40% - Accent6 4 2 5 3 6" xfId="28374"/>
    <cellStyle name="40% - Accent6 4 2 5 4" xfId="28375"/>
    <cellStyle name="40% - Accent6 4 2 5 4 2" xfId="28376"/>
    <cellStyle name="40% - Accent6 4 2 5 4 2 2" xfId="28377"/>
    <cellStyle name="40% - Accent6 4 2 5 4 2 3" xfId="28378"/>
    <cellStyle name="40% - Accent6 4 2 5 4 3" xfId="28379"/>
    <cellStyle name="40% - Accent6 4 2 5 4 3 2" xfId="28380"/>
    <cellStyle name="40% - Accent6 4 2 5 4 4" xfId="28381"/>
    <cellStyle name="40% - Accent6 4 2 5 4 5" xfId="28382"/>
    <cellStyle name="40% - Accent6 4 2 5 5" xfId="28383"/>
    <cellStyle name="40% - Accent6 4 2 5 5 2" xfId="28384"/>
    <cellStyle name="40% - Accent6 4 2 5 5 3" xfId="28385"/>
    <cellStyle name="40% - Accent6 4 2 5 6" xfId="28386"/>
    <cellStyle name="40% - Accent6 4 2 5 6 2" xfId="28387"/>
    <cellStyle name="40% - Accent6 4 2 5 6 3" xfId="28388"/>
    <cellStyle name="40% - Accent6 4 2 5 7" xfId="28389"/>
    <cellStyle name="40% - Accent6 4 2 5 7 2" xfId="28390"/>
    <cellStyle name="40% - Accent6 4 2 5 8" xfId="28391"/>
    <cellStyle name="40% - Accent6 4 2 5 9" xfId="28392"/>
    <cellStyle name="40% - Accent6 4 2 6" xfId="28393"/>
    <cellStyle name="40% - Accent6 4 2 6 2" xfId="28394"/>
    <cellStyle name="40% - Accent6 4 2 6 2 2" xfId="28395"/>
    <cellStyle name="40% - Accent6 4 2 6 2 2 2" xfId="28396"/>
    <cellStyle name="40% - Accent6 4 2 6 2 2 3" xfId="28397"/>
    <cellStyle name="40% - Accent6 4 2 6 2 3" xfId="28398"/>
    <cellStyle name="40% - Accent6 4 2 6 2 3 2" xfId="28399"/>
    <cellStyle name="40% - Accent6 4 2 6 2 3 3" xfId="28400"/>
    <cellStyle name="40% - Accent6 4 2 6 2 4" xfId="28401"/>
    <cellStyle name="40% - Accent6 4 2 6 2 4 2" xfId="28402"/>
    <cellStyle name="40% - Accent6 4 2 6 2 5" xfId="28403"/>
    <cellStyle name="40% - Accent6 4 2 6 2 6" xfId="28404"/>
    <cellStyle name="40% - Accent6 4 2 6 3" xfId="28405"/>
    <cellStyle name="40% - Accent6 4 2 6 3 2" xfId="28406"/>
    <cellStyle name="40% - Accent6 4 2 6 3 2 2" xfId="28407"/>
    <cellStyle name="40% - Accent6 4 2 6 3 2 3" xfId="28408"/>
    <cellStyle name="40% - Accent6 4 2 6 3 3" xfId="28409"/>
    <cellStyle name="40% - Accent6 4 2 6 3 3 2" xfId="28410"/>
    <cellStyle name="40% - Accent6 4 2 6 3 3 3" xfId="28411"/>
    <cellStyle name="40% - Accent6 4 2 6 3 4" xfId="28412"/>
    <cellStyle name="40% - Accent6 4 2 6 3 4 2" xfId="28413"/>
    <cellStyle name="40% - Accent6 4 2 6 3 5" xfId="28414"/>
    <cellStyle name="40% - Accent6 4 2 6 3 6" xfId="28415"/>
    <cellStyle name="40% - Accent6 4 2 6 4" xfId="28416"/>
    <cellStyle name="40% - Accent6 4 2 6 4 2" xfId="28417"/>
    <cellStyle name="40% - Accent6 4 2 6 4 2 2" xfId="28418"/>
    <cellStyle name="40% - Accent6 4 2 6 4 2 3" xfId="28419"/>
    <cellStyle name="40% - Accent6 4 2 6 4 3" xfId="28420"/>
    <cellStyle name="40% - Accent6 4 2 6 4 3 2" xfId="28421"/>
    <cellStyle name="40% - Accent6 4 2 6 4 4" xfId="28422"/>
    <cellStyle name="40% - Accent6 4 2 6 4 5" xfId="28423"/>
    <cellStyle name="40% - Accent6 4 2 6 5" xfId="28424"/>
    <cellStyle name="40% - Accent6 4 2 6 5 2" xfId="28425"/>
    <cellStyle name="40% - Accent6 4 2 6 5 3" xfId="28426"/>
    <cellStyle name="40% - Accent6 4 2 6 6" xfId="28427"/>
    <cellStyle name="40% - Accent6 4 2 6 6 2" xfId="28428"/>
    <cellStyle name="40% - Accent6 4 2 6 6 3" xfId="28429"/>
    <cellStyle name="40% - Accent6 4 2 6 7" xfId="28430"/>
    <cellStyle name="40% - Accent6 4 2 6 7 2" xfId="28431"/>
    <cellStyle name="40% - Accent6 4 2 6 8" xfId="28432"/>
    <cellStyle name="40% - Accent6 4 2 6 9" xfId="28433"/>
    <cellStyle name="40% - Accent6 4 2 7" xfId="28434"/>
    <cellStyle name="40% - Accent6 4 2 7 2" xfId="28435"/>
    <cellStyle name="40% - Accent6 4 2 7 2 2" xfId="28436"/>
    <cellStyle name="40% - Accent6 4 2 7 2 3" xfId="28437"/>
    <cellStyle name="40% - Accent6 4 2 7 3" xfId="28438"/>
    <cellStyle name="40% - Accent6 4 2 7 3 2" xfId="28439"/>
    <cellStyle name="40% - Accent6 4 2 7 3 3" xfId="28440"/>
    <cellStyle name="40% - Accent6 4 2 7 4" xfId="28441"/>
    <cellStyle name="40% - Accent6 4 2 7 4 2" xfId="28442"/>
    <cellStyle name="40% - Accent6 4 2 7 5" xfId="28443"/>
    <cellStyle name="40% - Accent6 4 2 7 6" xfId="28444"/>
    <cellStyle name="40% - Accent6 4 2 8" xfId="28445"/>
    <cellStyle name="40% - Accent6 4 2 8 2" xfId="28446"/>
    <cellStyle name="40% - Accent6 4 2 8 2 2" xfId="28447"/>
    <cellStyle name="40% - Accent6 4 2 8 2 3" xfId="28448"/>
    <cellStyle name="40% - Accent6 4 2 8 3" xfId="28449"/>
    <cellStyle name="40% - Accent6 4 2 8 3 2" xfId="28450"/>
    <cellStyle name="40% - Accent6 4 2 8 3 3" xfId="28451"/>
    <cellStyle name="40% - Accent6 4 2 8 4" xfId="28452"/>
    <cellStyle name="40% - Accent6 4 2 8 4 2" xfId="28453"/>
    <cellStyle name="40% - Accent6 4 2 8 5" xfId="28454"/>
    <cellStyle name="40% - Accent6 4 2 8 6" xfId="28455"/>
    <cellStyle name="40% - Accent6 4 2 9" xfId="28456"/>
    <cellStyle name="40% - Accent6 4 2 9 2" xfId="28457"/>
    <cellStyle name="40% - Accent6 4 2 9 2 2" xfId="28458"/>
    <cellStyle name="40% - Accent6 4 2 9 2 3" xfId="28459"/>
    <cellStyle name="40% - Accent6 4 2 9 3" xfId="28460"/>
    <cellStyle name="40% - Accent6 4 2 9 3 2" xfId="28461"/>
    <cellStyle name="40% - Accent6 4 2 9 4" xfId="28462"/>
    <cellStyle name="40% - Accent6 4 2 9 5" xfId="28463"/>
    <cellStyle name="40% - Accent6 4 3" xfId="2664"/>
    <cellStyle name="40% - Accent6 4 3 10" xfId="28464"/>
    <cellStyle name="40% - Accent6 4 3 10 2" xfId="28465"/>
    <cellStyle name="40% - Accent6 4 3 10 3" xfId="28466"/>
    <cellStyle name="40% - Accent6 4 3 11" xfId="28467"/>
    <cellStyle name="40% - Accent6 4 3 11 2" xfId="28468"/>
    <cellStyle name="40% - Accent6 4 3 12" xfId="28469"/>
    <cellStyle name="40% - Accent6 4 3 13" xfId="28470"/>
    <cellStyle name="40% - Accent6 4 3 14" xfId="28471"/>
    <cellStyle name="40% - Accent6 4 3 2" xfId="2665"/>
    <cellStyle name="40% - Accent6 4 3 2 10" xfId="28472"/>
    <cellStyle name="40% - Accent6 4 3 2 10 2" xfId="28473"/>
    <cellStyle name="40% - Accent6 4 3 2 11" xfId="28474"/>
    <cellStyle name="40% - Accent6 4 3 2 12" xfId="28475"/>
    <cellStyle name="40% - Accent6 4 3 2 2" xfId="2666"/>
    <cellStyle name="40% - Accent6 4 3 2 2 10" xfId="28476"/>
    <cellStyle name="40% - Accent6 4 3 2 2 2" xfId="2667"/>
    <cellStyle name="40% - Accent6 4 3 2 2 2 2" xfId="28477"/>
    <cellStyle name="40% - Accent6 4 3 2 2 2 2 2" xfId="28478"/>
    <cellStyle name="40% - Accent6 4 3 2 2 2 2 2 2" xfId="28479"/>
    <cellStyle name="40% - Accent6 4 3 2 2 2 2 2 3" xfId="28480"/>
    <cellStyle name="40% - Accent6 4 3 2 2 2 2 3" xfId="28481"/>
    <cellStyle name="40% - Accent6 4 3 2 2 2 2 3 2" xfId="28482"/>
    <cellStyle name="40% - Accent6 4 3 2 2 2 2 3 3" xfId="28483"/>
    <cellStyle name="40% - Accent6 4 3 2 2 2 2 4" xfId="28484"/>
    <cellStyle name="40% - Accent6 4 3 2 2 2 2 4 2" xfId="28485"/>
    <cellStyle name="40% - Accent6 4 3 2 2 2 2 5" xfId="28486"/>
    <cellStyle name="40% - Accent6 4 3 2 2 2 2 6" xfId="28487"/>
    <cellStyle name="40% - Accent6 4 3 2 2 2 3" xfId="28488"/>
    <cellStyle name="40% - Accent6 4 3 2 2 2 3 2" xfId="28489"/>
    <cellStyle name="40% - Accent6 4 3 2 2 2 3 2 2" xfId="28490"/>
    <cellStyle name="40% - Accent6 4 3 2 2 2 3 2 3" xfId="28491"/>
    <cellStyle name="40% - Accent6 4 3 2 2 2 3 3" xfId="28492"/>
    <cellStyle name="40% - Accent6 4 3 2 2 2 3 3 2" xfId="28493"/>
    <cellStyle name="40% - Accent6 4 3 2 2 2 3 3 3" xfId="28494"/>
    <cellStyle name="40% - Accent6 4 3 2 2 2 3 4" xfId="28495"/>
    <cellStyle name="40% - Accent6 4 3 2 2 2 3 4 2" xfId="28496"/>
    <cellStyle name="40% - Accent6 4 3 2 2 2 3 5" xfId="28497"/>
    <cellStyle name="40% - Accent6 4 3 2 2 2 3 6" xfId="28498"/>
    <cellStyle name="40% - Accent6 4 3 2 2 2 4" xfId="28499"/>
    <cellStyle name="40% - Accent6 4 3 2 2 2 4 2" xfId="28500"/>
    <cellStyle name="40% - Accent6 4 3 2 2 2 4 2 2" xfId="28501"/>
    <cellStyle name="40% - Accent6 4 3 2 2 2 4 2 3" xfId="28502"/>
    <cellStyle name="40% - Accent6 4 3 2 2 2 4 3" xfId="28503"/>
    <cellStyle name="40% - Accent6 4 3 2 2 2 4 3 2" xfId="28504"/>
    <cellStyle name="40% - Accent6 4 3 2 2 2 4 4" xfId="28505"/>
    <cellStyle name="40% - Accent6 4 3 2 2 2 4 5" xfId="28506"/>
    <cellStyle name="40% - Accent6 4 3 2 2 2 5" xfId="28507"/>
    <cellStyle name="40% - Accent6 4 3 2 2 2 5 2" xfId="28508"/>
    <cellStyle name="40% - Accent6 4 3 2 2 2 5 3" xfId="28509"/>
    <cellStyle name="40% - Accent6 4 3 2 2 2 6" xfId="28510"/>
    <cellStyle name="40% - Accent6 4 3 2 2 2 6 2" xfId="28511"/>
    <cellStyle name="40% - Accent6 4 3 2 2 2 6 3" xfId="28512"/>
    <cellStyle name="40% - Accent6 4 3 2 2 2 7" xfId="28513"/>
    <cellStyle name="40% - Accent6 4 3 2 2 2 7 2" xfId="28514"/>
    <cellStyle name="40% - Accent6 4 3 2 2 2 8" xfId="28515"/>
    <cellStyle name="40% - Accent6 4 3 2 2 2 9" xfId="28516"/>
    <cellStyle name="40% - Accent6 4 3 2 2 3" xfId="28517"/>
    <cellStyle name="40% - Accent6 4 3 2 2 3 2" xfId="28518"/>
    <cellStyle name="40% - Accent6 4 3 2 2 3 2 2" xfId="28519"/>
    <cellStyle name="40% - Accent6 4 3 2 2 3 2 3" xfId="28520"/>
    <cellStyle name="40% - Accent6 4 3 2 2 3 3" xfId="28521"/>
    <cellStyle name="40% - Accent6 4 3 2 2 3 3 2" xfId="28522"/>
    <cellStyle name="40% - Accent6 4 3 2 2 3 3 3" xfId="28523"/>
    <cellStyle name="40% - Accent6 4 3 2 2 3 4" xfId="28524"/>
    <cellStyle name="40% - Accent6 4 3 2 2 3 4 2" xfId="28525"/>
    <cellStyle name="40% - Accent6 4 3 2 2 3 5" xfId="28526"/>
    <cellStyle name="40% - Accent6 4 3 2 2 3 6" xfId="28527"/>
    <cellStyle name="40% - Accent6 4 3 2 2 4" xfId="28528"/>
    <cellStyle name="40% - Accent6 4 3 2 2 4 2" xfId="28529"/>
    <cellStyle name="40% - Accent6 4 3 2 2 4 2 2" xfId="28530"/>
    <cellStyle name="40% - Accent6 4 3 2 2 4 2 3" xfId="28531"/>
    <cellStyle name="40% - Accent6 4 3 2 2 4 3" xfId="28532"/>
    <cellStyle name="40% - Accent6 4 3 2 2 4 3 2" xfId="28533"/>
    <cellStyle name="40% - Accent6 4 3 2 2 4 3 3" xfId="28534"/>
    <cellStyle name="40% - Accent6 4 3 2 2 4 4" xfId="28535"/>
    <cellStyle name="40% - Accent6 4 3 2 2 4 4 2" xfId="28536"/>
    <cellStyle name="40% - Accent6 4 3 2 2 4 5" xfId="28537"/>
    <cellStyle name="40% - Accent6 4 3 2 2 4 6" xfId="28538"/>
    <cellStyle name="40% - Accent6 4 3 2 2 5" xfId="28539"/>
    <cellStyle name="40% - Accent6 4 3 2 2 5 2" xfId="28540"/>
    <cellStyle name="40% - Accent6 4 3 2 2 5 2 2" xfId="28541"/>
    <cellStyle name="40% - Accent6 4 3 2 2 5 2 3" xfId="28542"/>
    <cellStyle name="40% - Accent6 4 3 2 2 5 3" xfId="28543"/>
    <cellStyle name="40% - Accent6 4 3 2 2 5 3 2" xfId="28544"/>
    <cellStyle name="40% - Accent6 4 3 2 2 5 4" xfId="28545"/>
    <cellStyle name="40% - Accent6 4 3 2 2 5 5" xfId="28546"/>
    <cellStyle name="40% - Accent6 4 3 2 2 6" xfId="28547"/>
    <cellStyle name="40% - Accent6 4 3 2 2 6 2" xfId="28548"/>
    <cellStyle name="40% - Accent6 4 3 2 2 6 3" xfId="28549"/>
    <cellStyle name="40% - Accent6 4 3 2 2 7" xfId="28550"/>
    <cellStyle name="40% - Accent6 4 3 2 2 7 2" xfId="28551"/>
    <cellStyle name="40% - Accent6 4 3 2 2 7 3" xfId="28552"/>
    <cellStyle name="40% - Accent6 4 3 2 2 8" xfId="28553"/>
    <cellStyle name="40% - Accent6 4 3 2 2 8 2" xfId="28554"/>
    <cellStyle name="40% - Accent6 4 3 2 2 9" xfId="28555"/>
    <cellStyle name="40% - Accent6 4 3 2 3" xfId="2668"/>
    <cellStyle name="40% - Accent6 4 3 2 3 2" xfId="28556"/>
    <cellStyle name="40% - Accent6 4 3 2 3 2 2" xfId="28557"/>
    <cellStyle name="40% - Accent6 4 3 2 3 2 2 2" xfId="28558"/>
    <cellStyle name="40% - Accent6 4 3 2 3 2 2 3" xfId="28559"/>
    <cellStyle name="40% - Accent6 4 3 2 3 2 3" xfId="28560"/>
    <cellStyle name="40% - Accent6 4 3 2 3 2 3 2" xfId="28561"/>
    <cellStyle name="40% - Accent6 4 3 2 3 2 3 3" xfId="28562"/>
    <cellStyle name="40% - Accent6 4 3 2 3 2 4" xfId="28563"/>
    <cellStyle name="40% - Accent6 4 3 2 3 2 4 2" xfId="28564"/>
    <cellStyle name="40% - Accent6 4 3 2 3 2 5" xfId="28565"/>
    <cellStyle name="40% - Accent6 4 3 2 3 2 6" xfId="28566"/>
    <cellStyle name="40% - Accent6 4 3 2 3 3" xfId="28567"/>
    <cellStyle name="40% - Accent6 4 3 2 3 3 2" xfId="28568"/>
    <cellStyle name="40% - Accent6 4 3 2 3 3 2 2" xfId="28569"/>
    <cellStyle name="40% - Accent6 4 3 2 3 3 2 3" xfId="28570"/>
    <cellStyle name="40% - Accent6 4 3 2 3 3 3" xfId="28571"/>
    <cellStyle name="40% - Accent6 4 3 2 3 3 3 2" xfId="28572"/>
    <cellStyle name="40% - Accent6 4 3 2 3 3 3 3" xfId="28573"/>
    <cellStyle name="40% - Accent6 4 3 2 3 3 4" xfId="28574"/>
    <cellStyle name="40% - Accent6 4 3 2 3 3 4 2" xfId="28575"/>
    <cellStyle name="40% - Accent6 4 3 2 3 3 5" xfId="28576"/>
    <cellStyle name="40% - Accent6 4 3 2 3 3 6" xfId="28577"/>
    <cellStyle name="40% - Accent6 4 3 2 3 4" xfId="28578"/>
    <cellStyle name="40% - Accent6 4 3 2 3 4 2" xfId="28579"/>
    <cellStyle name="40% - Accent6 4 3 2 3 4 2 2" xfId="28580"/>
    <cellStyle name="40% - Accent6 4 3 2 3 4 2 3" xfId="28581"/>
    <cellStyle name="40% - Accent6 4 3 2 3 4 3" xfId="28582"/>
    <cellStyle name="40% - Accent6 4 3 2 3 4 3 2" xfId="28583"/>
    <cellStyle name="40% - Accent6 4 3 2 3 4 4" xfId="28584"/>
    <cellStyle name="40% - Accent6 4 3 2 3 4 5" xfId="28585"/>
    <cellStyle name="40% - Accent6 4 3 2 3 5" xfId="28586"/>
    <cellStyle name="40% - Accent6 4 3 2 3 5 2" xfId="28587"/>
    <cellStyle name="40% - Accent6 4 3 2 3 5 3" xfId="28588"/>
    <cellStyle name="40% - Accent6 4 3 2 3 6" xfId="28589"/>
    <cellStyle name="40% - Accent6 4 3 2 3 6 2" xfId="28590"/>
    <cellStyle name="40% - Accent6 4 3 2 3 6 3" xfId="28591"/>
    <cellStyle name="40% - Accent6 4 3 2 3 7" xfId="28592"/>
    <cellStyle name="40% - Accent6 4 3 2 3 7 2" xfId="28593"/>
    <cellStyle name="40% - Accent6 4 3 2 3 8" xfId="28594"/>
    <cellStyle name="40% - Accent6 4 3 2 3 9" xfId="28595"/>
    <cellStyle name="40% - Accent6 4 3 2 4" xfId="28596"/>
    <cellStyle name="40% - Accent6 4 3 2 4 2" xfId="28597"/>
    <cellStyle name="40% - Accent6 4 3 2 4 2 2" xfId="28598"/>
    <cellStyle name="40% - Accent6 4 3 2 4 2 2 2" xfId="28599"/>
    <cellStyle name="40% - Accent6 4 3 2 4 2 2 3" xfId="28600"/>
    <cellStyle name="40% - Accent6 4 3 2 4 2 3" xfId="28601"/>
    <cellStyle name="40% - Accent6 4 3 2 4 2 3 2" xfId="28602"/>
    <cellStyle name="40% - Accent6 4 3 2 4 2 3 3" xfId="28603"/>
    <cellStyle name="40% - Accent6 4 3 2 4 2 4" xfId="28604"/>
    <cellStyle name="40% - Accent6 4 3 2 4 2 4 2" xfId="28605"/>
    <cellStyle name="40% - Accent6 4 3 2 4 2 5" xfId="28606"/>
    <cellStyle name="40% - Accent6 4 3 2 4 2 6" xfId="28607"/>
    <cellStyle name="40% - Accent6 4 3 2 4 3" xfId="28608"/>
    <cellStyle name="40% - Accent6 4 3 2 4 3 2" xfId="28609"/>
    <cellStyle name="40% - Accent6 4 3 2 4 3 2 2" xfId="28610"/>
    <cellStyle name="40% - Accent6 4 3 2 4 3 2 3" xfId="28611"/>
    <cellStyle name="40% - Accent6 4 3 2 4 3 3" xfId="28612"/>
    <cellStyle name="40% - Accent6 4 3 2 4 3 3 2" xfId="28613"/>
    <cellStyle name="40% - Accent6 4 3 2 4 3 3 3" xfId="28614"/>
    <cellStyle name="40% - Accent6 4 3 2 4 3 4" xfId="28615"/>
    <cellStyle name="40% - Accent6 4 3 2 4 3 4 2" xfId="28616"/>
    <cellStyle name="40% - Accent6 4 3 2 4 3 5" xfId="28617"/>
    <cellStyle name="40% - Accent6 4 3 2 4 3 6" xfId="28618"/>
    <cellStyle name="40% - Accent6 4 3 2 4 4" xfId="28619"/>
    <cellStyle name="40% - Accent6 4 3 2 4 4 2" xfId="28620"/>
    <cellStyle name="40% - Accent6 4 3 2 4 4 2 2" xfId="28621"/>
    <cellStyle name="40% - Accent6 4 3 2 4 4 2 3" xfId="28622"/>
    <cellStyle name="40% - Accent6 4 3 2 4 4 3" xfId="28623"/>
    <cellStyle name="40% - Accent6 4 3 2 4 4 3 2" xfId="28624"/>
    <cellStyle name="40% - Accent6 4 3 2 4 4 4" xfId="28625"/>
    <cellStyle name="40% - Accent6 4 3 2 4 4 5" xfId="28626"/>
    <cellStyle name="40% - Accent6 4 3 2 4 5" xfId="28627"/>
    <cellStyle name="40% - Accent6 4 3 2 4 5 2" xfId="28628"/>
    <cellStyle name="40% - Accent6 4 3 2 4 5 3" xfId="28629"/>
    <cellStyle name="40% - Accent6 4 3 2 4 6" xfId="28630"/>
    <cellStyle name="40% - Accent6 4 3 2 4 6 2" xfId="28631"/>
    <cellStyle name="40% - Accent6 4 3 2 4 6 3" xfId="28632"/>
    <cellStyle name="40% - Accent6 4 3 2 4 7" xfId="28633"/>
    <cellStyle name="40% - Accent6 4 3 2 4 7 2" xfId="28634"/>
    <cellStyle name="40% - Accent6 4 3 2 4 8" xfId="28635"/>
    <cellStyle name="40% - Accent6 4 3 2 4 9" xfId="28636"/>
    <cellStyle name="40% - Accent6 4 3 2 5" xfId="28637"/>
    <cellStyle name="40% - Accent6 4 3 2 5 2" xfId="28638"/>
    <cellStyle name="40% - Accent6 4 3 2 5 2 2" xfId="28639"/>
    <cellStyle name="40% - Accent6 4 3 2 5 2 3" xfId="28640"/>
    <cellStyle name="40% - Accent6 4 3 2 5 3" xfId="28641"/>
    <cellStyle name="40% - Accent6 4 3 2 5 3 2" xfId="28642"/>
    <cellStyle name="40% - Accent6 4 3 2 5 3 3" xfId="28643"/>
    <cellStyle name="40% - Accent6 4 3 2 5 4" xfId="28644"/>
    <cellStyle name="40% - Accent6 4 3 2 5 4 2" xfId="28645"/>
    <cellStyle name="40% - Accent6 4 3 2 5 5" xfId="28646"/>
    <cellStyle name="40% - Accent6 4 3 2 5 6" xfId="28647"/>
    <cellStyle name="40% - Accent6 4 3 2 6" xfId="28648"/>
    <cellStyle name="40% - Accent6 4 3 2 6 2" xfId="28649"/>
    <cellStyle name="40% - Accent6 4 3 2 6 2 2" xfId="28650"/>
    <cellStyle name="40% - Accent6 4 3 2 6 2 3" xfId="28651"/>
    <cellStyle name="40% - Accent6 4 3 2 6 3" xfId="28652"/>
    <cellStyle name="40% - Accent6 4 3 2 6 3 2" xfId="28653"/>
    <cellStyle name="40% - Accent6 4 3 2 6 3 3" xfId="28654"/>
    <cellStyle name="40% - Accent6 4 3 2 6 4" xfId="28655"/>
    <cellStyle name="40% - Accent6 4 3 2 6 4 2" xfId="28656"/>
    <cellStyle name="40% - Accent6 4 3 2 6 5" xfId="28657"/>
    <cellStyle name="40% - Accent6 4 3 2 6 6" xfId="28658"/>
    <cellStyle name="40% - Accent6 4 3 2 7" xfId="28659"/>
    <cellStyle name="40% - Accent6 4 3 2 7 2" xfId="28660"/>
    <cellStyle name="40% - Accent6 4 3 2 7 2 2" xfId="28661"/>
    <cellStyle name="40% - Accent6 4 3 2 7 2 3" xfId="28662"/>
    <cellStyle name="40% - Accent6 4 3 2 7 3" xfId="28663"/>
    <cellStyle name="40% - Accent6 4 3 2 7 3 2" xfId="28664"/>
    <cellStyle name="40% - Accent6 4 3 2 7 4" xfId="28665"/>
    <cellStyle name="40% - Accent6 4 3 2 7 5" xfId="28666"/>
    <cellStyle name="40% - Accent6 4 3 2 8" xfId="28667"/>
    <cellStyle name="40% - Accent6 4 3 2 8 2" xfId="28668"/>
    <cellStyle name="40% - Accent6 4 3 2 8 3" xfId="28669"/>
    <cellStyle name="40% - Accent6 4 3 2 9" xfId="28670"/>
    <cellStyle name="40% - Accent6 4 3 2 9 2" xfId="28671"/>
    <cellStyle name="40% - Accent6 4 3 2 9 3" xfId="28672"/>
    <cellStyle name="40% - Accent6 4 3 3" xfId="2669"/>
    <cellStyle name="40% - Accent6 4 3 3 10" xfId="28673"/>
    <cellStyle name="40% - Accent6 4 3 3 2" xfId="2670"/>
    <cellStyle name="40% - Accent6 4 3 3 2 2" xfId="28674"/>
    <cellStyle name="40% - Accent6 4 3 3 2 2 2" xfId="28675"/>
    <cellStyle name="40% - Accent6 4 3 3 2 2 2 2" xfId="28676"/>
    <cellStyle name="40% - Accent6 4 3 3 2 2 2 3" xfId="28677"/>
    <cellStyle name="40% - Accent6 4 3 3 2 2 3" xfId="28678"/>
    <cellStyle name="40% - Accent6 4 3 3 2 2 3 2" xfId="28679"/>
    <cellStyle name="40% - Accent6 4 3 3 2 2 3 3" xfId="28680"/>
    <cellStyle name="40% - Accent6 4 3 3 2 2 4" xfId="28681"/>
    <cellStyle name="40% - Accent6 4 3 3 2 2 4 2" xfId="28682"/>
    <cellStyle name="40% - Accent6 4 3 3 2 2 5" xfId="28683"/>
    <cellStyle name="40% - Accent6 4 3 3 2 2 6" xfId="28684"/>
    <cellStyle name="40% - Accent6 4 3 3 2 3" xfId="28685"/>
    <cellStyle name="40% - Accent6 4 3 3 2 3 2" xfId="28686"/>
    <cellStyle name="40% - Accent6 4 3 3 2 3 2 2" xfId="28687"/>
    <cellStyle name="40% - Accent6 4 3 3 2 3 2 3" xfId="28688"/>
    <cellStyle name="40% - Accent6 4 3 3 2 3 3" xfId="28689"/>
    <cellStyle name="40% - Accent6 4 3 3 2 3 3 2" xfId="28690"/>
    <cellStyle name="40% - Accent6 4 3 3 2 3 3 3" xfId="28691"/>
    <cellStyle name="40% - Accent6 4 3 3 2 3 4" xfId="28692"/>
    <cellStyle name="40% - Accent6 4 3 3 2 3 4 2" xfId="28693"/>
    <cellStyle name="40% - Accent6 4 3 3 2 3 5" xfId="28694"/>
    <cellStyle name="40% - Accent6 4 3 3 2 3 6" xfId="28695"/>
    <cellStyle name="40% - Accent6 4 3 3 2 4" xfId="28696"/>
    <cellStyle name="40% - Accent6 4 3 3 2 4 2" xfId="28697"/>
    <cellStyle name="40% - Accent6 4 3 3 2 4 2 2" xfId="28698"/>
    <cellStyle name="40% - Accent6 4 3 3 2 4 2 3" xfId="28699"/>
    <cellStyle name="40% - Accent6 4 3 3 2 4 3" xfId="28700"/>
    <cellStyle name="40% - Accent6 4 3 3 2 4 3 2" xfId="28701"/>
    <cellStyle name="40% - Accent6 4 3 3 2 4 4" xfId="28702"/>
    <cellStyle name="40% - Accent6 4 3 3 2 4 5" xfId="28703"/>
    <cellStyle name="40% - Accent6 4 3 3 2 5" xfId="28704"/>
    <cellStyle name="40% - Accent6 4 3 3 2 5 2" xfId="28705"/>
    <cellStyle name="40% - Accent6 4 3 3 2 5 3" xfId="28706"/>
    <cellStyle name="40% - Accent6 4 3 3 2 6" xfId="28707"/>
    <cellStyle name="40% - Accent6 4 3 3 2 6 2" xfId="28708"/>
    <cellStyle name="40% - Accent6 4 3 3 2 6 3" xfId="28709"/>
    <cellStyle name="40% - Accent6 4 3 3 2 7" xfId="28710"/>
    <cellStyle name="40% - Accent6 4 3 3 2 7 2" xfId="28711"/>
    <cellStyle name="40% - Accent6 4 3 3 2 8" xfId="28712"/>
    <cellStyle name="40% - Accent6 4 3 3 2 9" xfId="28713"/>
    <cellStyle name="40% - Accent6 4 3 3 3" xfId="28714"/>
    <cellStyle name="40% - Accent6 4 3 3 3 2" xfId="28715"/>
    <cellStyle name="40% - Accent6 4 3 3 3 2 2" xfId="28716"/>
    <cellStyle name="40% - Accent6 4 3 3 3 2 3" xfId="28717"/>
    <cellStyle name="40% - Accent6 4 3 3 3 3" xfId="28718"/>
    <cellStyle name="40% - Accent6 4 3 3 3 3 2" xfId="28719"/>
    <cellStyle name="40% - Accent6 4 3 3 3 3 3" xfId="28720"/>
    <cellStyle name="40% - Accent6 4 3 3 3 4" xfId="28721"/>
    <cellStyle name="40% - Accent6 4 3 3 3 4 2" xfId="28722"/>
    <cellStyle name="40% - Accent6 4 3 3 3 5" xfId="28723"/>
    <cellStyle name="40% - Accent6 4 3 3 3 6" xfId="28724"/>
    <cellStyle name="40% - Accent6 4 3 3 4" xfId="28725"/>
    <cellStyle name="40% - Accent6 4 3 3 4 2" xfId="28726"/>
    <cellStyle name="40% - Accent6 4 3 3 4 2 2" xfId="28727"/>
    <cellStyle name="40% - Accent6 4 3 3 4 2 3" xfId="28728"/>
    <cellStyle name="40% - Accent6 4 3 3 4 3" xfId="28729"/>
    <cellStyle name="40% - Accent6 4 3 3 4 3 2" xfId="28730"/>
    <cellStyle name="40% - Accent6 4 3 3 4 3 3" xfId="28731"/>
    <cellStyle name="40% - Accent6 4 3 3 4 4" xfId="28732"/>
    <cellStyle name="40% - Accent6 4 3 3 4 4 2" xfId="28733"/>
    <cellStyle name="40% - Accent6 4 3 3 4 5" xfId="28734"/>
    <cellStyle name="40% - Accent6 4 3 3 4 6" xfId="28735"/>
    <cellStyle name="40% - Accent6 4 3 3 5" xfId="28736"/>
    <cellStyle name="40% - Accent6 4 3 3 5 2" xfId="28737"/>
    <cellStyle name="40% - Accent6 4 3 3 5 2 2" xfId="28738"/>
    <cellStyle name="40% - Accent6 4 3 3 5 2 3" xfId="28739"/>
    <cellStyle name="40% - Accent6 4 3 3 5 3" xfId="28740"/>
    <cellStyle name="40% - Accent6 4 3 3 5 3 2" xfId="28741"/>
    <cellStyle name="40% - Accent6 4 3 3 5 4" xfId="28742"/>
    <cellStyle name="40% - Accent6 4 3 3 5 5" xfId="28743"/>
    <cellStyle name="40% - Accent6 4 3 3 6" xfId="28744"/>
    <cellStyle name="40% - Accent6 4 3 3 6 2" xfId="28745"/>
    <cellStyle name="40% - Accent6 4 3 3 6 3" xfId="28746"/>
    <cellStyle name="40% - Accent6 4 3 3 7" xfId="28747"/>
    <cellStyle name="40% - Accent6 4 3 3 7 2" xfId="28748"/>
    <cellStyle name="40% - Accent6 4 3 3 7 3" xfId="28749"/>
    <cellStyle name="40% - Accent6 4 3 3 8" xfId="28750"/>
    <cellStyle name="40% - Accent6 4 3 3 8 2" xfId="28751"/>
    <cellStyle name="40% - Accent6 4 3 3 9" xfId="28752"/>
    <cellStyle name="40% - Accent6 4 3 4" xfId="2671"/>
    <cellStyle name="40% - Accent6 4 3 4 2" xfId="28753"/>
    <cellStyle name="40% - Accent6 4 3 4 2 2" xfId="28754"/>
    <cellStyle name="40% - Accent6 4 3 4 2 2 2" xfId="28755"/>
    <cellStyle name="40% - Accent6 4 3 4 2 2 3" xfId="28756"/>
    <cellStyle name="40% - Accent6 4 3 4 2 3" xfId="28757"/>
    <cellStyle name="40% - Accent6 4 3 4 2 3 2" xfId="28758"/>
    <cellStyle name="40% - Accent6 4 3 4 2 3 3" xfId="28759"/>
    <cellStyle name="40% - Accent6 4 3 4 2 4" xfId="28760"/>
    <cellStyle name="40% - Accent6 4 3 4 2 4 2" xfId="28761"/>
    <cellStyle name="40% - Accent6 4 3 4 2 5" xfId="28762"/>
    <cellStyle name="40% - Accent6 4 3 4 2 6" xfId="28763"/>
    <cellStyle name="40% - Accent6 4 3 4 3" xfId="28764"/>
    <cellStyle name="40% - Accent6 4 3 4 3 2" xfId="28765"/>
    <cellStyle name="40% - Accent6 4 3 4 3 2 2" xfId="28766"/>
    <cellStyle name="40% - Accent6 4 3 4 3 2 3" xfId="28767"/>
    <cellStyle name="40% - Accent6 4 3 4 3 3" xfId="28768"/>
    <cellStyle name="40% - Accent6 4 3 4 3 3 2" xfId="28769"/>
    <cellStyle name="40% - Accent6 4 3 4 3 3 3" xfId="28770"/>
    <cellStyle name="40% - Accent6 4 3 4 3 4" xfId="28771"/>
    <cellStyle name="40% - Accent6 4 3 4 3 4 2" xfId="28772"/>
    <cellStyle name="40% - Accent6 4 3 4 3 5" xfId="28773"/>
    <cellStyle name="40% - Accent6 4 3 4 3 6" xfId="28774"/>
    <cellStyle name="40% - Accent6 4 3 4 4" xfId="28775"/>
    <cellStyle name="40% - Accent6 4 3 4 4 2" xfId="28776"/>
    <cellStyle name="40% - Accent6 4 3 4 4 2 2" xfId="28777"/>
    <cellStyle name="40% - Accent6 4 3 4 4 2 3" xfId="28778"/>
    <cellStyle name="40% - Accent6 4 3 4 4 3" xfId="28779"/>
    <cellStyle name="40% - Accent6 4 3 4 4 3 2" xfId="28780"/>
    <cellStyle name="40% - Accent6 4 3 4 4 4" xfId="28781"/>
    <cellStyle name="40% - Accent6 4 3 4 4 5" xfId="28782"/>
    <cellStyle name="40% - Accent6 4 3 4 5" xfId="28783"/>
    <cellStyle name="40% - Accent6 4 3 4 5 2" xfId="28784"/>
    <cellStyle name="40% - Accent6 4 3 4 5 3" xfId="28785"/>
    <cellStyle name="40% - Accent6 4 3 4 6" xfId="28786"/>
    <cellStyle name="40% - Accent6 4 3 4 6 2" xfId="28787"/>
    <cellStyle name="40% - Accent6 4 3 4 6 3" xfId="28788"/>
    <cellStyle name="40% - Accent6 4 3 4 7" xfId="28789"/>
    <cellStyle name="40% - Accent6 4 3 4 7 2" xfId="28790"/>
    <cellStyle name="40% - Accent6 4 3 4 8" xfId="28791"/>
    <cellStyle name="40% - Accent6 4 3 4 9" xfId="28792"/>
    <cellStyle name="40% - Accent6 4 3 5" xfId="28793"/>
    <cellStyle name="40% - Accent6 4 3 5 2" xfId="28794"/>
    <cellStyle name="40% - Accent6 4 3 5 2 2" xfId="28795"/>
    <cellStyle name="40% - Accent6 4 3 5 2 2 2" xfId="28796"/>
    <cellStyle name="40% - Accent6 4 3 5 2 2 3" xfId="28797"/>
    <cellStyle name="40% - Accent6 4 3 5 2 3" xfId="28798"/>
    <cellStyle name="40% - Accent6 4 3 5 2 3 2" xfId="28799"/>
    <cellStyle name="40% - Accent6 4 3 5 2 3 3" xfId="28800"/>
    <cellStyle name="40% - Accent6 4 3 5 2 4" xfId="28801"/>
    <cellStyle name="40% - Accent6 4 3 5 2 4 2" xfId="28802"/>
    <cellStyle name="40% - Accent6 4 3 5 2 5" xfId="28803"/>
    <cellStyle name="40% - Accent6 4 3 5 2 6" xfId="28804"/>
    <cellStyle name="40% - Accent6 4 3 5 3" xfId="28805"/>
    <cellStyle name="40% - Accent6 4 3 5 3 2" xfId="28806"/>
    <cellStyle name="40% - Accent6 4 3 5 3 2 2" xfId="28807"/>
    <cellStyle name="40% - Accent6 4 3 5 3 2 3" xfId="28808"/>
    <cellStyle name="40% - Accent6 4 3 5 3 3" xfId="28809"/>
    <cellStyle name="40% - Accent6 4 3 5 3 3 2" xfId="28810"/>
    <cellStyle name="40% - Accent6 4 3 5 3 3 3" xfId="28811"/>
    <cellStyle name="40% - Accent6 4 3 5 3 4" xfId="28812"/>
    <cellStyle name="40% - Accent6 4 3 5 3 4 2" xfId="28813"/>
    <cellStyle name="40% - Accent6 4 3 5 3 5" xfId="28814"/>
    <cellStyle name="40% - Accent6 4 3 5 3 6" xfId="28815"/>
    <cellStyle name="40% - Accent6 4 3 5 4" xfId="28816"/>
    <cellStyle name="40% - Accent6 4 3 5 4 2" xfId="28817"/>
    <cellStyle name="40% - Accent6 4 3 5 4 2 2" xfId="28818"/>
    <cellStyle name="40% - Accent6 4 3 5 4 2 3" xfId="28819"/>
    <cellStyle name="40% - Accent6 4 3 5 4 3" xfId="28820"/>
    <cellStyle name="40% - Accent6 4 3 5 4 3 2" xfId="28821"/>
    <cellStyle name="40% - Accent6 4 3 5 4 4" xfId="28822"/>
    <cellStyle name="40% - Accent6 4 3 5 4 5" xfId="28823"/>
    <cellStyle name="40% - Accent6 4 3 5 5" xfId="28824"/>
    <cellStyle name="40% - Accent6 4 3 5 5 2" xfId="28825"/>
    <cellStyle name="40% - Accent6 4 3 5 5 3" xfId="28826"/>
    <cellStyle name="40% - Accent6 4 3 5 6" xfId="28827"/>
    <cellStyle name="40% - Accent6 4 3 5 6 2" xfId="28828"/>
    <cellStyle name="40% - Accent6 4 3 5 6 3" xfId="28829"/>
    <cellStyle name="40% - Accent6 4 3 5 7" xfId="28830"/>
    <cellStyle name="40% - Accent6 4 3 5 7 2" xfId="28831"/>
    <cellStyle name="40% - Accent6 4 3 5 8" xfId="28832"/>
    <cellStyle name="40% - Accent6 4 3 5 9" xfId="28833"/>
    <cellStyle name="40% - Accent6 4 3 6" xfId="28834"/>
    <cellStyle name="40% - Accent6 4 3 6 2" xfId="28835"/>
    <cellStyle name="40% - Accent6 4 3 6 2 2" xfId="28836"/>
    <cellStyle name="40% - Accent6 4 3 6 2 3" xfId="28837"/>
    <cellStyle name="40% - Accent6 4 3 6 3" xfId="28838"/>
    <cellStyle name="40% - Accent6 4 3 6 3 2" xfId="28839"/>
    <cellStyle name="40% - Accent6 4 3 6 3 3" xfId="28840"/>
    <cellStyle name="40% - Accent6 4 3 6 4" xfId="28841"/>
    <cellStyle name="40% - Accent6 4 3 6 4 2" xfId="28842"/>
    <cellStyle name="40% - Accent6 4 3 6 5" xfId="28843"/>
    <cellStyle name="40% - Accent6 4 3 6 6" xfId="28844"/>
    <cellStyle name="40% - Accent6 4 3 7" xfId="28845"/>
    <cellStyle name="40% - Accent6 4 3 7 2" xfId="28846"/>
    <cellStyle name="40% - Accent6 4 3 7 2 2" xfId="28847"/>
    <cellStyle name="40% - Accent6 4 3 7 2 3" xfId="28848"/>
    <cellStyle name="40% - Accent6 4 3 7 3" xfId="28849"/>
    <cellStyle name="40% - Accent6 4 3 7 3 2" xfId="28850"/>
    <cellStyle name="40% - Accent6 4 3 7 3 3" xfId="28851"/>
    <cellStyle name="40% - Accent6 4 3 7 4" xfId="28852"/>
    <cellStyle name="40% - Accent6 4 3 7 4 2" xfId="28853"/>
    <cellStyle name="40% - Accent6 4 3 7 5" xfId="28854"/>
    <cellStyle name="40% - Accent6 4 3 7 6" xfId="28855"/>
    <cellStyle name="40% - Accent6 4 3 8" xfId="28856"/>
    <cellStyle name="40% - Accent6 4 3 8 2" xfId="28857"/>
    <cellStyle name="40% - Accent6 4 3 8 2 2" xfId="28858"/>
    <cellStyle name="40% - Accent6 4 3 8 2 3" xfId="28859"/>
    <cellStyle name="40% - Accent6 4 3 8 3" xfId="28860"/>
    <cellStyle name="40% - Accent6 4 3 8 3 2" xfId="28861"/>
    <cellStyle name="40% - Accent6 4 3 8 4" xfId="28862"/>
    <cellStyle name="40% - Accent6 4 3 8 5" xfId="28863"/>
    <cellStyle name="40% - Accent6 4 3 9" xfId="28864"/>
    <cellStyle name="40% - Accent6 4 3 9 2" xfId="28865"/>
    <cellStyle name="40% - Accent6 4 3 9 3" xfId="28866"/>
    <cellStyle name="40% - Accent6 4 4" xfId="2672"/>
    <cellStyle name="40% - Accent6 4 4 10" xfId="28867"/>
    <cellStyle name="40% - Accent6 4 4 10 2" xfId="28868"/>
    <cellStyle name="40% - Accent6 4 4 11" xfId="28869"/>
    <cellStyle name="40% - Accent6 4 4 12" xfId="28870"/>
    <cellStyle name="40% - Accent6 4 4 2" xfId="2673"/>
    <cellStyle name="40% - Accent6 4 4 2 10" xfId="28871"/>
    <cellStyle name="40% - Accent6 4 4 2 2" xfId="2674"/>
    <cellStyle name="40% - Accent6 4 4 2 2 2" xfId="28872"/>
    <cellStyle name="40% - Accent6 4 4 2 2 2 2" xfId="28873"/>
    <cellStyle name="40% - Accent6 4 4 2 2 2 2 2" xfId="28874"/>
    <cellStyle name="40% - Accent6 4 4 2 2 2 2 3" xfId="28875"/>
    <cellStyle name="40% - Accent6 4 4 2 2 2 3" xfId="28876"/>
    <cellStyle name="40% - Accent6 4 4 2 2 2 3 2" xfId="28877"/>
    <cellStyle name="40% - Accent6 4 4 2 2 2 3 3" xfId="28878"/>
    <cellStyle name="40% - Accent6 4 4 2 2 2 4" xfId="28879"/>
    <cellStyle name="40% - Accent6 4 4 2 2 2 4 2" xfId="28880"/>
    <cellStyle name="40% - Accent6 4 4 2 2 2 5" xfId="28881"/>
    <cellStyle name="40% - Accent6 4 4 2 2 2 6" xfId="28882"/>
    <cellStyle name="40% - Accent6 4 4 2 2 3" xfId="28883"/>
    <cellStyle name="40% - Accent6 4 4 2 2 3 2" xfId="28884"/>
    <cellStyle name="40% - Accent6 4 4 2 2 3 2 2" xfId="28885"/>
    <cellStyle name="40% - Accent6 4 4 2 2 3 2 3" xfId="28886"/>
    <cellStyle name="40% - Accent6 4 4 2 2 3 3" xfId="28887"/>
    <cellStyle name="40% - Accent6 4 4 2 2 3 3 2" xfId="28888"/>
    <cellStyle name="40% - Accent6 4 4 2 2 3 3 3" xfId="28889"/>
    <cellStyle name="40% - Accent6 4 4 2 2 3 4" xfId="28890"/>
    <cellStyle name="40% - Accent6 4 4 2 2 3 4 2" xfId="28891"/>
    <cellStyle name="40% - Accent6 4 4 2 2 3 5" xfId="28892"/>
    <cellStyle name="40% - Accent6 4 4 2 2 3 6" xfId="28893"/>
    <cellStyle name="40% - Accent6 4 4 2 2 4" xfId="28894"/>
    <cellStyle name="40% - Accent6 4 4 2 2 4 2" xfId="28895"/>
    <cellStyle name="40% - Accent6 4 4 2 2 4 2 2" xfId="28896"/>
    <cellStyle name="40% - Accent6 4 4 2 2 4 2 3" xfId="28897"/>
    <cellStyle name="40% - Accent6 4 4 2 2 4 3" xfId="28898"/>
    <cellStyle name="40% - Accent6 4 4 2 2 4 3 2" xfId="28899"/>
    <cellStyle name="40% - Accent6 4 4 2 2 4 4" xfId="28900"/>
    <cellStyle name="40% - Accent6 4 4 2 2 4 5" xfId="28901"/>
    <cellStyle name="40% - Accent6 4 4 2 2 5" xfId="28902"/>
    <cellStyle name="40% - Accent6 4 4 2 2 5 2" xfId="28903"/>
    <cellStyle name="40% - Accent6 4 4 2 2 5 3" xfId="28904"/>
    <cellStyle name="40% - Accent6 4 4 2 2 6" xfId="28905"/>
    <cellStyle name="40% - Accent6 4 4 2 2 6 2" xfId="28906"/>
    <cellStyle name="40% - Accent6 4 4 2 2 6 3" xfId="28907"/>
    <cellStyle name="40% - Accent6 4 4 2 2 7" xfId="28908"/>
    <cellStyle name="40% - Accent6 4 4 2 2 7 2" xfId="28909"/>
    <cellStyle name="40% - Accent6 4 4 2 2 8" xfId="28910"/>
    <cellStyle name="40% - Accent6 4 4 2 2 9" xfId="28911"/>
    <cellStyle name="40% - Accent6 4 4 2 3" xfId="28912"/>
    <cellStyle name="40% - Accent6 4 4 2 3 2" xfId="28913"/>
    <cellStyle name="40% - Accent6 4 4 2 3 2 2" xfId="28914"/>
    <cellStyle name="40% - Accent6 4 4 2 3 2 3" xfId="28915"/>
    <cellStyle name="40% - Accent6 4 4 2 3 3" xfId="28916"/>
    <cellStyle name="40% - Accent6 4 4 2 3 3 2" xfId="28917"/>
    <cellStyle name="40% - Accent6 4 4 2 3 3 3" xfId="28918"/>
    <cellStyle name="40% - Accent6 4 4 2 3 4" xfId="28919"/>
    <cellStyle name="40% - Accent6 4 4 2 3 4 2" xfId="28920"/>
    <cellStyle name="40% - Accent6 4 4 2 3 5" xfId="28921"/>
    <cellStyle name="40% - Accent6 4 4 2 3 6" xfId="28922"/>
    <cellStyle name="40% - Accent6 4 4 2 4" xfId="28923"/>
    <cellStyle name="40% - Accent6 4 4 2 4 2" xfId="28924"/>
    <cellStyle name="40% - Accent6 4 4 2 4 2 2" xfId="28925"/>
    <cellStyle name="40% - Accent6 4 4 2 4 2 3" xfId="28926"/>
    <cellStyle name="40% - Accent6 4 4 2 4 3" xfId="28927"/>
    <cellStyle name="40% - Accent6 4 4 2 4 3 2" xfId="28928"/>
    <cellStyle name="40% - Accent6 4 4 2 4 3 3" xfId="28929"/>
    <cellStyle name="40% - Accent6 4 4 2 4 4" xfId="28930"/>
    <cellStyle name="40% - Accent6 4 4 2 4 4 2" xfId="28931"/>
    <cellStyle name="40% - Accent6 4 4 2 4 5" xfId="28932"/>
    <cellStyle name="40% - Accent6 4 4 2 4 6" xfId="28933"/>
    <cellStyle name="40% - Accent6 4 4 2 5" xfId="28934"/>
    <cellStyle name="40% - Accent6 4 4 2 5 2" xfId="28935"/>
    <cellStyle name="40% - Accent6 4 4 2 5 2 2" xfId="28936"/>
    <cellStyle name="40% - Accent6 4 4 2 5 2 3" xfId="28937"/>
    <cellStyle name="40% - Accent6 4 4 2 5 3" xfId="28938"/>
    <cellStyle name="40% - Accent6 4 4 2 5 3 2" xfId="28939"/>
    <cellStyle name="40% - Accent6 4 4 2 5 4" xfId="28940"/>
    <cellStyle name="40% - Accent6 4 4 2 5 5" xfId="28941"/>
    <cellStyle name="40% - Accent6 4 4 2 6" xfId="28942"/>
    <cellStyle name="40% - Accent6 4 4 2 6 2" xfId="28943"/>
    <cellStyle name="40% - Accent6 4 4 2 6 3" xfId="28944"/>
    <cellStyle name="40% - Accent6 4 4 2 7" xfId="28945"/>
    <cellStyle name="40% - Accent6 4 4 2 7 2" xfId="28946"/>
    <cellStyle name="40% - Accent6 4 4 2 7 3" xfId="28947"/>
    <cellStyle name="40% - Accent6 4 4 2 8" xfId="28948"/>
    <cellStyle name="40% - Accent6 4 4 2 8 2" xfId="28949"/>
    <cellStyle name="40% - Accent6 4 4 2 9" xfId="28950"/>
    <cellStyle name="40% - Accent6 4 4 3" xfId="2675"/>
    <cellStyle name="40% - Accent6 4 4 3 2" xfId="28951"/>
    <cellStyle name="40% - Accent6 4 4 3 2 2" xfId="28952"/>
    <cellStyle name="40% - Accent6 4 4 3 2 2 2" xfId="28953"/>
    <cellStyle name="40% - Accent6 4 4 3 2 2 3" xfId="28954"/>
    <cellStyle name="40% - Accent6 4 4 3 2 3" xfId="28955"/>
    <cellStyle name="40% - Accent6 4 4 3 2 3 2" xfId="28956"/>
    <cellStyle name="40% - Accent6 4 4 3 2 3 3" xfId="28957"/>
    <cellStyle name="40% - Accent6 4 4 3 2 4" xfId="28958"/>
    <cellStyle name="40% - Accent6 4 4 3 2 4 2" xfId="28959"/>
    <cellStyle name="40% - Accent6 4 4 3 2 5" xfId="28960"/>
    <cellStyle name="40% - Accent6 4 4 3 2 6" xfId="28961"/>
    <cellStyle name="40% - Accent6 4 4 3 3" xfId="28962"/>
    <cellStyle name="40% - Accent6 4 4 3 3 2" xfId="28963"/>
    <cellStyle name="40% - Accent6 4 4 3 3 2 2" xfId="28964"/>
    <cellStyle name="40% - Accent6 4 4 3 3 2 3" xfId="28965"/>
    <cellStyle name="40% - Accent6 4 4 3 3 3" xfId="28966"/>
    <cellStyle name="40% - Accent6 4 4 3 3 3 2" xfId="28967"/>
    <cellStyle name="40% - Accent6 4 4 3 3 3 3" xfId="28968"/>
    <cellStyle name="40% - Accent6 4 4 3 3 4" xfId="28969"/>
    <cellStyle name="40% - Accent6 4 4 3 3 4 2" xfId="28970"/>
    <cellStyle name="40% - Accent6 4 4 3 3 5" xfId="28971"/>
    <cellStyle name="40% - Accent6 4 4 3 3 6" xfId="28972"/>
    <cellStyle name="40% - Accent6 4 4 3 4" xfId="28973"/>
    <cellStyle name="40% - Accent6 4 4 3 4 2" xfId="28974"/>
    <cellStyle name="40% - Accent6 4 4 3 4 2 2" xfId="28975"/>
    <cellStyle name="40% - Accent6 4 4 3 4 2 3" xfId="28976"/>
    <cellStyle name="40% - Accent6 4 4 3 4 3" xfId="28977"/>
    <cellStyle name="40% - Accent6 4 4 3 4 3 2" xfId="28978"/>
    <cellStyle name="40% - Accent6 4 4 3 4 4" xfId="28979"/>
    <cellStyle name="40% - Accent6 4 4 3 4 5" xfId="28980"/>
    <cellStyle name="40% - Accent6 4 4 3 5" xfId="28981"/>
    <cellStyle name="40% - Accent6 4 4 3 5 2" xfId="28982"/>
    <cellStyle name="40% - Accent6 4 4 3 5 3" xfId="28983"/>
    <cellStyle name="40% - Accent6 4 4 3 6" xfId="28984"/>
    <cellStyle name="40% - Accent6 4 4 3 6 2" xfId="28985"/>
    <cellStyle name="40% - Accent6 4 4 3 6 3" xfId="28986"/>
    <cellStyle name="40% - Accent6 4 4 3 7" xfId="28987"/>
    <cellStyle name="40% - Accent6 4 4 3 7 2" xfId="28988"/>
    <cellStyle name="40% - Accent6 4 4 3 8" xfId="28989"/>
    <cellStyle name="40% - Accent6 4 4 3 9" xfId="28990"/>
    <cellStyle name="40% - Accent6 4 4 4" xfId="28991"/>
    <cellStyle name="40% - Accent6 4 4 4 2" xfId="28992"/>
    <cellStyle name="40% - Accent6 4 4 4 2 2" xfId="28993"/>
    <cellStyle name="40% - Accent6 4 4 4 2 2 2" xfId="28994"/>
    <cellStyle name="40% - Accent6 4 4 4 2 2 3" xfId="28995"/>
    <cellStyle name="40% - Accent6 4 4 4 2 3" xfId="28996"/>
    <cellStyle name="40% - Accent6 4 4 4 2 3 2" xfId="28997"/>
    <cellStyle name="40% - Accent6 4 4 4 2 3 3" xfId="28998"/>
    <cellStyle name="40% - Accent6 4 4 4 2 4" xfId="28999"/>
    <cellStyle name="40% - Accent6 4 4 4 2 4 2" xfId="29000"/>
    <cellStyle name="40% - Accent6 4 4 4 2 5" xfId="29001"/>
    <cellStyle name="40% - Accent6 4 4 4 2 6" xfId="29002"/>
    <cellStyle name="40% - Accent6 4 4 4 3" xfId="29003"/>
    <cellStyle name="40% - Accent6 4 4 4 3 2" xfId="29004"/>
    <cellStyle name="40% - Accent6 4 4 4 3 2 2" xfId="29005"/>
    <cellStyle name="40% - Accent6 4 4 4 3 2 3" xfId="29006"/>
    <cellStyle name="40% - Accent6 4 4 4 3 3" xfId="29007"/>
    <cellStyle name="40% - Accent6 4 4 4 3 3 2" xfId="29008"/>
    <cellStyle name="40% - Accent6 4 4 4 3 3 3" xfId="29009"/>
    <cellStyle name="40% - Accent6 4 4 4 3 4" xfId="29010"/>
    <cellStyle name="40% - Accent6 4 4 4 3 4 2" xfId="29011"/>
    <cellStyle name="40% - Accent6 4 4 4 3 5" xfId="29012"/>
    <cellStyle name="40% - Accent6 4 4 4 3 6" xfId="29013"/>
    <cellStyle name="40% - Accent6 4 4 4 4" xfId="29014"/>
    <cellStyle name="40% - Accent6 4 4 4 4 2" xfId="29015"/>
    <cellStyle name="40% - Accent6 4 4 4 4 2 2" xfId="29016"/>
    <cellStyle name="40% - Accent6 4 4 4 4 2 3" xfId="29017"/>
    <cellStyle name="40% - Accent6 4 4 4 4 3" xfId="29018"/>
    <cellStyle name="40% - Accent6 4 4 4 4 3 2" xfId="29019"/>
    <cellStyle name="40% - Accent6 4 4 4 4 4" xfId="29020"/>
    <cellStyle name="40% - Accent6 4 4 4 4 5" xfId="29021"/>
    <cellStyle name="40% - Accent6 4 4 4 5" xfId="29022"/>
    <cellStyle name="40% - Accent6 4 4 4 5 2" xfId="29023"/>
    <cellStyle name="40% - Accent6 4 4 4 5 3" xfId="29024"/>
    <cellStyle name="40% - Accent6 4 4 4 6" xfId="29025"/>
    <cellStyle name="40% - Accent6 4 4 4 6 2" xfId="29026"/>
    <cellStyle name="40% - Accent6 4 4 4 6 3" xfId="29027"/>
    <cellStyle name="40% - Accent6 4 4 4 7" xfId="29028"/>
    <cellStyle name="40% - Accent6 4 4 4 7 2" xfId="29029"/>
    <cellStyle name="40% - Accent6 4 4 4 8" xfId="29030"/>
    <cellStyle name="40% - Accent6 4 4 4 9" xfId="29031"/>
    <cellStyle name="40% - Accent6 4 4 5" xfId="29032"/>
    <cellStyle name="40% - Accent6 4 4 5 2" xfId="29033"/>
    <cellStyle name="40% - Accent6 4 4 5 2 2" xfId="29034"/>
    <cellStyle name="40% - Accent6 4 4 5 2 3" xfId="29035"/>
    <cellStyle name="40% - Accent6 4 4 5 3" xfId="29036"/>
    <cellStyle name="40% - Accent6 4 4 5 3 2" xfId="29037"/>
    <cellStyle name="40% - Accent6 4 4 5 3 3" xfId="29038"/>
    <cellStyle name="40% - Accent6 4 4 5 4" xfId="29039"/>
    <cellStyle name="40% - Accent6 4 4 5 4 2" xfId="29040"/>
    <cellStyle name="40% - Accent6 4 4 5 5" xfId="29041"/>
    <cellStyle name="40% - Accent6 4 4 5 6" xfId="29042"/>
    <cellStyle name="40% - Accent6 4 4 6" xfId="29043"/>
    <cellStyle name="40% - Accent6 4 4 6 2" xfId="29044"/>
    <cellStyle name="40% - Accent6 4 4 6 2 2" xfId="29045"/>
    <cellStyle name="40% - Accent6 4 4 6 2 3" xfId="29046"/>
    <cellStyle name="40% - Accent6 4 4 6 3" xfId="29047"/>
    <cellStyle name="40% - Accent6 4 4 6 3 2" xfId="29048"/>
    <cellStyle name="40% - Accent6 4 4 6 3 3" xfId="29049"/>
    <cellStyle name="40% - Accent6 4 4 6 4" xfId="29050"/>
    <cellStyle name="40% - Accent6 4 4 6 4 2" xfId="29051"/>
    <cellStyle name="40% - Accent6 4 4 6 5" xfId="29052"/>
    <cellStyle name="40% - Accent6 4 4 6 6" xfId="29053"/>
    <cellStyle name="40% - Accent6 4 4 7" xfId="29054"/>
    <cellStyle name="40% - Accent6 4 4 7 2" xfId="29055"/>
    <cellStyle name="40% - Accent6 4 4 7 2 2" xfId="29056"/>
    <cellStyle name="40% - Accent6 4 4 7 2 3" xfId="29057"/>
    <cellStyle name="40% - Accent6 4 4 7 3" xfId="29058"/>
    <cellStyle name="40% - Accent6 4 4 7 3 2" xfId="29059"/>
    <cellStyle name="40% - Accent6 4 4 7 4" xfId="29060"/>
    <cellStyle name="40% - Accent6 4 4 7 5" xfId="29061"/>
    <cellStyle name="40% - Accent6 4 4 8" xfId="29062"/>
    <cellStyle name="40% - Accent6 4 4 8 2" xfId="29063"/>
    <cellStyle name="40% - Accent6 4 4 8 3" xfId="29064"/>
    <cellStyle name="40% - Accent6 4 4 9" xfId="29065"/>
    <cellStyle name="40% - Accent6 4 4 9 2" xfId="29066"/>
    <cellStyle name="40% - Accent6 4 4 9 3" xfId="29067"/>
    <cellStyle name="40% - Accent6 4 5" xfId="2676"/>
    <cellStyle name="40% - Accent6 4 5 10" xfId="29068"/>
    <cellStyle name="40% - Accent6 4 5 2" xfId="2677"/>
    <cellStyle name="40% - Accent6 4 5 2 2" xfId="29069"/>
    <cellStyle name="40% - Accent6 4 5 2 2 2" xfId="29070"/>
    <cellStyle name="40% - Accent6 4 5 2 2 2 2" xfId="29071"/>
    <cellStyle name="40% - Accent6 4 5 2 2 2 3" xfId="29072"/>
    <cellStyle name="40% - Accent6 4 5 2 2 3" xfId="29073"/>
    <cellStyle name="40% - Accent6 4 5 2 2 3 2" xfId="29074"/>
    <cellStyle name="40% - Accent6 4 5 2 2 3 3" xfId="29075"/>
    <cellStyle name="40% - Accent6 4 5 2 2 4" xfId="29076"/>
    <cellStyle name="40% - Accent6 4 5 2 2 4 2" xfId="29077"/>
    <cellStyle name="40% - Accent6 4 5 2 2 5" xfId="29078"/>
    <cellStyle name="40% - Accent6 4 5 2 2 6" xfId="29079"/>
    <cellStyle name="40% - Accent6 4 5 2 3" xfId="29080"/>
    <cellStyle name="40% - Accent6 4 5 2 3 2" xfId="29081"/>
    <cellStyle name="40% - Accent6 4 5 2 3 2 2" xfId="29082"/>
    <cellStyle name="40% - Accent6 4 5 2 3 2 3" xfId="29083"/>
    <cellStyle name="40% - Accent6 4 5 2 3 3" xfId="29084"/>
    <cellStyle name="40% - Accent6 4 5 2 3 3 2" xfId="29085"/>
    <cellStyle name="40% - Accent6 4 5 2 3 3 3" xfId="29086"/>
    <cellStyle name="40% - Accent6 4 5 2 3 4" xfId="29087"/>
    <cellStyle name="40% - Accent6 4 5 2 3 4 2" xfId="29088"/>
    <cellStyle name="40% - Accent6 4 5 2 3 5" xfId="29089"/>
    <cellStyle name="40% - Accent6 4 5 2 3 6" xfId="29090"/>
    <cellStyle name="40% - Accent6 4 5 2 4" xfId="29091"/>
    <cellStyle name="40% - Accent6 4 5 2 4 2" xfId="29092"/>
    <cellStyle name="40% - Accent6 4 5 2 4 2 2" xfId="29093"/>
    <cellStyle name="40% - Accent6 4 5 2 4 2 3" xfId="29094"/>
    <cellStyle name="40% - Accent6 4 5 2 4 3" xfId="29095"/>
    <cellStyle name="40% - Accent6 4 5 2 4 3 2" xfId="29096"/>
    <cellStyle name="40% - Accent6 4 5 2 4 4" xfId="29097"/>
    <cellStyle name="40% - Accent6 4 5 2 4 5" xfId="29098"/>
    <cellStyle name="40% - Accent6 4 5 2 5" xfId="29099"/>
    <cellStyle name="40% - Accent6 4 5 2 5 2" xfId="29100"/>
    <cellStyle name="40% - Accent6 4 5 2 5 3" xfId="29101"/>
    <cellStyle name="40% - Accent6 4 5 2 6" xfId="29102"/>
    <cellStyle name="40% - Accent6 4 5 2 6 2" xfId="29103"/>
    <cellStyle name="40% - Accent6 4 5 2 6 3" xfId="29104"/>
    <cellStyle name="40% - Accent6 4 5 2 7" xfId="29105"/>
    <cellStyle name="40% - Accent6 4 5 2 7 2" xfId="29106"/>
    <cellStyle name="40% - Accent6 4 5 2 8" xfId="29107"/>
    <cellStyle name="40% - Accent6 4 5 2 9" xfId="29108"/>
    <cellStyle name="40% - Accent6 4 5 3" xfId="29109"/>
    <cellStyle name="40% - Accent6 4 5 3 2" xfId="29110"/>
    <cellStyle name="40% - Accent6 4 5 3 2 2" xfId="29111"/>
    <cellStyle name="40% - Accent6 4 5 3 2 3" xfId="29112"/>
    <cellStyle name="40% - Accent6 4 5 3 3" xfId="29113"/>
    <cellStyle name="40% - Accent6 4 5 3 3 2" xfId="29114"/>
    <cellStyle name="40% - Accent6 4 5 3 3 3" xfId="29115"/>
    <cellStyle name="40% - Accent6 4 5 3 4" xfId="29116"/>
    <cellStyle name="40% - Accent6 4 5 3 4 2" xfId="29117"/>
    <cellStyle name="40% - Accent6 4 5 3 5" xfId="29118"/>
    <cellStyle name="40% - Accent6 4 5 3 6" xfId="29119"/>
    <cellStyle name="40% - Accent6 4 5 4" xfId="29120"/>
    <cellStyle name="40% - Accent6 4 5 4 2" xfId="29121"/>
    <cellStyle name="40% - Accent6 4 5 4 2 2" xfId="29122"/>
    <cellStyle name="40% - Accent6 4 5 4 2 3" xfId="29123"/>
    <cellStyle name="40% - Accent6 4 5 4 3" xfId="29124"/>
    <cellStyle name="40% - Accent6 4 5 4 3 2" xfId="29125"/>
    <cellStyle name="40% - Accent6 4 5 4 3 3" xfId="29126"/>
    <cellStyle name="40% - Accent6 4 5 4 4" xfId="29127"/>
    <cellStyle name="40% - Accent6 4 5 4 4 2" xfId="29128"/>
    <cellStyle name="40% - Accent6 4 5 4 5" xfId="29129"/>
    <cellStyle name="40% - Accent6 4 5 4 6" xfId="29130"/>
    <cellStyle name="40% - Accent6 4 5 5" xfId="29131"/>
    <cellStyle name="40% - Accent6 4 5 5 2" xfId="29132"/>
    <cellStyle name="40% - Accent6 4 5 5 2 2" xfId="29133"/>
    <cellStyle name="40% - Accent6 4 5 5 2 3" xfId="29134"/>
    <cellStyle name="40% - Accent6 4 5 5 3" xfId="29135"/>
    <cellStyle name="40% - Accent6 4 5 5 3 2" xfId="29136"/>
    <cellStyle name="40% - Accent6 4 5 5 4" xfId="29137"/>
    <cellStyle name="40% - Accent6 4 5 5 5" xfId="29138"/>
    <cellStyle name="40% - Accent6 4 5 6" xfId="29139"/>
    <cellStyle name="40% - Accent6 4 5 6 2" xfId="29140"/>
    <cellStyle name="40% - Accent6 4 5 6 3" xfId="29141"/>
    <cellStyle name="40% - Accent6 4 5 7" xfId="29142"/>
    <cellStyle name="40% - Accent6 4 5 7 2" xfId="29143"/>
    <cellStyle name="40% - Accent6 4 5 7 3" xfId="29144"/>
    <cellStyle name="40% - Accent6 4 5 8" xfId="29145"/>
    <cellStyle name="40% - Accent6 4 5 8 2" xfId="29146"/>
    <cellStyle name="40% - Accent6 4 5 9" xfId="29147"/>
    <cellStyle name="40% - Accent6 4 6" xfId="2678"/>
    <cellStyle name="40% - Accent6 4 6 2" xfId="29148"/>
    <cellStyle name="40% - Accent6 4 6 2 2" xfId="29149"/>
    <cellStyle name="40% - Accent6 4 6 2 2 2" xfId="29150"/>
    <cellStyle name="40% - Accent6 4 6 2 2 3" xfId="29151"/>
    <cellStyle name="40% - Accent6 4 6 2 3" xfId="29152"/>
    <cellStyle name="40% - Accent6 4 6 2 3 2" xfId="29153"/>
    <cellStyle name="40% - Accent6 4 6 2 3 3" xfId="29154"/>
    <cellStyle name="40% - Accent6 4 6 2 4" xfId="29155"/>
    <cellStyle name="40% - Accent6 4 6 2 4 2" xfId="29156"/>
    <cellStyle name="40% - Accent6 4 6 2 5" xfId="29157"/>
    <cellStyle name="40% - Accent6 4 6 2 6" xfId="29158"/>
    <cellStyle name="40% - Accent6 4 6 3" xfId="29159"/>
    <cellStyle name="40% - Accent6 4 6 3 2" xfId="29160"/>
    <cellStyle name="40% - Accent6 4 6 3 2 2" xfId="29161"/>
    <cellStyle name="40% - Accent6 4 6 3 2 3" xfId="29162"/>
    <cellStyle name="40% - Accent6 4 6 3 3" xfId="29163"/>
    <cellStyle name="40% - Accent6 4 6 3 3 2" xfId="29164"/>
    <cellStyle name="40% - Accent6 4 6 3 3 3" xfId="29165"/>
    <cellStyle name="40% - Accent6 4 6 3 4" xfId="29166"/>
    <cellStyle name="40% - Accent6 4 6 3 4 2" xfId="29167"/>
    <cellStyle name="40% - Accent6 4 6 3 5" xfId="29168"/>
    <cellStyle name="40% - Accent6 4 6 3 6" xfId="29169"/>
    <cellStyle name="40% - Accent6 4 6 4" xfId="29170"/>
    <cellStyle name="40% - Accent6 4 6 4 2" xfId="29171"/>
    <cellStyle name="40% - Accent6 4 6 4 2 2" xfId="29172"/>
    <cellStyle name="40% - Accent6 4 6 4 2 3" xfId="29173"/>
    <cellStyle name="40% - Accent6 4 6 4 3" xfId="29174"/>
    <cellStyle name="40% - Accent6 4 6 4 3 2" xfId="29175"/>
    <cellStyle name="40% - Accent6 4 6 4 4" xfId="29176"/>
    <cellStyle name="40% - Accent6 4 6 4 5" xfId="29177"/>
    <cellStyle name="40% - Accent6 4 6 5" xfId="29178"/>
    <cellStyle name="40% - Accent6 4 6 5 2" xfId="29179"/>
    <cellStyle name="40% - Accent6 4 6 5 3" xfId="29180"/>
    <cellStyle name="40% - Accent6 4 6 6" xfId="29181"/>
    <cellStyle name="40% - Accent6 4 6 6 2" xfId="29182"/>
    <cellStyle name="40% - Accent6 4 6 6 3" xfId="29183"/>
    <cellStyle name="40% - Accent6 4 6 7" xfId="29184"/>
    <cellStyle name="40% - Accent6 4 6 7 2" xfId="29185"/>
    <cellStyle name="40% - Accent6 4 6 8" xfId="29186"/>
    <cellStyle name="40% - Accent6 4 6 9" xfId="29187"/>
    <cellStyle name="40% - Accent6 4 7" xfId="9009"/>
    <cellStyle name="40% - Accent6 4 7 2" xfId="29188"/>
    <cellStyle name="40% - Accent6 4 7 2 2" xfId="29189"/>
    <cellStyle name="40% - Accent6 4 7 2 2 2" xfId="29190"/>
    <cellStyle name="40% - Accent6 4 7 2 2 3" xfId="29191"/>
    <cellStyle name="40% - Accent6 4 7 2 3" xfId="29192"/>
    <cellStyle name="40% - Accent6 4 7 2 3 2" xfId="29193"/>
    <cellStyle name="40% - Accent6 4 7 2 3 3" xfId="29194"/>
    <cellStyle name="40% - Accent6 4 7 2 4" xfId="29195"/>
    <cellStyle name="40% - Accent6 4 7 2 4 2" xfId="29196"/>
    <cellStyle name="40% - Accent6 4 7 2 5" xfId="29197"/>
    <cellStyle name="40% - Accent6 4 7 2 6" xfId="29198"/>
    <cellStyle name="40% - Accent6 4 7 3" xfId="29199"/>
    <cellStyle name="40% - Accent6 4 7 3 2" xfId="29200"/>
    <cellStyle name="40% - Accent6 4 7 3 2 2" xfId="29201"/>
    <cellStyle name="40% - Accent6 4 7 3 2 3" xfId="29202"/>
    <cellStyle name="40% - Accent6 4 7 3 3" xfId="29203"/>
    <cellStyle name="40% - Accent6 4 7 3 3 2" xfId="29204"/>
    <cellStyle name="40% - Accent6 4 7 3 3 3" xfId="29205"/>
    <cellStyle name="40% - Accent6 4 7 3 4" xfId="29206"/>
    <cellStyle name="40% - Accent6 4 7 3 4 2" xfId="29207"/>
    <cellStyle name="40% - Accent6 4 7 3 5" xfId="29208"/>
    <cellStyle name="40% - Accent6 4 7 3 6" xfId="29209"/>
    <cellStyle name="40% - Accent6 4 7 4" xfId="29210"/>
    <cellStyle name="40% - Accent6 4 7 4 2" xfId="29211"/>
    <cellStyle name="40% - Accent6 4 7 4 2 2" xfId="29212"/>
    <cellStyle name="40% - Accent6 4 7 4 2 3" xfId="29213"/>
    <cellStyle name="40% - Accent6 4 7 4 3" xfId="29214"/>
    <cellStyle name="40% - Accent6 4 7 4 3 2" xfId="29215"/>
    <cellStyle name="40% - Accent6 4 7 4 4" xfId="29216"/>
    <cellStyle name="40% - Accent6 4 7 4 5" xfId="29217"/>
    <cellStyle name="40% - Accent6 4 7 5" xfId="29218"/>
    <cellStyle name="40% - Accent6 4 7 5 2" xfId="29219"/>
    <cellStyle name="40% - Accent6 4 7 5 3" xfId="29220"/>
    <cellStyle name="40% - Accent6 4 7 6" xfId="29221"/>
    <cellStyle name="40% - Accent6 4 7 6 2" xfId="29222"/>
    <cellStyle name="40% - Accent6 4 7 6 3" xfId="29223"/>
    <cellStyle name="40% - Accent6 4 7 7" xfId="29224"/>
    <cellStyle name="40% - Accent6 4 7 7 2" xfId="29225"/>
    <cellStyle name="40% - Accent6 4 7 8" xfId="29226"/>
    <cellStyle name="40% - Accent6 4 7 9" xfId="29227"/>
    <cellStyle name="40% - Accent6 4 8" xfId="29228"/>
    <cellStyle name="40% - Accent6 4 8 2" xfId="29229"/>
    <cellStyle name="40% - Accent6 4 8 2 2" xfId="29230"/>
    <cellStyle name="40% - Accent6 4 8 2 3" xfId="29231"/>
    <cellStyle name="40% - Accent6 4 8 3" xfId="29232"/>
    <cellStyle name="40% - Accent6 4 8 3 2" xfId="29233"/>
    <cellStyle name="40% - Accent6 4 8 3 3" xfId="29234"/>
    <cellStyle name="40% - Accent6 4 8 4" xfId="29235"/>
    <cellStyle name="40% - Accent6 4 8 4 2" xfId="29236"/>
    <cellStyle name="40% - Accent6 4 8 5" xfId="29237"/>
    <cellStyle name="40% - Accent6 4 8 6" xfId="29238"/>
    <cellStyle name="40% - Accent6 4 9" xfId="29239"/>
    <cellStyle name="40% - Accent6 4 9 2" xfId="29240"/>
    <cellStyle name="40% - Accent6 4 9 2 2" xfId="29241"/>
    <cellStyle name="40% - Accent6 4 9 2 3" xfId="29242"/>
    <cellStyle name="40% - Accent6 4 9 3" xfId="29243"/>
    <cellStyle name="40% - Accent6 4 9 3 2" xfId="29244"/>
    <cellStyle name="40% - Accent6 4 9 3 3" xfId="29245"/>
    <cellStyle name="40% - Accent6 4 9 4" xfId="29246"/>
    <cellStyle name="40% - Accent6 4 9 4 2" xfId="29247"/>
    <cellStyle name="40% - Accent6 4 9 5" xfId="29248"/>
    <cellStyle name="40% - Accent6 4 9 6" xfId="29249"/>
    <cellStyle name="40% - Accent6 5" xfId="2679"/>
    <cellStyle name="40% - Accent6 5 2" xfId="2680"/>
    <cellStyle name="40% - Accent6 5 2 2" xfId="2681"/>
    <cellStyle name="40% - Accent6 5 2 2 2" xfId="2682"/>
    <cellStyle name="40% - Accent6 5 2 2 2 2" xfId="2683"/>
    <cellStyle name="40% - Accent6 5 2 2 3" xfId="2684"/>
    <cellStyle name="40% - Accent6 5 2 3" xfId="2685"/>
    <cellStyle name="40% - Accent6 5 2 3 2" xfId="2686"/>
    <cellStyle name="40% - Accent6 5 2 4" xfId="2687"/>
    <cellStyle name="40% - Accent6 5 2 5" xfId="58126"/>
    <cellStyle name="40% - Accent6 5 3" xfId="2688"/>
    <cellStyle name="40% - Accent6 5 3 2" xfId="2689"/>
    <cellStyle name="40% - Accent6 5 3 2 2" xfId="2690"/>
    <cellStyle name="40% - Accent6 5 3 3" xfId="2691"/>
    <cellStyle name="40% - Accent6 5 4" xfId="2692"/>
    <cellStyle name="40% - Accent6 5 4 2" xfId="2693"/>
    <cellStyle name="40% - Accent6 5 5" xfId="2694"/>
    <cellStyle name="40% - Accent6 5 6" xfId="9010"/>
    <cellStyle name="40% - Accent6 6" xfId="2695"/>
    <cellStyle name="40% - Accent6 6 2" xfId="2696"/>
    <cellStyle name="40% - Accent6 6 2 2" xfId="2697"/>
    <cellStyle name="40% - Accent6 6 2 2 2" xfId="2698"/>
    <cellStyle name="40% - Accent6 6 2 3" xfId="2699"/>
    <cellStyle name="40% - Accent6 6 2 4" xfId="58127"/>
    <cellStyle name="40% - Accent6 6 2 5" xfId="58128"/>
    <cellStyle name="40% - Accent6 6 3" xfId="2700"/>
    <cellStyle name="40% - Accent6 6 3 2" xfId="2701"/>
    <cellStyle name="40% - Accent6 6 4" xfId="2702"/>
    <cellStyle name="40% - Accent6 6 5" xfId="58129"/>
    <cellStyle name="40% - Accent6 7" xfId="2703"/>
    <cellStyle name="40% - Accent6 7 2" xfId="2704"/>
    <cellStyle name="40% - Accent6 7 2 2" xfId="2705"/>
    <cellStyle name="40% - Accent6 7 2 2 2" xfId="2706"/>
    <cellStyle name="40% - Accent6 7 2 3" xfId="2707"/>
    <cellStyle name="40% - Accent6 7 3" xfId="2708"/>
    <cellStyle name="40% - Accent6 7 3 2" xfId="2709"/>
    <cellStyle name="40% - Accent6 7 4" xfId="2710"/>
    <cellStyle name="40% - Accent6 7 5" xfId="58130"/>
    <cellStyle name="40% - Accent6 8" xfId="2711"/>
    <cellStyle name="40% - Accent6 8 2" xfId="2712"/>
    <cellStyle name="40% - Accent6 8 2 2" xfId="2713"/>
    <cellStyle name="40% - Accent6 8 2 2 2" xfId="2714"/>
    <cellStyle name="40% - Accent6 8 2 3" xfId="2715"/>
    <cellStyle name="40% - Accent6 8 3" xfId="2716"/>
    <cellStyle name="40% - Accent6 8 3 2" xfId="2717"/>
    <cellStyle name="40% - Accent6 8 4" xfId="2718"/>
    <cellStyle name="40% - Accent6 8 5" xfId="58131"/>
    <cellStyle name="40% - Accent6 9" xfId="2719"/>
    <cellStyle name="40% - Accent6 9 2" xfId="2720"/>
    <cellStyle name="40% - Accent6 9 2 2" xfId="2721"/>
    <cellStyle name="40% - Accent6 9 3" xfId="2722"/>
    <cellStyle name="40% - Accent6 9 4" xfId="58132"/>
    <cellStyle name="60% - Accent1 10" xfId="9414"/>
    <cellStyle name="60% - Accent1 11" xfId="9415"/>
    <cellStyle name="60% - Accent1 12" xfId="9416"/>
    <cellStyle name="60% - Accent1 13" xfId="9417"/>
    <cellStyle name="60% - Accent1 14" xfId="9418"/>
    <cellStyle name="60% - Accent1 15" xfId="9419"/>
    <cellStyle name="60% - Accent1 16" xfId="9420"/>
    <cellStyle name="60% - Accent1 17" xfId="9421"/>
    <cellStyle name="60% - Accent1 17 2" xfId="58133"/>
    <cellStyle name="60% - Accent1 2" xfId="2723"/>
    <cellStyle name="60% - Accent1 2 2" xfId="2724"/>
    <cellStyle name="60% - Accent1 2 2 2" xfId="29250"/>
    <cellStyle name="60% - Accent1 2 3" xfId="29251"/>
    <cellStyle name="60% - Accent1 2 4" xfId="29252"/>
    <cellStyle name="60% - Accent1 2 5" xfId="29253"/>
    <cellStyle name="60% - Accent1 2 6" xfId="29254"/>
    <cellStyle name="60% - Accent1 3" xfId="2725"/>
    <cellStyle name="60% - Accent1 3 2" xfId="9011"/>
    <cellStyle name="60% - Accent1 3 3" xfId="29255"/>
    <cellStyle name="60% - Accent1 4" xfId="2726"/>
    <cellStyle name="60% - Accent1 4 2" xfId="29256"/>
    <cellStyle name="60% - Accent1 4 3" xfId="29257"/>
    <cellStyle name="60% - Accent1 5" xfId="9012"/>
    <cellStyle name="60% - Accent1 5 2" xfId="29258"/>
    <cellStyle name="60% - Accent1 6" xfId="9422"/>
    <cellStyle name="60% - Accent1 6 2" xfId="29259"/>
    <cellStyle name="60% - Accent1 7" xfId="9423"/>
    <cellStyle name="60% - Accent1 7 2" xfId="29260"/>
    <cellStyle name="60% - Accent1 8" xfId="9424"/>
    <cellStyle name="60% - Accent1 8 2" xfId="29261"/>
    <cellStyle name="60% - Accent1 9" xfId="9425"/>
    <cellStyle name="60% - Accent2 10" xfId="9426"/>
    <cellStyle name="60% - Accent2 11" xfId="9427"/>
    <cellStyle name="60% - Accent2 12" xfId="9428"/>
    <cellStyle name="60% - Accent2 13" xfId="9429"/>
    <cellStyle name="60% - Accent2 14" xfId="9430"/>
    <cellStyle name="60% - Accent2 15" xfId="9431"/>
    <cellStyle name="60% - Accent2 16" xfId="9432"/>
    <cellStyle name="60% - Accent2 17" xfId="9433"/>
    <cellStyle name="60% - Accent2 17 2" xfId="58134"/>
    <cellStyle name="60% - Accent2 2" xfId="2727"/>
    <cellStyle name="60% - Accent2 2 2" xfId="2728"/>
    <cellStyle name="60% - Accent2 2 2 2" xfId="29262"/>
    <cellStyle name="60% - Accent2 2 3" xfId="29263"/>
    <cellStyle name="60% - Accent2 2 4" xfId="29264"/>
    <cellStyle name="60% - Accent2 2 5" xfId="29265"/>
    <cellStyle name="60% - Accent2 2 6" xfId="29266"/>
    <cellStyle name="60% - Accent2 3" xfId="2729"/>
    <cellStyle name="60% - Accent2 3 2" xfId="9013"/>
    <cellStyle name="60% - Accent2 3 3" xfId="29267"/>
    <cellStyle name="60% - Accent2 4" xfId="2730"/>
    <cellStyle name="60% - Accent2 4 2" xfId="29268"/>
    <cellStyle name="60% - Accent2 4 3" xfId="29269"/>
    <cellStyle name="60% - Accent2 5" xfId="9014"/>
    <cellStyle name="60% - Accent2 5 2" xfId="29270"/>
    <cellStyle name="60% - Accent2 6" xfId="9434"/>
    <cellStyle name="60% - Accent2 6 2" xfId="29271"/>
    <cellStyle name="60% - Accent2 7" xfId="9435"/>
    <cellStyle name="60% - Accent2 7 2" xfId="29272"/>
    <cellStyle name="60% - Accent2 8" xfId="9436"/>
    <cellStyle name="60% - Accent2 8 2" xfId="29273"/>
    <cellStyle name="60% - Accent2 9" xfId="9437"/>
    <cellStyle name="60% - Accent3 10" xfId="9438"/>
    <cellStyle name="60% - Accent3 11" xfId="9439"/>
    <cellStyle name="60% - Accent3 12" xfId="9440"/>
    <cellStyle name="60% - Accent3 13" xfId="9441"/>
    <cellStyle name="60% - Accent3 14" xfId="9442"/>
    <cellStyle name="60% - Accent3 15" xfId="9443"/>
    <cellStyle name="60% - Accent3 16" xfId="9444"/>
    <cellStyle name="60% - Accent3 17" xfId="9445"/>
    <cellStyle name="60% - Accent3 17 2" xfId="58135"/>
    <cellStyle name="60% - Accent3 2" xfId="2731"/>
    <cellStyle name="60% - Accent3 2 2" xfId="2732"/>
    <cellStyle name="60% - Accent3 2 2 2" xfId="29274"/>
    <cellStyle name="60% - Accent3 2 3" xfId="29275"/>
    <cellStyle name="60% - Accent3 2 4" xfId="29276"/>
    <cellStyle name="60% - Accent3 2 5" xfId="29277"/>
    <cellStyle name="60% - Accent3 2 6" xfId="29278"/>
    <cellStyle name="60% - Accent3 3" xfId="2733"/>
    <cellStyle name="60% - Accent3 3 2" xfId="9015"/>
    <cellStyle name="60% - Accent3 3 3" xfId="29279"/>
    <cellStyle name="60% - Accent3 4" xfId="2734"/>
    <cellStyle name="60% - Accent3 4 2" xfId="29280"/>
    <cellStyle name="60% - Accent3 5" xfId="9016"/>
    <cellStyle name="60% - Accent3 5 2" xfId="29281"/>
    <cellStyle name="60% - Accent3 6" xfId="9446"/>
    <cellStyle name="60% - Accent3 6 2" xfId="29282"/>
    <cellStyle name="60% - Accent3 7" xfId="9447"/>
    <cellStyle name="60% - Accent3 7 2" xfId="29283"/>
    <cellStyle name="60% - Accent3 8" xfId="9448"/>
    <cellStyle name="60% - Accent3 8 2" xfId="29284"/>
    <cellStyle name="60% - Accent3 9" xfId="9449"/>
    <cellStyle name="60% - Accent4 10" xfId="9450"/>
    <cellStyle name="60% - Accent4 11" xfId="9451"/>
    <cellStyle name="60% - Accent4 12" xfId="9452"/>
    <cellStyle name="60% - Accent4 13" xfId="9453"/>
    <cellStyle name="60% - Accent4 14" xfId="9454"/>
    <cellStyle name="60% - Accent4 15" xfId="9455"/>
    <cellStyle name="60% - Accent4 16" xfId="9456"/>
    <cellStyle name="60% - Accent4 17" xfId="9457"/>
    <cellStyle name="60% - Accent4 17 2" xfId="58136"/>
    <cellStyle name="60% - Accent4 2" xfId="2735"/>
    <cellStyle name="60% - Accent4 2 2" xfId="2736"/>
    <cellStyle name="60% - Accent4 2 2 2" xfId="29285"/>
    <cellStyle name="60% - Accent4 2 3" xfId="29286"/>
    <cellStyle name="60% - Accent4 2 4" xfId="29287"/>
    <cellStyle name="60% - Accent4 2 5" xfId="29288"/>
    <cellStyle name="60% - Accent4 2 6" xfId="29289"/>
    <cellStyle name="60% - Accent4 3" xfId="2737"/>
    <cellStyle name="60% - Accent4 3 2" xfId="9017"/>
    <cellStyle name="60% - Accent4 3 3" xfId="29290"/>
    <cellStyle name="60% - Accent4 4" xfId="2738"/>
    <cellStyle name="60% - Accent4 4 2" xfId="29291"/>
    <cellStyle name="60% - Accent4 5" xfId="9018"/>
    <cellStyle name="60% - Accent4 5 2" xfId="29292"/>
    <cellStyle name="60% - Accent4 6" xfId="9458"/>
    <cellStyle name="60% - Accent4 6 2" xfId="29293"/>
    <cellStyle name="60% - Accent4 7" xfId="9459"/>
    <cellStyle name="60% - Accent4 7 2" xfId="29294"/>
    <cellStyle name="60% - Accent4 8" xfId="9460"/>
    <cellStyle name="60% - Accent4 8 2" xfId="29295"/>
    <cellStyle name="60% - Accent4 9" xfId="9461"/>
    <cellStyle name="60% - Accent5 10" xfId="9462"/>
    <cellStyle name="60% - Accent5 11" xfId="9463"/>
    <cellStyle name="60% - Accent5 12" xfId="9464"/>
    <cellStyle name="60% - Accent5 13" xfId="9465"/>
    <cellStyle name="60% - Accent5 14" xfId="9466"/>
    <cellStyle name="60% - Accent5 15" xfId="9467"/>
    <cellStyle name="60% - Accent5 16" xfId="9468"/>
    <cellStyle name="60% - Accent5 17" xfId="9469"/>
    <cellStyle name="60% - Accent5 17 2" xfId="58137"/>
    <cellStyle name="60% - Accent5 2" xfId="2739"/>
    <cellStyle name="60% - Accent5 2 2" xfId="2740"/>
    <cellStyle name="60% - Accent5 2 2 2" xfId="29296"/>
    <cellStyle name="60% - Accent5 2 3" xfId="29297"/>
    <cellStyle name="60% - Accent5 2 4" xfId="29298"/>
    <cellStyle name="60% - Accent5 2 5" xfId="29299"/>
    <cellStyle name="60% - Accent5 2 6" xfId="29300"/>
    <cellStyle name="60% - Accent5 3" xfId="2741"/>
    <cellStyle name="60% - Accent5 3 2" xfId="9019"/>
    <cellStyle name="60% - Accent5 3 3" xfId="29301"/>
    <cellStyle name="60% - Accent5 4" xfId="2742"/>
    <cellStyle name="60% - Accent5 4 2" xfId="29302"/>
    <cellStyle name="60% - Accent5 4 3" xfId="29303"/>
    <cellStyle name="60% - Accent5 5" xfId="9020"/>
    <cellStyle name="60% - Accent5 5 2" xfId="29304"/>
    <cellStyle name="60% - Accent5 6" xfId="9470"/>
    <cellStyle name="60% - Accent5 6 2" xfId="29305"/>
    <cellStyle name="60% - Accent5 7" xfId="9471"/>
    <cellStyle name="60% - Accent5 7 2" xfId="29306"/>
    <cellStyle name="60% - Accent5 8" xfId="9472"/>
    <cellStyle name="60% - Accent5 8 2" xfId="29307"/>
    <cellStyle name="60% - Accent5 9" xfId="9473"/>
    <cellStyle name="60% - Accent6 10" xfId="9474"/>
    <cellStyle name="60% - Accent6 11" xfId="9475"/>
    <cellStyle name="60% - Accent6 12" xfId="9476"/>
    <cellStyle name="60% - Accent6 13" xfId="9477"/>
    <cellStyle name="60% - Accent6 14" xfId="9478"/>
    <cellStyle name="60% - Accent6 15" xfId="9479"/>
    <cellStyle name="60% - Accent6 16" xfId="9480"/>
    <cellStyle name="60% - Accent6 17" xfId="9481"/>
    <cellStyle name="60% - Accent6 17 2" xfId="58138"/>
    <cellStyle name="60% - Accent6 2" xfId="2743"/>
    <cellStyle name="60% - Accent6 2 2" xfId="2744"/>
    <cellStyle name="60% - Accent6 2 2 2" xfId="29308"/>
    <cellStyle name="60% - Accent6 2 3" xfId="29309"/>
    <cellStyle name="60% - Accent6 2 4" xfId="29310"/>
    <cellStyle name="60% - Accent6 2 5" xfId="29311"/>
    <cellStyle name="60% - Accent6 2 6" xfId="29312"/>
    <cellStyle name="60% - Accent6 3" xfId="2745"/>
    <cellStyle name="60% - Accent6 3 2" xfId="9021"/>
    <cellStyle name="60% - Accent6 3 3" xfId="29313"/>
    <cellStyle name="60% - Accent6 4" xfId="2746"/>
    <cellStyle name="60% - Accent6 4 2" xfId="29314"/>
    <cellStyle name="60% - Accent6 5" xfId="9022"/>
    <cellStyle name="60% - Accent6 5 2" xfId="29315"/>
    <cellStyle name="60% - Accent6 6" xfId="9482"/>
    <cellStyle name="60% - Accent6 6 2" xfId="29316"/>
    <cellStyle name="60% - Accent6 7" xfId="9483"/>
    <cellStyle name="60% - Accent6 7 2" xfId="29317"/>
    <cellStyle name="60% - Accent6 8" xfId="9484"/>
    <cellStyle name="60% - Accent6 8 2" xfId="29318"/>
    <cellStyle name="60% - Accent6 9" xfId="9485"/>
    <cellStyle name="ac" xfId="29319"/>
    <cellStyle name="ac 2" xfId="29320"/>
    <cellStyle name="Accent1 10" xfId="9486"/>
    <cellStyle name="Accent1 11" xfId="9487"/>
    <cellStyle name="Accent1 12" xfId="9488"/>
    <cellStyle name="Accent1 13" xfId="9489"/>
    <cellStyle name="Accent1 14" xfId="9490"/>
    <cellStyle name="Accent1 15" xfId="9491"/>
    <cellStyle name="Accent1 16" xfId="9492"/>
    <cellStyle name="Accent1 17" xfId="9493"/>
    <cellStyle name="Accent1 17 2" xfId="58139"/>
    <cellStyle name="Accent1 2" xfId="2747"/>
    <cellStyle name="Accent1 2 2" xfId="2748"/>
    <cellStyle name="Accent1 2 2 2" xfId="29321"/>
    <cellStyle name="Accent1 2 3" xfId="29322"/>
    <cellStyle name="Accent1 2 4" xfId="29323"/>
    <cellStyle name="Accent1 2 5" xfId="29324"/>
    <cellStyle name="Accent1 2 6" xfId="29325"/>
    <cellStyle name="Accent1 3" xfId="2749"/>
    <cellStyle name="Accent1 3 2" xfId="9023"/>
    <cellStyle name="Accent1 3 3" xfId="29326"/>
    <cellStyle name="Accent1 4" xfId="2750"/>
    <cellStyle name="Accent1 4 2" xfId="29327"/>
    <cellStyle name="Accent1 5" xfId="9024"/>
    <cellStyle name="Accent1 5 2" xfId="29328"/>
    <cellStyle name="Accent1 6" xfId="9494"/>
    <cellStyle name="Accent1 6 2" xfId="29329"/>
    <cellStyle name="Accent1 7" xfId="9495"/>
    <cellStyle name="Accent1 7 2" xfId="29330"/>
    <cellStyle name="Accent1 8" xfId="9496"/>
    <cellStyle name="Accent1 8 2" xfId="29331"/>
    <cellStyle name="Accent1 9" xfId="9497"/>
    <cellStyle name="Accent2 10" xfId="9498"/>
    <cellStyle name="Accent2 11" xfId="9499"/>
    <cellStyle name="Accent2 12" xfId="9500"/>
    <cellStyle name="Accent2 13" xfId="9501"/>
    <cellStyle name="Accent2 14" xfId="9502"/>
    <cellStyle name="Accent2 15" xfId="9503"/>
    <cellStyle name="Accent2 16" xfId="9504"/>
    <cellStyle name="Accent2 17" xfId="9505"/>
    <cellStyle name="Accent2 17 2" xfId="58140"/>
    <cellStyle name="Accent2 2" xfId="2751"/>
    <cellStyle name="Accent2 2 2" xfId="2752"/>
    <cellStyle name="Accent2 2 2 2" xfId="29332"/>
    <cellStyle name="Accent2 2 3" xfId="29333"/>
    <cellStyle name="Accent2 2 4" xfId="29334"/>
    <cellStyle name="Accent2 2 5" xfId="29335"/>
    <cellStyle name="Accent2 2 6" xfId="29336"/>
    <cellStyle name="Accent2 3" xfId="2753"/>
    <cellStyle name="Accent2 3 2" xfId="9025"/>
    <cellStyle name="Accent2 3 3" xfId="29337"/>
    <cellStyle name="Accent2 4" xfId="2754"/>
    <cellStyle name="Accent2 4 2" xfId="29338"/>
    <cellStyle name="Accent2 5" xfId="9026"/>
    <cellStyle name="Accent2 5 2" xfId="29339"/>
    <cellStyle name="Accent2 6" xfId="9506"/>
    <cellStyle name="Accent2 6 2" xfId="29340"/>
    <cellStyle name="Accent2 7" xfId="9507"/>
    <cellStyle name="Accent2 7 2" xfId="29341"/>
    <cellStyle name="Accent2 8" xfId="9508"/>
    <cellStyle name="Accent2 8 2" xfId="29342"/>
    <cellStyle name="Accent2 9" xfId="9509"/>
    <cellStyle name="Accent3 10" xfId="9510"/>
    <cellStyle name="Accent3 11" xfId="9511"/>
    <cellStyle name="Accent3 12" xfId="9512"/>
    <cellStyle name="Accent3 13" xfId="9513"/>
    <cellStyle name="Accent3 14" xfId="9514"/>
    <cellStyle name="Accent3 15" xfId="9515"/>
    <cellStyle name="Accent3 16" xfId="9516"/>
    <cellStyle name="Accent3 17" xfId="9517"/>
    <cellStyle name="Accent3 17 2" xfId="58141"/>
    <cellStyle name="Accent3 2" xfId="2755"/>
    <cellStyle name="Accent3 2 2" xfId="2756"/>
    <cellStyle name="Accent3 2 2 2" xfId="29343"/>
    <cellStyle name="Accent3 2 3" xfId="29344"/>
    <cellStyle name="Accent3 2 4" xfId="29345"/>
    <cellStyle name="Accent3 2 5" xfId="29346"/>
    <cellStyle name="Accent3 2 6" xfId="29347"/>
    <cellStyle name="Accent3 3" xfId="2757"/>
    <cellStyle name="Accent3 3 2" xfId="9027"/>
    <cellStyle name="Accent3 3 3" xfId="29348"/>
    <cellStyle name="Accent3 4" xfId="2758"/>
    <cellStyle name="Accent3 4 2" xfId="29349"/>
    <cellStyle name="Accent3 5" xfId="9028"/>
    <cellStyle name="Accent3 5 2" xfId="29350"/>
    <cellStyle name="Accent3 6" xfId="9518"/>
    <cellStyle name="Accent3 6 2" xfId="29351"/>
    <cellStyle name="Accent3 7" xfId="9519"/>
    <cellStyle name="Accent3 7 2" xfId="29352"/>
    <cellStyle name="Accent3 8" xfId="9520"/>
    <cellStyle name="Accent3 8 2" xfId="29353"/>
    <cellStyle name="Accent3 9" xfId="9521"/>
    <cellStyle name="Accent4 10" xfId="9522"/>
    <cellStyle name="Accent4 11" xfId="9523"/>
    <cellStyle name="Accent4 12" xfId="9524"/>
    <cellStyle name="Accent4 13" xfId="9525"/>
    <cellStyle name="Accent4 14" xfId="9526"/>
    <cellStyle name="Accent4 15" xfId="9527"/>
    <cellStyle name="Accent4 16" xfId="9528"/>
    <cellStyle name="Accent4 17" xfId="9529"/>
    <cellStyle name="Accent4 17 2" xfId="58142"/>
    <cellStyle name="Accent4 2" xfId="2759"/>
    <cellStyle name="Accent4 2 2" xfId="2760"/>
    <cellStyle name="Accent4 2 2 2" xfId="29354"/>
    <cellStyle name="Accent4 2 3" xfId="29355"/>
    <cellStyle name="Accent4 2 4" xfId="29356"/>
    <cellStyle name="Accent4 2 5" xfId="29357"/>
    <cellStyle name="Accent4 2 6" xfId="29358"/>
    <cellStyle name="Accent4 3" xfId="2761"/>
    <cellStyle name="Accent4 3 2" xfId="9029"/>
    <cellStyle name="Accent4 3 3" xfId="29359"/>
    <cellStyle name="Accent4 4" xfId="2762"/>
    <cellStyle name="Accent4 4 2" xfId="29360"/>
    <cellStyle name="Accent4 5" xfId="9030"/>
    <cellStyle name="Accent4 5 2" xfId="29361"/>
    <cellStyle name="Accent4 6" xfId="9530"/>
    <cellStyle name="Accent4 6 2" xfId="29362"/>
    <cellStyle name="Accent4 7" xfId="9531"/>
    <cellStyle name="Accent4 7 2" xfId="29363"/>
    <cellStyle name="Accent4 8" xfId="9532"/>
    <cellStyle name="Accent4 8 2" xfId="29364"/>
    <cellStyle name="Accent4 9" xfId="9533"/>
    <cellStyle name="Accent5 10" xfId="9534"/>
    <cellStyle name="Accent5 11" xfId="9535"/>
    <cellStyle name="Accent5 12" xfId="9536"/>
    <cellStyle name="Accent5 13" xfId="9537"/>
    <cellStyle name="Accent5 14" xfId="9538"/>
    <cellStyle name="Accent5 15" xfId="9539"/>
    <cellStyle name="Accent5 16" xfId="9540"/>
    <cellStyle name="Accent5 17" xfId="9541"/>
    <cellStyle name="Accent5 2" xfId="2763"/>
    <cellStyle name="Accent5 2 2" xfId="2764"/>
    <cellStyle name="Accent5 2 2 2" xfId="58143"/>
    <cellStyle name="Accent5 2 3" xfId="29365"/>
    <cellStyle name="Accent5 2 4" xfId="29366"/>
    <cellStyle name="Accent5 2 5" xfId="29367"/>
    <cellStyle name="Accent5 2 6" xfId="29368"/>
    <cellStyle name="Accent5 3" xfId="2765"/>
    <cellStyle name="Accent5 3 2" xfId="9031"/>
    <cellStyle name="Accent5 3 3" xfId="29369"/>
    <cellStyle name="Accent5 4" xfId="2766"/>
    <cellStyle name="Accent5 4 2" xfId="29370"/>
    <cellStyle name="Accent5 5" xfId="9032"/>
    <cellStyle name="Accent5 5 2" xfId="29371"/>
    <cellStyle name="Accent5 6" xfId="9542"/>
    <cellStyle name="Accent5 6 2" xfId="29372"/>
    <cellStyle name="Accent5 7" xfId="9543"/>
    <cellStyle name="Accent5 7 2" xfId="29373"/>
    <cellStyle name="Accent5 8" xfId="9544"/>
    <cellStyle name="Accent5 8 2" xfId="29374"/>
    <cellStyle name="Accent5 9" xfId="9545"/>
    <cellStyle name="Accent6 10" xfId="9546"/>
    <cellStyle name="Accent6 11" xfId="9547"/>
    <cellStyle name="Accent6 12" xfId="9548"/>
    <cellStyle name="Accent6 13" xfId="9549"/>
    <cellStyle name="Accent6 14" xfId="9550"/>
    <cellStyle name="Accent6 15" xfId="9551"/>
    <cellStyle name="Accent6 16" xfId="9552"/>
    <cellStyle name="Accent6 17" xfId="9553"/>
    <cellStyle name="Accent6 17 2" xfId="58144"/>
    <cellStyle name="Accent6 2" xfId="2767"/>
    <cellStyle name="Accent6 2 2" xfId="2768"/>
    <cellStyle name="Accent6 2 2 2" xfId="29375"/>
    <cellStyle name="Accent6 2 3" xfId="29376"/>
    <cellStyle name="Accent6 2 4" xfId="29377"/>
    <cellStyle name="Accent6 2 5" xfId="29378"/>
    <cellStyle name="Accent6 2 6" xfId="29379"/>
    <cellStyle name="Accent6 3" xfId="2769"/>
    <cellStyle name="Accent6 3 2" xfId="9033"/>
    <cellStyle name="Accent6 3 3" xfId="29380"/>
    <cellStyle name="Accent6 4" xfId="2770"/>
    <cellStyle name="Accent6 4 2" xfId="29381"/>
    <cellStyle name="Accent6 5" xfId="9034"/>
    <cellStyle name="Accent6 5 2" xfId="29382"/>
    <cellStyle name="Accent6 6" xfId="9554"/>
    <cellStyle name="Accent6 6 2" xfId="29383"/>
    <cellStyle name="Accent6 7" xfId="9555"/>
    <cellStyle name="Accent6 7 2" xfId="29384"/>
    <cellStyle name="Accent6 8" xfId="9556"/>
    <cellStyle name="Accent6 8 2" xfId="29385"/>
    <cellStyle name="Accent6 9" xfId="9557"/>
    <cellStyle name="Bad 10" xfId="9558"/>
    <cellStyle name="Bad 11" xfId="9559"/>
    <cellStyle name="Bad 12" xfId="9560"/>
    <cellStyle name="Bad 13" xfId="9561"/>
    <cellStyle name="Bad 14" xfId="9562"/>
    <cellStyle name="Bad 15" xfId="9563"/>
    <cellStyle name="Bad 16" xfId="9564"/>
    <cellStyle name="Bad 17" xfId="9565"/>
    <cellStyle name="Bad 17 2" xfId="58145"/>
    <cellStyle name="Bad 2" xfId="2771"/>
    <cellStyle name="Bad 2 2" xfId="2772"/>
    <cellStyle name="Bad 2 2 2" xfId="29386"/>
    <cellStyle name="Bad 2 3" xfId="29387"/>
    <cellStyle name="Bad 2 4" xfId="29388"/>
    <cellStyle name="Bad 2 5" xfId="29389"/>
    <cellStyle name="Bad 3" xfId="2773"/>
    <cellStyle name="Bad 3 2" xfId="9035"/>
    <cellStyle name="Bad 4" xfId="9036"/>
    <cellStyle name="Bad 4 2" xfId="29390"/>
    <cellStyle name="Bad 5" xfId="9566"/>
    <cellStyle name="Bad 5 2" xfId="29391"/>
    <cellStyle name="Bad 6" xfId="9567"/>
    <cellStyle name="Bad 6 2" xfId="29392"/>
    <cellStyle name="Bad 7" xfId="9568"/>
    <cellStyle name="Bad 7 2" xfId="29393"/>
    <cellStyle name="Bad 8" xfId="9569"/>
    <cellStyle name="Bad 9" xfId="9570"/>
    <cellStyle name="c" xfId="9571"/>
    <cellStyle name="C00A" xfId="8684"/>
    <cellStyle name="C00B" xfId="8685"/>
    <cellStyle name="C00L" xfId="8686"/>
    <cellStyle name="C01A" xfId="8687"/>
    <cellStyle name="C01B" xfId="8688"/>
    <cellStyle name="C01H" xfId="8689"/>
    <cellStyle name="C01L" xfId="8690"/>
    <cellStyle name="C02A" xfId="8691"/>
    <cellStyle name="C02B" xfId="8692"/>
    <cellStyle name="C02H" xfId="8693"/>
    <cellStyle name="C02L" xfId="8694"/>
    <cellStyle name="C03A" xfId="8695"/>
    <cellStyle name="C03B" xfId="8696"/>
    <cellStyle name="C03H" xfId="8697"/>
    <cellStyle name="C03L" xfId="8698"/>
    <cellStyle name="C04A" xfId="8699"/>
    <cellStyle name="C04B" xfId="8700"/>
    <cellStyle name="C04H" xfId="8701"/>
    <cellStyle name="C04L" xfId="8702"/>
    <cellStyle name="C05A" xfId="8703"/>
    <cellStyle name="C05B" xfId="8704"/>
    <cellStyle name="C05H" xfId="8705"/>
    <cellStyle name="C05L" xfId="8706"/>
    <cellStyle name="C06A" xfId="8707"/>
    <cellStyle name="C06B" xfId="8708"/>
    <cellStyle name="C06H" xfId="8709"/>
    <cellStyle name="C06L" xfId="8710"/>
    <cellStyle name="C07A" xfId="8711"/>
    <cellStyle name="C07B" xfId="8712"/>
    <cellStyle name="C07H" xfId="8713"/>
    <cellStyle name="C07L" xfId="8714"/>
    <cellStyle name="Calculation 10" xfId="2774"/>
    <cellStyle name="Calculation 10 10" xfId="2775"/>
    <cellStyle name="Calculation 10 11" xfId="58146"/>
    <cellStyle name="Calculation 10 12" xfId="58147"/>
    <cellStyle name="Calculation 10 2" xfId="2776"/>
    <cellStyle name="Calculation 10 2 2" xfId="2777"/>
    <cellStyle name="Calculation 10 2 2 2" xfId="58148"/>
    <cellStyle name="Calculation 10 2 3" xfId="2778"/>
    <cellStyle name="Calculation 10 2 3 2" xfId="58149"/>
    <cellStyle name="Calculation 10 2 4" xfId="2779"/>
    <cellStyle name="Calculation 10 2 4 2" xfId="58150"/>
    <cellStyle name="Calculation 10 2 5" xfId="2780"/>
    <cellStyle name="Calculation 10 2 5 2" xfId="58151"/>
    <cellStyle name="Calculation 10 2 6" xfId="2781"/>
    <cellStyle name="Calculation 10 2 6 2" xfId="58152"/>
    <cellStyle name="Calculation 10 2 7" xfId="2782"/>
    <cellStyle name="Calculation 10 2 7 2" xfId="58153"/>
    <cellStyle name="Calculation 10 2 8" xfId="2783"/>
    <cellStyle name="Calculation 10 2 8 2" xfId="58154"/>
    <cellStyle name="Calculation 10 2 9" xfId="2784"/>
    <cellStyle name="Calculation 10 3" xfId="2785"/>
    <cellStyle name="Calculation 10 3 2" xfId="58155"/>
    <cellStyle name="Calculation 10 4" xfId="2786"/>
    <cellStyle name="Calculation 10 4 2" xfId="58156"/>
    <cellStyle name="Calculation 10 5" xfId="2787"/>
    <cellStyle name="Calculation 10 5 2" xfId="58157"/>
    <cellStyle name="Calculation 10 6" xfId="2788"/>
    <cellStyle name="Calculation 10 6 2" xfId="58158"/>
    <cellStyle name="Calculation 10 7" xfId="2789"/>
    <cellStyle name="Calculation 10 7 2" xfId="58159"/>
    <cellStyle name="Calculation 10 8" xfId="2790"/>
    <cellStyle name="Calculation 10 8 2" xfId="58160"/>
    <cellStyle name="Calculation 10 9" xfId="2791"/>
    <cellStyle name="Calculation 10 9 2" xfId="58161"/>
    <cellStyle name="Calculation 11" xfId="2792"/>
    <cellStyle name="Calculation 11 10" xfId="2793"/>
    <cellStyle name="Calculation 11 11" xfId="58162"/>
    <cellStyle name="Calculation 11 12" xfId="58163"/>
    <cellStyle name="Calculation 11 2" xfId="2794"/>
    <cellStyle name="Calculation 11 2 2" xfId="2795"/>
    <cellStyle name="Calculation 11 2 2 2" xfId="58164"/>
    <cellStyle name="Calculation 11 2 3" xfId="2796"/>
    <cellStyle name="Calculation 11 2 3 2" xfId="58165"/>
    <cellStyle name="Calculation 11 2 4" xfId="2797"/>
    <cellStyle name="Calculation 11 2 4 2" xfId="58166"/>
    <cellStyle name="Calculation 11 2 5" xfId="2798"/>
    <cellStyle name="Calculation 11 2 5 2" xfId="58167"/>
    <cellStyle name="Calculation 11 2 6" xfId="2799"/>
    <cellStyle name="Calculation 11 2 6 2" xfId="58168"/>
    <cellStyle name="Calculation 11 2 7" xfId="2800"/>
    <cellStyle name="Calculation 11 2 7 2" xfId="58169"/>
    <cellStyle name="Calculation 11 2 8" xfId="2801"/>
    <cellStyle name="Calculation 11 2 8 2" xfId="58170"/>
    <cellStyle name="Calculation 11 2 9" xfId="2802"/>
    <cellStyle name="Calculation 11 3" xfId="2803"/>
    <cellStyle name="Calculation 11 3 2" xfId="58171"/>
    <cellStyle name="Calculation 11 4" xfId="2804"/>
    <cellStyle name="Calculation 11 4 2" xfId="58172"/>
    <cellStyle name="Calculation 11 5" xfId="2805"/>
    <cellStyle name="Calculation 11 5 2" xfId="58173"/>
    <cellStyle name="Calculation 11 6" xfId="2806"/>
    <cellStyle name="Calculation 11 6 2" xfId="58174"/>
    <cellStyle name="Calculation 11 7" xfId="2807"/>
    <cellStyle name="Calculation 11 7 2" xfId="58175"/>
    <cellStyle name="Calculation 11 8" xfId="2808"/>
    <cellStyle name="Calculation 11 8 2" xfId="58176"/>
    <cellStyle name="Calculation 11 9" xfId="2809"/>
    <cellStyle name="Calculation 11 9 2" xfId="58177"/>
    <cellStyle name="Calculation 12" xfId="2810"/>
    <cellStyle name="Calculation 12 10" xfId="2811"/>
    <cellStyle name="Calculation 12 11" xfId="58178"/>
    <cellStyle name="Calculation 12 12" xfId="58179"/>
    <cellStyle name="Calculation 12 2" xfId="2812"/>
    <cellStyle name="Calculation 12 2 2" xfId="2813"/>
    <cellStyle name="Calculation 12 2 2 2" xfId="58180"/>
    <cellStyle name="Calculation 12 2 3" xfId="2814"/>
    <cellStyle name="Calculation 12 2 3 2" xfId="58181"/>
    <cellStyle name="Calculation 12 2 4" xfId="2815"/>
    <cellStyle name="Calculation 12 2 4 2" xfId="58182"/>
    <cellStyle name="Calculation 12 2 5" xfId="2816"/>
    <cellStyle name="Calculation 12 2 5 2" xfId="58183"/>
    <cellStyle name="Calculation 12 2 6" xfId="2817"/>
    <cellStyle name="Calculation 12 2 6 2" xfId="58184"/>
    <cellStyle name="Calculation 12 2 7" xfId="2818"/>
    <cellStyle name="Calculation 12 2 7 2" xfId="58185"/>
    <cellStyle name="Calculation 12 2 8" xfId="2819"/>
    <cellStyle name="Calculation 12 2 8 2" xfId="58186"/>
    <cellStyle name="Calculation 12 2 9" xfId="2820"/>
    <cellStyle name="Calculation 12 3" xfId="2821"/>
    <cellStyle name="Calculation 12 3 2" xfId="58187"/>
    <cellStyle name="Calculation 12 4" xfId="2822"/>
    <cellStyle name="Calculation 12 4 2" xfId="58188"/>
    <cellStyle name="Calculation 12 5" xfId="2823"/>
    <cellStyle name="Calculation 12 5 2" xfId="58189"/>
    <cellStyle name="Calculation 12 6" xfId="2824"/>
    <cellStyle name="Calculation 12 6 2" xfId="58190"/>
    <cellStyle name="Calculation 12 7" xfId="2825"/>
    <cellStyle name="Calculation 12 7 2" xfId="58191"/>
    <cellStyle name="Calculation 12 8" xfId="2826"/>
    <cellStyle name="Calculation 12 8 2" xfId="58192"/>
    <cellStyle name="Calculation 12 9" xfId="2827"/>
    <cellStyle name="Calculation 12 9 2" xfId="58193"/>
    <cellStyle name="Calculation 13" xfId="2828"/>
    <cellStyle name="Calculation 13 10" xfId="2829"/>
    <cellStyle name="Calculation 13 11" xfId="58194"/>
    <cellStyle name="Calculation 13 12" xfId="58195"/>
    <cellStyle name="Calculation 13 2" xfId="2830"/>
    <cellStyle name="Calculation 13 2 2" xfId="2831"/>
    <cellStyle name="Calculation 13 2 2 2" xfId="58196"/>
    <cellStyle name="Calculation 13 2 3" xfId="2832"/>
    <cellStyle name="Calculation 13 2 3 2" xfId="58197"/>
    <cellStyle name="Calculation 13 2 4" xfId="2833"/>
    <cellStyle name="Calculation 13 2 4 2" xfId="58198"/>
    <cellStyle name="Calculation 13 2 5" xfId="2834"/>
    <cellStyle name="Calculation 13 2 5 2" xfId="58199"/>
    <cellStyle name="Calculation 13 2 6" xfId="2835"/>
    <cellStyle name="Calculation 13 2 6 2" xfId="58200"/>
    <cellStyle name="Calculation 13 2 7" xfId="2836"/>
    <cellStyle name="Calculation 13 2 7 2" xfId="58201"/>
    <cellStyle name="Calculation 13 2 8" xfId="2837"/>
    <cellStyle name="Calculation 13 2 8 2" xfId="58202"/>
    <cellStyle name="Calculation 13 2 9" xfId="2838"/>
    <cellStyle name="Calculation 13 3" xfId="2839"/>
    <cellStyle name="Calculation 13 3 2" xfId="58203"/>
    <cellStyle name="Calculation 13 4" xfId="2840"/>
    <cellStyle name="Calculation 13 4 2" xfId="58204"/>
    <cellStyle name="Calculation 13 5" xfId="2841"/>
    <cellStyle name="Calculation 13 5 2" xfId="58205"/>
    <cellStyle name="Calculation 13 6" xfId="2842"/>
    <cellStyle name="Calculation 13 6 2" xfId="58206"/>
    <cellStyle name="Calculation 13 7" xfId="2843"/>
    <cellStyle name="Calculation 13 7 2" xfId="58207"/>
    <cellStyle name="Calculation 13 8" xfId="2844"/>
    <cellStyle name="Calculation 13 8 2" xfId="58208"/>
    <cellStyle name="Calculation 13 9" xfId="2845"/>
    <cellStyle name="Calculation 13 9 2" xfId="58209"/>
    <cellStyle name="Calculation 14" xfId="2846"/>
    <cellStyle name="Calculation 14 10" xfId="2847"/>
    <cellStyle name="Calculation 14 11" xfId="58210"/>
    <cellStyle name="Calculation 14 12" xfId="58211"/>
    <cellStyle name="Calculation 14 2" xfId="2848"/>
    <cellStyle name="Calculation 14 2 2" xfId="2849"/>
    <cellStyle name="Calculation 14 2 2 2" xfId="58212"/>
    <cellStyle name="Calculation 14 2 3" xfId="2850"/>
    <cellStyle name="Calculation 14 2 3 2" xfId="58213"/>
    <cellStyle name="Calculation 14 2 4" xfId="2851"/>
    <cellStyle name="Calculation 14 2 4 2" xfId="58214"/>
    <cellStyle name="Calculation 14 2 5" xfId="2852"/>
    <cellStyle name="Calculation 14 2 5 2" xfId="58215"/>
    <cellStyle name="Calculation 14 2 6" xfId="2853"/>
    <cellStyle name="Calculation 14 2 6 2" xfId="58216"/>
    <cellStyle name="Calculation 14 2 7" xfId="2854"/>
    <cellStyle name="Calculation 14 2 7 2" xfId="58217"/>
    <cellStyle name="Calculation 14 2 8" xfId="2855"/>
    <cellStyle name="Calculation 14 2 8 2" xfId="58218"/>
    <cellStyle name="Calculation 14 2 9" xfId="2856"/>
    <cellStyle name="Calculation 14 3" xfId="2857"/>
    <cellStyle name="Calculation 14 3 2" xfId="58219"/>
    <cellStyle name="Calculation 14 4" xfId="2858"/>
    <cellStyle name="Calculation 14 4 2" xfId="58220"/>
    <cellStyle name="Calculation 14 5" xfId="2859"/>
    <cellStyle name="Calculation 14 5 2" xfId="58221"/>
    <cellStyle name="Calculation 14 6" xfId="2860"/>
    <cellStyle name="Calculation 14 6 2" xfId="58222"/>
    <cellStyle name="Calculation 14 7" xfId="2861"/>
    <cellStyle name="Calculation 14 7 2" xfId="58223"/>
    <cellStyle name="Calculation 14 8" xfId="2862"/>
    <cellStyle name="Calculation 14 8 2" xfId="58224"/>
    <cellStyle name="Calculation 14 9" xfId="2863"/>
    <cellStyle name="Calculation 14 9 2" xfId="58225"/>
    <cellStyle name="Calculation 15" xfId="2864"/>
    <cellStyle name="Calculation 15 10" xfId="2865"/>
    <cellStyle name="Calculation 15 11" xfId="58226"/>
    <cellStyle name="Calculation 15 12" xfId="58227"/>
    <cellStyle name="Calculation 15 2" xfId="2866"/>
    <cellStyle name="Calculation 15 2 2" xfId="2867"/>
    <cellStyle name="Calculation 15 2 2 2" xfId="58228"/>
    <cellStyle name="Calculation 15 2 3" xfId="2868"/>
    <cellStyle name="Calculation 15 2 3 2" xfId="58229"/>
    <cellStyle name="Calculation 15 2 4" xfId="2869"/>
    <cellStyle name="Calculation 15 2 4 2" xfId="58230"/>
    <cellStyle name="Calculation 15 2 5" xfId="2870"/>
    <cellStyle name="Calculation 15 2 5 2" xfId="58231"/>
    <cellStyle name="Calculation 15 2 6" xfId="2871"/>
    <cellStyle name="Calculation 15 2 6 2" xfId="58232"/>
    <cellStyle name="Calculation 15 2 7" xfId="2872"/>
    <cellStyle name="Calculation 15 2 7 2" xfId="58233"/>
    <cellStyle name="Calculation 15 2 8" xfId="2873"/>
    <cellStyle name="Calculation 15 2 8 2" xfId="58234"/>
    <cellStyle name="Calculation 15 2 9" xfId="2874"/>
    <cellStyle name="Calculation 15 3" xfId="2875"/>
    <cellStyle name="Calculation 15 3 2" xfId="58235"/>
    <cellStyle name="Calculation 15 4" xfId="2876"/>
    <cellStyle name="Calculation 15 4 2" xfId="58236"/>
    <cellStyle name="Calculation 15 5" xfId="2877"/>
    <cellStyle name="Calculation 15 5 2" xfId="58237"/>
    <cellStyle name="Calculation 15 6" xfId="2878"/>
    <cellStyle name="Calculation 15 6 2" xfId="58238"/>
    <cellStyle name="Calculation 15 7" xfId="2879"/>
    <cellStyle name="Calculation 15 7 2" xfId="58239"/>
    <cellStyle name="Calculation 15 8" xfId="2880"/>
    <cellStyle name="Calculation 15 8 2" xfId="58240"/>
    <cellStyle name="Calculation 15 9" xfId="2881"/>
    <cellStyle name="Calculation 15 9 2" xfId="58241"/>
    <cellStyle name="Calculation 16" xfId="2882"/>
    <cellStyle name="Calculation 16 10" xfId="2883"/>
    <cellStyle name="Calculation 16 11" xfId="58242"/>
    <cellStyle name="Calculation 16 12" xfId="58243"/>
    <cellStyle name="Calculation 16 2" xfId="2884"/>
    <cellStyle name="Calculation 16 2 2" xfId="2885"/>
    <cellStyle name="Calculation 16 2 2 2" xfId="58244"/>
    <cellStyle name="Calculation 16 2 3" xfId="2886"/>
    <cellStyle name="Calculation 16 2 3 2" xfId="58245"/>
    <cellStyle name="Calculation 16 2 4" xfId="2887"/>
    <cellStyle name="Calculation 16 2 4 2" xfId="58246"/>
    <cellStyle name="Calculation 16 2 5" xfId="2888"/>
    <cellStyle name="Calculation 16 2 5 2" xfId="58247"/>
    <cellStyle name="Calculation 16 2 6" xfId="2889"/>
    <cellStyle name="Calculation 16 2 6 2" xfId="58248"/>
    <cellStyle name="Calculation 16 2 7" xfId="2890"/>
    <cellStyle name="Calculation 16 2 7 2" xfId="58249"/>
    <cellStyle name="Calculation 16 2 8" xfId="2891"/>
    <cellStyle name="Calculation 16 2 8 2" xfId="58250"/>
    <cellStyle name="Calculation 16 2 9" xfId="2892"/>
    <cellStyle name="Calculation 16 3" xfId="2893"/>
    <cellStyle name="Calculation 16 3 2" xfId="58251"/>
    <cellStyle name="Calculation 16 4" xfId="2894"/>
    <cellStyle name="Calculation 16 4 2" xfId="58252"/>
    <cellStyle name="Calculation 16 5" xfId="2895"/>
    <cellStyle name="Calculation 16 5 2" xfId="58253"/>
    <cellStyle name="Calculation 16 6" xfId="2896"/>
    <cellStyle name="Calculation 16 6 2" xfId="58254"/>
    <cellStyle name="Calculation 16 7" xfId="2897"/>
    <cellStyle name="Calculation 16 7 2" xfId="58255"/>
    <cellStyle name="Calculation 16 8" xfId="2898"/>
    <cellStyle name="Calculation 16 8 2" xfId="58256"/>
    <cellStyle name="Calculation 16 9" xfId="2899"/>
    <cellStyle name="Calculation 16 9 2" xfId="58257"/>
    <cellStyle name="Calculation 17" xfId="2900"/>
    <cellStyle name="Calculation 17 10" xfId="2901"/>
    <cellStyle name="Calculation 17 11" xfId="58258"/>
    <cellStyle name="Calculation 17 2" xfId="2902"/>
    <cellStyle name="Calculation 17 2 2" xfId="2903"/>
    <cellStyle name="Calculation 17 2 2 2" xfId="58259"/>
    <cellStyle name="Calculation 17 2 3" xfId="2904"/>
    <cellStyle name="Calculation 17 2 3 2" xfId="58260"/>
    <cellStyle name="Calculation 17 2 4" xfId="2905"/>
    <cellStyle name="Calculation 17 2 4 2" xfId="58261"/>
    <cellStyle name="Calculation 17 2 5" xfId="2906"/>
    <cellStyle name="Calculation 17 2 5 2" xfId="58262"/>
    <cellStyle name="Calculation 17 2 6" xfId="2907"/>
    <cellStyle name="Calculation 17 2 6 2" xfId="58263"/>
    <cellStyle name="Calculation 17 2 7" xfId="2908"/>
    <cellStyle name="Calculation 17 2 7 2" xfId="58264"/>
    <cellStyle name="Calculation 17 2 8" xfId="2909"/>
    <cellStyle name="Calculation 17 2 8 2" xfId="58265"/>
    <cellStyle name="Calculation 17 2 9" xfId="2910"/>
    <cellStyle name="Calculation 17 3" xfId="2911"/>
    <cellStyle name="Calculation 17 3 2" xfId="58266"/>
    <cellStyle name="Calculation 17 4" xfId="2912"/>
    <cellStyle name="Calculation 17 4 2" xfId="58267"/>
    <cellStyle name="Calculation 17 5" xfId="2913"/>
    <cellStyle name="Calculation 17 5 2" xfId="58268"/>
    <cellStyle name="Calculation 17 6" xfId="2914"/>
    <cellStyle name="Calculation 17 6 2" xfId="58269"/>
    <cellStyle name="Calculation 17 7" xfId="2915"/>
    <cellStyle name="Calculation 17 7 2" xfId="58270"/>
    <cellStyle name="Calculation 17 8" xfId="2916"/>
    <cellStyle name="Calculation 17 8 2" xfId="58271"/>
    <cellStyle name="Calculation 17 9" xfId="2917"/>
    <cellStyle name="Calculation 17 9 2" xfId="58272"/>
    <cellStyle name="Calculation 18" xfId="2918"/>
    <cellStyle name="Calculation 18 10" xfId="2919"/>
    <cellStyle name="Calculation 18 2" xfId="2920"/>
    <cellStyle name="Calculation 18 2 2" xfId="2921"/>
    <cellStyle name="Calculation 18 2 2 2" xfId="58273"/>
    <cellStyle name="Calculation 18 2 3" xfId="2922"/>
    <cellStyle name="Calculation 18 2 3 2" xfId="58274"/>
    <cellStyle name="Calculation 18 2 4" xfId="2923"/>
    <cellStyle name="Calculation 18 2 4 2" xfId="58275"/>
    <cellStyle name="Calculation 18 2 5" xfId="2924"/>
    <cellStyle name="Calculation 18 2 5 2" xfId="58276"/>
    <cellStyle name="Calculation 18 2 6" xfId="2925"/>
    <cellStyle name="Calculation 18 2 6 2" xfId="58277"/>
    <cellStyle name="Calculation 18 2 7" xfId="2926"/>
    <cellStyle name="Calculation 18 2 7 2" xfId="58278"/>
    <cellStyle name="Calculation 18 2 8" xfId="2927"/>
    <cellStyle name="Calculation 18 2 8 2" xfId="58279"/>
    <cellStyle name="Calculation 18 2 9" xfId="2928"/>
    <cellStyle name="Calculation 18 3" xfId="2929"/>
    <cellStyle name="Calculation 18 3 2" xfId="58280"/>
    <cellStyle name="Calculation 18 4" xfId="2930"/>
    <cellStyle name="Calculation 18 4 2" xfId="58281"/>
    <cellStyle name="Calculation 18 5" xfId="2931"/>
    <cellStyle name="Calculation 18 5 2" xfId="58282"/>
    <cellStyle name="Calculation 18 6" xfId="2932"/>
    <cellStyle name="Calculation 18 6 2" xfId="58283"/>
    <cellStyle name="Calculation 18 7" xfId="2933"/>
    <cellStyle name="Calculation 18 7 2" xfId="58284"/>
    <cellStyle name="Calculation 18 8" xfId="2934"/>
    <cellStyle name="Calculation 18 8 2" xfId="58285"/>
    <cellStyle name="Calculation 18 9" xfId="2935"/>
    <cellStyle name="Calculation 18 9 2" xfId="58286"/>
    <cellStyle name="Calculation 19" xfId="2936"/>
    <cellStyle name="Calculation 19 10" xfId="2937"/>
    <cellStyle name="Calculation 19 2" xfId="2938"/>
    <cellStyle name="Calculation 19 2 2" xfId="2939"/>
    <cellStyle name="Calculation 19 2 2 2" xfId="58287"/>
    <cellStyle name="Calculation 19 2 3" xfId="2940"/>
    <cellStyle name="Calculation 19 2 3 2" xfId="58288"/>
    <cellStyle name="Calculation 19 2 4" xfId="2941"/>
    <cellStyle name="Calculation 19 2 4 2" xfId="58289"/>
    <cellStyle name="Calculation 19 2 5" xfId="2942"/>
    <cellStyle name="Calculation 19 2 5 2" xfId="58290"/>
    <cellStyle name="Calculation 19 2 6" xfId="2943"/>
    <cellStyle name="Calculation 19 2 6 2" xfId="58291"/>
    <cellStyle name="Calculation 19 2 7" xfId="2944"/>
    <cellStyle name="Calculation 19 2 7 2" xfId="58292"/>
    <cellStyle name="Calculation 19 2 8" xfId="2945"/>
    <cellStyle name="Calculation 19 2 8 2" xfId="58293"/>
    <cellStyle name="Calculation 19 2 9" xfId="2946"/>
    <cellStyle name="Calculation 19 3" xfId="2947"/>
    <cellStyle name="Calculation 19 3 2" xfId="58294"/>
    <cellStyle name="Calculation 19 4" xfId="2948"/>
    <cellStyle name="Calculation 19 4 2" xfId="58295"/>
    <cellStyle name="Calculation 19 5" xfId="2949"/>
    <cellStyle name="Calculation 19 5 2" xfId="58296"/>
    <cellStyle name="Calculation 19 6" xfId="2950"/>
    <cellStyle name="Calculation 19 6 2" xfId="58297"/>
    <cellStyle name="Calculation 19 7" xfId="2951"/>
    <cellStyle name="Calculation 19 7 2" xfId="58298"/>
    <cellStyle name="Calculation 19 8" xfId="2952"/>
    <cellStyle name="Calculation 19 8 2" xfId="58299"/>
    <cellStyle name="Calculation 19 9" xfId="2953"/>
    <cellStyle name="Calculation 19 9 2" xfId="58300"/>
    <cellStyle name="Calculation 2" xfId="2954"/>
    <cellStyle name="Calculation 2 10" xfId="58301"/>
    <cellStyle name="Calculation 2 2" xfId="2955"/>
    <cellStyle name="Calculation 2 2 10" xfId="2956"/>
    <cellStyle name="Calculation 2 2 11" xfId="58302"/>
    <cellStyle name="Calculation 2 2 2" xfId="2957"/>
    <cellStyle name="Calculation 2 2 2 2" xfId="58303"/>
    <cellStyle name="Calculation 2 2 3" xfId="2958"/>
    <cellStyle name="Calculation 2 2 3 2" xfId="58304"/>
    <cellStyle name="Calculation 2 2 4" xfId="2959"/>
    <cellStyle name="Calculation 2 2 4 2" xfId="58305"/>
    <cellStyle name="Calculation 2 2 5" xfId="2960"/>
    <cellStyle name="Calculation 2 2 5 2" xfId="58306"/>
    <cellStyle name="Calculation 2 2 6" xfId="2961"/>
    <cellStyle name="Calculation 2 2 6 2" xfId="58307"/>
    <cellStyle name="Calculation 2 2 7" xfId="2962"/>
    <cellStyle name="Calculation 2 2 7 2" xfId="58308"/>
    <cellStyle name="Calculation 2 2 8" xfId="2963"/>
    <cellStyle name="Calculation 2 2 8 2" xfId="58309"/>
    <cellStyle name="Calculation 2 2 9" xfId="2964"/>
    <cellStyle name="Calculation 2 3" xfId="2965"/>
    <cellStyle name="Calculation 2 3 2" xfId="58310"/>
    <cellStyle name="Calculation 2 4" xfId="2966"/>
    <cellStyle name="Calculation 2 4 2" xfId="58311"/>
    <cellStyle name="Calculation 2 5" xfId="2967"/>
    <cellStyle name="Calculation 2 5 2" xfId="58312"/>
    <cellStyle name="Calculation 2 6" xfId="2968"/>
    <cellStyle name="Calculation 2 6 2" xfId="58313"/>
    <cellStyle name="Calculation 2 7" xfId="2969"/>
    <cellStyle name="Calculation 2 7 2" xfId="58314"/>
    <cellStyle name="Calculation 2 8" xfId="2970"/>
    <cellStyle name="Calculation 2 8 2" xfId="58315"/>
    <cellStyle name="Calculation 2 9" xfId="2971"/>
    <cellStyle name="Calculation 20" xfId="2972"/>
    <cellStyle name="Calculation 20 10" xfId="2973"/>
    <cellStyle name="Calculation 20 2" xfId="2974"/>
    <cellStyle name="Calculation 20 2 2" xfId="2975"/>
    <cellStyle name="Calculation 20 2 2 2" xfId="58316"/>
    <cellStyle name="Calculation 20 2 3" xfId="2976"/>
    <cellStyle name="Calculation 20 2 3 2" xfId="58317"/>
    <cellStyle name="Calculation 20 2 4" xfId="2977"/>
    <cellStyle name="Calculation 20 2 4 2" xfId="58318"/>
    <cellStyle name="Calculation 20 2 5" xfId="2978"/>
    <cellStyle name="Calculation 20 2 5 2" xfId="58319"/>
    <cellStyle name="Calculation 20 2 6" xfId="2979"/>
    <cellStyle name="Calculation 20 2 6 2" xfId="58320"/>
    <cellStyle name="Calculation 20 2 7" xfId="2980"/>
    <cellStyle name="Calculation 20 2 7 2" xfId="58321"/>
    <cellStyle name="Calculation 20 2 8" xfId="2981"/>
    <cellStyle name="Calculation 20 2 8 2" xfId="58322"/>
    <cellStyle name="Calculation 20 2 9" xfId="2982"/>
    <cellStyle name="Calculation 20 3" xfId="2983"/>
    <cellStyle name="Calculation 20 3 2" xfId="58323"/>
    <cellStyle name="Calculation 20 4" xfId="2984"/>
    <cellStyle name="Calculation 20 4 2" xfId="58324"/>
    <cellStyle name="Calculation 20 5" xfId="2985"/>
    <cellStyle name="Calculation 20 5 2" xfId="58325"/>
    <cellStyle name="Calculation 20 6" xfId="2986"/>
    <cellStyle name="Calculation 20 6 2" xfId="58326"/>
    <cellStyle name="Calculation 20 7" xfId="2987"/>
    <cellStyle name="Calculation 20 7 2" xfId="58327"/>
    <cellStyle name="Calculation 20 8" xfId="2988"/>
    <cellStyle name="Calculation 20 8 2" xfId="58328"/>
    <cellStyle name="Calculation 20 9" xfId="2989"/>
    <cellStyle name="Calculation 20 9 2" xfId="58329"/>
    <cellStyle name="Calculation 21" xfId="2990"/>
    <cellStyle name="Calculation 21 10" xfId="2991"/>
    <cellStyle name="Calculation 21 2" xfId="2992"/>
    <cellStyle name="Calculation 21 2 2" xfId="2993"/>
    <cellStyle name="Calculation 21 2 2 2" xfId="58330"/>
    <cellStyle name="Calculation 21 2 3" xfId="2994"/>
    <cellStyle name="Calculation 21 2 3 2" xfId="58331"/>
    <cellStyle name="Calculation 21 2 4" xfId="2995"/>
    <cellStyle name="Calculation 21 2 4 2" xfId="58332"/>
    <cellStyle name="Calculation 21 2 5" xfId="2996"/>
    <cellStyle name="Calculation 21 2 5 2" xfId="58333"/>
    <cellStyle name="Calculation 21 2 6" xfId="2997"/>
    <cellStyle name="Calculation 21 2 6 2" xfId="58334"/>
    <cellStyle name="Calculation 21 2 7" xfId="2998"/>
    <cellStyle name="Calculation 21 2 7 2" xfId="58335"/>
    <cellStyle name="Calculation 21 2 8" xfId="2999"/>
    <cellStyle name="Calculation 21 2 8 2" xfId="58336"/>
    <cellStyle name="Calculation 21 2 9" xfId="3000"/>
    <cellStyle name="Calculation 21 3" xfId="3001"/>
    <cellStyle name="Calculation 21 3 2" xfId="58337"/>
    <cellStyle name="Calculation 21 4" xfId="3002"/>
    <cellStyle name="Calculation 21 4 2" xfId="58338"/>
    <cellStyle name="Calculation 21 5" xfId="3003"/>
    <cellStyle name="Calculation 21 5 2" xfId="58339"/>
    <cellStyle name="Calculation 21 6" xfId="3004"/>
    <cellStyle name="Calculation 21 6 2" xfId="58340"/>
    <cellStyle name="Calculation 21 7" xfId="3005"/>
    <cellStyle name="Calculation 21 7 2" xfId="58341"/>
    <cellStyle name="Calculation 21 8" xfId="3006"/>
    <cellStyle name="Calculation 21 8 2" xfId="58342"/>
    <cellStyle name="Calculation 21 9" xfId="3007"/>
    <cellStyle name="Calculation 21 9 2" xfId="58343"/>
    <cellStyle name="Calculation 22" xfId="3008"/>
    <cellStyle name="Calculation 22 2" xfId="3009"/>
    <cellStyle name="Calculation 22 2 2" xfId="58344"/>
    <cellStyle name="Calculation 22 3" xfId="3010"/>
    <cellStyle name="Calculation 22 3 2" xfId="58345"/>
    <cellStyle name="Calculation 22 4" xfId="3011"/>
    <cellStyle name="Calculation 22 4 2" xfId="58346"/>
    <cellStyle name="Calculation 22 5" xfId="3012"/>
    <cellStyle name="Calculation 22 5 2" xfId="58347"/>
    <cellStyle name="Calculation 22 6" xfId="3013"/>
    <cellStyle name="Calculation 22 6 2" xfId="58348"/>
    <cellStyle name="Calculation 22 7" xfId="3014"/>
    <cellStyle name="Calculation 22 7 2" xfId="58349"/>
    <cellStyle name="Calculation 22 8" xfId="3015"/>
    <cellStyle name="Calculation 22 8 2" xfId="58350"/>
    <cellStyle name="Calculation 22 9" xfId="3016"/>
    <cellStyle name="Calculation 23" xfId="9037"/>
    <cellStyle name="Calculation 3" xfId="3017"/>
    <cellStyle name="Calculation 3 10" xfId="3018"/>
    <cellStyle name="Calculation 3 11" xfId="9038"/>
    <cellStyle name="Calculation 3 2" xfId="3019"/>
    <cellStyle name="Calculation 3 2 10" xfId="3020"/>
    <cellStyle name="Calculation 3 2 2" xfId="3021"/>
    <cellStyle name="Calculation 3 2 2 2" xfId="58351"/>
    <cellStyle name="Calculation 3 2 3" xfId="3022"/>
    <cellStyle name="Calculation 3 2 3 2" xfId="58352"/>
    <cellStyle name="Calculation 3 2 4" xfId="3023"/>
    <cellStyle name="Calculation 3 2 4 2" xfId="58353"/>
    <cellStyle name="Calculation 3 2 5" xfId="3024"/>
    <cellStyle name="Calculation 3 2 5 2" xfId="58354"/>
    <cellStyle name="Calculation 3 2 6" xfId="3025"/>
    <cellStyle name="Calculation 3 2 6 2" xfId="58355"/>
    <cellStyle name="Calculation 3 2 7" xfId="3026"/>
    <cellStyle name="Calculation 3 2 7 2" xfId="58356"/>
    <cellStyle name="Calculation 3 2 8" xfId="3027"/>
    <cellStyle name="Calculation 3 2 8 2" xfId="58357"/>
    <cellStyle name="Calculation 3 2 9" xfId="3028"/>
    <cellStyle name="Calculation 3 3" xfId="3029"/>
    <cellStyle name="Calculation 3 3 2" xfId="58358"/>
    <cellStyle name="Calculation 3 4" xfId="3030"/>
    <cellStyle name="Calculation 3 4 2" xfId="58359"/>
    <cellStyle name="Calculation 3 5" xfId="3031"/>
    <cellStyle name="Calculation 3 5 2" xfId="58360"/>
    <cellStyle name="Calculation 3 6" xfId="3032"/>
    <cellStyle name="Calculation 3 6 2" xfId="58361"/>
    <cellStyle name="Calculation 3 7" xfId="3033"/>
    <cellStyle name="Calculation 3 7 2" xfId="58362"/>
    <cellStyle name="Calculation 3 8" xfId="3034"/>
    <cellStyle name="Calculation 3 8 2" xfId="58363"/>
    <cellStyle name="Calculation 3 9" xfId="3035"/>
    <cellStyle name="Calculation 3 9 2" xfId="58364"/>
    <cellStyle name="Calculation 4" xfId="3036"/>
    <cellStyle name="Calculation 4 10" xfId="3037"/>
    <cellStyle name="Calculation 4 11" xfId="58365"/>
    <cellStyle name="Calculation 4 12" xfId="58366"/>
    <cellStyle name="Calculation 4 2" xfId="3038"/>
    <cellStyle name="Calculation 4 2 2" xfId="3039"/>
    <cellStyle name="Calculation 4 2 2 2" xfId="58367"/>
    <cellStyle name="Calculation 4 2 3" xfId="3040"/>
    <cellStyle name="Calculation 4 2 3 2" xfId="58368"/>
    <cellStyle name="Calculation 4 2 4" xfId="3041"/>
    <cellStyle name="Calculation 4 2 4 2" xfId="58369"/>
    <cellStyle name="Calculation 4 2 5" xfId="3042"/>
    <cellStyle name="Calculation 4 2 5 2" xfId="58370"/>
    <cellStyle name="Calculation 4 2 6" xfId="3043"/>
    <cellStyle name="Calculation 4 2 6 2" xfId="58371"/>
    <cellStyle name="Calculation 4 2 7" xfId="3044"/>
    <cellStyle name="Calculation 4 2 7 2" xfId="58372"/>
    <cellStyle name="Calculation 4 2 8" xfId="3045"/>
    <cellStyle name="Calculation 4 2 8 2" xfId="58373"/>
    <cellStyle name="Calculation 4 2 9" xfId="3046"/>
    <cellStyle name="Calculation 4 3" xfId="3047"/>
    <cellStyle name="Calculation 4 3 2" xfId="58374"/>
    <cellStyle name="Calculation 4 4" xfId="3048"/>
    <cellStyle name="Calculation 4 4 2" xfId="58375"/>
    <cellStyle name="Calculation 4 5" xfId="3049"/>
    <cellStyle name="Calculation 4 5 2" xfId="58376"/>
    <cellStyle name="Calculation 4 6" xfId="3050"/>
    <cellStyle name="Calculation 4 6 2" xfId="58377"/>
    <cellStyle name="Calculation 4 7" xfId="3051"/>
    <cellStyle name="Calculation 4 7 2" xfId="58378"/>
    <cellStyle name="Calculation 4 8" xfId="3052"/>
    <cellStyle name="Calculation 4 8 2" xfId="58379"/>
    <cellStyle name="Calculation 4 9" xfId="3053"/>
    <cellStyle name="Calculation 4 9 2" xfId="58380"/>
    <cellStyle name="Calculation 5" xfId="3054"/>
    <cellStyle name="Calculation 5 10" xfId="3055"/>
    <cellStyle name="Calculation 5 11" xfId="58381"/>
    <cellStyle name="Calculation 5 12" xfId="58382"/>
    <cellStyle name="Calculation 5 2" xfId="3056"/>
    <cellStyle name="Calculation 5 2 2" xfId="3057"/>
    <cellStyle name="Calculation 5 2 2 2" xfId="58383"/>
    <cellStyle name="Calculation 5 2 3" xfId="3058"/>
    <cellStyle name="Calculation 5 2 3 2" xfId="58384"/>
    <cellStyle name="Calculation 5 2 4" xfId="3059"/>
    <cellStyle name="Calculation 5 2 4 2" xfId="58385"/>
    <cellStyle name="Calculation 5 2 5" xfId="3060"/>
    <cellStyle name="Calculation 5 2 5 2" xfId="58386"/>
    <cellStyle name="Calculation 5 2 6" xfId="3061"/>
    <cellStyle name="Calculation 5 2 6 2" xfId="58387"/>
    <cellStyle name="Calculation 5 2 7" xfId="3062"/>
    <cellStyle name="Calculation 5 2 7 2" xfId="58388"/>
    <cellStyle name="Calculation 5 2 8" xfId="3063"/>
    <cellStyle name="Calculation 5 2 8 2" xfId="58389"/>
    <cellStyle name="Calculation 5 2 9" xfId="3064"/>
    <cellStyle name="Calculation 5 3" xfId="3065"/>
    <cellStyle name="Calculation 5 3 2" xfId="58390"/>
    <cellStyle name="Calculation 5 4" xfId="3066"/>
    <cellStyle name="Calculation 5 4 2" xfId="58391"/>
    <cellStyle name="Calculation 5 5" xfId="3067"/>
    <cellStyle name="Calculation 5 5 2" xfId="58392"/>
    <cellStyle name="Calculation 5 6" xfId="3068"/>
    <cellStyle name="Calculation 5 6 2" xfId="58393"/>
    <cellStyle name="Calculation 5 7" xfId="3069"/>
    <cellStyle name="Calculation 5 7 2" xfId="58394"/>
    <cellStyle name="Calculation 5 8" xfId="3070"/>
    <cellStyle name="Calculation 5 8 2" xfId="58395"/>
    <cellStyle name="Calculation 5 9" xfId="3071"/>
    <cellStyle name="Calculation 5 9 2" xfId="58396"/>
    <cellStyle name="Calculation 6" xfId="3072"/>
    <cellStyle name="Calculation 6 10" xfId="3073"/>
    <cellStyle name="Calculation 6 11" xfId="58397"/>
    <cellStyle name="Calculation 6 12" xfId="58398"/>
    <cellStyle name="Calculation 6 2" xfId="3074"/>
    <cellStyle name="Calculation 6 2 2" xfId="3075"/>
    <cellStyle name="Calculation 6 2 2 2" xfId="58399"/>
    <cellStyle name="Calculation 6 2 3" xfId="3076"/>
    <cellStyle name="Calculation 6 2 3 2" xfId="58400"/>
    <cellStyle name="Calculation 6 2 4" xfId="3077"/>
    <cellStyle name="Calculation 6 2 4 2" xfId="58401"/>
    <cellStyle name="Calculation 6 2 5" xfId="3078"/>
    <cellStyle name="Calculation 6 2 5 2" xfId="58402"/>
    <cellStyle name="Calculation 6 2 6" xfId="3079"/>
    <cellStyle name="Calculation 6 2 6 2" xfId="58403"/>
    <cellStyle name="Calculation 6 2 7" xfId="3080"/>
    <cellStyle name="Calculation 6 2 7 2" xfId="58404"/>
    <cellStyle name="Calculation 6 2 8" xfId="3081"/>
    <cellStyle name="Calculation 6 2 8 2" xfId="58405"/>
    <cellStyle name="Calculation 6 2 9" xfId="3082"/>
    <cellStyle name="Calculation 6 3" xfId="3083"/>
    <cellStyle name="Calculation 6 3 2" xfId="58406"/>
    <cellStyle name="Calculation 6 4" xfId="3084"/>
    <cellStyle name="Calculation 6 4 2" xfId="58407"/>
    <cellStyle name="Calculation 6 5" xfId="3085"/>
    <cellStyle name="Calculation 6 5 2" xfId="58408"/>
    <cellStyle name="Calculation 6 6" xfId="3086"/>
    <cellStyle name="Calculation 6 6 2" xfId="58409"/>
    <cellStyle name="Calculation 6 7" xfId="3087"/>
    <cellStyle name="Calculation 6 7 2" xfId="58410"/>
    <cellStyle name="Calculation 6 8" xfId="3088"/>
    <cellStyle name="Calculation 6 8 2" xfId="58411"/>
    <cellStyle name="Calculation 6 9" xfId="3089"/>
    <cellStyle name="Calculation 6 9 2" xfId="58412"/>
    <cellStyle name="Calculation 7" xfId="3090"/>
    <cellStyle name="Calculation 7 10" xfId="3091"/>
    <cellStyle name="Calculation 7 11" xfId="58413"/>
    <cellStyle name="Calculation 7 12" xfId="58414"/>
    <cellStyle name="Calculation 7 2" xfId="3092"/>
    <cellStyle name="Calculation 7 2 2" xfId="3093"/>
    <cellStyle name="Calculation 7 2 2 2" xfId="58415"/>
    <cellStyle name="Calculation 7 2 3" xfId="3094"/>
    <cellStyle name="Calculation 7 2 3 2" xfId="58416"/>
    <cellStyle name="Calculation 7 2 4" xfId="3095"/>
    <cellStyle name="Calculation 7 2 4 2" xfId="58417"/>
    <cellStyle name="Calculation 7 2 5" xfId="3096"/>
    <cellStyle name="Calculation 7 2 5 2" xfId="58418"/>
    <cellStyle name="Calculation 7 2 6" xfId="3097"/>
    <cellStyle name="Calculation 7 2 6 2" xfId="58419"/>
    <cellStyle name="Calculation 7 2 7" xfId="3098"/>
    <cellStyle name="Calculation 7 2 7 2" xfId="58420"/>
    <cellStyle name="Calculation 7 2 8" xfId="3099"/>
    <cellStyle name="Calculation 7 2 8 2" xfId="58421"/>
    <cellStyle name="Calculation 7 2 9" xfId="3100"/>
    <cellStyle name="Calculation 7 3" xfId="3101"/>
    <cellStyle name="Calculation 7 3 2" xfId="58422"/>
    <cellStyle name="Calculation 7 4" xfId="3102"/>
    <cellStyle name="Calculation 7 4 2" xfId="58423"/>
    <cellStyle name="Calculation 7 5" xfId="3103"/>
    <cellStyle name="Calculation 7 5 2" xfId="58424"/>
    <cellStyle name="Calculation 7 6" xfId="3104"/>
    <cellStyle name="Calculation 7 6 2" xfId="58425"/>
    <cellStyle name="Calculation 7 7" xfId="3105"/>
    <cellStyle name="Calculation 7 7 2" xfId="58426"/>
    <cellStyle name="Calculation 7 8" xfId="3106"/>
    <cellStyle name="Calculation 7 8 2" xfId="58427"/>
    <cellStyle name="Calculation 7 9" xfId="3107"/>
    <cellStyle name="Calculation 7 9 2" xfId="58428"/>
    <cellStyle name="Calculation 8" xfId="3108"/>
    <cellStyle name="Calculation 8 10" xfId="3109"/>
    <cellStyle name="Calculation 8 11" xfId="58429"/>
    <cellStyle name="Calculation 8 12" xfId="58430"/>
    <cellStyle name="Calculation 8 2" xfId="3110"/>
    <cellStyle name="Calculation 8 2 2" xfId="3111"/>
    <cellStyle name="Calculation 8 2 2 2" xfId="58431"/>
    <cellStyle name="Calculation 8 2 3" xfId="3112"/>
    <cellStyle name="Calculation 8 2 3 2" xfId="58432"/>
    <cellStyle name="Calculation 8 2 4" xfId="3113"/>
    <cellStyle name="Calculation 8 2 4 2" xfId="58433"/>
    <cellStyle name="Calculation 8 2 5" xfId="3114"/>
    <cellStyle name="Calculation 8 2 5 2" xfId="58434"/>
    <cellStyle name="Calculation 8 2 6" xfId="3115"/>
    <cellStyle name="Calculation 8 2 6 2" xfId="58435"/>
    <cellStyle name="Calculation 8 2 7" xfId="3116"/>
    <cellStyle name="Calculation 8 2 7 2" xfId="58436"/>
    <cellStyle name="Calculation 8 2 8" xfId="3117"/>
    <cellStyle name="Calculation 8 2 8 2" xfId="58437"/>
    <cellStyle name="Calculation 8 2 9" xfId="3118"/>
    <cellStyle name="Calculation 8 3" xfId="3119"/>
    <cellStyle name="Calculation 8 3 2" xfId="58438"/>
    <cellStyle name="Calculation 8 4" xfId="3120"/>
    <cellStyle name="Calculation 8 4 2" xfId="58439"/>
    <cellStyle name="Calculation 8 5" xfId="3121"/>
    <cellStyle name="Calculation 8 5 2" xfId="58440"/>
    <cellStyle name="Calculation 8 6" xfId="3122"/>
    <cellStyle name="Calculation 8 6 2" xfId="58441"/>
    <cellStyle name="Calculation 8 7" xfId="3123"/>
    <cellStyle name="Calculation 8 7 2" xfId="58442"/>
    <cellStyle name="Calculation 8 8" xfId="3124"/>
    <cellStyle name="Calculation 8 8 2" xfId="58443"/>
    <cellStyle name="Calculation 8 9" xfId="3125"/>
    <cellStyle name="Calculation 8 9 2" xfId="58444"/>
    <cellStyle name="Calculation 9" xfId="3126"/>
    <cellStyle name="Calculation 9 10" xfId="3127"/>
    <cellStyle name="Calculation 9 11" xfId="58445"/>
    <cellStyle name="Calculation 9 12" xfId="58446"/>
    <cellStyle name="Calculation 9 2" xfId="3128"/>
    <cellStyle name="Calculation 9 2 2" xfId="3129"/>
    <cellStyle name="Calculation 9 2 2 2" xfId="58447"/>
    <cellStyle name="Calculation 9 2 3" xfId="3130"/>
    <cellStyle name="Calculation 9 2 3 2" xfId="58448"/>
    <cellStyle name="Calculation 9 2 4" xfId="3131"/>
    <cellStyle name="Calculation 9 2 4 2" xfId="58449"/>
    <cellStyle name="Calculation 9 2 5" xfId="3132"/>
    <cellStyle name="Calculation 9 2 5 2" xfId="58450"/>
    <cellStyle name="Calculation 9 2 6" xfId="3133"/>
    <cellStyle name="Calculation 9 2 6 2" xfId="58451"/>
    <cellStyle name="Calculation 9 2 7" xfId="3134"/>
    <cellStyle name="Calculation 9 2 7 2" xfId="58452"/>
    <cellStyle name="Calculation 9 2 8" xfId="3135"/>
    <cellStyle name="Calculation 9 2 8 2" xfId="58453"/>
    <cellStyle name="Calculation 9 2 9" xfId="3136"/>
    <cellStyle name="Calculation 9 3" xfId="3137"/>
    <cellStyle name="Calculation 9 3 2" xfId="58454"/>
    <cellStyle name="Calculation 9 4" xfId="3138"/>
    <cellStyle name="Calculation 9 4 2" xfId="58455"/>
    <cellStyle name="Calculation 9 5" xfId="3139"/>
    <cellStyle name="Calculation 9 5 2" xfId="58456"/>
    <cellStyle name="Calculation 9 6" xfId="3140"/>
    <cellStyle name="Calculation 9 6 2" xfId="58457"/>
    <cellStyle name="Calculation 9 7" xfId="3141"/>
    <cellStyle name="Calculation 9 7 2" xfId="58458"/>
    <cellStyle name="Calculation 9 8" xfId="3142"/>
    <cellStyle name="Calculation 9 8 2" xfId="58459"/>
    <cellStyle name="Calculation 9 9" xfId="3143"/>
    <cellStyle name="Calculation 9 9 2" xfId="58460"/>
    <cellStyle name="Check Cell 10" xfId="9572"/>
    <cellStyle name="Check Cell 11" xfId="9573"/>
    <cellStyle name="Check Cell 12" xfId="9574"/>
    <cellStyle name="Check Cell 13" xfId="9575"/>
    <cellStyle name="Check Cell 14" xfId="9576"/>
    <cellStyle name="Check Cell 15" xfId="9577"/>
    <cellStyle name="Check Cell 16" xfId="9578"/>
    <cellStyle name="Check Cell 17" xfId="9579"/>
    <cellStyle name="Check Cell 2" xfId="3144"/>
    <cellStyle name="Check Cell 2 2" xfId="3145"/>
    <cellStyle name="Check Cell 2 2 2" xfId="58461"/>
    <cellStyle name="Check Cell 2 3" xfId="29394"/>
    <cellStyle name="Check Cell 2 4" xfId="29395"/>
    <cellStyle name="Check Cell 2 5" xfId="29396"/>
    <cellStyle name="Check Cell 3" xfId="3146"/>
    <cellStyle name="Check Cell 3 2" xfId="9039"/>
    <cellStyle name="Check Cell 4" xfId="9040"/>
    <cellStyle name="Check Cell 4 2" xfId="29397"/>
    <cellStyle name="Check Cell 5" xfId="9580"/>
    <cellStyle name="Check Cell 5 2" xfId="29398"/>
    <cellStyle name="Check Cell 6" xfId="9581"/>
    <cellStyle name="Check Cell 6 2" xfId="29399"/>
    <cellStyle name="Check Cell 7" xfId="9582"/>
    <cellStyle name="Check Cell 7 2" xfId="29400"/>
    <cellStyle name="Check Cell 8" xfId="9583"/>
    <cellStyle name="Check Cell 9" xfId="9584"/>
    <cellStyle name="CodeEingabe" xfId="3147"/>
    <cellStyle name="ColumnAttributeAbovePrompt" xfId="3148"/>
    <cellStyle name="ColumnAttributeAbovePrompt 2" xfId="3149"/>
    <cellStyle name="ColumnAttributeAbovePrompt 2 2" xfId="9585"/>
    <cellStyle name="ColumnAttributeAbovePrompt 2 3" xfId="9586"/>
    <cellStyle name="ColumnAttributeAbovePrompt 3" xfId="3150"/>
    <cellStyle name="ColumnAttributeAbovePrompt 4" xfId="9041"/>
    <cellStyle name="ColumnAttributePrompt" xfId="3151"/>
    <cellStyle name="ColumnAttributePrompt 2" xfId="3152"/>
    <cellStyle name="ColumnAttributePrompt 2 2" xfId="9587"/>
    <cellStyle name="ColumnAttributePrompt 2 3" xfId="9588"/>
    <cellStyle name="ColumnAttributePrompt 3" xfId="3153"/>
    <cellStyle name="ColumnAttributePrompt 4" xfId="9042"/>
    <cellStyle name="ColumnAttributeValue" xfId="3154"/>
    <cellStyle name="ColumnAttributeValue 2" xfId="3155"/>
    <cellStyle name="ColumnAttributeValue 2 2" xfId="9589"/>
    <cellStyle name="ColumnAttributeValue 2 3" xfId="9590"/>
    <cellStyle name="ColumnAttributeValue 3" xfId="3156"/>
    <cellStyle name="ColumnAttributeValue 4" xfId="9043"/>
    <cellStyle name="ColumnHeadingPrompt" xfId="3157"/>
    <cellStyle name="ColumnHeadingPrompt 2" xfId="3158"/>
    <cellStyle name="ColumnHeadingPrompt 2 2" xfId="9591"/>
    <cellStyle name="ColumnHeadingPrompt 2 3" xfId="9592"/>
    <cellStyle name="ColumnHeadingPrompt 3" xfId="3159"/>
    <cellStyle name="ColumnHeadingPrompt 4" xfId="9044"/>
    <cellStyle name="ColumnHeadingValue" xfId="3160"/>
    <cellStyle name="ColumnHeadingValue 2" xfId="3161"/>
    <cellStyle name="ColumnHeadingValue 2 2" xfId="29401"/>
    <cellStyle name="ColumnHeadingValue 3" xfId="3162"/>
    <cellStyle name="ColumnHeadingValue 4" xfId="9045"/>
    <cellStyle name="Comma" xfId="8782" builtinId="3"/>
    <cellStyle name="Comma [0] 2" xfId="3163"/>
    <cellStyle name="Comma [0] 2 2" xfId="3164"/>
    <cellStyle name="Comma [0] 2 3" xfId="29402"/>
    <cellStyle name="Comma [0] 3" xfId="3165"/>
    <cellStyle name="Comma [0] 3 2" xfId="3166"/>
    <cellStyle name="Comma [0] 3 2 2" xfId="9593"/>
    <cellStyle name="Comma [0] 3 2 2 2" xfId="9594"/>
    <cellStyle name="Comma [0] 3 2 3" xfId="9595"/>
    <cellStyle name="Comma [0] 3 2 4" xfId="58462"/>
    <cellStyle name="Comma [0] 3 3" xfId="9596"/>
    <cellStyle name="Comma [0] 3 4" xfId="9597"/>
    <cellStyle name="Comma [0] 3 4 2" xfId="9598"/>
    <cellStyle name="Comma [0] 3 5" xfId="9599"/>
    <cellStyle name="Comma [0] 4" xfId="3167"/>
    <cellStyle name="Comma [0] 4 2" xfId="3168"/>
    <cellStyle name="Comma [0] 5" xfId="3169"/>
    <cellStyle name="Comma [0] 5 2" xfId="3170"/>
    <cellStyle name="Comma [0] 5 2 2" xfId="9600"/>
    <cellStyle name="Comma [0] 5 2 3" xfId="58463"/>
    <cellStyle name="Comma [0] 5 3" xfId="9601"/>
    <cellStyle name="Comma [0] 5 3 2" xfId="29403"/>
    <cellStyle name="Comma [0] 5 4" xfId="29404"/>
    <cellStyle name="Comma [0] 6" xfId="9602"/>
    <cellStyle name="Comma [0] 6 2" xfId="9603"/>
    <cellStyle name="Comma [0] 6 2 2" xfId="9604"/>
    <cellStyle name="Comma [0] 6 3" xfId="9605"/>
    <cellStyle name="Comma 10" xfId="3171"/>
    <cellStyle name="Comma 10 10" xfId="9046"/>
    <cellStyle name="Comma 10 10 2" xfId="29405"/>
    <cellStyle name="Comma 10 10 2 2" xfId="29406"/>
    <cellStyle name="Comma 10 10 2 3" xfId="29407"/>
    <cellStyle name="Comma 10 10 3" xfId="29408"/>
    <cellStyle name="Comma 10 10 3 2" xfId="29409"/>
    <cellStyle name="Comma 10 10 4" xfId="29410"/>
    <cellStyle name="Comma 10 10 5" xfId="29411"/>
    <cellStyle name="Comma 10 11" xfId="29412"/>
    <cellStyle name="Comma 10 11 2" xfId="29413"/>
    <cellStyle name="Comma 10 11 3" xfId="29414"/>
    <cellStyle name="Comma 10 12" xfId="29415"/>
    <cellStyle name="Comma 10 12 2" xfId="29416"/>
    <cellStyle name="Comma 10 12 3" xfId="29417"/>
    <cellStyle name="Comma 10 13" xfId="29418"/>
    <cellStyle name="Comma 10 13 2" xfId="29419"/>
    <cellStyle name="Comma 10 14" xfId="29420"/>
    <cellStyle name="Comma 10 15" xfId="29421"/>
    <cellStyle name="Comma 10 16" xfId="29422"/>
    <cellStyle name="Comma 10 2" xfId="3172"/>
    <cellStyle name="Comma 10 2 10" xfId="29423"/>
    <cellStyle name="Comma 10 2 10 2" xfId="29424"/>
    <cellStyle name="Comma 10 2 10 3" xfId="29425"/>
    <cellStyle name="Comma 10 2 11" xfId="29426"/>
    <cellStyle name="Comma 10 2 11 2" xfId="29427"/>
    <cellStyle name="Comma 10 2 11 3" xfId="29428"/>
    <cellStyle name="Comma 10 2 12" xfId="29429"/>
    <cellStyle name="Comma 10 2 12 2" xfId="29430"/>
    <cellStyle name="Comma 10 2 13" xfId="29431"/>
    <cellStyle name="Comma 10 2 14" xfId="29432"/>
    <cellStyle name="Comma 10 2 15" xfId="29433"/>
    <cellStyle name="Comma 10 2 2" xfId="3173"/>
    <cellStyle name="Comma 10 2 2 10" xfId="29434"/>
    <cellStyle name="Comma 10 2 2 10 2" xfId="29435"/>
    <cellStyle name="Comma 10 2 2 10 3" xfId="29436"/>
    <cellStyle name="Comma 10 2 2 11" xfId="29437"/>
    <cellStyle name="Comma 10 2 2 11 2" xfId="29438"/>
    <cellStyle name="Comma 10 2 2 12" xfId="29439"/>
    <cellStyle name="Comma 10 2 2 13" xfId="29440"/>
    <cellStyle name="Comma 10 2 2 14" xfId="29441"/>
    <cellStyle name="Comma 10 2 2 2" xfId="3174"/>
    <cellStyle name="Comma 10 2 2 2 10" xfId="29442"/>
    <cellStyle name="Comma 10 2 2 2 10 2" xfId="29443"/>
    <cellStyle name="Comma 10 2 2 2 11" xfId="29444"/>
    <cellStyle name="Comma 10 2 2 2 12" xfId="29445"/>
    <cellStyle name="Comma 10 2 2 2 2" xfId="3175"/>
    <cellStyle name="Comma 10 2 2 2 2 10" xfId="29446"/>
    <cellStyle name="Comma 10 2 2 2 2 2" xfId="3176"/>
    <cellStyle name="Comma 10 2 2 2 2 2 2" xfId="3177"/>
    <cellStyle name="Comma 10 2 2 2 2 2 2 2" xfId="29447"/>
    <cellStyle name="Comma 10 2 2 2 2 2 2 2 2" xfId="29448"/>
    <cellStyle name="Comma 10 2 2 2 2 2 2 2 3" xfId="29449"/>
    <cellStyle name="Comma 10 2 2 2 2 2 2 3" xfId="29450"/>
    <cellStyle name="Comma 10 2 2 2 2 2 2 3 2" xfId="29451"/>
    <cellStyle name="Comma 10 2 2 2 2 2 2 3 3" xfId="29452"/>
    <cellStyle name="Comma 10 2 2 2 2 2 2 4" xfId="29453"/>
    <cellStyle name="Comma 10 2 2 2 2 2 2 4 2" xfId="29454"/>
    <cellStyle name="Comma 10 2 2 2 2 2 2 5" xfId="29455"/>
    <cellStyle name="Comma 10 2 2 2 2 2 2 6" xfId="29456"/>
    <cellStyle name="Comma 10 2 2 2 2 2 3" xfId="29457"/>
    <cellStyle name="Comma 10 2 2 2 2 2 3 2" xfId="29458"/>
    <cellStyle name="Comma 10 2 2 2 2 2 3 2 2" xfId="29459"/>
    <cellStyle name="Comma 10 2 2 2 2 2 3 2 3" xfId="29460"/>
    <cellStyle name="Comma 10 2 2 2 2 2 3 3" xfId="29461"/>
    <cellStyle name="Comma 10 2 2 2 2 2 3 3 2" xfId="29462"/>
    <cellStyle name="Comma 10 2 2 2 2 2 3 3 3" xfId="29463"/>
    <cellStyle name="Comma 10 2 2 2 2 2 3 4" xfId="29464"/>
    <cellStyle name="Comma 10 2 2 2 2 2 3 4 2" xfId="29465"/>
    <cellStyle name="Comma 10 2 2 2 2 2 3 5" xfId="29466"/>
    <cellStyle name="Comma 10 2 2 2 2 2 3 6" xfId="29467"/>
    <cellStyle name="Comma 10 2 2 2 2 2 4" xfId="29468"/>
    <cellStyle name="Comma 10 2 2 2 2 2 4 2" xfId="29469"/>
    <cellStyle name="Comma 10 2 2 2 2 2 4 2 2" xfId="29470"/>
    <cellStyle name="Comma 10 2 2 2 2 2 4 2 3" xfId="29471"/>
    <cellStyle name="Comma 10 2 2 2 2 2 4 3" xfId="29472"/>
    <cellStyle name="Comma 10 2 2 2 2 2 4 3 2" xfId="29473"/>
    <cellStyle name="Comma 10 2 2 2 2 2 4 4" xfId="29474"/>
    <cellStyle name="Comma 10 2 2 2 2 2 4 5" xfId="29475"/>
    <cellStyle name="Comma 10 2 2 2 2 2 5" xfId="29476"/>
    <cellStyle name="Comma 10 2 2 2 2 2 5 2" xfId="29477"/>
    <cellStyle name="Comma 10 2 2 2 2 2 5 3" xfId="29478"/>
    <cellStyle name="Comma 10 2 2 2 2 2 6" xfId="29479"/>
    <cellStyle name="Comma 10 2 2 2 2 2 6 2" xfId="29480"/>
    <cellStyle name="Comma 10 2 2 2 2 2 6 3" xfId="29481"/>
    <cellStyle name="Comma 10 2 2 2 2 2 7" xfId="29482"/>
    <cellStyle name="Comma 10 2 2 2 2 2 7 2" xfId="29483"/>
    <cellStyle name="Comma 10 2 2 2 2 2 8" xfId="29484"/>
    <cellStyle name="Comma 10 2 2 2 2 2 9" xfId="29485"/>
    <cellStyle name="Comma 10 2 2 2 2 3" xfId="3178"/>
    <cellStyle name="Comma 10 2 2 2 2 3 2" xfId="29486"/>
    <cellStyle name="Comma 10 2 2 2 2 3 2 2" xfId="29487"/>
    <cellStyle name="Comma 10 2 2 2 2 3 2 3" xfId="29488"/>
    <cellStyle name="Comma 10 2 2 2 2 3 3" xfId="29489"/>
    <cellStyle name="Comma 10 2 2 2 2 3 3 2" xfId="29490"/>
    <cellStyle name="Comma 10 2 2 2 2 3 3 3" xfId="29491"/>
    <cellStyle name="Comma 10 2 2 2 2 3 4" xfId="29492"/>
    <cellStyle name="Comma 10 2 2 2 2 3 4 2" xfId="29493"/>
    <cellStyle name="Comma 10 2 2 2 2 3 5" xfId="29494"/>
    <cellStyle name="Comma 10 2 2 2 2 3 6" xfId="29495"/>
    <cellStyle name="Comma 10 2 2 2 2 4" xfId="29496"/>
    <cellStyle name="Comma 10 2 2 2 2 4 2" xfId="29497"/>
    <cellStyle name="Comma 10 2 2 2 2 4 2 2" xfId="29498"/>
    <cellStyle name="Comma 10 2 2 2 2 4 2 3" xfId="29499"/>
    <cellStyle name="Comma 10 2 2 2 2 4 3" xfId="29500"/>
    <cellStyle name="Comma 10 2 2 2 2 4 3 2" xfId="29501"/>
    <cellStyle name="Comma 10 2 2 2 2 4 3 3" xfId="29502"/>
    <cellStyle name="Comma 10 2 2 2 2 4 4" xfId="29503"/>
    <cellStyle name="Comma 10 2 2 2 2 4 4 2" xfId="29504"/>
    <cellStyle name="Comma 10 2 2 2 2 4 5" xfId="29505"/>
    <cellStyle name="Comma 10 2 2 2 2 4 6" xfId="29506"/>
    <cellStyle name="Comma 10 2 2 2 2 5" xfId="29507"/>
    <cellStyle name="Comma 10 2 2 2 2 5 2" xfId="29508"/>
    <cellStyle name="Comma 10 2 2 2 2 5 2 2" xfId="29509"/>
    <cellStyle name="Comma 10 2 2 2 2 5 2 3" xfId="29510"/>
    <cellStyle name="Comma 10 2 2 2 2 5 3" xfId="29511"/>
    <cellStyle name="Comma 10 2 2 2 2 5 3 2" xfId="29512"/>
    <cellStyle name="Comma 10 2 2 2 2 5 4" xfId="29513"/>
    <cellStyle name="Comma 10 2 2 2 2 5 5" xfId="29514"/>
    <cellStyle name="Comma 10 2 2 2 2 6" xfId="29515"/>
    <cellStyle name="Comma 10 2 2 2 2 6 2" xfId="29516"/>
    <cellStyle name="Comma 10 2 2 2 2 6 3" xfId="29517"/>
    <cellStyle name="Comma 10 2 2 2 2 7" xfId="29518"/>
    <cellStyle name="Comma 10 2 2 2 2 7 2" xfId="29519"/>
    <cellStyle name="Comma 10 2 2 2 2 7 3" xfId="29520"/>
    <cellStyle name="Comma 10 2 2 2 2 8" xfId="29521"/>
    <cellStyle name="Comma 10 2 2 2 2 8 2" xfId="29522"/>
    <cellStyle name="Comma 10 2 2 2 2 9" xfId="29523"/>
    <cellStyle name="Comma 10 2 2 2 3" xfId="3179"/>
    <cellStyle name="Comma 10 2 2 2 3 2" xfId="3180"/>
    <cellStyle name="Comma 10 2 2 2 3 2 2" xfId="29524"/>
    <cellStyle name="Comma 10 2 2 2 3 2 2 2" xfId="29525"/>
    <cellStyle name="Comma 10 2 2 2 3 2 2 3" xfId="29526"/>
    <cellStyle name="Comma 10 2 2 2 3 2 3" xfId="29527"/>
    <cellStyle name="Comma 10 2 2 2 3 2 3 2" xfId="29528"/>
    <cellStyle name="Comma 10 2 2 2 3 2 3 3" xfId="29529"/>
    <cellStyle name="Comma 10 2 2 2 3 2 4" xfId="29530"/>
    <cellStyle name="Comma 10 2 2 2 3 2 4 2" xfId="29531"/>
    <cellStyle name="Comma 10 2 2 2 3 2 5" xfId="29532"/>
    <cellStyle name="Comma 10 2 2 2 3 2 6" xfId="29533"/>
    <cellStyle name="Comma 10 2 2 2 3 3" xfId="29534"/>
    <cellStyle name="Comma 10 2 2 2 3 3 2" xfId="29535"/>
    <cellStyle name="Comma 10 2 2 2 3 3 2 2" xfId="29536"/>
    <cellStyle name="Comma 10 2 2 2 3 3 2 3" xfId="29537"/>
    <cellStyle name="Comma 10 2 2 2 3 3 3" xfId="29538"/>
    <cellStyle name="Comma 10 2 2 2 3 3 3 2" xfId="29539"/>
    <cellStyle name="Comma 10 2 2 2 3 3 3 3" xfId="29540"/>
    <cellStyle name="Comma 10 2 2 2 3 3 4" xfId="29541"/>
    <cellStyle name="Comma 10 2 2 2 3 3 4 2" xfId="29542"/>
    <cellStyle name="Comma 10 2 2 2 3 3 5" xfId="29543"/>
    <cellStyle name="Comma 10 2 2 2 3 3 6" xfId="29544"/>
    <cellStyle name="Comma 10 2 2 2 3 4" xfId="29545"/>
    <cellStyle name="Comma 10 2 2 2 3 4 2" xfId="29546"/>
    <cellStyle name="Comma 10 2 2 2 3 4 2 2" xfId="29547"/>
    <cellStyle name="Comma 10 2 2 2 3 4 2 3" xfId="29548"/>
    <cellStyle name="Comma 10 2 2 2 3 4 3" xfId="29549"/>
    <cellStyle name="Comma 10 2 2 2 3 4 3 2" xfId="29550"/>
    <cellStyle name="Comma 10 2 2 2 3 4 4" xfId="29551"/>
    <cellStyle name="Comma 10 2 2 2 3 4 5" xfId="29552"/>
    <cellStyle name="Comma 10 2 2 2 3 5" xfId="29553"/>
    <cellStyle name="Comma 10 2 2 2 3 5 2" xfId="29554"/>
    <cellStyle name="Comma 10 2 2 2 3 5 3" xfId="29555"/>
    <cellStyle name="Comma 10 2 2 2 3 6" xfId="29556"/>
    <cellStyle name="Comma 10 2 2 2 3 6 2" xfId="29557"/>
    <cellStyle name="Comma 10 2 2 2 3 6 3" xfId="29558"/>
    <cellStyle name="Comma 10 2 2 2 3 7" xfId="29559"/>
    <cellStyle name="Comma 10 2 2 2 3 7 2" xfId="29560"/>
    <cellStyle name="Comma 10 2 2 2 3 8" xfId="29561"/>
    <cellStyle name="Comma 10 2 2 2 3 9" xfId="29562"/>
    <cellStyle name="Comma 10 2 2 2 4" xfId="3181"/>
    <cellStyle name="Comma 10 2 2 2 4 2" xfId="29563"/>
    <cellStyle name="Comma 10 2 2 2 4 2 2" xfId="29564"/>
    <cellStyle name="Comma 10 2 2 2 4 2 2 2" xfId="29565"/>
    <cellStyle name="Comma 10 2 2 2 4 2 2 3" xfId="29566"/>
    <cellStyle name="Comma 10 2 2 2 4 2 3" xfId="29567"/>
    <cellStyle name="Comma 10 2 2 2 4 2 3 2" xfId="29568"/>
    <cellStyle name="Comma 10 2 2 2 4 2 3 3" xfId="29569"/>
    <cellStyle name="Comma 10 2 2 2 4 2 4" xfId="29570"/>
    <cellStyle name="Comma 10 2 2 2 4 2 4 2" xfId="29571"/>
    <cellStyle name="Comma 10 2 2 2 4 2 5" xfId="29572"/>
    <cellStyle name="Comma 10 2 2 2 4 2 6" xfId="29573"/>
    <cellStyle name="Comma 10 2 2 2 4 3" xfId="29574"/>
    <cellStyle name="Comma 10 2 2 2 4 3 2" xfId="29575"/>
    <cellStyle name="Comma 10 2 2 2 4 3 2 2" xfId="29576"/>
    <cellStyle name="Comma 10 2 2 2 4 3 2 3" xfId="29577"/>
    <cellStyle name="Comma 10 2 2 2 4 3 3" xfId="29578"/>
    <cellStyle name="Comma 10 2 2 2 4 3 3 2" xfId="29579"/>
    <cellStyle name="Comma 10 2 2 2 4 3 3 3" xfId="29580"/>
    <cellStyle name="Comma 10 2 2 2 4 3 4" xfId="29581"/>
    <cellStyle name="Comma 10 2 2 2 4 3 4 2" xfId="29582"/>
    <cellStyle name="Comma 10 2 2 2 4 3 5" xfId="29583"/>
    <cellStyle name="Comma 10 2 2 2 4 3 6" xfId="29584"/>
    <cellStyle name="Comma 10 2 2 2 4 4" xfId="29585"/>
    <cellStyle name="Comma 10 2 2 2 4 4 2" xfId="29586"/>
    <cellStyle name="Comma 10 2 2 2 4 4 2 2" xfId="29587"/>
    <cellStyle name="Comma 10 2 2 2 4 4 2 3" xfId="29588"/>
    <cellStyle name="Comma 10 2 2 2 4 4 3" xfId="29589"/>
    <cellStyle name="Comma 10 2 2 2 4 4 3 2" xfId="29590"/>
    <cellStyle name="Comma 10 2 2 2 4 4 4" xfId="29591"/>
    <cellStyle name="Comma 10 2 2 2 4 4 5" xfId="29592"/>
    <cellStyle name="Comma 10 2 2 2 4 5" xfId="29593"/>
    <cellStyle name="Comma 10 2 2 2 4 5 2" xfId="29594"/>
    <cellStyle name="Comma 10 2 2 2 4 5 3" xfId="29595"/>
    <cellStyle name="Comma 10 2 2 2 4 6" xfId="29596"/>
    <cellStyle name="Comma 10 2 2 2 4 6 2" xfId="29597"/>
    <cellStyle name="Comma 10 2 2 2 4 6 3" xfId="29598"/>
    <cellStyle name="Comma 10 2 2 2 4 7" xfId="29599"/>
    <cellStyle name="Comma 10 2 2 2 4 7 2" xfId="29600"/>
    <cellStyle name="Comma 10 2 2 2 4 8" xfId="29601"/>
    <cellStyle name="Comma 10 2 2 2 4 9" xfId="29602"/>
    <cellStyle name="Comma 10 2 2 2 5" xfId="29603"/>
    <cellStyle name="Comma 10 2 2 2 5 2" xfId="29604"/>
    <cellStyle name="Comma 10 2 2 2 5 2 2" xfId="29605"/>
    <cellStyle name="Comma 10 2 2 2 5 2 3" xfId="29606"/>
    <cellStyle name="Comma 10 2 2 2 5 3" xfId="29607"/>
    <cellStyle name="Comma 10 2 2 2 5 3 2" xfId="29608"/>
    <cellStyle name="Comma 10 2 2 2 5 3 3" xfId="29609"/>
    <cellStyle name="Comma 10 2 2 2 5 4" xfId="29610"/>
    <cellStyle name="Comma 10 2 2 2 5 4 2" xfId="29611"/>
    <cellStyle name="Comma 10 2 2 2 5 5" xfId="29612"/>
    <cellStyle name="Comma 10 2 2 2 5 6" xfId="29613"/>
    <cellStyle name="Comma 10 2 2 2 6" xfId="29614"/>
    <cellStyle name="Comma 10 2 2 2 6 2" xfId="29615"/>
    <cellStyle name="Comma 10 2 2 2 6 2 2" xfId="29616"/>
    <cellStyle name="Comma 10 2 2 2 6 2 3" xfId="29617"/>
    <cellStyle name="Comma 10 2 2 2 6 3" xfId="29618"/>
    <cellStyle name="Comma 10 2 2 2 6 3 2" xfId="29619"/>
    <cellStyle name="Comma 10 2 2 2 6 3 3" xfId="29620"/>
    <cellStyle name="Comma 10 2 2 2 6 4" xfId="29621"/>
    <cellStyle name="Comma 10 2 2 2 6 4 2" xfId="29622"/>
    <cellStyle name="Comma 10 2 2 2 6 5" xfId="29623"/>
    <cellStyle name="Comma 10 2 2 2 6 6" xfId="29624"/>
    <cellStyle name="Comma 10 2 2 2 7" xfId="29625"/>
    <cellStyle name="Comma 10 2 2 2 7 2" xfId="29626"/>
    <cellStyle name="Comma 10 2 2 2 7 2 2" xfId="29627"/>
    <cellStyle name="Comma 10 2 2 2 7 2 3" xfId="29628"/>
    <cellStyle name="Comma 10 2 2 2 7 3" xfId="29629"/>
    <cellStyle name="Comma 10 2 2 2 7 3 2" xfId="29630"/>
    <cellStyle name="Comma 10 2 2 2 7 4" xfId="29631"/>
    <cellStyle name="Comma 10 2 2 2 7 5" xfId="29632"/>
    <cellStyle name="Comma 10 2 2 2 8" xfId="29633"/>
    <cellStyle name="Comma 10 2 2 2 8 2" xfId="29634"/>
    <cellStyle name="Comma 10 2 2 2 8 3" xfId="29635"/>
    <cellStyle name="Comma 10 2 2 2 9" xfId="29636"/>
    <cellStyle name="Comma 10 2 2 2 9 2" xfId="29637"/>
    <cellStyle name="Comma 10 2 2 2 9 3" xfId="29638"/>
    <cellStyle name="Comma 10 2 2 3" xfId="3182"/>
    <cellStyle name="Comma 10 2 2 3 10" xfId="29639"/>
    <cellStyle name="Comma 10 2 2 3 2" xfId="3183"/>
    <cellStyle name="Comma 10 2 2 3 2 2" xfId="3184"/>
    <cellStyle name="Comma 10 2 2 3 2 2 2" xfId="29640"/>
    <cellStyle name="Comma 10 2 2 3 2 2 2 2" xfId="29641"/>
    <cellStyle name="Comma 10 2 2 3 2 2 2 3" xfId="29642"/>
    <cellStyle name="Comma 10 2 2 3 2 2 3" xfId="29643"/>
    <cellStyle name="Comma 10 2 2 3 2 2 3 2" xfId="29644"/>
    <cellStyle name="Comma 10 2 2 3 2 2 3 3" xfId="29645"/>
    <cellStyle name="Comma 10 2 2 3 2 2 4" xfId="29646"/>
    <cellStyle name="Comma 10 2 2 3 2 2 4 2" xfId="29647"/>
    <cellStyle name="Comma 10 2 2 3 2 2 5" xfId="29648"/>
    <cellStyle name="Comma 10 2 2 3 2 2 6" xfId="29649"/>
    <cellStyle name="Comma 10 2 2 3 2 3" xfId="29650"/>
    <cellStyle name="Comma 10 2 2 3 2 3 2" xfId="29651"/>
    <cellStyle name="Comma 10 2 2 3 2 3 2 2" xfId="29652"/>
    <cellStyle name="Comma 10 2 2 3 2 3 2 3" xfId="29653"/>
    <cellStyle name="Comma 10 2 2 3 2 3 3" xfId="29654"/>
    <cellStyle name="Comma 10 2 2 3 2 3 3 2" xfId="29655"/>
    <cellStyle name="Comma 10 2 2 3 2 3 3 3" xfId="29656"/>
    <cellStyle name="Comma 10 2 2 3 2 3 4" xfId="29657"/>
    <cellStyle name="Comma 10 2 2 3 2 3 4 2" xfId="29658"/>
    <cellStyle name="Comma 10 2 2 3 2 3 5" xfId="29659"/>
    <cellStyle name="Comma 10 2 2 3 2 3 6" xfId="29660"/>
    <cellStyle name="Comma 10 2 2 3 2 4" xfId="29661"/>
    <cellStyle name="Comma 10 2 2 3 2 4 2" xfId="29662"/>
    <cellStyle name="Comma 10 2 2 3 2 4 2 2" xfId="29663"/>
    <cellStyle name="Comma 10 2 2 3 2 4 2 3" xfId="29664"/>
    <cellStyle name="Comma 10 2 2 3 2 4 3" xfId="29665"/>
    <cellStyle name="Comma 10 2 2 3 2 4 3 2" xfId="29666"/>
    <cellStyle name="Comma 10 2 2 3 2 4 4" xfId="29667"/>
    <cellStyle name="Comma 10 2 2 3 2 4 5" xfId="29668"/>
    <cellStyle name="Comma 10 2 2 3 2 5" xfId="29669"/>
    <cellStyle name="Comma 10 2 2 3 2 5 2" xfId="29670"/>
    <cellStyle name="Comma 10 2 2 3 2 5 3" xfId="29671"/>
    <cellStyle name="Comma 10 2 2 3 2 6" xfId="29672"/>
    <cellStyle name="Comma 10 2 2 3 2 6 2" xfId="29673"/>
    <cellStyle name="Comma 10 2 2 3 2 6 3" xfId="29674"/>
    <cellStyle name="Comma 10 2 2 3 2 7" xfId="29675"/>
    <cellStyle name="Comma 10 2 2 3 2 7 2" xfId="29676"/>
    <cellStyle name="Comma 10 2 2 3 2 8" xfId="29677"/>
    <cellStyle name="Comma 10 2 2 3 2 9" xfId="29678"/>
    <cellStyle name="Comma 10 2 2 3 3" xfId="3185"/>
    <cellStyle name="Comma 10 2 2 3 3 2" xfId="29679"/>
    <cellStyle name="Comma 10 2 2 3 3 2 2" xfId="29680"/>
    <cellStyle name="Comma 10 2 2 3 3 2 3" xfId="29681"/>
    <cellStyle name="Comma 10 2 2 3 3 3" xfId="29682"/>
    <cellStyle name="Comma 10 2 2 3 3 3 2" xfId="29683"/>
    <cellStyle name="Comma 10 2 2 3 3 3 3" xfId="29684"/>
    <cellStyle name="Comma 10 2 2 3 3 4" xfId="29685"/>
    <cellStyle name="Comma 10 2 2 3 3 4 2" xfId="29686"/>
    <cellStyle name="Comma 10 2 2 3 3 5" xfId="29687"/>
    <cellStyle name="Comma 10 2 2 3 3 6" xfId="29688"/>
    <cellStyle name="Comma 10 2 2 3 4" xfId="29689"/>
    <cellStyle name="Comma 10 2 2 3 4 2" xfId="29690"/>
    <cellStyle name="Comma 10 2 2 3 4 2 2" xfId="29691"/>
    <cellStyle name="Comma 10 2 2 3 4 2 3" xfId="29692"/>
    <cellStyle name="Comma 10 2 2 3 4 3" xfId="29693"/>
    <cellStyle name="Comma 10 2 2 3 4 3 2" xfId="29694"/>
    <cellStyle name="Comma 10 2 2 3 4 3 3" xfId="29695"/>
    <cellStyle name="Comma 10 2 2 3 4 4" xfId="29696"/>
    <cellStyle name="Comma 10 2 2 3 4 4 2" xfId="29697"/>
    <cellStyle name="Comma 10 2 2 3 4 5" xfId="29698"/>
    <cellStyle name="Comma 10 2 2 3 4 6" xfId="29699"/>
    <cellStyle name="Comma 10 2 2 3 5" xfId="29700"/>
    <cellStyle name="Comma 10 2 2 3 5 2" xfId="29701"/>
    <cellStyle name="Comma 10 2 2 3 5 2 2" xfId="29702"/>
    <cellStyle name="Comma 10 2 2 3 5 2 3" xfId="29703"/>
    <cellStyle name="Comma 10 2 2 3 5 3" xfId="29704"/>
    <cellStyle name="Comma 10 2 2 3 5 3 2" xfId="29705"/>
    <cellStyle name="Comma 10 2 2 3 5 4" xfId="29706"/>
    <cellStyle name="Comma 10 2 2 3 5 5" xfId="29707"/>
    <cellStyle name="Comma 10 2 2 3 6" xfId="29708"/>
    <cellStyle name="Comma 10 2 2 3 6 2" xfId="29709"/>
    <cellStyle name="Comma 10 2 2 3 6 3" xfId="29710"/>
    <cellStyle name="Comma 10 2 2 3 7" xfId="29711"/>
    <cellStyle name="Comma 10 2 2 3 7 2" xfId="29712"/>
    <cellStyle name="Comma 10 2 2 3 7 3" xfId="29713"/>
    <cellStyle name="Comma 10 2 2 3 8" xfId="29714"/>
    <cellStyle name="Comma 10 2 2 3 8 2" xfId="29715"/>
    <cellStyle name="Comma 10 2 2 3 9" xfId="29716"/>
    <cellStyle name="Comma 10 2 2 4" xfId="3186"/>
    <cellStyle name="Comma 10 2 2 4 2" xfId="3187"/>
    <cellStyle name="Comma 10 2 2 4 2 2" xfId="29717"/>
    <cellStyle name="Comma 10 2 2 4 2 2 2" xfId="29718"/>
    <cellStyle name="Comma 10 2 2 4 2 2 3" xfId="29719"/>
    <cellStyle name="Comma 10 2 2 4 2 3" xfId="29720"/>
    <cellStyle name="Comma 10 2 2 4 2 3 2" xfId="29721"/>
    <cellStyle name="Comma 10 2 2 4 2 3 3" xfId="29722"/>
    <cellStyle name="Comma 10 2 2 4 2 4" xfId="29723"/>
    <cellStyle name="Comma 10 2 2 4 2 4 2" xfId="29724"/>
    <cellStyle name="Comma 10 2 2 4 2 5" xfId="29725"/>
    <cellStyle name="Comma 10 2 2 4 2 6" xfId="29726"/>
    <cellStyle name="Comma 10 2 2 4 3" xfId="29727"/>
    <cellStyle name="Comma 10 2 2 4 3 2" xfId="29728"/>
    <cellStyle name="Comma 10 2 2 4 3 2 2" xfId="29729"/>
    <cellStyle name="Comma 10 2 2 4 3 2 3" xfId="29730"/>
    <cellStyle name="Comma 10 2 2 4 3 3" xfId="29731"/>
    <cellStyle name="Comma 10 2 2 4 3 3 2" xfId="29732"/>
    <cellStyle name="Comma 10 2 2 4 3 3 3" xfId="29733"/>
    <cellStyle name="Comma 10 2 2 4 3 4" xfId="29734"/>
    <cellStyle name="Comma 10 2 2 4 3 4 2" xfId="29735"/>
    <cellStyle name="Comma 10 2 2 4 3 5" xfId="29736"/>
    <cellStyle name="Comma 10 2 2 4 3 6" xfId="29737"/>
    <cellStyle name="Comma 10 2 2 4 4" xfId="29738"/>
    <cellStyle name="Comma 10 2 2 4 4 2" xfId="29739"/>
    <cellStyle name="Comma 10 2 2 4 4 2 2" xfId="29740"/>
    <cellStyle name="Comma 10 2 2 4 4 2 3" xfId="29741"/>
    <cellStyle name="Comma 10 2 2 4 4 3" xfId="29742"/>
    <cellStyle name="Comma 10 2 2 4 4 3 2" xfId="29743"/>
    <cellStyle name="Comma 10 2 2 4 4 4" xfId="29744"/>
    <cellStyle name="Comma 10 2 2 4 4 5" xfId="29745"/>
    <cellStyle name="Comma 10 2 2 4 5" xfId="29746"/>
    <cellStyle name="Comma 10 2 2 4 5 2" xfId="29747"/>
    <cellStyle name="Comma 10 2 2 4 5 3" xfId="29748"/>
    <cellStyle name="Comma 10 2 2 4 6" xfId="29749"/>
    <cellStyle name="Comma 10 2 2 4 6 2" xfId="29750"/>
    <cellStyle name="Comma 10 2 2 4 6 3" xfId="29751"/>
    <cellStyle name="Comma 10 2 2 4 7" xfId="29752"/>
    <cellStyle name="Comma 10 2 2 4 7 2" xfId="29753"/>
    <cellStyle name="Comma 10 2 2 4 8" xfId="29754"/>
    <cellStyle name="Comma 10 2 2 4 9" xfId="29755"/>
    <cellStyle name="Comma 10 2 2 5" xfId="3188"/>
    <cellStyle name="Comma 10 2 2 5 2" xfId="29756"/>
    <cellStyle name="Comma 10 2 2 5 2 2" xfId="29757"/>
    <cellStyle name="Comma 10 2 2 5 2 2 2" xfId="29758"/>
    <cellStyle name="Comma 10 2 2 5 2 2 3" xfId="29759"/>
    <cellStyle name="Comma 10 2 2 5 2 3" xfId="29760"/>
    <cellStyle name="Comma 10 2 2 5 2 3 2" xfId="29761"/>
    <cellStyle name="Comma 10 2 2 5 2 3 3" xfId="29762"/>
    <cellStyle name="Comma 10 2 2 5 2 4" xfId="29763"/>
    <cellStyle name="Comma 10 2 2 5 2 4 2" xfId="29764"/>
    <cellStyle name="Comma 10 2 2 5 2 5" xfId="29765"/>
    <cellStyle name="Comma 10 2 2 5 2 6" xfId="29766"/>
    <cellStyle name="Comma 10 2 2 5 3" xfId="29767"/>
    <cellStyle name="Comma 10 2 2 5 3 2" xfId="29768"/>
    <cellStyle name="Comma 10 2 2 5 3 2 2" xfId="29769"/>
    <cellStyle name="Comma 10 2 2 5 3 2 3" xfId="29770"/>
    <cellStyle name="Comma 10 2 2 5 3 3" xfId="29771"/>
    <cellStyle name="Comma 10 2 2 5 3 3 2" xfId="29772"/>
    <cellStyle name="Comma 10 2 2 5 3 3 3" xfId="29773"/>
    <cellStyle name="Comma 10 2 2 5 3 4" xfId="29774"/>
    <cellStyle name="Comma 10 2 2 5 3 4 2" xfId="29775"/>
    <cellStyle name="Comma 10 2 2 5 3 5" xfId="29776"/>
    <cellStyle name="Comma 10 2 2 5 3 6" xfId="29777"/>
    <cellStyle name="Comma 10 2 2 5 4" xfId="29778"/>
    <cellStyle name="Comma 10 2 2 5 4 2" xfId="29779"/>
    <cellStyle name="Comma 10 2 2 5 4 2 2" xfId="29780"/>
    <cellStyle name="Comma 10 2 2 5 4 2 3" xfId="29781"/>
    <cellStyle name="Comma 10 2 2 5 4 3" xfId="29782"/>
    <cellStyle name="Comma 10 2 2 5 4 3 2" xfId="29783"/>
    <cellStyle name="Comma 10 2 2 5 4 4" xfId="29784"/>
    <cellStyle name="Comma 10 2 2 5 4 5" xfId="29785"/>
    <cellStyle name="Comma 10 2 2 5 5" xfId="29786"/>
    <cellStyle name="Comma 10 2 2 5 5 2" xfId="29787"/>
    <cellStyle name="Comma 10 2 2 5 5 3" xfId="29788"/>
    <cellStyle name="Comma 10 2 2 5 6" xfId="29789"/>
    <cellStyle name="Comma 10 2 2 5 6 2" xfId="29790"/>
    <cellStyle name="Comma 10 2 2 5 6 3" xfId="29791"/>
    <cellStyle name="Comma 10 2 2 5 7" xfId="29792"/>
    <cellStyle name="Comma 10 2 2 5 7 2" xfId="29793"/>
    <cellStyle name="Comma 10 2 2 5 8" xfId="29794"/>
    <cellStyle name="Comma 10 2 2 5 9" xfId="29795"/>
    <cellStyle name="Comma 10 2 2 6" xfId="29796"/>
    <cellStyle name="Comma 10 2 2 6 2" xfId="29797"/>
    <cellStyle name="Comma 10 2 2 6 2 2" xfId="29798"/>
    <cellStyle name="Comma 10 2 2 6 2 3" xfId="29799"/>
    <cellStyle name="Comma 10 2 2 6 3" xfId="29800"/>
    <cellStyle name="Comma 10 2 2 6 3 2" xfId="29801"/>
    <cellStyle name="Comma 10 2 2 6 3 3" xfId="29802"/>
    <cellStyle name="Comma 10 2 2 6 4" xfId="29803"/>
    <cellStyle name="Comma 10 2 2 6 4 2" xfId="29804"/>
    <cellStyle name="Comma 10 2 2 6 5" xfId="29805"/>
    <cellStyle name="Comma 10 2 2 6 6" xfId="29806"/>
    <cellStyle name="Comma 10 2 2 7" xfId="29807"/>
    <cellStyle name="Comma 10 2 2 7 2" xfId="29808"/>
    <cellStyle name="Comma 10 2 2 7 2 2" xfId="29809"/>
    <cellStyle name="Comma 10 2 2 7 2 3" xfId="29810"/>
    <cellStyle name="Comma 10 2 2 7 3" xfId="29811"/>
    <cellStyle name="Comma 10 2 2 7 3 2" xfId="29812"/>
    <cellStyle name="Comma 10 2 2 7 3 3" xfId="29813"/>
    <cellStyle name="Comma 10 2 2 7 4" xfId="29814"/>
    <cellStyle name="Comma 10 2 2 7 4 2" xfId="29815"/>
    <cellStyle name="Comma 10 2 2 7 5" xfId="29816"/>
    <cellStyle name="Comma 10 2 2 7 6" xfId="29817"/>
    <cellStyle name="Comma 10 2 2 8" xfId="29818"/>
    <cellStyle name="Comma 10 2 2 8 2" xfId="29819"/>
    <cellStyle name="Comma 10 2 2 8 2 2" xfId="29820"/>
    <cellStyle name="Comma 10 2 2 8 2 3" xfId="29821"/>
    <cellStyle name="Comma 10 2 2 8 3" xfId="29822"/>
    <cellStyle name="Comma 10 2 2 8 3 2" xfId="29823"/>
    <cellStyle name="Comma 10 2 2 8 4" xfId="29824"/>
    <cellStyle name="Comma 10 2 2 8 5" xfId="29825"/>
    <cellStyle name="Comma 10 2 2 9" xfId="29826"/>
    <cellStyle name="Comma 10 2 2 9 2" xfId="29827"/>
    <cellStyle name="Comma 10 2 2 9 3" xfId="29828"/>
    <cellStyle name="Comma 10 2 3" xfId="3189"/>
    <cellStyle name="Comma 10 2 3 10" xfId="29829"/>
    <cellStyle name="Comma 10 2 3 10 2" xfId="29830"/>
    <cellStyle name="Comma 10 2 3 11" xfId="29831"/>
    <cellStyle name="Comma 10 2 3 12" xfId="29832"/>
    <cellStyle name="Comma 10 2 3 2" xfId="3190"/>
    <cellStyle name="Comma 10 2 3 2 10" xfId="29833"/>
    <cellStyle name="Comma 10 2 3 2 2" xfId="3191"/>
    <cellStyle name="Comma 10 2 3 2 2 2" xfId="3192"/>
    <cellStyle name="Comma 10 2 3 2 2 2 2" xfId="29834"/>
    <cellStyle name="Comma 10 2 3 2 2 2 2 2" xfId="29835"/>
    <cellStyle name="Comma 10 2 3 2 2 2 2 3" xfId="29836"/>
    <cellStyle name="Comma 10 2 3 2 2 2 3" xfId="29837"/>
    <cellStyle name="Comma 10 2 3 2 2 2 3 2" xfId="29838"/>
    <cellStyle name="Comma 10 2 3 2 2 2 3 3" xfId="29839"/>
    <cellStyle name="Comma 10 2 3 2 2 2 4" xfId="29840"/>
    <cellStyle name="Comma 10 2 3 2 2 2 4 2" xfId="29841"/>
    <cellStyle name="Comma 10 2 3 2 2 2 5" xfId="29842"/>
    <cellStyle name="Comma 10 2 3 2 2 2 6" xfId="29843"/>
    <cellStyle name="Comma 10 2 3 2 2 3" xfId="29844"/>
    <cellStyle name="Comma 10 2 3 2 2 3 2" xfId="29845"/>
    <cellStyle name="Comma 10 2 3 2 2 3 2 2" xfId="29846"/>
    <cellStyle name="Comma 10 2 3 2 2 3 2 3" xfId="29847"/>
    <cellStyle name="Comma 10 2 3 2 2 3 3" xfId="29848"/>
    <cellStyle name="Comma 10 2 3 2 2 3 3 2" xfId="29849"/>
    <cellStyle name="Comma 10 2 3 2 2 3 3 3" xfId="29850"/>
    <cellStyle name="Comma 10 2 3 2 2 3 4" xfId="29851"/>
    <cellStyle name="Comma 10 2 3 2 2 3 4 2" xfId="29852"/>
    <cellStyle name="Comma 10 2 3 2 2 3 5" xfId="29853"/>
    <cellStyle name="Comma 10 2 3 2 2 3 6" xfId="29854"/>
    <cellStyle name="Comma 10 2 3 2 2 4" xfId="29855"/>
    <cellStyle name="Comma 10 2 3 2 2 4 2" xfId="29856"/>
    <cellStyle name="Comma 10 2 3 2 2 4 2 2" xfId="29857"/>
    <cellStyle name="Comma 10 2 3 2 2 4 2 3" xfId="29858"/>
    <cellStyle name="Comma 10 2 3 2 2 4 3" xfId="29859"/>
    <cellStyle name="Comma 10 2 3 2 2 4 3 2" xfId="29860"/>
    <cellStyle name="Comma 10 2 3 2 2 4 4" xfId="29861"/>
    <cellStyle name="Comma 10 2 3 2 2 4 5" xfId="29862"/>
    <cellStyle name="Comma 10 2 3 2 2 5" xfId="29863"/>
    <cellStyle name="Comma 10 2 3 2 2 5 2" xfId="29864"/>
    <cellStyle name="Comma 10 2 3 2 2 5 3" xfId="29865"/>
    <cellStyle name="Comma 10 2 3 2 2 6" xfId="29866"/>
    <cellStyle name="Comma 10 2 3 2 2 6 2" xfId="29867"/>
    <cellStyle name="Comma 10 2 3 2 2 6 3" xfId="29868"/>
    <cellStyle name="Comma 10 2 3 2 2 7" xfId="29869"/>
    <cellStyle name="Comma 10 2 3 2 2 7 2" xfId="29870"/>
    <cellStyle name="Comma 10 2 3 2 2 8" xfId="29871"/>
    <cellStyle name="Comma 10 2 3 2 2 9" xfId="29872"/>
    <cellStyle name="Comma 10 2 3 2 3" xfId="3193"/>
    <cellStyle name="Comma 10 2 3 2 3 2" xfId="29873"/>
    <cellStyle name="Comma 10 2 3 2 3 2 2" xfId="29874"/>
    <cellStyle name="Comma 10 2 3 2 3 2 3" xfId="29875"/>
    <cellStyle name="Comma 10 2 3 2 3 3" xfId="29876"/>
    <cellStyle name="Comma 10 2 3 2 3 3 2" xfId="29877"/>
    <cellStyle name="Comma 10 2 3 2 3 3 3" xfId="29878"/>
    <cellStyle name="Comma 10 2 3 2 3 4" xfId="29879"/>
    <cellStyle name="Comma 10 2 3 2 3 4 2" xfId="29880"/>
    <cellStyle name="Comma 10 2 3 2 3 5" xfId="29881"/>
    <cellStyle name="Comma 10 2 3 2 3 6" xfId="29882"/>
    <cellStyle name="Comma 10 2 3 2 4" xfId="29883"/>
    <cellStyle name="Comma 10 2 3 2 4 2" xfId="29884"/>
    <cellStyle name="Comma 10 2 3 2 4 2 2" xfId="29885"/>
    <cellStyle name="Comma 10 2 3 2 4 2 3" xfId="29886"/>
    <cellStyle name="Comma 10 2 3 2 4 3" xfId="29887"/>
    <cellStyle name="Comma 10 2 3 2 4 3 2" xfId="29888"/>
    <cellStyle name="Comma 10 2 3 2 4 3 3" xfId="29889"/>
    <cellStyle name="Comma 10 2 3 2 4 4" xfId="29890"/>
    <cellStyle name="Comma 10 2 3 2 4 4 2" xfId="29891"/>
    <cellStyle name="Comma 10 2 3 2 4 5" xfId="29892"/>
    <cellStyle name="Comma 10 2 3 2 4 6" xfId="29893"/>
    <cellStyle name="Comma 10 2 3 2 5" xfId="29894"/>
    <cellStyle name="Comma 10 2 3 2 5 2" xfId="29895"/>
    <cellStyle name="Comma 10 2 3 2 5 2 2" xfId="29896"/>
    <cellStyle name="Comma 10 2 3 2 5 2 3" xfId="29897"/>
    <cellStyle name="Comma 10 2 3 2 5 3" xfId="29898"/>
    <cellStyle name="Comma 10 2 3 2 5 3 2" xfId="29899"/>
    <cellStyle name="Comma 10 2 3 2 5 4" xfId="29900"/>
    <cellStyle name="Comma 10 2 3 2 5 5" xfId="29901"/>
    <cellStyle name="Comma 10 2 3 2 6" xfId="29902"/>
    <cellStyle name="Comma 10 2 3 2 6 2" xfId="29903"/>
    <cellStyle name="Comma 10 2 3 2 6 3" xfId="29904"/>
    <cellStyle name="Comma 10 2 3 2 7" xfId="29905"/>
    <cellStyle name="Comma 10 2 3 2 7 2" xfId="29906"/>
    <cellStyle name="Comma 10 2 3 2 7 3" xfId="29907"/>
    <cellStyle name="Comma 10 2 3 2 8" xfId="29908"/>
    <cellStyle name="Comma 10 2 3 2 8 2" xfId="29909"/>
    <cellStyle name="Comma 10 2 3 2 9" xfId="29910"/>
    <cellStyle name="Comma 10 2 3 3" xfId="3194"/>
    <cellStyle name="Comma 10 2 3 3 2" xfId="3195"/>
    <cellStyle name="Comma 10 2 3 3 2 2" xfId="29911"/>
    <cellStyle name="Comma 10 2 3 3 2 2 2" xfId="29912"/>
    <cellStyle name="Comma 10 2 3 3 2 2 3" xfId="29913"/>
    <cellStyle name="Comma 10 2 3 3 2 3" xfId="29914"/>
    <cellStyle name="Comma 10 2 3 3 2 3 2" xfId="29915"/>
    <cellStyle name="Comma 10 2 3 3 2 3 3" xfId="29916"/>
    <cellStyle name="Comma 10 2 3 3 2 4" xfId="29917"/>
    <cellStyle name="Comma 10 2 3 3 2 4 2" xfId="29918"/>
    <cellStyle name="Comma 10 2 3 3 2 5" xfId="29919"/>
    <cellStyle name="Comma 10 2 3 3 2 6" xfId="29920"/>
    <cellStyle name="Comma 10 2 3 3 3" xfId="29921"/>
    <cellStyle name="Comma 10 2 3 3 3 2" xfId="29922"/>
    <cellStyle name="Comma 10 2 3 3 3 2 2" xfId="29923"/>
    <cellStyle name="Comma 10 2 3 3 3 2 3" xfId="29924"/>
    <cellStyle name="Comma 10 2 3 3 3 3" xfId="29925"/>
    <cellStyle name="Comma 10 2 3 3 3 3 2" xfId="29926"/>
    <cellStyle name="Comma 10 2 3 3 3 3 3" xfId="29927"/>
    <cellStyle name="Comma 10 2 3 3 3 4" xfId="29928"/>
    <cellStyle name="Comma 10 2 3 3 3 4 2" xfId="29929"/>
    <cellStyle name="Comma 10 2 3 3 3 5" xfId="29930"/>
    <cellStyle name="Comma 10 2 3 3 3 6" xfId="29931"/>
    <cellStyle name="Comma 10 2 3 3 4" xfId="29932"/>
    <cellStyle name="Comma 10 2 3 3 4 2" xfId="29933"/>
    <cellStyle name="Comma 10 2 3 3 4 2 2" xfId="29934"/>
    <cellStyle name="Comma 10 2 3 3 4 2 3" xfId="29935"/>
    <cellStyle name="Comma 10 2 3 3 4 3" xfId="29936"/>
    <cellStyle name="Comma 10 2 3 3 4 3 2" xfId="29937"/>
    <cellStyle name="Comma 10 2 3 3 4 4" xfId="29938"/>
    <cellStyle name="Comma 10 2 3 3 4 5" xfId="29939"/>
    <cellStyle name="Comma 10 2 3 3 5" xfId="29940"/>
    <cellStyle name="Comma 10 2 3 3 5 2" xfId="29941"/>
    <cellStyle name="Comma 10 2 3 3 5 3" xfId="29942"/>
    <cellStyle name="Comma 10 2 3 3 6" xfId="29943"/>
    <cellStyle name="Comma 10 2 3 3 6 2" xfId="29944"/>
    <cellStyle name="Comma 10 2 3 3 6 3" xfId="29945"/>
    <cellStyle name="Comma 10 2 3 3 7" xfId="29946"/>
    <cellStyle name="Comma 10 2 3 3 7 2" xfId="29947"/>
    <cellStyle name="Comma 10 2 3 3 8" xfId="29948"/>
    <cellStyle name="Comma 10 2 3 3 9" xfId="29949"/>
    <cellStyle name="Comma 10 2 3 4" xfId="3196"/>
    <cellStyle name="Comma 10 2 3 4 2" xfId="29950"/>
    <cellStyle name="Comma 10 2 3 4 2 2" xfId="29951"/>
    <cellStyle name="Comma 10 2 3 4 2 2 2" xfId="29952"/>
    <cellStyle name="Comma 10 2 3 4 2 2 3" xfId="29953"/>
    <cellStyle name="Comma 10 2 3 4 2 3" xfId="29954"/>
    <cellStyle name="Comma 10 2 3 4 2 3 2" xfId="29955"/>
    <cellStyle name="Comma 10 2 3 4 2 3 3" xfId="29956"/>
    <cellStyle name="Comma 10 2 3 4 2 4" xfId="29957"/>
    <cellStyle name="Comma 10 2 3 4 2 4 2" xfId="29958"/>
    <cellStyle name="Comma 10 2 3 4 2 5" xfId="29959"/>
    <cellStyle name="Comma 10 2 3 4 2 6" xfId="29960"/>
    <cellStyle name="Comma 10 2 3 4 3" xfId="29961"/>
    <cellStyle name="Comma 10 2 3 4 3 2" xfId="29962"/>
    <cellStyle name="Comma 10 2 3 4 3 2 2" xfId="29963"/>
    <cellStyle name="Comma 10 2 3 4 3 2 3" xfId="29964"/>
    <cellStyle name="Comma 10 2 3 4 3 3" xfId="29965"/>
    <cellStyle name="Comma 10 2 3 4 3 3 2" xfId="29966"/>
    <cellStyle name="Comma 10 2 3 4 3 3 3" xfId="29967"/>
    <cellStyle name="Comma 10 2 3 4 3 4" xfId="29968"/>
    <cellStyle name="Comma 10 2 3 4 3 4 2" xfId="29969"/>
    <cellStyle name="Comma 10 2 3 4 3 5" xfId="29970"/>
    <cellStyle name="Comma 10 2 3 4 3 6" xfId="29971"/>
    <cellStyle name="Comma 10 2 3 4 4" xfId="29972"/>
    <cellStyle name="Comma 10 2 3 4 4 2" xfId="29973"/>
    <cellStyle name="Comma 10 2 3 4 4 2 2" xfId="29974"/>
    <cellStyle name="Comma 10 2 3 4 4 2 3" xfId="29975"/>
    <cellStyle name="Comma 10 2 3 4 4 3" xfId="29976"/>
    <cellStyle name="Comma 10 2 3 4 4 3 2" xfId="29977"/>
    <cellStyle name="Comma 10 2 3 4 4 4" xfId="29978"/>
    <cellStyle name="Comma 10 2 3 4 4 5" xfId="29979"/>
    <cellStyle name="Comma 10 2 3 4 5" xfId="29980"/>
    <cellStyle name="Comma 10 2 3 4 5 2" xfId="29981"/>
    <cellStyle name="Comma 10 2 3 4 5 3" xfId="29982"/>
    <cellStyle name="Comma 10 2 3 4 6" xfId="29983"/>
    <cellStyle name="Comma 10 2 3 4 6 2" xfId="29984"/>
    <cellStyle name="Comma 10 2 3 4 6 3" xfId="29985"/>
    <cellStyle name="Comma 10 2 3 4 7" xfId="29986"/>
    <cellStyle name="Comma 10 2 3 4 7 2" xfId="29987"/>
    <cellStyle name="Comma 10 2 3 4 8" xfId="29988"/>
    <cellStyle name="Comma 10 2 3 4 9" xfId="29989"/>
    <cellStyle name="Comma 10 2 3 5" xfId="29990"/>
    <cellStyle name="Comma 10 2 3 5 2" xfId="29991"/>
    <cellStyle name="Comma 10 2 3 5 2 2" xfId="29992"/>
    <cellStyle name="Comma 10 2 3 5 2 3" xfId="29993"/>
    <cellStyle name="Comma 10 2 3 5 3" xfId="29994"/>
    <cellStyle name="Comma 10 2 3 5 3 2" xfId="29995"/>
    <cellStyle name="Comma 10 2 3 5 3 3" xfId="29996"/>
    <cellStyle name="Comma 10 2 3 5 4" xfId="29997"/>
    <cellStyle name="Comma 10 2 3 5 4 2" xfId="29998"/>
    <cellStyle name="Comma 10 2 3 5 5" xfId="29999"/>
    <cellStyle name="Comma 10 2 3 5 6" xfId="30000"/>
    <cellStyle name="Comma 10 2 3 6" xfId="30001"/>
    <cellStyle name="Comma 10 2 3 6 2" xfId="30002"/>
    <cellStyle name="Comma 10 2 3 6 2 2" xfId="30003"/>
    <cellStyle name="Comma 10 2 3 6 2 3" xfId="30004"/>
    <cellStyle name="Comma 10 2 3 6 3" xfId="30005"/>
    <cellStyle name="Comma 10 2 3 6 3 2" xfId="30006"/>
    <cellStyle name="Comma 10 2 3 6 3 3" xfId="30007"/>
    <cellStyle name="Comma 10 2 3 6 4" xfId="30008"/>
    <cellStyle name="Comma 10 2 3 6 4 2" xfId="30009"/>
    <cellStyle name="Comma 10 2 3 6 5" xfId="30010"/>
    <cellStyle name="Comma 10 2 3 6 6" xfId="30011"/>
    <cellStyle name="Comma 10 2 3 7" xfId="30012"/>
    <cellStyle name="Comma 10 2 3 7 2" xfId="30013"/>
    <cellStyle name="Comma 10 2 3 7 2 2" xfId="30014"/>
    <cellStyle name="Comma 10 2 3 7 2 3" xfId="30015"/>
    <cellStyle name="Comma 10 2 3 7 3" xfId="30016"/>
    <cellStyle name="Comma 10 2 3 7 3 2" xfId="30017"/>
    <cellStyle name="Comma 10 2 3 7 4" xfId="30018"/>
    <cellStyle name="Comma 10 2 3 7 5" xfId="30019"/>
    <cellStyle name="Comma 10 2 3 8" xfId="30020"/>
    <cellStyle name="Comma 10 2 3 8 2" xfId="30021"/>
    <cellStyle name="Comma 10 2 3 8 3" xfId="30022"/>
    <cellStyle name="Comma 10 2 3 9" xfId="30023"/>
    <cellStyle name="Comma 10 2 3 9 2" xfId="30024"/>
    <cellStyle name="Comma 10 2 3 9 3" xfId="30025"/>
    <cellStyle name="Comma 10 2 4" xfId="3197"/>
    <cellStyle name="Comma 10 2 4 10" xfId="30026"/>
    <cellStyle name="Comma 10 2 4 2" xfId="3198"/>
    <cellStyle name="Comma 10 2 4 2 2" xfId="3199"/>
    <cellStyle name="Comma 10 2 4 2 2 2" xfId="30027"/>
    <cellStyle name="Comma 10 2 4 2 2 2 2" xfId="30028"/>
    <cellStyle name="Comma 10 2 4 2 2 2 3" xfId="30029"/>
    <cellStyle name="Comma 10 2 4 2 2 3" xfId="30030"/>
    <cellStyle name="Comma 10 2 4 2 2 3 2" xfId="30031"/>
    <cellStyle name="Comma 10 2 4 2 2 3 3" xfId="30032"/>
    <cellStyle name="Comma 10 2 4 2 2 4" xfId="30033"/>
    <cellStyle name="Comma 10 2 4 2 2 4 2" xfId="30034"/>
    <cellStyle name="Comma 10 2 4 2 2 5" xfId="30035"/>
    <cellStyle name="Comma 10 2 4 2 2 6" xfId="30036"/>
    <cellStyle name="Comma 10 2 4 2 3" xfId="30037"/>
    <cellStyle name="Comma 10 2 4 2 3 2" xfId="30038"/>
    <cellStyle name="Comma 10 2 4 2 3 2 2" xfId="30039"/>
    <cellStyle name="Comma 10 2 4 2 3 2 3" xfId="30040"/>
    <cellStyle name="Comma 10 2 4 2 3 3" xfId="30041"/>
    <cellStyle name="Comma 10 2 4 2 3 3 2" xfId="30042"/>
    <cellStyle name="Comma 10 2 4 2 3 3 3" xfId="30043"/>
    <cellStyle name="Comma 10 2 4 2 3 4" xfId="30044"/>
    <cellStyle name="Comma 10 2 4 2 3 4 2" xfId="30045"/>
    <cellStyle name="Comma 10 2 4 2 3 5" xfId="30046"/>
    <cellStyle name="Comma 10 2 4 2 3 6" xfId="30047"/>
    <cellStyle name="Comma 10 2 4 2 4" xfId="30048"/>
    <cellStyle name="Comma 10 2 4 2 4 2" xfId="30049"/>
    <cellStyle name="Comma 10 2 4 2 4 2 2" xfId="30050"/>
    <cellStyle name="Comma 10 2 4 2 4 2 3" xfId="30051"/>
    <cellStyle name="Comma 10 2 4 2 4 3" xfId="30052"/>
    <cellStyle name="Comma 10 2 4 2 4 3 2" xfId="30053"/>
    <cellStyle name="Comma 10 2 4 2 4 4" xfId="30054"/>
    <cellStyle name="Comma 10 2 4 2 4 5" xfId="30055"/>
    <cellStyle name="Comma 10 2 4 2 5" xfId="30056"/>
    <cellStyle name="Comma 10 2 4 2 5 2" xfId="30057"/>
    <cellStyle name="Comma 10 2 4 2 5 3" xfId="30058"/>
    <cellStyle name="Comma 10 2 4 2 6" xfId="30059"/>
    <cellStyle name="Comma 10 2 4 2 6 2" xfId="30060"/>
    <cellStyle name="Comma 10 2 4 2 6 3" xfId="30061"/>
    <cellStyle name="Comma 10 2 4 2 7" xfId="30062"/>
    <cellStyle name="Comma 10 2 4 2 7 2" xfId="30063"/>
    <cellStyle name="Comma 10 2 4 2 8" xfId="30064"/>
    <cellStyle name="Comma 10 2 4 2 9" xfId="30065"/>
    <cellStyle name="Comma 10 2 4 3" xfId="3200"/>
    <cellStyle name="Comma 10 2 4 3 2" xfId="30066"/>
    <cellStyle name="Comma 10 2 4 3 2 2" xfId="30067"/>
    <cellStyle name="Comma 10 2 4 3 2 3" xfId="30068"/>
    <cellStyle name="Comma 10 2 4 3 3" xfId="30069"/>
    <cellStyle name="Comma 10 2 4 3 3 2" xfId="30070"/>
    <cellStyle name="Comma 10 2 4 3 3 3" xfId="30071"/>
    <cellStyle name="Comma 10 2 4 3 4" xfId="30072"/>
    <cellStyle name="Comma 10 2 4 3 4 2" xfId="30073"/>
    <cellStyle name="Comma 10 2 4 3 5" xfId="30074"/>
    <cellStyle name="Comma 10 2 4 3 6" xfId="30075"/>
    <cellStyle name="Comma 10 2 4 4" xfId="30076"/>
    <cellStyle name="Comma 10 2 4 4 2" xfId="30077"/>
    <cellStyle name="Comma 10 2 4 4 2 2" xfId="30078"/>
    <cellStyle name="Comma 10 2 4 4 2 3" xfId="30079"/>
    <cellStyle name="Comma 10 2 4 4 3" xfId="30080"/>
    <cellStyle name="Comma 10 2 4 4 3 2" xfId="30081"/>
    <cellStyle name="Comma 10 2 4 4 3 3" xfId="30082"/>
    <cellStyle name="Comma 10 2 4 4 4" xfId="30083"/>
    <cellStyle name="Comma 10 2 4 4 4 2" xfId="30084"/>
    <cellStyle name="Comma 10 2 4 4 5" xfId="30085"/>
    <cellStyle name="Comma 10 2 4 4 6" xfId="30086"/>
    <cellStyle name="Comma 10 2 4 5" xfId="30087"/>
    <cellStyle name="Comma 10 2 4 5 2" xfId="30088"/>
    <cellStyle name="Comma 10 2 4 5 2 2" xfId="30089"/>
    <cellStyle name="Comma 10 2 4 5 2 3" xfId="30090"/>
    <cellStyle name="Comma 10 2 4 5 3" xfId="30091"/>
    <cellStyle name="Comma 10 2 4 5 3 2" xfId="30092"/>
    <cellStyle name="Comma 10 2 4 5 4" xfId="30093"/>
    <cellStyle name="Comma 10 2 4 5 5" xfId="30094"/>
    <cellStyle name="Comma 10 2 4 6" xfId="30095"/>
    <cellStyle name="Comma 10 2 4 6 2" xfId="30096"/>
    <cellStyle name="Comma 10 2 4 6 3" xfId="30097"/>
    <cellStyle name="Comma 10 2 4 7" xfId="30098"/>
    <cellStyle name="Comma 10 2 4 7 2" xfId="30099"/>
    <cellStyle name="Comma 10 2 4 7 3" xfId="30100"/>
    <cellStyle name="Comma 10 2 4 8" xfId="30101"/>
    <cellStyle name="Comma 10 2 4 8 2" xfId="30102"/>
    <cellStyle name="Comma 10 2 4 9" xfId="30103"/>
    <cellStyle name="Comma 10 2 5" xfId="3201"/>
    <cellStyle name="Comma 10 2 5 2" xfId="3202"/>
    <cellStyle name="Comma 10 2 5 2 2" xfId="30104"/>
    <cellStyle name="Comma 10 2 5 2 2 2" xfId="30105"/>
    <cellStyle name="Comma 10 2 5 2 2 3" xfId="30106"/>
    <cellStyle name="Comma 10 2 5 2 3" xfId="30107"/>
    <cellStyle name="Comma 10 2 5 2 3 2" xfId="30108"/>
    <cellStyle name="Comma 10 2 5 2 3 3" xfId="30109"/>
    <cellStyle name="Comma 10 2 5 2 4" xfId="30110"/>
    <cellStyle name="Comma 10 2 5 2 4 2" xfId="30111"/>
    <cellStyle name="Comma 10 2 5 2 5" xfId="30112"/>
    <cellStyle name="Comma 10 2 5 2 6" xfId="30113"/>
    <cellStyle name="Comma 10 2 5 3" xfId="30114"/>
    <cellStyle name="Comma 10 2 5 3 2" xfId="30115"/>
    <cellStyle name="Comma 10 2 5 3 2 2" xfId="30116"/>
    <cellStyle name="Comma 10 2 5 3 2 3" xfId="30117"/>
    <cellStyle name="Comma 10 2 5 3 3" xfId="30118"/>
    <cellStyle name="Comma 10 2 5 3 3 2" xfId="30119"/>
    <cellStyle name="Comma 10 2 5 3 3 3" xfId="30120"/>
    <cellStyle name="Comma 10 2 5 3 4" xfId="30121"/>
    <cellStyle name="Comma 10 2 5 3 4 2" xfId="30122"/>
    <cellStyle name="Comma 10 2 5 3 5" xfId="30123"/>
    <cellStyle name="Comma 10 2 5 3 6" xfId="30124"/>
    <cellStyle name="Comma 10 2 5 4" xfId="30125"/>
    <cellStyle name="Comma 10 2 5 4 2" xfId="30126"/>
    <cellStyle name="Comma 10 2 5 4 2 2" xfId="30127"/>
    <cellStyle name="Comma 10 2 5 4 2 3" xfId="30128"/>
    <cellStyle name="Comma 10 2 5 4 3" xfId="30129"/>
    <cellStyle name="Comma 10 2 5 4 3 2" xfId="30130"/>
    <cellStyle name="Comma 10 2 5 4 4" xfId="30131"/>
    <cellStyle name="Comma 10 2 5 4 5" xfId="30132"/>
    <cellStyle name="Comma 10 2 5 5" xfId="30133"/>
    <cellStyle name="Comma 10 2 5 5 2" xfId="30134"/>
    <cellStyle name="Comma 10 2 5 5 3" xfId="30135"/>
    <cellStyle name="Comma 10 2 5 6" xfId="30136"/>
    <cellStyle name="Comma 10 2 5 6 2" xfId="30137"/>
    <cellStyle name="Comma 10 2 5 6 3" xfId="30138"/>
    <cellStyle name="Comma 10 2 5 7" xfId="30139"/>
    <cellStyle name="Comma 10 2 5 7 2" xfId="30140"/>
    <cellStyle name="Comma 10 2 5 8" xfId="30141"/>
    <cellStyle name="Comma 10 2 5 9" xfId="30142"/>
    <cellStyle name="Comma 10 2 6" xfId="3203"/>
    <cellStyle name="Comma 10 2 6 2" xfId="30143"/>
    <cellStyle name="Comma 10 2 6 2 2" xfId="30144"/>
    <cellStyle name="Comma 10 2 6 2 2 2" xfId="30145"/>
    <cellStyle name="Comma 10 2 6 2 2 3" xfId="30146"/>
    <cellStyle name="Comma 10 2 6 2 3" xfId="30147"/>
    <cellStyle name="Comma 10 2 6 2 3 2" xfId="30148"/>
    <cellStyle name="Comma 10 2 6 2 3 3" xfId="30149"/>
    <cellStyle name="Comma 10 2 6 2 4" xfId="30150"/>
    <cellStyle name="Comma 10 2 6 2 4 2" xfId="30151"/>
    <cellStyle name="Comma 10 2 6 2 5" xfId="30152"/>
    <cellStyle name="Comma 10 2 6 2 6" xfId="30153"/>
    <cellStyle name="Comma 10 2 6 3" xfId="30154"/>
    <cellStyle name="Comma 10 2 6 3 2" xfId="30155"/>
    <cellStyle name="Comma 10 2 6 3 2 2" xfId="30156"/>
    <cellStyle name="Comma 10 2 6 3 2 3" xfId="30157"/>
    <cellStyle name="Comma 10 2 6 3 3" xfId="30158"/>
    <cellStyle name="Comma 10 2 6 3 3 2" xfId="30159"/>
    <cellStyle name="Comma 10 2 6 3 3 3" xfId="30160"/>
    <cellStyle name="Comma 10 2 6 3 4" xfId="30161"/>
    <cellStyle name="Comma 10 2 6 3 4 2" xfId="30162"/>
    <cellStyle name="Comma 10 2 6 3 5" xfId="30163"/>
    <cellStyle name="Comma 10 2 6 3 6" xfId="30164"/>
    <cellStyle name="Comma 10 2 6 4" xfId="30165"/>
    <cellStyle name="Comma 10 2 6 4 2" xfId="30166"/>
    <cellStyle name="Comma 10 2 6 4 2 2" xfId="30167"/>
    <cellStyle name="Comma 10 2 6 4 2 3" xfId="30168"/>
    <cellStyle name="Comma 10 2 6 4 3" xfId="30169"/>
    <cellStyle name="Comma 10 2 6 4 3 2" xfId="30170"/>
    <cellStyle name="Comma 10 2 6 4 4" xfId="30171"/>
    <cellStyle name="Comma 10 2 6 4 5" xfId="30172"/>
    <cellStyle name="Comma 10 2 6 5" xfId="30173"/>
    <cellStyle name="Comma 10 2 6 5 2" xfId="30174"/>
    <cellStyle name="Comma 10 2 6 5 3" xfId="30175"/>
    <cellStyle name="Comma 10 2 6 6" xfId="30176"/>
    <cellStyle name="Comma 10 2 6 6 2" xfId="30177"/>
    <cellStyle name="Comma 10 2 6 6 3" xfId="30178"/>
    <cellStyle name="Comma 10 2 6 7" xfId="30179"/>
    <cellStyle name="Comma 10 2 6 7 2" xfId="30180"/>
    <cellStyle name="Comma 10 2 6 8" xfId="30181"/>
    <cellStyle name="Comma 10 2 6 9" xfId="30182"/>
    <cellStyle name="Comma 10 2 7" xfId="30183"/>
    <cellStyle name="Comma 10 2 7 2" xfId="30184"/>
    <cellStyle name="Comma 10 2 7 2 2" xfId="30185"/>
    <cellStyle name="Comma 10 2 7 2 3" xfId="30186"/>
    <cellStyle name="Comma 10 2 7 3" xfId="30187"/>
    <cellStyle name="Comma 10 2 7 3 2" xfId="30188"/>
    <cellStyle name="Comma 10 2 7 3 3" xfId="30189"/>
    <cellStyle name="Comma 10 2 7 4" xfId="30190"/>
    <cellStyle name="Comma 10 2 7 4 2" xfId="30191"/>
    <cellStyle name="Comma 10 2 7 5" xfId="30192"/>
    <cellStyle name="Comma 10 2 7 6" xfId="30193"/>
    <cellStyle name="Comma 10 2 8" xfId="30194"/>
    <cellStyle name="Comma 10 2 8 2" xfId="30195"/>
    <cellStyle name="Comma 10 2 8 2 2" xfId="30196"/>
    <cellStyle name="Comma 10 2 8 2 3" xfId="30197"/>
    <cellStyle name="Comma 10 2 8 3" xfId="30198"/>
    <cellStyle name="Comma 10 2 8 3 2" xfId="30199"/>
    <cellStyle name="Comma 10 2 8 3 3" xfId="30200"/>
    <cellStyle name="Comma 10 2 8 4" xfId="30201"/>
    <cellStyle name="Comma 10 2 8 4 2" xfId="30202"/>
    <cellStyle name="Comma 10 2 8 5" xfId="30203"/>
    <cellStyle name="Comma 10 2 8 6" xfId="30204"/>
    <cellStyle name="Comma 10 2 9" xfId="30205"/>
    <cellStyle name="Comma 10 2 9 2" xfId="30206"/>
    <cellStyle name="Comma 10 2 9 2 2" xfId="30207"/>
    <cellStyle name="Comma 10 2 9 2 3" xfId="30208"/>
    <cellStyle name="Comma 10 2 9 3" xfId="30209"/>
    <cellStyle name="Comma 10 2 9 3 2" xfId="30210"/>
    <cellStyle name="Comma 10 2 9 4" xfId="30211"/>
    <cellStyle name="Comma 10 2 9 5" xfId="30212"/>
    <cellStyle name="Comma 10 3" xfId="3204"/>
    <cellStyle name="Comma 10 3 10" xfId="30213"/>
    <cellStyle name="Comma 10 3 10 2" xfId="30214"/>
    <cellStyle name="Comma 10 3 10 3" xfId="30215"/>
    <cellStyle name="Comma 10 3 11" xfId="30216"/>
    <cellStyle name="Comma 10 3 11 2" xfId="30217"/>
    <cellStyle name="Comma 10 3 12" xfId="30218"/>
    <cellStyle name="Comma 10 3 13" xfId="30219"/>
    <cellStyle name="Comma 10 3 14" xfId="30220"/>
    <cellStyle name="Comma 10 3 2" xfId="3205"/>
    <cellStyle name="Comma 10 3 2 10" xfId="30221"/>
    <cellStyle name="Comma 10 3 2 10 2" xfId="30222"/>
    <cellStyle name="Comma 10 3 2 11" xfId="30223"/>
    <cellStyle name="Comma 10 3 2 12" xfId="30224"/>
    <cellStyle name="Comma 10 3 2 2" xfId="3206"/>
    <cellStyle name="Comma 10 3 2 2 10" xfId="30225"/>
    <cellStyle name="Comma 10 3 2 2 2" xfId="3207"/>
    <cellStyle name="Comma 10 3 2 2 2 2" xfId="3208"/>
    <cellStyle name="Comma 10 3 2 2 2 2 2" xfId="30226"/>
    <cellStyle name="Comma 10 3 2 2 2 2 2 2" xfId="30227"/>
    <cellStyle name="Comma 10 3 2 2 2 2 2 3" xfId="30228"/>
    <cellStyle name="Comma 10 3 2 2 2 2 3" xfId="30229"/>
    <cellStyle name="Comma 10 3 2 2 2 2 3 2" xfId="30230"/>
    <cellStyle name="Comma 10 3 2 2 2 2 3 3" xfId="30231"/>
    <cellStyle name="Comma 10 3 2 2 2 2 4" xfId="30232"/>
    <cellStyle name="Comma 10 3 2 2 2 2 4 2" xfId="30233"/>
    <cellStyle name="Comma 10 3 2 2 2 2 5" xfId="30234"/>
    <cellStyle name="Comma 10 3 2 2 2 2 6" xfId="30235"/>
    <cellStyle name="Comma 10 3 2 2 2 3" xfId="30236"/>
    <cellStyle name="Comma 10 3 2 2 2 3 2" xfId="30237"/>
    <cellStyle name="Comma 10 3 2 2 2 3 2 2" xfId="30238"/>
    <cellStyle name="Comma 10 3 2 2 2 3 2 3" xfId="30239"/>
    <cellStyle name="Comma 10 3 2 2 2 3 3" xfId="30240"/>
    <cellStyle name="Comma 10 3 2 2 2 3 3 2" xfId="30241"/>
    <cellStyle name="Comma 10 3 2 2 2 3 3 3" xfId="30242"/>
    <cellStyle name="Comma 10 3 2 2 2 3 4" xfId="30243"/>
    <cellStyle name="Comma 10 3 2 2 2 3 4 2" xfId="30244"/>
    <cellStyle name="Comma 10 3 2 2 2 3 5" xfId="30245"/>
    <cellStyle name="Comma 10 3 2 2 2 3 6" xfId="30246"/>
    <cellStyle name="Comma 10 3 2 2 2 4" xfId="30247"/>
    <cellStyle name="Comma 10 3 2 2 2 4 2" xfId="30248"/>
    <cellStyle name="Comma 10 3 2 2 2 4 2 2" xfId="30249"/>
    <cellStyle name="Comma 10 3 2 2 2 4 2 3" xfId="30250"/>
    <cellStyle name="Comma 10 3 2 2 2 4 3" xfId="30251"/>
    <cellStyle name="Comma 10 3 2 2 2 4 3 2" xfId="30252"/>
    <cellStyle name="Comma 10 3 2 2 2 4 4" xfId="30253"/>
    <cellStyle name="Comma 10 3 2 2 2 4 5" xfId="30254"/>
    <cellStyle name="Comma 10 3 2 2 2 5" xfId="30255"/>
    <cellStyle name="Comma 10 3 2 2 2 5 2" xfId="30256"/>
    <cellStyle name="Comma 10 3 2 2 2 5 3" xfId="30257"/>
    <cellStyle name="Comma 10 3 2 2 2 6" xfId="30258"/>
    <cellStyle name="Comma 10 3 2 2 2 6 2" xfId="30259"/>
    <cellStyle name="Comma 10 3 2 2 2 6 3" xfId="30260"/>
    <cellStyle name="Comma 10 3 2 2 2 7" xfId="30261"/>
    <cellStyle name="Comma 10 3 2 2 2 7 2" xfId="30262"/>
    <cellStyle name="Comma 10 3 2 2 2 8" xfId="30263"/>
    <cellStyle name="Comma 10 3 2 2 2 9" xfId="30264"/>
    <cellStyle name="Comma 10 3 2 2 3" xfId="3209"/>
    <cellStyle name="Comma 10 3 2 2 3 2" xfId="30265"/>
    <cellStyle name="Comma 10 3 2 2 3 2 2" xfId="30266"/>
    <cellStyle name="Comma 10 3 2 2 3 2 3" xfId="30267"/>
    <cellStyle name="Comma 10 3 2 2 3 3" xfId="30268"/>
    <cellStyle name="Comma 10 3 2 2 3 3 2" xfId="30269"/>
    <cellStyle name="Comma 10 3 2 2 3 3 3" xfId="30270"/>
    <cellStyle name="Comma 10 3 2 2 3 4" xfId="30271"/>
    <cellStyle name="Comma 10 3 2 2 3 4 2" xfId="30272"/>
    <cellStyle name="Comma 10 3 2 2 3 5" xfId="30273"/>
    <cellStyle name="Comma 10 3 2 2 3 6" xfId="30274"/>
    <cellStyle name="Comma 10 3 2 2 4" xfId="30275"/>
    <cellStyle name="Comma 10 3 2 2 4 2" xfId="30276"/>
    <cellStyle name="Comma 10 3 2 2 4 2 2" xfId="30277"/>
    <cellStyle name="Comma 10 3 2 2 4 2 3" xfId="30278"/>
    <cellStyle name="Comma 10 3 2 2 4 3" xfId="30279"/>
    <cellStyle name="Comma 10 3 2 2 4 3 2" xfId="30280"/>
    <cellStyle name="Comma 10 3 2 2 4 3 3" xfId="30281"/>
    <cellStyle name="Comma 10 3 2 2 4 4" xfId="30282"/>
    <cellStyle name="Comma 10 3 2 2 4 4 2" xfId="30283"/>
    <cellStyle name="Comma 10 3 2 2 4 5" xfId="30284"/>
    <cellStyle name="Comma 10 3 2 2 4 6" xfId="30285"/>
    <cellStyle name="Comma 10 3 2 2 5" xfId="30286"/>
    <cellStyle name="Comma 10 3 2 2 5 2" xfId="30287"/>
    <cellStyle name="Comma 10 3 2 2 5 2 2" xfId="30288"/>
    <cellStyle name="Comma 10 3 2 2 5 2 3" xfId="30289"/>
    <cellStyle name="Comma 10 3 2 2 5 3" xfId="30290"/>
    <cellStyle name="Comma 10 3 2 2 5 3 2" xfId="30291"/>
    <cellStyle name="Comma 10 3 2 2 5 4" xfId="30292"/>
    <cellStyle name="Comma 10 3 2 2 5 5" xfId="30293"/>
    <cellStyle name="Comma 10 3 2 2 6" xfId="30294"/>
    <cellStyle name="Comma 10 3 2 2 6 2" xfId="30295"/>
    <cellStyle name="Comma 10 3 2 2 6 3" xfId="30296"/>
    <cellStyle name="Comma 10 3 2 2 7" xfId="30297"/>
    <cellStyle name="Comma 10 3 2 2 7 2" xfId="30298"/>
    <cellStyle name="Comma 10 3 2 2 7 3" xfId="30299"/>
    <cellStyle name="Comma 10 3 2 2 8" xfId="30300"/>
    <cellStyle name="Comma 10 3 2 2 8 2" xfId="30301"/>
    <cellStyle name="Comma 10 3 2 2 9" xfId="30302"/>
    <cellStyle name="Comma 10 3 2 3" xfId="3210"/>
    <cellStyle name="Comma 10 3 2 3 2" xfId="3211"/>
    <cellStyle name="Comma 10 3 2 3 2 2" xfId="30303"/>
    <cellStyle name="Comma 10 3 2 3 2 2 2" xfId="30304"/>
    <cellStyle name="Comma 10 3 2 3 2 2 3" xfId="30305"/>
    <cellStyle name="Comma 10 3 2 3 2 3" xfId="30306"/>
    <cellStyle name="Comma 10 3 2 3 2 3 2" xfId="30307"/>
    <cellStyle name="Comma 10 3 2 3 2 3 3" xfId="30308"/>
    <cellStyle name="Comma 10 3 2 3 2 4" xfId="30309"/>
    <cellStyle name="Comma 10 3 2 3 2 4 2" xfId="30310"/>
    <cellStyle name="Comma 10 3 2 3 2 5" xfId="30311"/>
    <cellStyle name="Comma 10 3 2 3 2 6" xfId="30312"/>
    <cellStyle name="Comma 10 3 2 3 3" xfId="30313"/>
    <cellStyle name="Comma 10 3 2 3 3 2" xfId="30314"/>
    <cellStyle name="Comma 10 3 2 3 3 2 2" xfId="30315"/>
    <cellStyle name="Comma 10 3 2 3 3 2 3" xfId="30316"/>
    <cellStyle name="Comma 10 3 2 3 3 3" xfId="30317"/>
    <cellStyle name="Comma 10 3 2 3 3 3 2" xfId="30318"/>
    <cellStyle name="Comma 10 3 2 3 3 3 3" xfId="30319"/>
    <cellStyle name="Comma 10 3 2 3 3 4" xfId="30320"/>
    <cellStyle name="Comma 10 3 2 3 3 4 2" xfId="30321"/>
    <cellStyle name="Comma 10 3 2 3 3 5" xfId="30322"/>
    <cellStyle name="Comma 10 3 2 3 3 6" xfId="30323"/>
    <cellStyle name="Comma 10 3 2 3 4" xfId="30324"/>
    <cellStyle name="Comma 10 3 2 3 4 2" xfId="30325"/>
    <cellStyle name="Comma 10 3 2 3 4 2 2" xfId="30326"/>
    <cellStyle name="Comma 10 3 2 3 4 2 3" xfId="30327"/>
    <cellStyle name="Comma 10 3 2 3 4 3" xfId="30328"/>
    <cellStyle name="Comma 10 3 2 3 4 3 2" xfId="30329"/>
    <cellStyle name="Comma 10 3 2 3 4 4" xfId="30330"/>
    <cellStyle name="Comma 10 3 2 3 4 5" xfId="30331"/>
    <cellStyle name="Comma 10 3 2 3 5" xfId="30332"/>
    <cellStyle name="Comma 10 3 2 3 5 2" xfId="30333"/>
    <cellStyle name="Comma 10 3 2 3 5 3" xfId="30334"/>
    <cellStyle name="Comma 10 3 2 3 6" xfId="30335"/>
    <cellStyle name="Comma 10 3 2 3 6 2" xfId="30336"/>
    <cellStyle name="Comma 10 3 2 3 6 3" xfId="30337"/>
    <cellStyle name="Comma 10 3 2 3 7" xfId="30338"/>
    <cellStyle name="Comma 10 3 2 3 7 2" xfId="30339"/>
    <cellStyle name="Comma 10 3 2 3 8" xfId="30340"/>
    <cellStyle name="Comma 10 3 2 3 9" xfId="30341"/>
    <cellStyle name="Comma 10 3 2 4" xfId="3212"/>
    <cellStyle name="Comma 10 3 2 4 2" xfId="30342"/>
    <cellStyle name="Comma 10 3 2 4 2 2" xfId="30343"/>
    <cellStyle name="Comma 10 3 2 4 2 2 2" xfId="30344"/>
    <cellStyle name="Comma 10 3 2 4 2 2 3" xfId="30345"/>
    <cellStyle name="Comma 10 3 2 4 2 3" xfId="30346"/>
    <cellStyle name="Comma 10 3 2 4 2 3 2" xfId="30347"/>
    <cellStyle name="Comma 10 3 2 4 2 3 3" xfId="30348"/>
    <cellStyle name="Comma 10 3 2 4 2 4" xfId="30349"/>
    <cellStyle name="Comma 10 3 2 4 2 4 2" xfId="30350"/>
    <cellStyle name="Comma 10 3 2 4 2 5" xfId="30351"/>
    <cellStyle name="Comma 10 3 2 4 2 6" xfId="30352"/>
    <cellStyle name="Comma 10 3 2 4 3" xfId="30353"/>
    <cellStyle name="Comma 10 3 2 4 3 2" xfId="30354"/>
    <cellStyle name="Comma 10 3 2 4 3 2 2" xfId="30355"/>
    <cellStyle name="Comma 10 3 2 4 3 2 3" xfId="30356"/>
    <cellStyle name="Comma 10 3 2 4 3 3" xfId="30357"/>
    <cellStyle name="Comma 10 3 2 4 3 3 2" xfId="30358"/>
    <cellStyle name="Comma 10 3 2 4 3 3 3" xfId="30359"/>
    <cellStyle name="Comma 10 3 2 4 3 4" xfId="30360"/>
    <cellStyle name="Comma 10 3 2 4 3 4 2" xfId="30361"/>
    <cellStyle name="Comma 10 3 2 4 3 5" xfId="30362"/>
    <cellStyle name="Comma 10 3 2 4 3 6" xfId="30363"/>
    <cellStyle name="Comma 10 3 2 4 4" xfId="30364"/>
    <cellStyle name="Comma 10 3 2 4 4 2" xfId="30365"/>
    <cellStyle name="Comma 10 3 2 4 4 2 2" xfId="30366"/>
    <cellStyle name="Comma 10 3 2 4 4 2 3" xfId="30367"/>
    <cellStyle name="Comma 10 3 2 4 4 3" xfId="30368"/>
    <cellStyle name="Comma 10 3 2 4 4 3 2" xfId="30369"/>
    <cellStyle name="Comma 10 3 2 4 4 4" xfId="30370"/>
    <cellStyle name="Comma 10 3 2 4 4 5" xfId="30371"/>
    <cellStyle name="Comma 10 3 2 4 5" xfId="30372"/>
    <cellStyle name="Comma 10 3 2 4 5 2" xfId="30373"/>
    <cellStyle name="Comma 10 3 2 4 5 3" xfId="30374"/>
    <cellStyle name="Comma 10 3 2 4 6" xfId="30375"/>
    <cellStyle name="Comma 10 3 2 4 6 2" xfId="30376"/>
    <cellStyle name="Comma 10 3 2 4 6 3" xfId="30377"/>
    <cellStyle name="Comma 10 3 2 4 7" xfId="30378"/>
    <cellStyle name="Comma 10 3 2 4 7 2" xfId="30379"/>
    <cellStyle name="Comma 10 3 2 4 8" xfId="30380"/>
    <cellStyle name="Comma 10 3 2 4 9" xfId="30381"/>
    <cellStyle name="Comma 10 3 2 5" xfId="30382"/>
    <cellStyle name="Comma 10 3 2 5 2" xfId="30383"/>
    <cellStyle name="Comma 10 3 2 5 2 2" xfId="30384"/>
    <cellStyle name="Comma 10 3 2 5 2 3" xfId="30385"/>
    <cellStyle name="Comma 10 3 2 5 3" xfId="30386"/>
    <cellStyle name="Comma 10 3 2 5 3 2" xfId="30387"/>
    <cellStyle name="Comma 10 3 2 5 3 3" xfId="30388"/>
    <cellStyle name="Comma 10 3 2 5 4" xfId="30389"/>
    <cellStyle name="Comma 10 3 2 5 4 2" xfId="30390"/>
    <cellStyle name="Comma 10 3 2 5 5" xfId="30391"/>
    <cellStyle name="Comma 10 3 2 5 6" xfId="30392"/>
    <cellStyle name="Comma 10 3 2 6" xfId="30393"/>
    <cellStyle name="Comma 10 3 2 6 2" xfId="30394"/>
    <cellStyle name="Comma 10 3 2 6 2 2" xfId="30395"/>
    <cellStyle name="Comma 10 3 2 6 2 3" xfId="30396"/>
    <cellStyle name="Comma 10 3 2 6 3" xfId="30397"/>
    <cellStyle name="Comma 10 3 2 6 3 2" xfId="30398"/>
    <cellStyle name="Comma 10 3 2 6 3 3" xfId="30399"/>
    <cellStyle name="Comma 10 3 2 6 4" xfId="30400"/>
    <cellStyle name="Comma 10 3 2 6 4 2" xfId="30401"/>
    <cellStyle name="Comma 10 3 2 6 5" xfId="30402"/>
    <cellStyle name="Comma 10 3 2 6 6" xfId="30403"/>
    <cellStyle name="Comma 10 3 2 7" xfId="30404"/>
    <cellStyle name="Comma 10 3 2 7 2" xfId="30405"/>
    <cellStyle name="Comma 10 3 2 7 2 2" xfId="30406"/>
    <cellStyle name="Comma 10 3 2 7 2 3" xfId="30407"/>
    <cellStyle name="Comma 10 3 2 7 3" xfId="30408"/>
    <cellStyle name="Comma 10 3 2 7 3 2" xfId="30409"/>
    <cellStyle name="Comma 10 3 2 7 4" xfId="30410"/>
    <cellStyle name="Comma 10 3 2 7 5" xfId="30411"/>
    <cellStyle name="Comma 10 3 2 8" xfId="30412"/>
    <cellStyle name="Comma 10 3 2 8 2" xfId="30413"/>
    <cellStyle name="Comma 10 3 2 8 3" xfId="30414"/>
    <cellStyle name="Comma 10 3 2 9" xfId="30415"/>
    <cellStyle name="Comma 10 3 2 9 2" xfId="30416"/>
    <cellStyle name="Comma 10 3 2 9 3" xfId="30417"/>
    <cellStyle name="Comma 10 3 3" xfId="3213"/>
    <cellStyle name="Comma 10 3 3 10" xfId="30418"/>
    <cellStyle name="Comma 10 3 3 2" xfId="3214"/>
    <cellStyle name="Comma 10 3 3 2 2" xfId="3215"/>
    <cellStyle name="Comma 10 3 3 2 2 2" xfId="30419"/>
    <cellStyle name="Comma 10 3 3 2 2 2 2" xfId="30420"/>
    <cellStyle name="Comma 10 3 3 2 2 2 3" xfId="30421"/>
    <cellStyle name="Comma 10 3 3 2 2 3" xfId="30422"/>
    <cellStyle name="Comma 10 3 3 2 2 3 2" xfId="30423"/>
    <cellStyle name="Comma 10 3 3 2 2 3 3" xfId="30424"/>
    <cellStyle name="Comma 10 3 3 2 2 4" xfId="30425"/>
    <cellStyle name="Comma 10 3 3 2 2 4 2" xfId="30426"/>
    <cellStyle name="Comma 10 3 3 2 2 5" xfId="30427"/>
    <cellStyle name="Comma 10 3 3 2 2 6" xfId="30428"/>
    <cellStyle name="Comma 10 3 3 2 3" xfId="30429"/>
    <cellStyle name="Comma 10 3 3 2 3 2" xfId="30430"/>
    <cellStyle name="Comma 10 3 3 2 3 2 2" xfId="30431"/>
    <cellStyle name="Comma 10 3 3 2 3 2 3" xfId="30432"/>
    <cellStyle name="Comma 10 3 3 2 3 3" xfId="30433"/>
    <cellStyle name="Comma 10 3 3 2 3 3 2" xfId="30434"/>
    <cellStyle name="Comma 10 3 3 2 3 3 3" xfId="30435"/>
    <cellStyle name="Comma 10 3 3 2 3 4" xfId="30436"/>
    <cellStyle name="Comma 10 3 3 2 3 4 2" xfId="30437"/>
    <cellStyle name="Comma 10 3 3 2 3 5" xfId="30438"/>
    <cellStyle name="Comma 10 3 3 2 3 6" xfId="30439"/>
    <cellStyle name="Comma 10 3 3 2 4" xfId="30440"/>
    <cellStyle name="Comma 10 3 3 2 4 2" xfId="30441"/>
    <cellStyle name="Comma 10 3 3 2 4 2 2" xfId="30442"/>
    <cellStyle name="Comma 10 3 3 2 4 2 3" xfId="30443"/>
    <cellStyle name="Comma 10 3 3 2 4 3" xfId="30444"/>
    <cellStyle name="Comma 10 3 3 2 4 3 2" xfId="30445"/>
    <cellStyle name="Comma 10 3 3 2 4 4" xfId="30446"/>
    <cellStyle name="Comma 10 3 3 2 4 5" xfId="30447"/>
    <cellStyle name="Comma 10 3 3 2 5" xfId="30448"/>
    <cellStyle name="Comma 10 3 3 2 5 2" xfId="30449"/>
    <cellStyle name="Comma 10 3 3 2 5 3" xfId="30450"/>
    <cellStyle name="Comma 10 3 3 2 6" xfId="30451"/>
    <cellStyle name="Comma 10 3 3 2 6 2" xfId="30452"/>
    <cellStyle name="Comma 10 3 3 2 6 3" xfId="30453"/>
    <cellStyle name="Comma 10 3 3 2 7" xfId="30454"/>
    <cellStyle name="Comma 10 3 3 2 7 2" xfId="30455"/>
    <cellStyle name="Comma 10 3 3 2 8" xfId="30456"/>
    <cellStyle name="Comma 10 3 3 2 9" xfId="30457"/>
    <cellStyle name="Comma 10 3 3 3" xfId="3216"/>
    <cellStyle name="Comma 10 3 3 3 2" xfId="30458"/>
    <cellStyle name="Comma 10 3 3 3 2 2" xfId="30459"/>
    <cellStyle name="Comma 10 3 3 3 2 3" xfId="30460"/>
    <cellStyle name="Comma 10 3 3 3 3" xfId="30461"/>
    <cellStyle name="Comma 10 3 3 3 3 2" xfId="30462"/>
    <cellStyle name="Comma 10 3 3 3 3 3" xfId="30463"/>
    <cellStyle name="Comma 10 3 3 3 4" xfId="30464"/>
    <cellStyle name="Comma 10 3 3 3 4 2" xfId="30465"/>
    <cellStyle name="Comma 10 3 3 3 5" xfId="30466"/>
    <cellStyle name="Comma 10 3 3 3 6" xfId="30467"/>
    <cellStyle name="Comma 10 3 3 4" xfId="30468"/>
    <cellStyle name="Comma 10 3 3 4 2" xfId="30469"/>
    <cellStyle name="Comma 10 3 3 4 2 2" xfId="30470"/>
    <cellStyle name="Comma 10 3 3 4 2 3" xfId="30471"/>
    <cellStyle name="Comma 10 3 3 4 3" xfId="30472"/>
    <cellStyle name="Comma 10 3 3 4 3 2" xfId="30473"/>
    <cellStyle name="Comma 10 3 3 4 3 3" xfId="30474"/>
    <cellStyle name="Comma 10 3 3 4 4" xfId="30475"/>
    <cellStyle name="Comma 10 3 3 4 4 2" xfId="30476"/>
    <cellStyle name="Comma 10 3 3 4 5" xfId="30477"/>
    <cellStyle name="Comma 10 3 3 4 6" xfId="30478"/>
    <cellStyle name="Comma 10 3 3 5" xfId="30479"/>
    <cellStyle name="Comma 10 3 3 5 2" xfId="30480"/>
    <cellStyle name="Comma 10 3 3 5 2 2" xfId="30481"/>
    <cellStyle name="Comma 10 3 3 5 2 3" xfId="30482"/>
    <cellStyle name="Comma 10 3 3 5 3" xfId="30483"/>
    <cellStyle name="Comma 10 3 3 5 3 2" xfId="30484"/>
    <cellStyle name="Comma 10 3 3 5 4" xfId="30485"/>
    <cellStyle name="Comma 10 3 3 5 5" xfId="30486"/>
    <cellStyle name="Comma 10 3 3 6" xfId="30487"/>
    <cellStyle name="Comma 10 3 3 6 2" xfId="30488"/>
    <cellStyle name="Comma 10 3 3 6 3" xfId="30489"/>
    <cellStyle name="Comma 10 3 3 7" xfId="30490"/>
    <cellStyle name="Comma 10 3 3 7 2" xfId="30491"/>
    <cellStyle name="Comma 10 3 3 7 3" xfId="30492"/>
    <cellStyle name="Comma 10 3 3 8" xfId="30493"/>
    <cellStyle name="Comma 10 3 3 8 2" xfId="30494"/>
    <cellStyle name="Comma 10 3 3 9" xfId="30495"/>
    <cellStyle name="Comma 10 3 4" xfId="3217"/>
    <cellStyle name="Comma 10 3 4 2" xfId="3218"/>
    <cellStyle name="Comma 10 3 4 2 2" xfId="30496"/>
    <cellStyle name="Comma 10 3 4 2 2 2" xfId="30497"/>
    <cellStyle name="Comma 10 3 4 2 2 3" xfId="30498"/>
    <cellStyle name="Comma 10 3 4 2 3" xfId="30499"/>
    <cellStyle name="Comma 10 3 4 2 3 2" xfId="30500"/>
    <cellStyle name="Comma 10 3 4 2 3 3" xfId="30501"/>
    <cellStyle name="Comma 10 3 4 2 4" xfId="30502"/>
    <cellStyle name="Comma 10 3 4 2 4 2" xfId="30503"/>
    <cellStyle name="Comma 10 3 4 2 5" xfId="30504"/>
    <cellStyle name="Comma 10 3 4 2 6" xfId="30505"/>
    <cellStyle name="Comma 10 3 4 3" xfId="30506"/>
    <cellStyle name="Comma 10 3 4 3 2" xfId="30507"/>
    <cellStyle name="Comma 10 3 4 3 2 2" xfId="30508"/>
    <cellStyle name="Comma 10 3 4 3 2 3" xfId="30509"/>
    <cellStyle name="Comma 10 3 4 3 3" xfId="30510"/>
    <cellStyle name="Comma 10 3 4 3 3 2" xfId="30511"/>
    <cellStyle name="Comma 10 3 4 3 3 3" xfId="30512"/>
    <cellStyle name="Comma 10 3 4 3 4" xfId="30513"/>
    <cellStyle name="Comma 10 3 4 3 4 2" xfId="30514"/>
    <cellStyle name="Comma 10 3 4 3 5" xfId="30515"/>
    <cellStyle name="Comma 10 3 4 3 6" xfId="30516"/>
    <cellStyle name="Comma 10 3 4 4" xfId="30517"/>
    <cellStyle name="Comma 10 3 4 4 2" xfId="30518"/>
    <cellStyle name="Comma 10 3 4 4 2 2" xfId="30519"/>
    <cellStyle name="Comma 10 3 4 4 2 3" xfId="30520"/>
    <cellStyle name="Comma 10 3 4 4 3" xfId="30521"/>
    <cellStyle name="Comma 10 3 4 4 3 2" xfId="30522"/>
    <cellStyle name="Comma 10 3 4 4 4" xfId="30523"/>
    <cellStyle name="Comma 10 3 4 4 5" xfId="30524"/>
    <cellStyle name="Comma 10 3 4 5" xfId="30525"/>
    <cellStyle name="Comma 10 3 4 5 2" xfId="30526"/>
    <cellStyle name="Comma 10 3 4 5 3" xfId="30527"/>
    <cellStyle name="Comma 10 3 4 6" xfId="30528"/>
    <cellStyle name="Comma 10 3 4 6 2" xfId="30529"/>
    <cellStyle name="Comma 10 3 4 6 3" xfId="30530"/>
    <cellStyle name="Comma 10 3 4 7" xfId="30531"/>
    <cellStyle name="Comma 10 3 4 7 2" xfId="30532"/>
    <cellStyle name="Comma 10 3 4 8" xfId="30533"/>
    <cellStyle name="Comma 10 3 4 9" xfId="30534"/>
    <cellStyle name="Comma 10 3 5" xfId="3219"/>
    <cellStyle name="Comma 10 3 5 2" xfId="30535"/>
    <cellStyle name="Comma 10 3 5 2 2" xfId="30536"/>
    <cellStyle name="Comma 10 3 5 2 2 2" xfId="30537"/>
    <cellStyle name="Comma 10 3 5 2 2 3" xfId="30538"/>
    <cellStyle name="Comma 10 3 5 2 3" xfId="30539"/>
    <cellStyle name="Comma 10 3 5 2 3 2" xfId="30540"/>
    <cellStyle name="Comma 10 3 5 2 3 3" xfId="30541"/>
    <cellStyle name="Comma 10 3 5 2 4" xfId="30542"/>
    <cellStyle name="Comma 10 3 5 2 4 2" xfId="30543"/>
    <cellStyle name="Comma 10 3 5 2 5" xfId="30544"/>
    <cellStyle name="Comma 10 3 5 2 6" xfId="30545"/>
    <cellStyle name="Comma 10 3 5 3" xfId="30546"/>
    <cellStyle name="Comma 10 3 5 3 2" xfId="30547"/>
    <cellStyle name="Comma 10 3 5 3 2 2" xfId="30548"/>
    <cellStyle name="Comma 10 3 5 3 2 3" xfId="30549"/>
    <cellStyle name="Comma 10 3 5 3 3" xfId="30550"/>
    <cellStyle name="Comma 10 3 5 3 3 2" xfId="30551"/>
    <cellStyle name="Comma 10 3 5 3 3 3" xfId="30552"/>
    <cellStyle name="Comma 10 3 5 3 4" xfId="30553"/>
    <cellStyle name="Comma 10 3 5 3 4 2" xfId="30554"/>
    <cellStyle name="Comma 10 3 5 3 5" xfId="30555"/>
    <cellStyle name="Comma 10 3 5 3 6" xfId="30556"/>
    <cellStyle name="Comma 10 3 5 4" xfId="30557"/>
    <cellStyle name="Comma 10 3 5 4 2" xfId="30558"/>
    <cellStyle name="Comma 10 3 5 4 2 2" xfId="30559"/>
    <cellStyle name="Comma 10 3 5 4 2 3" xfId="30560"/>
    <cellStyle name="Comma 10 3 5 4 3" xfId="30561"/>
    <cellStyle name="Comma 10 3 5 4 3 2" xfId="30562"/>
    <cellStyle name="Comma 10 3 5 4 4" xfId="30563"/>
    <cellStyle name="Comma 10 3 5 4 5" xfId="30564"/>
    <cellStyle name="Comma 10 3 5 5" xfId="30565"/>
    <cellStyle name="Comma 10 3 5 5 2" xfId="30566"/>
    <cellStyle name="Comma 10 3 5 5 3" xfId="30567"/>
    <cellStyle name="Comma 10 3 5 6" xfId="30568"/>
    <cellStyle name="Comma 10 3 5 6 2" xfId="30569"/>
    <cellStyle name="Comma 10 3 5 6 3" xfId="30570"/>
    <cellStyle name="Comma 10 3 5 7" xfId="30571"/>
    <cellStyle name="Comma 10 3 5 7 2" xfId="30572"/>
    <cellStyle name="Comma 10 3 5 8" xfId="30573"/>
    <cellStyle name="Comma 10 3 5 9" xfId="30574"/>
    <cellStyle name="Comma 10 3 6" xfId="30575"/>
    <cellStyle name="Comma 10 3 6 2" xfId="30576"/>
    <cellStyle name="Comma 10 3 6 2 2" xfId="30577"/>
    <cellStyle name="Comma 10 3 6 2 3" xfId="30578"/>
    <cellStyle name="Comma 10 3 6 3" xfId="30579"/>
    <cellStyle name="Comma 10 3 6 3 2" xfId="30580"/>
    <cellStyle name="Comma 10 3 6 3 3" xfId="30581"/>
    <cellStyle name="Comma 10 3 6 4" xfId="30582"/>
    <cellStyle name="Comma 10 3 6 4 2" xfId="30583"/>
    <cellStyle name="Comma 10 3 6 5" xfId="30584"/>
    <cellStyle name="Comma 10 3 6 6" xfId="30585"/>
    <cellStyle name="Comma 10 3 7" xfId="30586"/>
    <cellStyle name="Comma 10 3 7 2" xfId="30587"/>
    <cellStyle name="Comma 10 3 7 2 2" xfId="30588"/>
    <cellStyle name="Comma 10 3 7 2 3" xfId="30589"/>
    <cellStyle name="Comma 10 3 7 3" xfId="30590"/>
    <cellStyle name="Comma 10 3 7 3 2" xfId="30591"/>
    <cellStyle name="Comma 10 3 7 3 3" xfId="30592"/>
    <cellStyle name="Comma 10 3 7 4" xfId="30593"/>
    <cellStyle name="Comma 10 3 7 4 2" xfId="30594"/>
    <cellStyle name="Comma 10 3 7 5" xfId="30595"/>
    <cellStyle name="Comma 10 3 7 6" xfId="30596"/>
    <cellStyle name="Comma 10 3 8" xfId="30597"/>
    <cellStyle name="Comma 10 3 8 2" xfId="30598"/>
    <cellStyle name="Comma 10 3 8 2 2" xfId="30599"/>
    <cellStyle name="Comma 10 3 8 2 3" xfId="30600"/>
    <cellStyle name="Comma 10 3 8 3" xfId="30601"/>
    <cellStyle name="Comma 10 3 8 3 2" xfId="30602"/>
    <cellStyle name="Comma 10 3 8 4" xfId="30603"/>
    <cellStyle name="Comma 10 3 8 5" xfId="30604"/>
    <cellStyle name="Comma 10 3 9" xfId="30605"/>
    <cellStyle name="Comma 10 3 9 2" xfId="30606"/>
    <cellStyle name="Comma 10 3 9 3" xfId="30607"/>
    <cellStyle name="Comma 10 4" xfId="3220"/>
    <cellStyle name="Comma 10 4 10" xfId="30608"/>
    <cellStyle name="Comma 10 4 10 2" xfId="30609"/>
    <cellStyle name="Comma 10 4 11" xfId="30610"/>
    <cellStyle name="Comma 10 4 12" xfId="30611"/>
    <cellStyle name="Comma 10 4 2" xfId="3221"/>
    <cellStyle name="Comma 10 4 2 10" xfId="30612"/>
    <cellStyle name="Comma 10 4 2 2" xfId="3222"/>
    <cellStyle name="Comma 10 4 2 2 2" xfId="3223"/>
    <cellStyle name="Comma 10 4 2 2 2 2" xfId="30613"/>
    <cellStyle name="Comma 10 4 2 2 2 2 2" xfId="30614"/>
    <cellStyle name="Comma 10 4 2 2 2 2 3" xfId="30615"/>
    <cellStyle name="Comma 10 4 2 2 2 3" xfId="30616"/>
    <cellStyle name="Comma 10 4 2 2 2 3 2" xfId="30617"/>
    <cellStyle name="Comma 10 4 2 2 2 3 3" xfId="30618"/>
    <cellStyle name="Comma 10 4 2 2 2 4" xfId="30619"/>
    <cellStyle name="Comma 10 4 2 2 2 4 2" xfId="30620"/>
    <cellStyle name="Comma 10 4 2 2 2 5" xfId="30621"/>
    <cellStyle name="Comma 10 4 2 2 2 6" xfId="30622"/>
    <cellStyle name="Comma 10 4 2 2 3" xfId="30623"/>
    <cellStyle name="Comma 10 4 2 2 3 2" xfId="30624"/>
    <cellStyle name="Comma 10 4 2 2 3 2 2" xfId="30625"/>
    <cellStyle name="Comma 10 4 2 2 3 2 3" xfId="30626"/>
    <cellStyle name="Comma 10 4 2 2 3 3" xfId="30627"/>
    <cellStyle name="Comma 10 4 2 2 3 3 2" xfId="30628"/>
    <cellStyle name="Comma 10 4 2 2 3 3 3" xfId="30629"/>
    <cellStyle name="Comma 10 4 2 2 3 4" xfId="30630"/>
    <cellStyle name="Comma 10 4 2 2 3 4 2" xfId="30631"/>
    <cellStyle name="Comma 10 4 2 2 3 5" xfId="30632"/>
    <cellStyle name="Comma 10 4 2 2 3 6" xfId="30633"/>
    <cellStyle name="Comma 10 4 2 2 4" xfId="30634"/>
    <cellStyle name="Comma 10 4 2 2 4 2" xfId="30635"/>
    <cellStyle name="Comma 10 4 2 2 4 2 2" xfId="30636"/>
    <cellStyle name="Comma 10 4 2 2 4 2 3" xfId="30637"/>
    <cellStyle name="Comma 10 4 2 2 4 3" xfId="30638"/>
    <cellStyle name="Comma 10 4 2 2 4 3 2" xfId="30639"/>
    <cellStyle name="Comma 10 4 2 2 4 4" xfId="30640"/>
    <cellStyle name="Comma 10 4 2 2 4 5" xfId="30641"/>
    <cellStyle name="Comma 10 4 2 2 5" xfId="30642"/>
    <cellStyle name="Comma 10 4 2 2 5 2" xfId="30643"/>
    <cellStyle name="Comma 10 4 2 2 5 3" xfId="30644"/>
    <cellStyle name="Comma 10 4 2 2 6" xfId="30645"/>
    <cellStyle name="Comma 10 4 2 2 6 2" xfId="30646"/>
    <cellStyle name="Comma 10 4 2 2 6 3" xfId="30647"/>
    <cellStyle name="Comma 10 4 2 2 7" xfId="30648"/>
    <cellStyle name="Comma 10 4 2 2 7 2" xfId="30649"/>
    <cellStyle name="Comma 10 4 2 2 8" xfId="30650"/>
    <cellStyle name="Comma 10 4 2 2 9" xfId="30651"/>
    <cellStyle name="Comma 10 4 2 3" xfId="3224"/>
    <cellStyle name="Comma 10 4 2 3 2" xfId="30652"/>
    <cellStyle name="Comma 10 4 2 3 2 2" xfId="30653"/>
    <cellStyle name="Comma 10 4 2 3 2 3" xfId="30654"/>
    <cellStyle name="Comma 10 4 2 3 3" xfId="30655"/>
    <cellStyle name="Comma 10 4 2 3 3 2" xfId="30656"/>
    <cellStyle name="Comma 10 4 2 3 3 3" xfId="30657"/>
    <cellStyle name="Comma 10 4 2 3 4" xfId="30658"/>
    <cellStyle name="Comma 10 4 2 3 4 2" xfId="30659"/>
    <cellStyle name="Comma 10 4 2 3 5" xfId="30660"/>
    <cellStyle name="Comma 10 4 2 3 6" xfId="30661"/>
    <cellStyle name="Comma 10 4 2 4" xfId="30662"/>
    <cellStyle name="Comma 10 4 2 4 2" xfId="30663"/>
    <cellStyle name="Comma 10 4 2 4 2 2" xfId="30664"/>
    <cellStyle name="Comma 10 4 2 4 2 3" xfId="30665"/>
    <cellStyle name="Comma 10 4 2 4 3" xfId="30666"/>
    <cellStyle name="Comma 10 4 2 4 3 2" xfId="30667"/>
    <cellStyle name="Comma 10 4 2 4 3 3" xfId="30668"/>
    <cellStyle name="Comma 10 4 2 4 4" xfId="30669"/>
    <cellStyle name="Comma 10 4 2 4 4 2" xfId="30670"/>
    <cellStyle name="Comma 10 4 2 4 5" xfId="30671"/>
    <cellStyle name="Comma 10 4 2 4 6" xfId="30672"/>
    <cellStyle name="Comma 10 4 2 5" xfId="30673"/>
    <cellStyle name="Comma 10 4 2 5 2" xfId="30674"/>
    <cellStyle name="Comma 10 4 2 5 2 2" xfId="30675"/>
    <cellStyle name="Comma 10 4 2 5 2 3" xfId="30676"/>
    <cellStyle name="Comma 10 4 2 5 3" xfId="30677"/>
    <cellStyle name="Comma 10 4 2 5 3 2" xfId="30678"/>
    <cellStyle name="Comma 10 4 2 5 4" xfId="30679"/>
    <cellStyle name="Comma 10 4 2 5 5" xfId="30680"/>
    <cellStyle name="Comma 10 4 2 6" xfId="30681"/>
    <cellStyle name="Comma 10 4 2 6 2" xfId="30682"/>
    <cellStyle name="Comma 10 4 2 6 3" xfId="30683"/>
    <cellStyle name="Comma 10 4 2 7" xfId="30684"/>
    <cellStyle name="Comma 10 4 2 7 2" xfId="30685"/>
    <cellStyle name="Comma 10 4 2 7 3" xfId="30686"/>
    <cellStyle name="Comma 10 4 2 8" xfId="30687"/>
    <cellStyle name="Comma 10 4 2 8 2" xfId="30688"/>
    <cellStyle name="Comma 10 4 2 9" xfId="30689"/>
    <cellStyle name="Comma 10 4 3" xfId="3225"/>
    <cellStyle name="Comma 10 4 3 2" xfId="3226"/>
    <cellStyle name="Comma 10 4 3 2 2" xfId="30690"/>
    <cellStyle name="Comma 10 4 3 2 2 2" xfId="30691"/>
    <cellStyle name="Comma 10 4 3 2 2 3" xfId="30692"/>
    <cellStyle name="Comma 10 4 3 2 3" xfId="30693"/>
    <cellStyle name="Comma 10 4 3 2 3 2" xfId="30694"/>
    <cellStyle name="Comma 10 4 3 2 3 3" xfId="30695"/>
    <cellStyle name="Comma 10 4 3 2 4" xfId="30696"/>
    <cellStyle name="Comma 10 4 3 2 4 2" xfId="30697"/>
    <cellStyle name="Comma 10 4 3 2 5" xfId="30698"/>
    <cellStyle name="Comma 10 4 3 2 6" xfId="30699"/>
    <cellStyle name="Comma 10 4 3 3" xfId="30700"/>
    <cellStyle name="Comma 10 4 3 3 2" xfId="30701"/>
    <cellStyle name="Comma 10 4 3 3 2 2" xfId="30702"/>
    <cellStyle name="Comma 10 4 3 3 2 3" xfId="30703"/>
    <cellStyle name="Comma 10 4 3 3 3" xfId="30704"/>
    <cellStyle name="Comma 10 4 3 3 3 2" xfId="30705"/>
    <cellStyle name="Comma 10 4 3 3 3 3" xfId="30706"/>
    <cellStyle name="Comma 10 4 3 3 4" xfId="30707"/>
    <cellStyle name="Comma 10 4 3 3 4 2" xfId="30708"/>
    <cellStyle name="Comma 10 4 3 3 5" xfId="30709"/>
    <cellStyle name="Comma 10 4 3 3 6" xfId="30710"/>
    <cellStyle name="Comma 10 4 3 4" xfId="30711"/>
    <cellStyle name="Comma 10 4 3 4 2" xfId="30712"/>
    <cellStyle name="Comma 10 4 3 4 2 2" xfId="30713"/>
    <cellStyle name="Comma 10 4 3 4 2 3" xfId="30714"/>
    <cellStyle name="Comma 10 4 3 4 3" xfId="30715"/>
    <cellStyle name="Comma 10 4 3 4 3 2" xfId="30716"/>
    <cellStyle name="Comma 10 4 3 4 4" xfId="30717"/>
    <cellStyle name="Comma 10 4 3 4 5" xfId="30718"/>
    <cellStyle name="Comma 10 4 3 5" xfId="30719"/>
    <cellStyle name="Comma 10 4 3 5 2" xfId="30720"/>
    <cellStyle name="Comma 10 4 3 5 3" xfId="30721"/>
    <cellStyle name="Comma 10 4 3 6" xfId="30722"/>
    <cellStyle name="Comma 10 4 3 6 2" xfId="30723"/>
    <cellStyle name="Comma 10 4 3 6 3" xfId="30724"/>
    <cellStyle name="Comma 10 4 3 7" xfId="30725"/>
    <cellStyle name="Comma 10 4 3 7 2" xfId="30726"/>
    <cellStyle name="Comma 10 4 3 8" xfId="30727"/>
    <cellStyle name="Comma 10 4 3 9" xfId="30728"/>
    <cellStyle name="Comma 10 4 4" xfId="3227"/>
    <cellStyle name="Comma 10 4 4 2" xfId="30729"/>
    <cellStyle name="Comma 10 4 4 2 2" xfId="30730"/>
    <cellStyle name="Comma 10 4 4 2 2 2" xfId="30731"/>
    <cellStyle name="Comma 10 4 4 2 2 3" xfId="30732"/>
    <cellStyle name="Comma 10 4 4 2 3" xfId="30733"/>
    <cellStyle name="Comma 10 4 4 2 3 2" xfId="30734"/>
    <cellStyle name="Comma 10 4 4 2 3 3" xfId="30735"/>
    <cellStyle name="Comma 10 4 4 2 4" xfId="30736"/>
    <cellStyle name="Comma 10 4 4 2 4 2" xfId="30737"/>
    <cellStyle name="Comma 10 4 4 2 5" xfId="30738"/>
    <cellStyle name="Comma 10 4 4 2 6" xfId="30739"/>
    <cellStyle name="Comma 10 4 4 3" xfId="30740"/>
    <cellStyle name="Comma 10 4 4 3 2" xfId="30741"/>
    <cellStyle name="Comma 10 4 4 3 2 2" xfId="30742"/>
    <cellStyle name="Comma 10 4 4 3 2 3" xfId="30743"/>
    <cellStyle name="Comma 10 4 4 3 3" xfId="30744"/>
    <cellStyle name="Comma 10 4 4 3 3 2" xfId="30745"/>
    <cellStyle name="Comma 10 4 4 3 3 3" xfId="30746"/>
    <cellStyle name="Comma 10 4 4 3 4" xfId="30747"/>
    <cellStyle name="Comma 10 4 4 3 4 2" xfId="30748"/>
    <cellStyle name="Comma 10 4 4 3 5" xfId="30749"/>
    <cellStyle name="Comma 10 4 4 3 6" xfId="30750"/>
    <cellStyle name="Comma 10 4 4 4" xfId="30751"/>
    <cellStyle name="Comma 10 4 4 4 2" xfId="30752"/>
    <cellStyle name="Comma 10 4 4 4 2 2" xfId="30753"/>
    <cellStyle name="Comma 10 4 4 4 2 3" xfId="30754"/>
    <cellStyle name="Comma 10 4 4 4 3" xfId="30755"/>
    <cellStyle name="Comma 10 4 4 4 3 2" xfId="30756"/>
    <cellStyle name="Comma 10 4 4 4 4" xfId="30757"/>
    <cellStyle name="Comma 10 4 4 4 5" xfId="30758"/>
    <cellStyle name="Comma 10 4 4 5" xfId="30759"/>
    <cellStyle name="Comma 10 4 4 5 2" xfId="30760"/>
    <cellStyle name="Comma 10 4 4 5 3" xfId="30761"/>
    <cellStyle name="Comma 10 4 4 6" xfId="30762"/>
    <cellStyle name="Comma 10 4 4 6 2" xfId="30763"/>
    <cellStyle name="Comma 10 4 4 6 3" xfId="30764"/>
    <cellStyle name="Comma 10 4 4 7" xfId="30765"/>
    <cellStyle name="Comma 10 4 4 7 2" xfId="30766"/>
    <cellStyle name="Comma 10 4 4 8" xfId="30767"/>
    <cellStyle name="Comma 10 4 4 9" xfId="30768"/>
    <cellStyle name="Comma 10 4 5" xfId="30769"/>
    <cellStyle name="Comma 10 4 5 2" xfId="30770"/>
    <cellStyle name="Comma 10 4 5 2 2" xfId="30771"/>
    <cellStyle name="Comma 10 4 5 2 3" xfId="30772"/>
    <cellStyle name="Comma 10 4 5 3" xfId="30773"/>
    <cellStyle name="Comma 10 4 5 3 2" xfId="30774"/>
    <cellStyle name="Comma 10 4 5 3 3" xfId="30775"/>
    <cellStyle name="Comma 10 4 5 4" xfId="30776"/>
    <cellStyle name="Comma 10 4 5 4 2" xfId="30777"/>
    <cellStyle name="Comma 10 4 5 5" xfId="30778"/>
    <cellStyle name="Comma 10 4 5 6" xfId="30779"/>
    <cellStyle name="Comma 10 4 6" xfId="30780"/>
    <cellStyle name="Comma 10 4 6 2" xfId="30781"/>
    <cellStyle name="Comma 10 4 6 2 2" xfId="30782"/>
    <cellStyle name="Comma 10 4 6 2 3" xfId="30783"/>
    <cellStyle name="Comma 10 4 6 3" xfId="30784"/>
    <cellStyle name="Comma 10 4 6 3 2" xfId="30785"/>
    <cellStyle name="Comma 10 4 6 3 3" xfId="30786"/>
    <cellStyle name="Comma 10 4 6 4" xfId="30787"/>
    <cellStyle name="Comma 10 4 6 4 2" xfId="30788"/>
    <cellStyle name="Comma 10 4 6 5" xfId="30789"/>
    <cellStyle name="Comma 10 4 6 6" xfId="30790"/>
    <cellStyle name="Comma 10 4 7" xfId="30791"/>
    <cellStyle name="Comma 10 4 7 2" xfId="30792"/>
    <cellStyle name="Comma 10 4 7 2 2" xfId="30793"/>
    <cellStyle name="Comma 10 4 7 2 3" xfId="30794"/>
    <cellStyle name="Comma 10 4 7 3" xfId="30795"/>
    <cellStyle name="Comma 10 4 7 3 2" xfId="30796"/>
    <cellStyle name="Comma 10 4 7 4" xfId="30797"/>
    <cellStyle name="Comma 10 4 7 5" xfId="30798"/>
    <cellStyle name="Comma 10 4 8" xfId="30799"/>
    <cellStyle name="Comma 10 4 8 2" xfId="30800"/>
    <cellStyle name="Comma 10 4 8 3" xfId="30801"/>
    <cellStyle name="Comma 10 4 9" xfId="30802"/>
    <cellStyle name="Comma 10 4 9 2" xfId="30803"/>
    <cellStyle name="Comma 10 4 9 3" xfId="30804"/>
    <cellStyle name="Comma 10 5" xfId="3228"/>
    <cellStyle name="Comma 10 5 10" xfId="30805"/>
    <cellStyle name="Comma 10 5 2" xfId="3229"/>
    <cellStyle name="Comma 10 5 2 2" xfId="3230"/>
    <cellStyle name="Comma 10 5 2 2 2" xfId="30806"/>
    <cellStyle name="Comma 10 5 2 2 2 2" xfId="30807"/>
    <cellStyle name="Comma 10 5 2 2 2 3" xfId="30808"/>
    <cellStyle name="Comma 10 5 2 2 3" xfId="30809"/>
    <cellStyle name="Comma 10 5 2 2 3 2" xfId="30810"/>
    <cellStyle name="Comma 10 5 2 2 3 3" xfId="30811"/>
    <cellStyle name="Comma 10 5 2 2 4" xfId="30812"/>
    <cellStyle name="Comma 10 5 2 2 4 2" xfId="30813"/>
    <cellStyle name="Comma 10 5 2 2 5" xfId="30814"/>
    <cellStyle name="Comma 10 5 2 2 6" xfId="30815"/>
    <cellStyle name="Comma 10 5 2 3" xfId="30816"/>
    <cellStyle name="Comma 10 5 2 3 2" xfId="30817"/>
    <cellStyle name="Comma 10 5 2 3 2 2" xfId="30818"/>
    <cellStyle name="Comma 10 5 2 3 2 3" xfId="30819"/>
    <cellStyle name="Comma 10 5 2 3 3" xfId="30820"/>
    <cellStyle name="Comma 10 5 2 3 3 2" xfId="30821"/>
    <cellStyle name="Comma 10 5 2 3 3 3" xfId="30822"/>
    <cellStyle name="Comma 10 5 2 3 4" xfId="30823"/>
    <cellStyle name="Comma 10 5 2 3 4 2" xfId="30824"/>
    <cellStyle name="Comma 10 5 2 3 5" xfId="30825"/>
    <cellStyle name="Comma 10 5 2 3 6" xfId="30826"/>
    <cellStyle name="Comma 10 5 2 4" xfId="30827"/>
    <cellStyle name="Comma 10 5 2 4 2" xfId="30828"/>
    <cellStyle name="Comma 10 5 2 4 2 2" xfId="30829"/>
    <cellStyle name="Comma 10 5 2 4 2 3" xfId="30830"/>
    <cellStyle name="Comma 10 5 2 4 3" xfId="30831"/>
    <cellStyle name="Comma 10 5 2 4 3 2" xfId="30832"/>
    <cellStyle name="Comma 10 5 2 4 4" xfId="30833"/>
    <cellStyle name="Comma 10 5 2 4 5" xfId="30834"/>
    <cellStyle name="Comma 10 5 2 5" xfId="30835"/>
    <cellStyle name="Comma 10 5 2 5 2" xfId="30836"/>
    <cellStyle name="Comma 10 5 2 5 3" xfId="30837"/>
    <cellStyle name="Comma 10 5 2 6" xfId="30838"/>
    <cellStyle name="Comma 10 5 2 6 2" xfId="30839"/>
    <cellStyle name="Comma 10 5 2 6 3" xfId="30840"/>
    <cellStyle name="Comma 10 5 2 7" xfId="30841"/>
    <cellStyle name="Comma 10 5 2 7 2" xfId="30842"/>
    <cellStyle name="Comma 10 5 2 8" xfId="30843"/>
    <cellStyle name="Comma 10 5 2 9" xfId="30844"/>
    <cellStyle name="Comma 10 5 3" xfId="3231"/>
    <cellStyle name="Comma 10 5 3 2" xfId="30845"/>
    <cellStyle name="Comma 10 5 3 2 2" xfId="30846"/>
    <cellStyle name="Comma 10 5 3 2 3" xfId="30847"/>
    <cellStyle name="Comma 10 5 3 3" xfId="30848"/>
    <cellStyle name="Comma 10 5 3 3 2" xfId="30849"/>
    <cellStyle name="Comma 10 5 3 3 3" xfId="30850"/>
    <cellStyle name="Comma 10 5 3 4" xfId="30851"/>
    <cellStyle name="Comma 10 5 3 4 2" xfId="30852"/>
    <cellStyle name="Comma 10 5 3 5" xfId="30853"/>
    <cellStyle name="Comma 10 5 3 6" xfId="30854"/>
    <cellStyle name="Comma 10 5 4" xfId="30855"/>
    <cellStyle name="Comma 10 5 4 2" xfId="30856"/>
    <cellStyle name="Comma 10 5 4 2 2" xfId="30857"/>
    <cellStyle name="Comma 10 5 4 2 3" xfId="30858"/>
    <cellStyle name="Comma 10 5 4 3" xfId="30859"/>
    <cellStyle name="Comma 10 5 4 3 2" xfId="30860"/>
    <cellStyle name="Comma 10 5 4 3 3" xfId="30861"/>
    <cellStyle name="Comma 10 5 4 4" xfId="30862"/>
    <cellStyle name="Comma 10 5 4 4 2" xfId="30863"/>
    <cellStyle name="Comma 10 5 4 5" xfId="30864"/>
    <cellStyle name="Comma 10 5 4 6" xfId="30865"/>
    <cellStyle name="Comma 10 5 5" xfId="30866"/>
    <cellStyle name="Comma 10 5 5 2" xfId="30867"/>
    <cellStyle name="Comma 10 5 5 2 2" xfId="30868"/>
    <cellStyle name="Comma 10 5 5 2 3" xfId="30869"/>
    <cellStyle name="Comma 10 5 5 3" xfId="30870"/>
    <cellStyle name="Comma 10 5 5 3 2" xfId="30871"/>
    <cellStyle name="Comma 10 5 5 4" xfId="30872"/>
    <cellStyle name="Comma 10 5 5 5" xfId="30873"/>
    <cellStyle name="Comma 10 5 6" xfId="30874"/>
    <cellStyle name="Comma 10 5 6 2" xfId="30875"/>
    <cellStyle name="Comma 10 5 6 3" xfId="30876"/>
    <cellStyle name="Comma 10 5 7" xfId="30877"/>
    <cellStyle name="Comma 10 5 7 2" xfId="30878"/>
    <cellStyle name="Comma 10 5 7 3" xfId="30879"/>
    <cellStyle name="Comma 10 5 8" xfId="30880"/>
    <cellStyle name="Comma 10 5 8 2" xfId="30881"/>
    <cellStyle name="Comma 10 5 9" xfId="30882"/>
    <cellStyle name="Comma 10 6" xfId="3232"/>
    <cellStyle name="Comma 10 6 2" xfId="3233"/>
    <cellStyle name="Comma 10 6 2 2" xfId="30883"/>
    <cellStyle name="Comma 10 6 2 2 2" xfId="30884"/>
    <cellStyle name="Comma 10 6 2 2 3" xfId="30885"/>
    <cellStyle name="Comma 10 6 2 3" xfId="30886"/>
    <cellStyle name="Comma 10 6 2 3 2" xfId="30887"/>
    <cellStyle name="Comma 10 6 2 3 3" xfId="30888"/>
    <cellStyle name="Comma 10 6 2 4" xfId="30889"/>
    <cellStyle name="Comma 10 6 2 4 2" xfId="30890"/>
    <cellStyle name="Comma 10 6 2 5" xfId="30891"/>
    <cellStyle name="Comma 10 6 2 6" xfId="30892"/>
    <cellStyle name="Comma 10 6 3" xfId="30893"/>
    <cellStyle name="Comma 10 6 3 2" xfId="30894"/>
    <cellStyle name="Comma 10 6 3 2 2" xfId="30895"/>
    <cellStyle name="Comma 10 6 3 2 3" xfId="30896"/>
    <cellStyle name="Comma 10 6 3 3" xfId="30897"/>
    <cellStyle name="Comma 10 6 3 3 2" xfId="30898"/>
    <cellStyle name="Comma 10 6 3 3 3" xfId="30899"/>
    <cellStyle name="Comma 10 6 3 4" xfId="30900"/>
    <cellStyle name="Comma 10 6 3 4 2" xfId="30901"/>
    <cellStyle name="Comma 10 6 3 5" xfId="30902"/>
    <cellStyle name="Comma 10 6 3 6" xfId="30903"/>
    <cellStyle name="Comma 10 6 4" xfId="30904"/>
    <cellStyle name="Comma 10 6 4 2" xfId="30905"/>
    <cellStyle name="Comma 10 6 4 2 2" xfId="30906"/>
    <cellStyle name="Comma 10 6 4 2 3" xfId="30907"/>
    <cellStyle name="Comma 10 6 4 3" xfId="30908"/>
    <cellStyle name="Comma 10 6 4 3 2" xfId="30909"/>
    <cellStyle name="Comma 10 6 4 4" xfId="30910"/>
    <cellStyle name="Comma 10 6 4 5" xfId="30911"/>
    <cellStyle name="Comma 10 6 5" xfId="30912"/>
    <cellStyle name="Comma 10 6 5 2" xfId="30913"/>
    <cellStyle name="Comma 10 6 5 3" xfId="30914"/>
    <cellStyle name="Comma 10 6 6" xfId="30915"/>
    <cellStyle name="Comma 10 6 6 2" xfId="30916"/>
    <cellStyle name="Comma 10 6 6 3" xfId="30917"/>
    <cellStyle name="Comma 10 6 7" xfId="30918"/>
    <cellStyle name="Comma 10 6 7 2" xfId="30919"/>
    <cellStyle name="Comma 10 6 8" xfId="30920"/>
    <cellStyle name="Comma 10 6 9" xfId="30921"/>
    <cellStyle name="Comma 10 7" xfId="3234"/>
    <cellStyle name="Comma 10 7 2" xfId="30922"/>
    <cellStyle name="Comma 10 7 2 2" xfId="30923"/>
    <cellStyle name="Comma 10 7 2 2 2" xfId="30924"/>
    <cellStyle name="Comma 10 7 2 2 3" xfId="30925"/>
    <cellStyle name="Comma 10 7 2 3" xfId="30926"/>
    <cellStyle name="Comma 10 7 2 3 2" xfId="30927"/>
    <cellStyle name="Comma 10 7 2 3 3" xfId="30928"/>
    <cellStyle name="Comma 10 7 2 4" xfId="30929"/>
    <cellStyle name="Comma 10 7 2 4 2" xfId="30930"/>
    <cellStyle name="Comma 10 7 2 5" xfId="30931"/>
    <cellStyle name="Comma 10 7 2 6" xfId="30932"/>
    <cellStyle name="Comma 10 7 3" xfId="30933"/>
    <cellStyle name="Comma 10 7 3 2" xfId="30934"/>
    <cellStyle name="Comma 10 7 3 2 2" xfId="30935"/>
    <cellStyle name="Comma 10 7 3 2 3" xfId="30936"/>
    <cellStyle name="Comma 10 7 3 3" xfId="30937"/>
    <cellStyle name="Comma 10 7 3 3 2" xfId="30938"/>
    <cellStyle name="Comma 10 7 3 3 3" xfId="30939"/>
    <cellStyle name="Comma 10 7 3 4" xfId="30940"/>
    <cellStyle name="Comma 10 7 3 4 2" xfId="30941"/>
    <cellStyle name="Comma 10 7 3 5" xfId="30942"/>
    <cellStyle name="Comma 10 7 3 6" xfId="30943"/>
    <cellStyle name="Comma 10 7 4" xfId="30944"/>
    <cellStyle name="Comma 10 7 4 2" xfId="30945"/>
    <cellStyle name="Comma 10 7 4 2 2" xfId="30946"/>
    <cellStyle name="Comma 10 7 4 2 3" xfId="30947"/>
    <cellStyle name="Comma 10 7 4 3" xfId="30948"/>
    <cellStyle name="Comma 10 7 4 3 2" xfId="30949"/>
    <cellStyle name="Comma 10 7 4 4" xfId="30950"/>
    <cellStyle name="Comma 10 7 4 5" xfId="30951"/>
    <cellStyle name="Comma 10 7 5" xfId="30952"/>
    <cellStyle name="Comma 10 7 5 2" xfId="30953"/>
    <cellStyle name="Comma 10 7 5 3" xfId="30954"/>
    <cellStyle name="Comma 10 7 6" xfId="30955"/>
    <cellStyle name="Comma 10 7 6 2" xfId="30956"/>
    <cellStyle name="Comma 10 7 6 3" xfId="30957"/>
    <cellStyle name="Comma 10 7 7" xfId="30958"/>
    <cellStyle name="Comma 10 7 7 2" xfId="30959"/>
    <cellStyle name="Comma 10 7 8" xfId="30960"/>
    <cellStyle name="Comma 10 7 9" xfId="30961"/>
    <cellStyle name="Comma 10 8" xfId="3235"/>
    <cellStyle name="Comma 10 8 2" xfId="30962"/>
    <cellStyle name="Comma 10 8 2 2" xfId="30963"/>
    <cellStyle name="Comma 10 8 2 3" xfId="30964"/>
    <cellStyle name="Comma 10 8 3" xfId="30965"/>
    <cellStyle name="Comma 10 8 3 2" xfId="30966"/>
    <cellStyle name="Comma 10 8 3 3" xfId="30967"/>
    <cellStyle name="Comma 10 8 4" xfId="30968"/>
    <cellStyle name="Comma 10 8 4 2" xfId="30969"/>
    <cellStyle name="Comma 10 8 5" xfId="30970"/>
    <cellStyle name="Comma 10 8 6" xfId="30971"/>
    <cellStyle name="Comma 10 9" xfId="3236"/>
    <cellStyle name="Comma 10 9 2" xfId="30972"/>
    <cellStyle name="Comma 10 9 2 2" xfId="30973"/>
    <cellStyle name="Comma 10 9 2 3" xfId="30974"/>
    <cellStyle name="Comma 10 9 3" xfId="30975"/>
    <cellStyle name="Comma 10 9 3 2" xfId="30976"/>
    <cellStyle name="Comma 10 9 3 3" xfId="30977"/>
    <cellStyle name="Comma 10 9 4" xfId="30978"/>
    <cellStyle name="Comma 10 9 4 2" xfId="30979"/>
    <cellStyle name="Comma 10 9 5" xfId="30980"/>
    <cellStyle name="Comma 10 9 6" xfId="30981"/>
    <cellStyle name="Comma 100" xfId="8715"/>
    <cellStyle name="Comma 101" xfId="8716"/>
    <cellStyle name="Comma 102" xfId="8717"/>
    <cellStyle name="Comma 103" xfId="8718"/>
    <cellStyle name="Comma 104" xfId="8719"/>
    <cellStyle name="Comma 105" xfId="8720"/>
    <cellStyle name="Comma 106" xfId="8721"/>
    <cellStyle name="Comma 107" xfId="30982"/>
    <cellStyle name="Comma 108" xfId="30983"/>
    <cellStyle name="Comma 109" xfId="57815"/>
    <cellStyle name="Comma 11" xfId="3237"/>
    <cellStyle name="Comma 11 10" xfId="30984"/>
    <cellStyle name="Comma 11 10 2" xfId="30985"/>
    <cellStyle name="Comma 11 10 2 2" xfId="30986"/>
    <cellStyle name="Comma 11 10 2 3" xfId="30987"/>
    <cellStyle name="Comma 11 10 3" xfId="30988"/>
    <cellStyle name="Comma 11 10 3 2" xfId="30989"/>
    <cellStyle name="Comma 11 10 4" xfId="30990"/>
    <cellStyle name="Comma 11 10 5" xfId="30991"/>
    <cellStyle name="Comma 11 11" xfId="30992"/>
    <cellStyle name="Comma 11 11 2" xfId="30993"/>
    <cellStyle name="Comma 11 11 3" xfId="30994"/>
    <cellStyle name="Comma 11 12" xfId="30995"/>
    <cellStyle name="Comma 11 12 2" xfId="30996"/>
    <cellStyle name="Comma 11 12 3" xfId="30997"/>
    <cellStyle name="Comma 11 13" xfId="30998"/>
    <cellStyle name="Comma 11 13 2" xfId="30999"/>
    <cellStyle name="Comma 11 14" xfId="31000"/>
    <cellStyle name="Comma 11 15" xfId="31001"/>
    <cellStyle name="Comma 11 16" xfId="31002"/>
    <cellStyle name="Comma 11 2" xfId="8210"/>
    <cellStyle name="Comma 11 2 10" xfId="31003"/>
    <cellStyle name="Comma 11 2 10 2" xfId="31004"/>
    <cellStyle name="Comma 11 2 10 3" xfId="31005"/>
    <cellStyle name="Comma 11 2 11" xfId="31006"/>
    <cellStyle name="Comma 11 2 11 2" xfId="31007"/>
    <cellStyle name="Comma 11 2 11 3" xfId="31008"/>
    <cellStyle name="Comma 11 2 12" xfId="31009"/>
    <cellStyle name="Comma 11 2 12 2" xfId="31010"/>
    <cellStyle name="Comma 11 2 13" xfId="31011"/>
    <cellStyle name="Comma 11 2 14" xfId="31012"/>
    <cellStyle name="Comma 11 2 15" xfId="31013"/>
    <cellStyle name="Comma 11 2 2" xfId="8211"/>
    <cellStyle name="Comma 11 2 2 10" xfId="31014"/>
    <cellStyle name="Comma 11 2 2 10 2" xfId="31015"/>
    <cellStyle name="Comma 11 2 2 10 3" xfId="31016"/>
    <cellStyle name="Comma 11 2 2 11" xfId="31017"/>
    <cellStyle name="Comma 11 2 2 11 2" xfId="31018"/>
    <cellStyle name="Comma 11 2 2 12" xfId="31019"/>
    <cellStyle name="Comma 11 2 2 13" xfId="31020"/>
    <cellStyle name="Comma 11 2 2 14" xfId="31021"/>
    <cellStyle name="Comma 11 2 2 2" xfId="8212"/>
    <cellStyle name="Comma 11 2 2 2 10" xfId="31022"/>
    <cellStyle name="Comma 11 2 2 2 10 2" xfId="31023"/>
    <cellStyle name="Comma 11 2 2 2 11" xfId="31024"/>
    <cellStyle name="Comma 11 2 2 2 12" xfId="31025"/>
    <cellStyle name="Comma 11 2 2 2 13" xfId="31026"/>
    <cellStyle name="Comma 11 2 2 2 2" xfId="8213"/>
    <cellStyle name="Comma 11 2 2 2 2 10" xfId="31027"/>
    <cellStyle name="Comma 11 2 2 2 2 2" xfId="31028"/>
    <cellStyle name="Comma 11 2 2 2 2 2 2" xfId="31029"/>
    <cellStyle name="Comma 11 2 2 2 2 2 2 2" xfId="31030"/>
    <cellStyle name="Comma 11 2 2 2 2 2 2 2 2" xfId="31031"/>
    <cellStyle name="Comma 11 2 2 2 2 2 2 2 3" xfId="31032"/>
    <cellStyle name="Comma 11 2 2 2 2 2 2 3" xfId="31033"/>
    <cellStyle name="Comma 11 2 2 2 2 2 2 3 2" xfId="31034"/>
    <cellStyle name="Comma 11 2 2 2 2 2 2 3 3" xfId="31035"/>
    <cellStyle name="Comma 11 2 2 2 2 2 2 4" xfId="31036"/>
    <cellStyle name="Comma 11 2 2 2 2 2 2 4 2" xfId="31037"/>
    <cellStyle name="Comma 11 2 2 2 2 2 2 5" xfId="31038"/>
    <cellStyle name="Comma 11 2 2 2 2 2 2 6" xfId="31039"/>
    <cellStyle name="Comma 11 2 2 2 2 2 3" xfId="31040"/>
    <cellStyle name="Comma 11 2 2 2 2 2 3 2" xfId="31041"/>
    <cellStyle name="Comma 11 2 2 2 2 2 3 2 2" xfId="31042"/>
    <cellStyle name="Comma 11 2 2 2 2 2 3 2 3" xfId="31043"/>
    <cellStyle name="Comma 11 2 2 2 2 2 3 3" xfId="31044"/>
    <cellStyle name="Comma 11 2 2 2 2 2 3 3 2" xfId="31045"/>
    <cellStyle name="Comma 11 2 2 2 2 2 3 3 3" xfId="31046"/>
    <cellStyle name="Comma 11 2 2 2 2 2 3 4" xfId="31047"/>
    <cellStyle name="Comma 11 2 2 2 2 2 3 4 2" xfId="31048"/>
    <cellStyle name="Comma 11 2 2 2 2 2 3 5" xfId="31049"/>
    <cellStyle name="Comma 11 2 2 2 2 2 3 6" xfId="31050"/>
    <cellStyle name="Comma 11 2 2 2 2 2 4" xfId="31051"/>
    <cellStyle name="Comma 11 2 2 2 2 2 4 2" xfId="31052"/>
    <cellStyle name="Comma 11 2 2 2 2 2 4 2 2" xfId="31053"/>
    <cellStyle name="Comma 11 2 2 2 2 2 4 2 3" xfId="31054"/>
    <cellStyle name="Comma 11 2 2 2 2 2 4 3" xfId="31055"/>
    <cellStyle name="Comma 11 2 2 2 2 2 4 3 2" xfId="31056"/>
    <cellStyle name="Comma 11 2 2 2 2 2 4 4" xfId="31057"/>
    <cellStyle name="Comma 11 2 2 2 2 2 4 5" xfId="31058"/>
    <cellStyle name="Comma 11 2 2 2 2 2 5" xfId="31059"/>
    <cellStyle name="Comma 11 2 2 2 2 2 5 2" xfId="31060"/>
    <cellStyle name="Comma 11 2 2 2 2 2 5 3" xfId="31061"/>
    <cellStyle name="Comma 11 2 2 2 2 2 6" xfId="31062"/>
    <cellStyle name="Comma 11 2 2 2 2 2 6 2" xfId="31063"/>
    <cellStyle name="Comma 11 2 2 2 2 2 6 3" xfId="31064"/>
    <cellStyle name="Comma 11 2 2 2 2 2 7" xfId="31065"/>
    <cellStyle name="Comma 11 2 2 2 2 2 7 2" xfId="31066"/>
    <cellStyle name="Comma 11 2 2 2 2 2 8" xfId="31067"/>
    <cellStyle name="Comma 11 2 2 2 2 2 9" xfId="31068"/>
    <cellStyle name="Comma 11 2 2 2 2 3" xfId="31069"/>
    <cellStyle name="Comma 11 2 2 2 2 3 2" xfId="31070"/>
    <cellStyle name="Comma 11 2 2 2 2 3 2 2" xfId="31071"/>
    <cellStyle name="Comma 11 2 2 2 2 3 2 3" xfId="31072"/>
    <cellStyle name="Comma 11 2 2 2 2 3 3" xfId="31073"/>
    <cellStyle name="Comma 11 2 2 2 2 3 3 2" xfId="31074"/>
    <cellStyle name="Comma 11 2 2 2 2 3 3 3" xfId="31075"/>
    <cellStyle name="Comma 11 2 2 2 2 3 4" xfId="31076"/>
    <cellStyle name="Comma 11 2 2 2 2 3 4 2" xfId="31077"/>
    <cellStyle name="Comma 11 2 2 2 2 3 5" xfId="31078"/>
    <cellStyle name="Comma 11 2 2 2 2 3 6" xfId="31079"/>
    <cellStyle name="Comma 11 2 2 2 2 4" xfId="31080"/>
    <cellStyle name="Comma 11 2 2 2 2 4 2" xfId="31081"/>
    <cellStyle name="Comma 11 2 2 2 2 4 2 2" xfId="31082"/>
    <cellStyle name="Comma 11 2 2 2 2 4 2 3" xfId="31083"/>
    <cellStyle name="Comma 11 2 2 2 2 4 3" xfId="31084"/>
    <cellStyle name="Comma 11 2 2 2 2 4 3 2" xfId="31085"/>
    <cellStyle name="Comma 11 2 2 2 2 4 3 3" xfId="31086"/>
    <cellStyle name="Comma 11 2 2 2 2 4 4" xfId="31087"/>
    <cellStyle name="Comma 11 2 2 2 2 4 4 2" xfId="31088"/>
    <cellStyle name="Comma 11 2 2 2 2 4 5" xfId="31089"/>
    <cellStyle name="Comma 11 2 2 2 2 4 6" xfId="31090"/>
    <cellStyle name="Comma 11 2 2 2 2 5" xfId="31091"/>
    <cellStyle name="Comma 11 2 2 2 2 5 2" xfId="31092"/>
    <cellStyle name="Comma 11 2 2 2 2 5 2 2" xfId="31093"/>
    <cellStyle name="Comma 11 2 2 2 2 5 2 3" xfId="31094"/>
    <cellStyle name="Comma 11 2 2 2 2 5 3" xfId="31095"/>
    <cellStyle name="Comma 11 2 2 2 2 5 3 2" xfId="31096"/>
    <cellStyle name="Comma 11 2 2 2 2 5 4" xfId="31097"/>
    <cellStyle name="Comma 11 2 2 2 2 5 5" xfId="31098"/>
    <cellStyle name="Comma 11 2 2 2 2 6" xfId="31099"/>
    <cellStyle name="Comma 11 2 2 2 2 6 2" xfId="31100"/>
    <cellStyle name="Comma 11 2 2 2 2 6 3" xfId="31101"/>
    <cellStyle name="Comma 11 2 2 2 2 7" xfId="31102"/>
    <cellStyle name="Comma 11 2 2 2 2 7 2" xfId="31103"/>
    <cellStyle name="Comma 11 2 2 2 2 7 3" xfId="31104"/>
    <cellStyle name="Comma 11 2 2 2 2 8" xfId="31105"/>
    <cellStyle name="Comma 11 2 2 2 2 8 2" xfId="31106"/>
    <cellStyle name="Comma 11 2 2 2 2 9" xfId="31107"/>
    <cellStyle name="Comma 11 2 2 2 3" xfId="31108"/>
    <cellStyle name="Comma 11 2 2 2 3 2" xfId="31109"/>
    <cellStyle name="Comma 11 2 2 2 3 2 2" xfId="31110"/>
    <cellStyle name="Comma 11 2 2 2 3 2 2 2" xfId="31111"/>
    <cellStyle name="Comma 11 2 2 2 3 2 2 3" xfId="31112"/>
    <cellStyle name="Comma 11 2 2 2 3 2 3" xfId="31113"/>
    <cellStyle name="Comma 11 2 2 2 3 2 3 2" xfId="31114"/>
    <cellStyle name="Comma 11 2 2 2 3 2 3 3" xfId="31115"/>
    <cellStyle name="Comma 11 2 2 2 3 2 4" xfId="31116"/>
    <cellStyle name="Comma 11 2 2 2 3 2 4 2" xfId="31117"/>
    <cellStyle name="Comma 11 2 2 2 3 2 5" xfId="31118"/>
    <cellStyle name="Comma 11 2 2 2 3 2 6" xfId="31119"/>
    <cellStyle name="Comma 11 2 2 2 3 3" xfId="31120"/>
    <cellStyle name="Comma 11 2 2 2 3 3 2" xfId="31121"/>
    <cellStyle name="Comma 11 2 2 2 3 3 2 2" xfId="31122"/>
    <cellStyle name="Comma 11 2 2 2 3 3 2 3" xfId="31123"/>
    <cellStyle name="Comma 11 2 2 2 3 3 3" xfId="31124"/>
    <cellStyle name="Comma 11 2 2 2 3 3 3 2" xfId="31125"/>
    <cellStyle name="Comma 11 2 2 2 3 3 3 3" xfId="31126"/>
    <cellStyle name="Comma 11 2 2 2 3 3 4" xfId="31127"/>
    <cellStyle name="Comma 11 2 2 2 3 3 4 2" xfId="31128"/>
    <cellStyle name="Comma 11 2 2 2 3 3 5" xfId="31129"/>
    <cellStyle name="Comma 11 2 2 2 3 3 6" xfId="31130"/>
    <cellStyle name="Comma 11 2 2 2 3 4" xfId="31131"/>
    <cellStyle name="Comma 11 2 2 2 3 4 2" xfId="31132"/>
    <cellStyle name="Comma 11 2 2 2 3 4 2 2" xfId="31133"/>
    <cellStyle name="Comma 11 2 2 2 3 4 2 3" xfId="31134"/>
    <cellStyle name="Comma 11 2 2 2 3 4 3" xfId="31135"/>
    <cellStyle name="Comma 11 2 2 2 3 4 3 2" xfId="31136"/>
    <cellStyle name="Comma 11 2 2 2 3 4 4" xfId="31137"/>
    <cellStyle name="Comma 11 2 2 2 3 4 5" xfId="31138"/>
    <cellStyle name="Comma 11 2 2 2 3 5" xfId="31139"/>
    <cellStyle name="Comma 11 2 2 2 3 5 2" xfId="31140"/>
    <cellStyle name="Comma 11 2 2 2 3 5 3" xfId="31141"/>
    <cellStyle name="Comma 11 2 2 2 3 6" xfId="31142"/>
    <cellStyle name="Comma 11 2 2 2 3 6 2" xfId="31143"/>
    <cellStyle name="Comma 11 2 2 2 3 6 3" xfId="31144"/>
    <cellStyle name="Comma 11 2 2 2 3 7" xfId="31145"/>
    <cellStyle name="Comma 11 2 2 2 3 7 2" xfId="31146"/>
    <cellStyle name="Comma 11 2 2 2 3 8" xfId="31147"/>
    <cellStyle name="Comma 11 2 2 2 3 9" xfId="31148"/>
    <cellStyle name="Comma 11 2 2 2 4" xfId="31149"/>
    <cellStyle name="Comma 11 2 2 2 4 2" xfId="31150"/>
    <cellStyle name="Comma 11 2 2 2 4 2 2" xfId="31151"/>
    <cellStyle name="Comma 11 2 2 2 4 2 2 2" xfId="31152"/>
    <cellStyle name="Comma 11 2 2 2 4 2 2 3" xfId="31153"/>
    <cellStyle name="Comma 11 2 2 2 4 2 3" xfId="31154"/>
    <cellStyle name="Comma 11 2 2 2 4 2 3 2" xfId="31155"/>
    <cellStyle name="Comma 11 2 2 2 4 2 3 3" xfId="31156"/>
    <cellStyle name="Comma 11 2 2 2 4 2 4" xfId="31157"/>
    <cellStyle name="Comma 11 2 2 2 4 2 4 2" xfId="31158"/>
    <cellStyle name="Comma 11 2 2 2 4 2 5" xfId="31159"/>
    <cellStyle name="Comma 11 2 2 2 4 2 6" xfId="31160"/>
    <cellStyle name="Comma 11 2 2 2 4 3" xfId="31161"/>
    <cellStyle name="Comma 11 2 2 2 4 3 2" xfId="31162"/>
    <cellStyle name="Comma 11 2 2 2 4 3 2 2" xfId="31163"/>
    <cellStyle name="Comma 11 2 2 2 4 3 2 3" xfId="31164"/>
    <cellStyle name="Comma 11 2 2 2 4 3 3" xfId="31165"/>
    <cellStyle name="Comma 11 2 2 2 4 3 3 2" xfId="31166"/>
    <cellStyle name="Comma 11 2 2 2 4 3 3 3" xfId="31167"/>
    <cellStyle name="Comma 11 2 2 2 4 3 4" xfId="31168"/>
    <cellStyle name="Comma 11 2 2 2 4 3 4 2" xfId="31169"/>
    <cellStyle name="Comma 11 2 2 2 4 3 5" xfId="31170"/>
    <cellStyle name="Comma 11 2 2 2 4 3 6" xfId="31171"/>
    <cellStyle name="Comma 11 2 2 2 4 4" xfId="31172"/>
    <cellStyle name="Comma 11 2 2 2 4 4 2" xfId="31173"/>
    <cellStyle name="Comma 11 2 2 2 4 4 2 2" xfId="31174"/>
    <cellStyle name="Comma 11 2 2 2 4 4 2 3" xfId="31175"/>
    <cellStyle name="Comma 11 2 2 2 4 4 3" xfId="31176"/>
    <cellStyle name="Comma 11 2 2 2 4 4 3 2" xfId="31177"/>
    <cellStyle name="Comma 11 2 2 2 4 4 4" xfId="31178"/>
    <cellStyle name="Comma 11 2 2 2 4 4 5" xfId="31179"/>
    <cellStyle name="Comma 11 2 2 2 4 5" xfId="31180"/>
    <cellStyle name="Comma 11 2 2 2 4 5 2" xfId="31181"/>
    <cellStyle name="Comma 11 2 2 2 4 5 3" xfId="31182"/>
    <cellStyle name="Comma 11 2 2 2 4 6" xfId="31183"/>
    <cellStyle name="Comma 11 2 2 2 4 6 2" xfId="31184"/>
    <cellStyle name="Comma 11 2 2 2 4 6 3" xfId="31185"/>
    <cellStyle name="Comma 11 2 2 2 4 7" xfId="31186"/>
    <cellStyle name="Comma 11 2 2 2 4 7 2" xfId="31187"/>
    <cellStyle name="Comma 11 2 2 2 4 8" xfId="31188"/>
    <cellStyle name="Comma 11 2 2 2 4 9" xfId="31189"/>
    <cellStyle name="Comma 11 2 2 2 5" xfId="31190"/>
    <cellStyle name="Comma 11 2 2 2 5 2" xfId="31191"/>
    <cellStyle name="Comma 11 2 2 2 5 2 2" xfId="31192"/>
    <cellStyle name="Comma 11 2 2 2 5 2 3" xfId="31193"/>
    <cellStyle name="Comma 11 2 2 2 5 3" xfId="31194"/>
    <cellStyle name="Comma 11 2 2 2 5 3 2" xfId="31195"/>
    <cellStyle name="Comma 11 2 2 2 5 3 3" xfId="31196"/>
    <cellStyle name="Comma 11 2 2 2 5 4" xfId="31197"/>
    <cellStyle name="Comma 11 2 2 2 5 4 2" xfId="31198"/>
    <cellStyle name="Comma 11 2 2 2 5 5" xfId="31199"/>
    <cellStyle name="Comma 11 2 2 2 5 6" xfId="31200"/>
    <cellStyle name="Comma 11 2 2 2 6" xfId="31201"/>
    <cellStyle name="Comma 11 2 2 2 6 2" xfId="31202"/>
    <cellStyle name="Comma 11 2 2 2 6 2 2" xfId="31203"/>
    <cellStyle name="Comma 11 2 2 2 6 2 3" xfId="31204"/>
    <cellStyle name="Comma 11 2 2 2 6 3" xfId="31205"/>
    <cellStyle name="Comma 11 2 2 2 6 3 2" xfId="31206"/>
    <cellStyle name="Comma 11 2 2 2 6 3 3" xfId="31207"/>
    <cellStyle name="Comma 11 2 2 2 6 4" xfId="31208"/>
    <cellStyle name="Comma 11 2 2 2 6 4 2" xfId="31209"/>
    <cellStyle name="Comma 11 2 2 2 6 5" xfId="31210"/>
    <cellStyle name="Comma 11 2 2 2 6 6" xfId="31211"/>
    <cellStyle name="Comma 11 2 2 2 7" xfId="31212"/>
    <cellStyle name="Comma 11 2 2 2 7 2" xfId="31213"/>
    <cellStyle name="Comma 11 2 2 2 7 2 2" xfId="31214"/>
    <cellStyle name="Comma 11 2 2 2 7 2 3" xfId="31215"/>
    <cellStyle name="Comma 11 2 2 2 7 3" xfId="31216"/>
    <cellStyle name="Comma 11 2 2 2 7 3 2" xfId="31217"/>
    <cellStyle name="Comma 11 2 2 2 7 4" xfId="31218"/>
    <cellStyle name="Comma 11 2 2 2 7 5" xfId="31219"/>
    <cellStyle name="Comma 11 2 2 2 8" xfId="31220"/>
    <cellStyle name="Comma 11 2 2 2 8 2" xfId="31221"/>
    <cellStyle name="Comma 11 2 2 2 8 3" xfId="31222"/>
    <cellStyle name="Comma 11 2 2 2 9" xfId="31223"/>
    <cellStyle name="Comma 11 2 2 2 9 2" xfId="31224"/>
    <cellStyle name="Comma 11 2 2 2 9 3" xfId="31225"/>
    <cellStyle name="Comma 11 2 2 3" xfId="8214"/>
    <cellStyle name="Comma 11 2 2 3 10" xfId="31226"/>
    <cellStyle name="Comma 11 2 2 3 11" xfId="31227"/>
    <cellStyle name="Comma 11 2 2 3 2" xfId="31228"/>
    <cellStyle name="Comma 11 2 2 3 2 2" xfId="31229"/>
    <cellStyle name="Comma 11 2 2 3 2 2 2" xfId="31230"/>
    <cellStyle name="Comma 11 2 2 3 2 2 2 2" xfId="31231"/>
    <cellStyle name="Comma 11 2 2 3 2 2 2 3" xfId="31232"/>
    <cellStyle name="Comma 11 2 2 3 2 2 3" xfId="31233"/>
    <cellStyle name="Comma 11 2 2 3 2 2 3 2" xfId="31234"/>
    <cellStyle name="Comma 11 2 2 3 2 2 3 3" xfId="31235"/>
    <cellStyle name="Comma 11 2 2 3 2 2 4" xfId="31236"/>
    <cellStyle name="Comma 11 2 2 3 2 2 4 2" xfId="31237"/>
    <cellStyle name="Comma 11 2 2 3 2 2 5" xfId="31238"/>
    <cellStyle name="Comma 11 2 2 3 2 2 6" xfId="31239"/>
    <cellStyle name="Comma 11 2 2 3 2 3" xfId="31240"/>
    <cellStyle name="Comma 11 2 2 3 2 3 2" xfId="31241"/>
    <cellStyle name="Comma 11 2 2 3 2 3 2 2" xfId="31242"/>
    <cellStyle name="Comma 11 2 2 3 2 3 2 3" xfId="31243"/>
    <cellStyle name="Comma 11 2 2 3 2 3 3" xfId="31244"/>
    <cellStyle name="Comma 11 2 2 3 2 3 3 2" xfId="31245"/>
    <cellStyle name="Comma 11 2 2 3 2 3 3 3" xfId="31246"/>
    <cellStyle name="Comma 11 2 2 3 2 3 4" xfId="31247"/>
    <cellStyle name="Comma 11 2 2 3 2 3 4 2" xfId="31248"/>
    <cellStyle name="Comma 11 2 2 3 2 3 5" xfId="31249"/>
    <cellStyle name="Comma 11 2 2 3 2 3 6" xfId="31250"/>
    <cellStyle name="Comma 11 2 2 3 2 4" xfId="31251"/>
    <cellStyle name="Comma 11 2 2 3 2 4 2" xfId="31252"/>
    <cellStyle name="Comma 11 2 2 3 2 4 2 2" xfId="31253"/>
    <cellStyle name="Comma 11 2 2 3 2 4 2 3" xfId="31254"/>
    <cellStyle name="Comma 11 2 2 3 2 4 3" xfId="31255"/>
    <cellStyle name="Comma 11 2 2 3 2 4 3 2" xfId="31256"/>
    <cellStyle name="Comma 11 2 2 3 2 4 4" xfId="31257"/>
    <cellStyle name="Comma 11 2 2 3 2 4 5" xfId="31258"/>
    <cellStyle name="Comma 11 2 2 3 2 5" xfId="31259"/>
    <cellStyle name="Comma 11 2 2 3 2 5 2" xfId="31260"/>
    <cellStyle name="Comma 11 2 2 3 2 5 3" xfId="31261"/>
    <cellStyle name="Comma 11 2 2 3 2 6" xfId="31262"/>
    <cellStyle name="Comma 11 2 2 3 2 6 2" xfId="31263"/>
    <cellStyle name="Comma 11 2 2 3 2 6 3" xfId="31264"/>
    <cellStyle name="Comma 11 2 2 3 2 7" xfId="31265"/>
    <cellStyle name="Comma 11 2 2 3 2 7 2" xfId="31266"/>
    <cellStyle name="Comma 11 2 2 3 2 8" xfId="31267"/>
    <cellStyle name="Comma 11 2 2 3 2 9" xfId="31268"/>
    <cellStyle name="Comma 11 2 2 3 3" xfId="31269"/>
    <cellStyle name="Comma 11 2 2 3 3 2" xfId="31270"/>
    <cellStyle name="Comma 11 2 2 3 3 2 2" xfId="31271"/>
    <cellStyle name="Comma 11 2 2 3 3 2 3" xfId="31272"/>
    <cellStyle name="Comma 11 2 2 3 3 3" xfId="31273"/>
    <cellStyle name="Comma 11 2 2 3 3 3 2" xfId="31274"/>
    <cellStyle name="Comma 11 2 2 3 3 3 3" xfId="31275"/>
    <cellStyle name="Comma 11 2 2 3 3 4" xfId="31276"/>
    <cellStyle name="Comma 11 2 2 3 3 4 2" xfId="31277"/>
    <cellStyle name="Comma 11 2 2 3 3 5" xfId="31278"/>
    <cellStyle name="Comma 11 2 2 3 3 6" xfId="31279"/>
    <cellStyle name="Comma 11 2 2 3 4" xfId="31280"/>
    <cellStyle name="Comma 11 2 2 3 4 2" xfId="31281"/>
    <cellStyle name="Comma 11 2 2 3 4 2 2" xfId="31282"/>
    <cellStyle name="Comma 11 2 2 3 4 2 3" xfId="31283"/>
    <cellStyle name="Comma 11 2 2 3 4 3" xfId="31284"/>
    <cellStyle name="Comma 11 2 2 3 4 3 2" xfId="31285"/>
    <cellStyle name="Comma 11 2 2 3 4 3 3" xfId="31286"/>
    <cellStyle name="Comma 11 2 2 3 4 4" xfId="31287"/>
    <cellStyle name="Comma 11 2 2 3 4 4 2" xfId="31288"/>
    <cellStyle name="Comma 11 2 2 3 4 5" xfId="31289"/>
    <cellStyle name="Comma 11 2 2 3 4 6" xfId="31290"/>
    <cellStyle name="Comma 11 2 2 3 5" xfId="31291"/>
    <cellStyle name="Comma 11 2 2 3 5 2" xfId="31292"/>
    <cellStyle name="Comma 11 2 2 3 5 2 2" xfId="31293"/>
    <cellStyle name="Comma 11 2 2 3 5 2 3" xfId="31294"/>
    <cellStyle name="Comma 11 2 2 3 5 3" xfId="31295"/>
    <cellStyle name="Comma 11 2 2 3 5 3 2" xfId="31296"/>
    <cellStyle name="Comma 11 2 2 3 5 4" xfId="31297"/>
    <cellStyle name="Comma 11 2 2 3 5 5" xfId="31298"/>
    <cellStyle name="Comma 11 2 2 3 6" xfId="31299"/>
    <cellStyle name="Comma 11 2 2 3 6 2" xfId="31300"/>
    <cellStyle name="Comma 11 2 2 3 6 3" xfId="31301"/>
    <cellStyle name="Comma 11 2 2 3 7" xfId="31302"/>
    <cellStyle name="Comma 11 2 2 3 7 2" xfId="31303"/>
    <cellStyle name="Comma 11 2 2 3 7 3" xfId="31304"/>
    <cellStyle name="Comma 11 2 2 3 8" xfId="31305"/>
    <cellStyle name="Comma 11 2 2 3 8 2" xfId="31306"/>
    <cellStyle name="Comma 11 2 2 3 9" xfId="31307"/>
    <cellStyle name="Comma 11 2 2 4" xfId="31308"/>
    <cellStyle name="Comma 11 2 2 4 2" xfId="31309"/>
    <cellStyle name="Comma 11 2 2 4 2 2" xfId="31310"/>
    <cellStyle name="Comma 11 2 2 4 2 2 2" xfId="31311"/>
    <cellStyle name="Comma 11 2 2 4 2 2 3" xfId="31312"/>
    <cellStyle name="Comma 11 2 2 4 2 3" xfId="31313"/>
    <cellStyle name="Comma 11 2 2 4 2 3 2" xfId="31314"/>
    <cellStyle name="Comma 11 2 2 4 2 3 3" xfId="31315"/>
    <cellStyle name="Comma 11 2 2 4 2 4" xfId="31316"/>
    <cellStyle name="Comma 11 2 2 4 2 4 2" xfId="31317"/>
    <cellStyle name="Comma 11 2 2 4 2 5" xfId="31318"/>
    <cellStyle name="Comma 11 2 2 4 2 6" xfId="31319"/>
    <cellStyle name="Comma 11 2 2 4 3" xfId="31320"/>
    <cellStyle name="Comma 11 2 2 4 3 2" xfId="31321"/>
    <cellStyle name="Comma 11 2 2 4 3 2 2" xfId="31322"/>
    <cellStyle name="Comma 11 2 2 4 3 2 3" xfId="31323"/>
    <cellStyle name="Comma 11 2 2 4 3 3" xfId="31324"/>
    <cellStyle name="Comma 11 2 2 4 3 3 2" xfId="31325"/>
    <cellStyle name="Comma 11 2 2 4 3 3 3" xfId="31326"/>
    <cellStyle name="Comma 11 2 2 4 3 4" xfId="31327"/>
    <cellStyle name="Comma 11 2 2 4 3 4 2" xfId="31328"/>
    <cellStyle name="Comma 11 2 2 4 3 5" xfId="31329"/>
    <cellStyle name="Comma 11 2 2 4 3 6" xfId="31330"/>
    <cellStyle name="Comma 11 2 2 4 4" xfId="31331"/>
    <cellStyle name="Comma 11 2 2 4 4 2" xfId="31332"/>
    <cellStyle name="Comma 11 2 2 4 4 2 2" xfId="31333"/>
    <cellStyle name="Comma 11 2 2 4 4 2 3" xfId="31334"/>
    <cellStyle name="Comma 11 2 2 4 4 3" xfId="31335"/>
    <cellStyle name="Comma 11 2 2 4 4 3 2" xfId="31336"/>
    <cellStyle name="Comma 11 2 2 4 4 4" xfId="31337"/>
    <cellStyle name="Comma 11 2 2 4 4 5" xfId="31338"/>
    <cellStyle name="Comma 11 2 2 4 5" xfId="31339"/>
    <cellStyle name="Comma 11 2 2 4 5 2" xfId="31340"/>
    <cellStyle name="Comma 11 2 2 4 5 3" xfId="31341"/>
    <cellStyle name="Comma 11 2 2 4 6" xfId="31342"/>
    <cellStyle name="Comma 11 2 2 4 6 2" xfId="31343"/>
    <cellStyle name="Comma 11 2 2 4 6 3" xfId="31344"/>
    <cellStyle name="Comma 11 2 2 4 7" xfId="31345"/>
    <cellStyle name="Comma 11 2 2 4 7 2" xfId="31346"/>
    <cellStyle name="Comma 11 2 2 4 8" xfId="31347"/>
    <cellStyle name="Comma 11 2 2 4 9" xfId="31348"/>
    <cellStyle name="Comma 11 2 2 5" xfId="31349"/>
    <cellStyle name="Comma 11 2 2 5 2" xfId="31350"/>
    <cellStyle name="Comma 11 2 2 5 2 2" xfId="31351"/>
    <cellStyle name="Comma 11 2 2 5 2 2 2" xfId="31352"/>
    <cellStyle name="Comma 11 2 2 5 2 2 3" xfId="31353"/>
    <cellStyle name="Comma 11 2 2 5 2 3" xfId="31354"/>
    <cellStyle name="Comma 11 2 2 5 2 3 2" xfId="31355"/>
    <cellStyle name="Comma 11 2 2 5 2 3 3" xfId="31356"/>
    <cellStyle name="Comma 11 2 2 5 2 4" xfId="31357"/>
    <cellStyle name="Comma 11 2 2 5 2 4 2" xfId="31358"/>
    <cellStyle name="Comma 11 2 2 5 2 5" xfId="31359"/>
    <cellStyle name="Comma 11 2 2 5 2 6" xfId="31360"/>
    <cellStyle name="Comma 11 2 2 5 3" xfId="31361"/>
    <cellStyle name="Comma 11 2 2 5 3 2" xfId="31362"/>
    <cellStyle name="Comma 11 2 2 5 3 2 2" xfId="31363"/>
    <cellStyle name="Comma 11 2 2 5 3 2 3" xfId="31364"/>
    <cellStyle name="Comma 11 2 2 5 3 3" xfId="31365"/>
    <cellStyle name="Comma 11 2 2 5 3 3 2" xfId="31366"/>
    <cellStyle name="Comma 11 2 2 5 3 3 3" xfId="31367"/>
    <cellStyle name="Comma 11 2 2 5 3 4" xfId="31368"/>
    <cellStyle name="Comma 11 2 2 5 3 4 2" xfId="31369"/>
    <cellStyle name="Comma 11 2 2 5 3 5" xfId="31370"/>
    <cellStyle name="Comma 11 2 2 5 3 6" xfId="31371"/>
    <cellStyle name="Comma 11 2 2 5 4" xfId="31372"/>
    <cellStyle name="Comma 11 2 2 5 4 2" xfId="31373"/>
    <cellStyle name="Comma 11 2 2 5 4 2 2" xfId="31374"/>
    <cellStyle name="Comma 11 2 2 5 4 2 3" xfId="31375"/>
    <cellStyle name="Comma 11 2 2 5 4 3" xfId="31376"/>
    <cellStyle name="Comma 11 2 2 5 4 3 2" xfId="31377"/>
    <cellStyle name="Comma 11 2 2 5 4 4" xfId="31378"/>
    <cellStyle name="Comma 11 2 2 5 4 5" xfId="31379"/>
    <cellStyle name="Comma 11 2 2 5 5" xfId="31380"/>
    <cellStyle name="Comma 11 2 2 5 5 2" xfId="31381"/>
    <cellStyle name="Comma 11 2 2 5 5 3" xfId="31382"/>
    <cellStyle name="Comma 11 2 2 5 6" xfId="31383"/>
    <cellStyle name="Comma 11 2 2 5 6 2" xfId="31384"/>
    <cellStyle name="Comma 11 2 2 5 6 3" xfId="31385"/>
    <cellStyle name="Comma 11 2 2 5 7" xfId="31386"/>
    <cellStyle name="Comma 11 2 2 5 7 2" xfId="31387"/>
    <cellStyle name="Comma 11 2 2 5 8" xfId="31388"/>
    <cellStyle name="Comma 11 2 2 5 9" xfId="31389"/>
    <cellStyle name="Comma 11 2 2 6" xfId="31390"/>
    <cellStyle name="Comma 11 2 2 6 2" xfId="31391"/>
    <cellStyle name="Comma 11 2 2 6 2 2" xfId="31392"/>
    <cellStyle name="Comma 11 2 2 6 2 3" xfId="31393"/>
    <cellStyle name="Comma 11 2 2 6 3" xfId="31394"/>
    <cellStyle name="Comma 11 2 2 6 3 2" xfId="31395"/>
    <cellStyle name="Comma 11 2 2 6 3 3" xfId="31396"/>
    <cellStyle name="Comma 11 2 2 6 4" xfId="31397"/>
    <cellStyle name="Comma 11 2 2 6 4 2" xfId="31398"/>
    <cellStyle name="Comma 11 2 2 6 5" xfId="31399"/>
    <cellStyle name="Comma 11 2 2 6 6" xfId="31400"/>
    <cellStyle name="Comma 11 2 2 7" xfId="31401"/>
    <cellStyle name="Comma 11 2 2 7 2" xfId="31402"/>
    <cellStyle name="Comma 11 2 2 7 2 2" xfId="31403"/>
    <cellStyle name="Comma 11 2 2 7 2 3" xfId="31404"/>
    <cellStyle name="Comma 11 2 2 7 3" xfId="31405"/>
    <cellStyle name="Comma 11 2 2 7 3 2" xfId="31406"/>
    <cellStyle name="Comma 11 2 2 7 3 3" xfId="31407"/>
    <cellStyle name="Comma 11 2 2 7 4" xfId="31408"/>
    <cellStyle name="Comma 11 2 2 7 4 2" xfId="31409"/>
    <cellStyle name="Comma 11 2 2 7 5" xfId="31410"/>
    <cellStyle name="Comma 11 2 2 7 6" xfId="31411"/>
    <cellStyle name="Comma 11 2 2 8" xfId="31412"/>
    <cellStyle name="Comma 11 2 2 8 2" xfId="31413"/>
    <cellStyle name="Comma 11 2 2 8 2 2" xfId="31414"/>
    <cellStyle name="Comma 11 2 2 8 2 3" xfId="31415"/>
    <cellStyle name="Comma 11 2 2 8 3" xfId="31416"/>
    <cellStyle name="Comma 11 2 2 8 3 2" xfId="31417"/>
    <cellStyle name="Comma 11 2 2 8 4" xfId="31418"/>
    <cellStyle name="Comma 11 2 2 8 5" xfId="31419"/>
    <cellStyle name="Comma 11 2 2 9" xfId="31420"/>
    <cellStyle name="Comma 11 2 2 9 2" xfId="31421"/>
    <cellStyle name="Comma 11 2 2 9 3" xfId="31422"/>
    <cellStyle name="Comma 11 2 3" xfId="8215"/>
    <cellStyle name="Comma 11 2 3 10" xfId="31423"/>
    <cellStyle name="Comma 11 2 3 10 2" xfId="31424"/>
    <cellStyle name="Comma 11 2 3 11" xfId="31425"/>
    <cellStyle name="Comma 11 2 3 12" xfId="31426"/>
    <cellStyle name="Comma 11 2 3 13" xfId="31427"/>
    <cellStyle name="Comma 11 2 3 2" xfId="8216"/>
    <cellStyle name="Comma 11 2 3 2 10" xfId="31428"/>
    <cellStyle name="Comma 11 2 3 2 2" xfId="31429"/>
    <cellStyle name="Comma 11 2 3 2 2 2" xfId="31430"/>
    <cellStyle name="Comma 11 2 3 2 2 2 2" xfId="31431"/>
    <cellStyle name="Comma 11 2 3 2 2 2 2 2" xfId="31432"/>
    <cellStyle name="Comma 11 2 3 2 2 2 2 3" xfId="31433"/>
    <cellStyle name="Comma 11 2 3 2 2 2 3" xfId="31434"/>
    <cellStyle name="Comma 11 2 3 2 2 2 3 2" xfId="31435"/>
    <cellStyle name="Comma 11 2 3 2 2 2 3 3" xfId="31436"/>
    <cellStyle name="Comma 11 2 3 2 2 2 4" xfId="31437"/>
    <cellStyle name="Comma 11 2 3 2 2 2 4 2" xfId="31438"/>
    <cellStyle name="Comma 11 2 3 2 2 2 5" xfId="31439"/>
    <cellStyle name="Comma 11 2 3 2 2 2 6" xfId="31440"/>
    <cellStyle name="Comma 11 2 3 2 2 3" xfId="31441"/>
    <cellStyle name="Comma 11 2 3 2 2 3 2" xfId="31442"/>
    <cellStyle name="Comma 11 2 3 2 2 3 2 2" xfId="31443"/>
    <cellStyle name="Comma 11 2 3 2 2 3 2 3" xfId="31444"/>
    <cellStyle name="Comma 11 2 3 2 2 3 3" xfId="31445"/>
    <cellStyle name="Comma 11 2 3 2 2 3 3 2" xfId="31446"/>
    <cellStyle name="Comma 11 2 3 2 2 3 3 3" xfId="31447"/>
    <cellStyle name="Comma 11 2 3 2 2 3 4" xfId="31448"/>
    <cellStyle name="Comma 11 2 3 2 2 3 4 2" xfId="31449"/>
    <cellStyle name="Comma 11 2 3 2 2 3 5" xfId="31450"/>
    <cellStyle name="Comma 11 2 3 2 2 3 6" xfId="31451"/>
    <cellStyle name="Comma 11 2 3 2 2 4" xfId="31452"/>
    <cellStyle name="Comma 11 2 3 2 2 4 2" xfId="31453"/>
    <cellStyle name="Comma 11 2 3 2 2 4 2 2" xfId="31454"/>
    <cellStyle name="Comma 11 2 3 2 2 4 2 3" xfId="31455"/>
    <cellStyle name="Comma 11 2 3 2 2 4 3" xfId="31456"/>
    <cellStyle name="Comma 11 2 3 2 2 4 3 2" xfId="31457"/>
    <cellStyle name="Comma 11 2 3 2 2 4 4" xfId="31458"/>
    <cellStyle name="Comma 11 2 3 2 2 4 5" xfId="31459"/>
    <cellStyle name="Comma 11 2 3 2 2 5" xfId="31460"/>
    <cellStyle name="Comma 11 2 3 2 2 5 2" xfId="31461"/>
    <cellStyle name="Comma 11 2 3 2 2 5 3" xfId="31462"/>
    <cellStyle name="Comma 11 2 3 2 2 6" xfId="31463"/>
    <cellStyle name="Comma 11 2 3 2 2 6 2" xfId="31464"/>
    <cellStyle name="Comma 11 2 3 2 2 6 3" xfId="31465"/>
    <cellStyle name="Comma 11 2 3 2 2 7" xfId="31466"/>
    <cellStyle name="Comma 11 2 3 2 2 7 2" xfId="31467"/>
    <cellStyle name="Comma 11 2 3 2 2 8" xfId="31468"/>
    <cellStyle name="Comma 11 2 3 2 2 9" xfId="31469"/>
    <cellStyle name="Comma 11 2 3 2 3" xfId="31470"/>
    <cellStyle name="Comma 11 2 3 2 3 2" xfId="31471"/>
    <cellStyle name="Comma 11 2 3 2 3 2 2" xfId="31472"/>
    <cellStyle name="Comma 11 2 3 2 3 2 3" xfId="31473"/>
    <cellStyle name="Comma 11 2 3 2 3 3" xfId="31474"/>
    <cellStyle name="Comma 11 2 3 2 3 3 2" xfId="31475"/>
    <cellStyle name="Comma 11 2 3 2 3 3 3" xfId="31476"/>
    <cellStyle name="Comma 11 2 3 2 3 4" xfId="31477"/>
    <cellStyle name="Comma 11 2 3 2 3 4 2" xfId="31478"/>
    <cellStyle name="Comma 11 2 3 2 3 5" xfId="31479"/>
    <cellStyle name="Comma 11 2 3 2 3 6" xfId="31480"/>
    <cellStyle name="Comma 11 2 3 2 4" xfId="31481"/>
    <cellStyle name="Comma 11 2 3 2 4 2" xfId="31482"/>
    <cellStyle name="Comma 11 2 3 2 4 2 2" xfId="31483"/>
    <cellStyle name="Comma 11 2 3 2 4 2 3" xfId="31484"/>
    <cellStyle name="Comma 11 2 3 2 4 3" xfId="31485"/>
    <cellStyle name="Comma 11 2 3 2 4 3 2" xfId="31486"/>
    <cellStyle name="Comma 11 2 3 2 4 3 3" xfId="31487"/>
    <cellStyle name="Comma 11 2 3 2 4 4" xfId="31488"/>
    <cellStyle name="Comma 11 2 3 2 4 4 2" xfId="31489"/>
    <cellStyle name="Comma 11 2 3 2 4 5" xfId="31490"/>
    <cellStyle name="Comma 11 2 3 2 4 6" xfId="31491"/>
    <cellStyle name="Comma 11 2 3 2 5" xfId="31492"/>
    <cellStyle name="Comma 11 2 3 2 5 2" xfId="31493"/>
    <cellStyle name="Comma 11 2 3 2 5 2 2" xfId="31494"/>
    <cellStyle name="Comma 11 2 3 2 5 2 3" xfId="31495"/>
    <cellStyle name="Comma 11 2 3 2 5 3" xfId="31496"/>
    <cellStyle name="Comma 11 2 3 2 5 3 2" xfId="31497"/>
    <cellStyle name="Comma 11 2 3 2 5 4" xfId="31498"/>
    <cellStyle name="Comma 11 2 3 2 5 5" xfId="31499"/>
    <cellStyle name="Comma 11 2 3 2 6" xfId="31500"/>
    <cellStyle name="Comma 11 2 3 2 6 2" xfId="31501"/>
    <cellStyle name="Comma 11 2 3 2 6 3" xfId="31502"/>
    <cellStyle name="Comma 11 2 3 2 7" xfId="31503"/>
    <cellStyle name="Comma 11 2 3 2 7 2" xfId="31504"/>
    <cellStyle name="Comma 11 2 3 2 7 3" xfId="31505"/>
    <cellStyle name="Comma 11 2 3 2 8" xfId="31506"/>
    <cellStyle name="Comma 11 2 3 2 8 2" xfId="31507"/>
    <cellStyle name="Comma 11 2 3 2 9" xfId="31508"/>
    <cellStyle name="Comma 11 2 3 3" xfId="31509"/>
    <cellStyle name="Comma 11 2 3 3 2" xfId="31510"/>
    <cellStyle name="Comma 11 2 3 3 2 2" xfId="31511"/>
    <cellStyle name="Comma 11 2 3 3 2 2 2" xfId="31512"/>
    <cellStyle name="Comma 11 2 3 3 2 2 3" xfId="31513"/>
    <cellStyle name="Comma 11 2 3 3 2 3" xfId="31514"/>
    <cellStyle name="Comma 11 2 3 3 2 3 2" xfId="31515"/>
    <cellStyle name="Comma 11 2 3 3 2 3 3" xfId="31516"/>
    <cellStyle name="Comma 11 2 3 3 2 4" xfId="31517"/>
    <cellStyle name="Comma 11 2 3 3 2 4 2" xfId="31518"/>
    <cellStyle name="Comma 11 2 3 3 2 5" xfId="31519"/>
    <cellStyle name="Comma 11 2 3 3 2 6" xfId="31520"/>
    <cellStyle name="Comma 11 2 3 3 3" xfId="31521"/>
    <cellStyle name="Comma 11 2 3 3 3 2" xfId="31522"/>
    <cellStyle name="Comma 11 2 3 3 3 2 2" xfId="31523"/>
    <cellStyle name="Comma 11 2 3 3 3 2 3" xfId="31524"/>
    <cellStyle name="Comma 11 2 3 3 3 3" xfId="31525"/>
    <cellStyle name="Comma 11 2 3 3 3 3 2" xfId="31526"/>
    <cellStyle name="Comma 11 2 3 3 3 3 3" xfId="31527"/>
    <cellStyle name="Comma 11 2 3 3 3 4" xfId="31528"/>
    <cellStyle name="Comma 11 2 3 3 3 4 2" xfId="31529"/>
    <cellStyle name="Comma 11 2 3 3 3 5" xfId="31530"/>
    <cellStyle name="Comma 11 2 3 3 3 6" xfId="31531"/>
    <cellStyle name="Comma 11 2 3 3 4" xfId="31532"/>
    <cellStyle name="Comma 11 2 3 3 4 2" xfId="31533"/>
    <cellStyle name="Comma 11 2 3 3 4 2 2" xfId="31534"/>
    <cellStyle name="Comma 11 2 3 3 4 2 3" xfId="31535"/>
    <cellStyle name="Comma 11 2 3 3 4 3" xfId="31536"/>
    <cellStyle name="Comma 11 2 3 3 4 3 2" xfId="31537"/>
    <cellStyle name="Comma 11 2 3 3 4 4" xfId="31538"/>
    <cellStyle name="Comma 11 2 3 3 4 5" xfId="31539"/>
    <cellStyle name="Comma 11 2 3 3 5" xfId="31540"/>
    <cellStyle name="Comma 11 2 3 3 5 2" xfId="31541"/>
    <cellStyle name="Comma 11 2 3 3 5 3" xfId="31542"/>
    <cellStyle name="Comma 11 2 3 3 6" xfId="31543"/>
    <cellStyle name="Comma 11 2 3 3 6 2" xfId="31544"/>
    <cellStyle name="Comma 11 2 3 3 6 3" xfId="31545"/>
    <cellStyle name="Comma 11 2 3 3 7" xfId="31546"/>
    <cellStyle name="Comma 11 2 3 3 7 2" xfId="31547"/>
    <cellStyle name="Comma 11 2 3 3 8" xfId="31548"/>
    <cellStyle name="Comma 11 2 3 3 9" xfId="31549"/>
    <cellStyle name="Comma 11 2 3 4" xfId="31550"/>
    <cellStyle name="Comma 11 2 3 4 2" xfId="31551"/>
    <cellStyle name="Comma 11 2 3 4 2 2" xfId="31552"/>
    <cellStyle name="Comma 11 2 3 4 2 2 2" xfId="31553"/>
    <cellStyle name="Comma 11 2 3 4 2 2 3" xfId="31554"/>
    <cellStyle name="Comma 11 2 3 4 2 3" xfId="31555"/>
    <cellStyle name="Comma 11 2 3 4 2 3 2" xfId="31556"/>
    <cellStyle name="Comma 11 2 3 4 2 3 3" xfId="31557"/>
    <cellStyle name="Comma 11 2 3 4 2 4" xfId="31558"/>
    <cellStyle name="Comma 11 2 3 4 2 4 2" xfId="31559"/>
    <cellStyle name="Comma 11 2 3 4 2 5" xfId="31560"/>
    <cellStyle name="Comma 11 2 3 4 2 6" xfId="31561"/>
    <cellStyle name="Comma 11 2 3 4 3" xfId="31562"/>
    <cellStyle name="Comma 11 2 3 4 3 2" xfId="31563"/>
    <cellStyle name="Comma 11 2 3 4 3 2 2" xfId="31564"/>
    <cellStyle name="Comma 11 2 3 4 3 2 3" xfId="31565"/>
    <cellStyle name="Comma 11 2 3 4 3 3" xfId="31566"/>
    <cellStyle name="Comma 11 2 3 4 3 3 2" xfId="31567"/>
    <cellStyle name="Comma 11 2 3 4 3 3 3" xfId="31568"/>
    <cellStyle name="Comma 11 2 3 4 3 4" xfId="31569"/>
    <cellStyle name="Comma 11 2 3 4 3 4 2" xfId="31570"/>
    <cellStyle name="Comma 11 2 3 4 3 5" xfId="31571"/>
    <cellStyle name="Comma 11 2 3 4 3 6" xfId="31572"/>
    <cellStyle name="Comma 11 2 3 4 4" xfId="31573"/>
    <cellStyle name="Comma 11 2 3 4 4 2" xfId="31574"/>
    <cellStyle name="Comma 11 2 3 4 4 2 2" xfId="31575"/>
    <cellStyle name="Comma 11 2 3 4 4 2 3" xfId="31576"/>
    <cellStyle name="Comma 11 2 3 4 4 3" xfId="31577"/>
    <cellStyle name="Comma 11 2 3 4 4 3 2" xfId="31578"/>
    <cellStyle name="Comma 11 2 3 4 4 4" xfId="31579"/>
    <cellStyle name="Comma 11 2 3 4 4 5" xfId="31580"/>
    <cellStyle name="Comma 11 2 3 4 5" xfId="31581"/>
    <cellStyle name="Comma 11 2 3 4 5 2" xfId="31582"/>
    <cellStyle name="Comma 11 2 3 4 5 3" xfId="31583"/>
    <cellStyle name="Comma 11 2 3 4 6" xfId="31584"/>
    <cellStyle name="Comma 11 2 3 4 6 2" xfId="31585"/>
    <cellStyle name="Comma 11 2 3 4 6 3" xfId="31586"/>
    <cellStyle name="Comma 11 2 3 4 7" xfId="31587"/>
    <cellStyle name="Comma 11 2 3 4 7 2" xfId="31588"/>
    <cellStyle name="Comma 11 2 3 4 8" xfId="31589"/>
    <cellStyle name="Comma 11 2 3 4 9" xfId="31590"/>
    <cellStyle name="Comma 11 2 3 5" xfId="31591"/>
    <cellStyle name="Comma 11 2 3 5 2" xfId="31592"/>
    <cellStyle name="Comma 11 2 3 5 2 2" xfId="31593"/>
    <cellStyle name="Comma 11 2 3 5 2 3" xfId="31594"/>
    <cellStyle name="Comma 11 2 3 5 3" xfId="31595"/>
    <cellStyle name="Comma 11 2 3 5 3 2" xfId="31596"/>
    <cellStyle name="Comma 11 2 3 5 3 3" xfId="31597"/>
    <cellStyle name="Comma 11 2 3 5 4" xfId="31598"/>
    <cellStyle name="Comma 11 2 3 5 4 2" xfId="31599"/>
    <cellStyle name="Comma 11 2 3 5 5" xfId="31600"/>
    <cellStyle name="Comma 11 2 3 5 6" xfId="31601"/>
    <cellStyle name="Comma 11 2 3 6" xfId="31602"/>
    <cellStyle name="Comma 11 2 3 6 2" xfId="31603"/>
    <cellStyle name="Comma 11 2 3 6 2 2" xfId="31604"/>
    <cellStyle name="Comma 11 2 3 6 2 3" xfId="31605"/>
    <cellStyle name="Comma 11 2 3 6 3" xfId="31606"/>
    <cellStyle name="Comma 11 2 3 6 3 2" xfId="31607"/>
    <cellStyle name="Comma 11 2 3 6 3 3" xfId="31608"/>
    <cellStyle name="Comma 11 2 3 6 4" xfId="31609"/>
    <cellStyle name="Comma 11 2 3 6 4 2" xfId="31610"/>
    <cellStyle name="Comma 11 2 3 6 5" xfId="31611"/>
    <cellStyle name="Comma 11 2 3 6 6" xfId="31612"/>
    <cellStyle name="Comma 11 2 3 7" xfId="31613"/>
    <cellStyle name="Comma 11 2 3 7 2" xfId="31614"/>
    <cellStyle name="Comma 11 2 3 7 2 2" xfId="31615"/>
    <cellStyle name="Comma 11 2 3 7 2 3" xfId="31616"/>
    <cellStyle name="Comma 11 2 3 7 3" xfId="31617"/>
    <cellStyle name="Comma 11 2 3 7 3 2" xfId="31618"/>
    <cellStyle name="Comma 11 2 3 7 4" xfId="31619"/>
    <cellStyle name="Comma 11 2 3 7 5" xfId="31620"/>
    <cellStyle name="Comma 11 2 3 8" xfId="31621"/>
    <cellStyle name="Comma 11 2 3 8 2" xfId="31622"/>
    <cellStyle name="Comma 11 2 3 8 3" xfId="31623"/>
    <cellStyle name="Comma 11 2 3 9" xfId="31624"/>
    <cellStyle name="Comma 11 2 3 9 2" xfId="31625"/>
    <cellStyle name="Comma 11 2 3 9 3" xfId="31626"/>
    <cellStyle name="Comma 11 2 4" xfId="8217"/>
    <cellStyle name="Comma 11 2 4 10" xfId="31627"/>
    <cellStyle name="Comma 11 2 4 11" xfId="31628"/>
    <cellStyle name="Comma 11 2 4 2" xfId="31629"/>
    <cellStyle name="Comma 11 2 4 2 2" xfId="31630"/>
    <cellStyle name="Comma 11 2 4 2 2 2" xfId="31631"/>
    <cellStyle name="Comma 11 2 4 2 2 2 2" xfId="31632"/>
    <cellStyle name="Comma 11 2 4 2 2 2 3" xfId="31633"/>
    <cellStyle name="Comma 11 2 4 2 2 3" xfId="31634"/>
    <cellStyle name="Comma 11 2 4 2 2 3 2" xfId="31635"/>
    <cellStyle name="Comma 11 2 4 2 2 3 3" xfId="31636"/>
    <cellStyle name="Comma 11 2 4 2 2 4" xfId="31637"/>
    <cellStyle name="Comma 11 2 4 2 2 4 2" xfId="31638"/>
    <cellStyle name="Comma 11 2 4 2 2 5" xfId="31639"/>
    <cellStyle name="Comma 11 2 4 2 2 6" xfId="31640"/>
    <cellStyle name="Comma 11 2 4 2 3" xfId="31641"/>
    <cellStyle name="Comma 11 2 4 2 3 2" xfId="31642"/>
    <cellStyle name="Comma 11 2 4 2 3 2 2" xfId="31643"/>
    <cellStyle name="Comma 11 2 4 2 3 2 3" xfId="31644"/>
    <cellStyle name="Comma 11 2 4 2 3 3" xfId="31645"/>
    <cellStyle name="Comma 11 2 4 2 3 3 2" xfId="31646"/>
    <cellStyle name="Comma 11 2 4 2 3 3 3" xfId="31647"/>
    <cellStyle name="Comma 11 2 4 2 3 4" xfId="31648"/>
    <cellStyle name="Comma 11 2 4 2 3 4 2" xfId="31649"/>
    <cellStyle name="Comma 11 2 4 2 3 5" xfId="31650"/>
    <cellStyle name="Comma 11 2 4 2 3 6" xfId="31651"/>
    <cellStyle name="Comma 11 2 4 2 4" xfId="31652"/>
    <cellStyle name="Comma 11 2 4 2 4 2" xfId="31653"/>
    <cellStyle name="Comma 11 2 4 2 4 2 2" xfId="31654"/>
    <cellStyle name="Comma 11 2 4 2 4 2 3" xfId="31655"/>
    <cellStyle name="Comma 11 2 4 2 4 3" xfId="31656"/>
    <cellStyle name="Comma 11 2 4 2 4 3 2" xfId="31657"/>
    <cellStyle name="Comma 11 2 4 2 4 4" xfId="31658"/>
    <cellStyle name="Comma 11 2 4 2 4 5" xfId="31659"/>
    <cellStyle name="Comma 11 2 4 2 5" xfId="31660"/>
    <cellStyle name="Comma 11 2 4 2 5 2" xfId="31661"/>
    <cellStyle name="Comma 11 2 4 2 5 3" xfId="31662"/>
    <cellStyle name="Comma 11 2 4 2 6" xfId="31663"/>
    <cellStyle name="Comma 11 2 4 2 6 2" xfId="31664"/>
    <cellStyle name="Comma 11 2 4 2 6 3" xfId="31665"/>
    <cellStyle name="Comma 11 2 4 2 7" xfId="31666"/>
    <cellStyle name="Comma 11 2 4 2 7 2" xfId="31667"/>
    <cellStyle name="Comma 11 2 4 2 8" xfId="31668"/>
    <cellStyle name="Comma 11 2 4 2 9" xfId="31669"/>
    <cellStyle name="Comma 11 2 4 3" xfId="31670"/>
    <cellStyle name="Comma 11 2 4 3 2" xfId="31671"/>
    <cellStyle name="Comma 11 2 4 3 2 2" xfId="31672"/>
    <cellStyle name="Comma 11 2 4 3 2 3" xfId="31673"/>
    <cellStyle name="Comma 11 2 4 3 3" xfId="31674"/>
    <cellStyle name="Comma 11 2 4 3 3 2" xfId="31675"/>
    <cellStyle name="Comma 11 2 4 3 3 3" xfId="31676"/>
    <cellStyle name="Comma 11 2 4 3 4" xfId="31677"/>
    <cellStyle name="Comma 11 2 4 3 4 2" xfId="31678"/>
    <cellStyle name="Comma 11 2 4 3 5" xfId="31679"/>
    <cellStyle name="Comma 11 2 4 3 6" xfId="31680"/>
    <cellStyle name="Comma 11 2 4 4" xfId="31681"/>
    <cellStyle name="Comma 11 2 4 4 2" xfId="31682"/>
    <cellStyle name="Comma 11 2 4 4 2 2" xfId="31683"/>
    <cellStyle name="Comma 11 2 4 4 2 3" xfId="31684"/>
    <cellStyle name="Comma 11 2 4 4 3" xfId="31685"/>
    <cellStyle name="Comma 11 2 4 4 3 2" xfId="31686"/>
    <cellStyle name="Comma 11 2 4 4 3 3" xfId="31687"/>
    <cellStyle name="Comma 11 2 4 4 4" xfId="31688"/>
    <cellStyle name="Comma 11 2 4 4 4 2" xfId="31689"/>
    <cellStyle name="Comma 11 2 4 4 5" xfId="31690"/>
    <cellStyle name="Comma 11 2 4 4 6" xfId="31691"/>
    <cellStyle name="Comma 11 2 4 5" xfId="31692"/>
    <cellStyle name="Comma 11 2 4 5 2" xfId="31693"/>
    <cellStyle name="Comma 11 2 4 5 2 2" xfId="31694"/>
    <cellStyle name="Comma 11 2 4 5 2 3" xfId="31695"/>
    <cellStyle name="Comma 11 2 4 5 3" xfId="31696"/>
    <cellStyle name="Comma 11 2 4 5 3 2" xfId="31697"/>
    <cellStyle name="Comma 11 2 4 5 4" xfId="31698"/>
    <cellStyle name="Comma 11 2 4 5 5" xfId="31699"/>
    <cellStyle name="Comma 11 2 4 6" xfId="31700"/>
    <cellStyle name="Comma 11 2 4 6 2" xfId="31701"/>
    <cellStyle name="Comma 11 2 4 6 3" xfId="31702"/>
    <cellStyle name="Comma 11 2 4 7" xfId="31703"/>
    <cellStyle name="Comma 11 2 4 7 2" xfId="31704"/>
    <cellStyle name="Comma 11 2 4 7 3" xfId="31705"/>
    <cellStyle name="Comma 11 2 4 8" xfId="31706"/>
    <cellStyle name="Comma 11 2 4 8 2" xfId="31707"/>
    <cellStyle name="Comma 11 2 4 9" xfId="31708"/>
    <cellStyle name="Comma 11 2 5" xfId="31709"/>
    <cellStyle name="Comma 11 2 5 2" xfId="31710"/>
    <cellStyle name="Comma 11 2 5 2 2" xfId="31711"/>
    <cellStyle name="Comma 11 2 5 2 2 2" xfId="31712"/>
    <cellStyle name="Comma 11 2 5 2 2 3" xfId="31713"/>
    <cellStyle name="Comma 11 2 5 2 3" xfId="31714"/>
    <cellStyle name="Comma 11 2 5 2 3 2" xfId="31715"/>
    <cellStyle name="Comma 11 2 5 2 3 3" xfId="31716"/>
    <cellStyle name="Comma 11 2 5 2 4" xfId="31717"/>
    <cellStyle name="Comma 11 2 5 2 4 2" xfId="31718"/>
    <cellStyle name="Comma 11 2 5 2 5" xfId="31719"/>
    <cellStyle name="Comma 11 2 5 2 6" xfId="31720"/>
    <cellStyle name="Comma 11 2 5 3" xfId="31721"/>
    <cellStyle name="Comma 11 2 5 3 2" xfId="31722"/>
    <cellStyle name="Comma 11 2 5 3 2 2" xfId="31723"/>
    <cellStyle name="Comma 11 2 5 3 2 3" xfId="31724"/>
    <cellStyle name="Comma 11 2 5 3 3" xfId="31725"/>
    <cellStyle name="Comma 11 2 5 3 3 2" xfId="31726"/>
    <cellStyle name="Comma 11 2 5 3 3 3" xfId="31727"/>
    <cellStyle name="Comma 11 2 5 3 4" xfId="31728"/>
    <cellStyle name="Comma 11 2 5 3 4 2" xfId="31729"/>
    <cellStyle name="Comma 11 2 5 3 5" xfId="31730"/>
    <cellStyle name="Comma 11 2 5 3 6" xfId="31731"/>
    <cellStyle name="Comma 11 2 5 4" xfId="31732"/>
    <cellStyle name="Comma 11 2 5 4 2" xfId="31733"/>
    <cellStyle name="Comma 11 2 5 4 2 2" xfId="31734"/>
    <cellStyle name="Comma 11 2 5 4 2 3" xfId="31735"/>
    <cellStyle name="Comma 11 2 5 4 3" xfId="31736"/>
    <cellStyle name="Comma 11 2 5 4 3 2" xfId="31737"/>
    <cellStyle name="Comma 11 2 5 4 4" xfId="31738"/>
    <cellStyle name="Comma 11 2 5 4 5" xfId="31739"/>
    <cellStyle name="Comma 11 2 5 5" xfId="31740"/>
    <cellStyle name="Comma 11 2 5 5 2" xfId="31741"/>
    <cellStyle name="Comma 11 2 5 5 3" xfId="31742"/>
    <cellStyle name="Comma 11 2 5 6" xfId="31743"/>
    <cellStyle name="Comma 11 2 5 6 2" xfId="31744"/>
    <cellStyle name="Comma 11 2 5 6 3" xfId="31745"/>
    <cellStyle name="Comma 11 2 5 7" xfId="31746"/>
    <cellStyle name="Comma 11 2 5 7 2" xfId="31747"/>
    <cellStyle name="Comma 11 2 5 8" xfId="31748"/>
    <cellStyle name="Comma 11 2 5 9" xfId="31749"/>
    <cellStyle name="Comma 11 2 6" xfId="31750"/>
    <cellStyle name="Comma 11 2 6 2" xfId="31751"/>
    <cellStyle name="Comma 11 2 6 2 2" xfId="31752"/>
    <cellStyle name="Comma 11 2 6 2 2 2" xfId="31753"/>
    <cellStyle name="Comma 11 2 6 2 2 3" xfId="31754"/>
    <cellStyle name="Comma 11 2 6 2 3" xfId="31755"/>
    <cellStyle name="Comma 11 2 6 2 3 2" xfId="31756"/>
    <cellStyle name="Comma 11 2 6 2 3 3" xfId="31757"/>
    <cellStyle name="Comma 11 2 6 2 4" xfId="31758"/>
    <cellStyle name="Comma 11 2 6 2 4 2" xfId="31759"/>
    <cellStyle name="Comma 11 2 6 2 5" xfId="31760"/>
    <cellStyle name="Comma 11 2 6 2 6" xfId="31761"/>
    <cellStyle name="Comma 11 2 6 3" xfId="31762"/>
    <cellStyle name="Comma 11 2 6 3 2" xfId="31763"/>
    <cellStyle name="Comma 11 2 6 3 2 2" xfId="31764"/>
    <cellStyle name="Comma 11 2 6 3 2 3" xfId="31765"/>
    <cellStyle name="Comma 11 2 6 3 3" xfId="31766"/>
    <cellStyle name="Comma 11 2 6 3 3 2" xfId="31767"/>
    <cellStyle name="Comma 11 2 6 3 3 3" xfId="31768"/>
    <cellStyle name="Comma 11 2 6 3 4" xfId="31769"/>
    <cellStyle name="Comma 11 2 6 3 4 2" xfId="31770"/>
    <cellStyle name="Comma 11 2 6 3 5" xfId="31771"/>
    <cellStyle name="Comma 11 2 6 3 6" xfId="31772"/>
    <cellStyle name="Comma 11 2 6 4" xfId="31773"/>
    <cellStyle name="Comma 11 2 6 4 2" xfId="31774"/>
    <cellStyle name="Comma 11 2 6 4 2 2" xfId="31775"/>
    <cellStyle name="Comma 11 2 6 4 2 3" xfId="31776"/>
    <cellStyle name="Comma 11 2 6 4 3" xfId="31777"/>
    <cellStyle name="Comma 11 2 6 4 3 2" xfId="31778"/>
    <cellStyle name="Comma 11 2 6 4 4" xfId="31779"/>
    <cellStyle name="Comma 11 2 6 4 5" xfId="31780"/>
    <cellStyle name="Comma 11 2 6 5" xfId="31781"/>
    <cellStyle name="Comma 11 2 6 5 2" xfId="31782"/>
    <cellStyle name="Comma 11 2 6 5 3" xfId="31783"/>
    <cellStyle name="Comma 11 2 6 6" xfId="31784"/>
    <cellStyle name="Comma 11 2 6 6 2" xfId="31785"/>
    <cellStyle name="Comma 11 2 6 6 3" xfId="31786"/>
    <cellStyle name="Comma 11 2 6 7" xfId="31787"/>
    <cellStyle name="Comma 11 2 6 7 2" xfId="31788"/>
    <cellStyle name="Comma 11 2 6 8" xfId="31789"/>
    <cellStyle name="Comma 11 2 6 9" xfId="31790"/>
    <cellStyle name="Comma 11 2 7" xfId="31791"/>
    <cellStyle name="Comma 11 2 7 2" xfId="31792"/>
    <cellStyle name="Comma 11 2 7 2 2" xfId="31793"/>
    <cellStyle name="Comma 11 2 7 2 3" xfId="31794"/>
    <cellStyle name="Comma 11 2 7 3" xfId="31795"/>
    <cellStyle name="Comma 11 2 7 3 2" xfId="31796"/>
    <cellStyle name="Comma 11 2 7 3 3" xfId="31797"/>
    <cellStyle name="Comma 11 2 7 4" xfId="31798"/>
    <cellStyle name="Comma 11 2 7 4 2" xfId="31799"/>
    <cellStyle name="Comma 11 2 7 5" xfId="31800"/>
    <cellStyle name="Comma 11 2 7 6" xfId="31801"/>
    <cellStyle name="Comma 11 2 8" xfId="31802"/>
    <cellStyle name="Comma 11 2 8 2" xfId="31803"/>
    <cellStyle name="Comma 11 2 8 2 2" xfId="31804"/>
    <cellStyle name="Comma 11 2 8 2 3" xfId="31805"/>
    <cellStyle name="Comma 11 2 8 3" xfId="31806"/>
    <cellStyle name="Comma 11 2 8 3 2" xfId="31807"/>
    <cellStyle name="Comma 11 2 8 3 3" xfId="31808"/>
    <cellStyle name="Comma 11 2 8 4" xfId="31809"/>
    <cellStyle name="Comma 11 2 8 4 2" xfId="31810"/>
    <cellStyle name="Comma 11 2 8 5" xfId="31811"/>
    <cellStyle name="Comma 11 2 8 6" xfId="31812"/>
    <cellStyle name="Comma 11 2 9" xfId="31813"/>
    <cellStyle name="Comma 11 2 9 2" xfId="31814"/>
    <cellStyle name="Comma 11 2 9 2 2" xfId="31815"/>
    <cellStyle name="Comma 11 2 9 2 3" xfId="31816"/>
    <cellStyle name="Comma 11 2 9 3" xfId="31817"/>
    <cellStyle name="Comma 11 2 9 3 2" xfId="31818"/>
    <cellStyle name="Comma 11 2 9 4" xfId="31819"/>
    <cellStyle name="Comma 11 2 9 5" xfId="31820"/>
    <cellStyle name="Comma 11 3" xfId="8218"/>
    <cellStyle name="Comma 11 3 10" xfId="31821"/>
    <cellStyle name="Comma 11 3 10 2" xfId="31822"/>
    <cellStyle name="Comma 11 3 10 3" xfId="31823"/>
    <cellStyle name="Comma 11 3 11" xfId="31824"/>
    <cellStyle name="Comma 11 3 11 2" xfId="31825"/>
    <cellStyle name="Comma 11 3 12" xfId="31826"/>
    <cellStyle name="Comma 11 3 13" xfId="31827"/>
    <cellStyle name="Comma 11 3 14" xfId="31828"/>
    <cellStyle name="Comma 11 3 2" xfId="8219"/>
    <cellStyle name="Comma 11 3 2 10" xfId="31829"/>
    <cellStyle name="Comma 11 3 2 10 2" xfId="31830"/>
    <cellStyle name="Comma 11 3 2 11" xfId="31831"/>
    <cellStyle name="Comma 11 3 2 12" xfId="31832"/>
    <cellStyle name="Comma 11 3 2 13" xfId="31833"/>
    <cellStyle name="Comma 11 3 2 2" xfId="8220"/>
    <cellStyle name="Comma 11 3 2 2 10" xfId="31834"/>
    <cellStyle name="Comma 11 3 2 2 11" xfId="31835"/>
    <cellStyle name="Comma 11 3 2 2 2" xfId="31836"/>
    <cellStyle name="Comma 11 3 2 2 2 2" xfId="31837"/>
    <cellStyle name="Comma 11 3 2 2 2 2 2" xfId="31838"/>
    <cellStyle name="Comma 11 3 2 2 2 2 2 2" xfId="31839"/>
    <cellStyle name="Comma 11 3 2 2 2 2 2 3" xfId="31840"/>
    <cellStyle name="Comma 11 3 2 2 2 2 3" xfId="31841"/>
    <cellStyle name="Comma 11 3 2 2 2 2 3 2" xfId="31842"/>
    <cellStyle name="Comma 11 3 2 2 2 2 3 3" xfId="31843"/>
    <cellStyle name="Comma 11 3 2 2 2 2 4" xfId="31844"/>
    <cellStyle name="Comma 11 3 2 2 2 2 4 2" xfId="31845"/>
    <cellStyle name="Comma 11 3 2 2 2 2 5" xfId="31846"/>
    <cellStyle name="Comma 11 3 2 2 2 2 6" xfId="31847"/>
    <cellStyle name="Comma 11 3 2 2 2 3" xfId="31848"/>
    <cellStyle name="Comma 11 3 2 2 2 3 2" xfId="31849"/>
    <cellStyle name="Comma 11 3 2 2 2 3 2 2" xfId="31850"/>
    <cellStyle name="Comma 11 3 2 2 2 3 2 3" xfId="31851"/>
    <cellStyle name="Comma 11 3 2 2 2 3 3" xfId="31852"/>
    <cellStyle name="Comma 11 3 2 2 2 3 3 2" xfId="31853"/>
    <cellStyle name="Comma 11 3 2 2 2 3 3 3" xfId="31854"/>
    <cellStyle name="Comma 11 3 2 2 2 3 4" xfId="31855"/>
    <cellStyle name="Comma 11 3 2 2 2 3 4 2" xfId="31856"/>
    <cellStyle name="Comma 11 3 2 2 2 3 5" xfId="31857"/>
    <cellStyle name="Comma 11 3 2 2 2 3 6" xfId="31858"/>
    <cellStyle name="Comma 11 3 2 2 2 4" xfId="31859"/>
    <cellStyle name="Comma 11 3 2 2 2 4 2" xfId="31860"/>
    <cellStyle name="Comma 11 3 2 2 2 4 2 2" xfId="31861"/>
    <cellStyle name="Comma 11 3 2 2 2 4 2 3" xfId="31862"/>
    <cellStyle name="Comma 11 3 2 2 2 4 3" xfId="31863"/>
    <cellStyle name="Comma 11 3 2 2 2 4 3 2" xfId="31864"/>
    <cellStyle name="Comma 11 3 2 2 2 4 4" xfId="31865"/>
    <cellStyle name="Comma 11 3 2 2 2 4 5" xfId="31866"/>
    <cellStyle name="Comma 11 3 2 2 2 5" xfId="31867"/>
    <cellStyle name="Comma 11 3 2 2 2 5 2" xfId="31868"/>
    <cellStyle name="Comma 11 3 2 2 2 5 3" xfId="31869"/>
    <cellStyle name="Comma 11 3 2 2 2 6" xfId="31870"/>
    <cellStyle name="Comma 11 3 2 2 2 6 2" xfId="31871"/>
    <cellStyle name="Comma 11 3 2 2 2 6 3" xfId="31872"/>
    <cellStyle name="Comma 11 3 2 2 2 7" xfId="31873"/>
    <cellStyle name="Comma 11 3 2 2 2 7 2" xfId="31874"/>
    <cellStyle name="Comma 11 3 2 2 2 8" xfId="31875"/>
    <cellStyle name="Comma 11 3 2 2 2 9" xfId="31876"/>
    <cellStyle name="Comma 11 3 2 2 3" xfId="31877"/>
    <cellStyle name="Comma 11 3 2 2 3 2" xfId="31878"/>
    <cellStyle name="Comma 11 3 2 2 3 2 2" xfId="31879"/>
    <cellStyle name="Comma 11 3 2 2 3 2 3" xfId="31880"/>
    <cellStyle name="Comma 11 3 2 2 3 3" xfId="31881"/>
    <cellStyle name="Comma 11 3 2 2 3 3 2" xfId="31882"/>
    <cellStyle name="Comma 11 3 2 2 3 3 3" xfId="31883"/>
    <cellStyle name="Comma 11 3 2 2 3 4" xfId="31884"/>
    <cellStyle name="Comma 11 3 2 2 3 4 2" xfId="31885"/>
    <cellStyle name="Comma 11 3 2 2 3 5" xfId="31886"/>
    <cellStyle name="Comma 11 3 2 2 3 6" xfId="31887"/>
    <cellStyle name="Comma 11 3 2 2 4" xfId="31888"/>
    <cellStyle name="Comma 11 3 2 2 4 2" xfId="31889"/>
    <cellStyle name="Comma 11 3 2 2 4 2 2" xfId="31890"/>
    <cellStyle name="Comma 11 3 2 2 4 2 3" xfId="31891"/>
    <cellStyle name="Comma 11 3 2 2 4 3" xfId="31892"/>
    <cellStyle name="Comma 11 3 2 2 4 3 2" xfId="31893"/>
    <cellStyle name="Comma 11 3 2 2 4 3 3" xfId="31894"/>
    <cellStyle name="Comma 11 3 2 2 4 4" xfId="31895"/>
    <cellStyle name="Comma 11 3 2 2 4 4 2" xfId="31896"/>
    <cellStyle name="Comma 11 3 2 2 4 5" xfId="31897"/>
    <cellStyle name="Comma 11 3 2 2 4 6" xfId="31898"/>
    <cellStyle name="Comma 11 3 2 2 5" xfId="31899"/>
    <cellStyle name="Comma 11 3 2 2 5 2" xfId="31900"/>
    <cellStyle name="Comma 11 3 2 2 5 2 2" xfId="31901"/>
    <cellStyle name="Comma 11 3 2 2 5 2 3" xfId="31902"/>
    <cellStyle name="Comma 11 3 2 2 5 3" xfId="31903"/>
    <cellStyle name="Comma 11 3 2 2 5 3 2" xfId="31904"/>
    <cellStyle name="Comma 11 3 2 2 5 4" xfId="31905"/>
    <cellStyle name="Comma 11 3 2 2 5 5" xfId="31906"/>
    <cellStyle name="Comma 11 3 2 2 6" xfId="31907"/>
    <cellStyle name="Comma 11 3 2 2 6 2" xfId="31908"/>
    <cellStyle name="Comma 11 3 2 2 6 3" xfId="31909"/>
    <cellStyle name="Comma 11 3 2 2 7" xfId="31910"/>
    <cellStyle name="Comma 11 3 2 2 7 2" xfId="31911"/>
    <cellStyle name="Comma 11 3 2 2 7 3" xfId="31912"/>
    <cellStyle name="Comma 11 3 2 2 8" xfId="31913"/>
    <cellStyle name="Comma 11 3 2 2 8 2" xfId="31914"/>
    <cellStyle name="Comma 11 3 2 2 9" xfId="31915"/>
    <cellStyle name="Comma 11 3 2 3" xfId="31916"/>
    <cellStyle name="Comma 11 3 2 3 2" xfId="31917"/>
    <cellStyle name="Comma 11 3 2 3 2 2" xfId="31918"/>
    <cellStyle name="Comma 11 3 2 3 2 2 2" xfId="31919"/>
    <cellStyle name="Comma 11 3 2 3 2 2 3" xfId="31920"/>
    <cellStyle name="Comma 11 3 2 3 2 3" xfId="31921"/>
    <cellStyle name="Comma 11 3 2 3 2 3 2" xfId="31922"/>
    <cellStyle name="Comma 11 3 2 3 2 3 3" xfId="31923"/>
    <cellStyle name="Comma 11 3 2 3 2 4" xfId="31924"/>
    <cellStyle name="Comma 11 3 2 3 2 4 2" xfId="31925"/>
    <cellStyle name="Comma 11 3 2 3 2 5" xfId="31926"/>
    <cellStyle name="Comma 11 3 2 3 2 6" xfId="31927"/>
    <cellStyle name="Comma 11 3 2 3 3" xfId="31928"/>
    <cellStyle name="Comma 11 3 2 3 3 2" xfId="31929"/>
    <cellStyle name="Comma 11 3 2 3 3 2 2" xfId="31930"/>
    <cellStyle name="Comma 11 3 2 3 3 2 3" xfId="31931"/>
    <cellStyle name="Comma 11 3 2 3 3 3" xfId="31932"/>
    <cellStyle name="Comma 11 3 2 3 3 3 2" xfId="31933"/>
    <cellStyle name="Comma 11 3 2 3 3 3 3" xfId="31934"/>
    <cellStyle name="Comma 11 3 2 3 3 4" xfId="31935"/>
    <cellStyle name="Comma 11 3 2 3 3 4 2" xfId="31936"/>
    <cellStyle name="Comma 11 3 2 3 3 5" xfId="31937"/>
    <cellStyle name="Comma 11 3 2 3 3 6" xfId="31938"/>
    <cellStyle name="Comma 11 3 2 3 4" xfId="31939"/>
    <cellStyle name="Comma 11 3 2 3 4 2" xfId="31940"/>
    <cellStyle name="Comma 11 3 2 3 4 2 2" xfId="31941"/>
    <cellStyle name="Comma 11 3 2 3 4 2 3" xfId="31942"/>
    <cellStyle name="Comma 11 3 2 3 4 3" xfId="31943"/>
    <cellStyle name="Comma 11 3 2 3 4 3 2" xfId="31944"/>
    <cellStyle name="Comma 11 3 2 3 4 4" xfId="31945"/>
    <cellStyle name="Comma 11 3 2 3 4 5" xfId="31946"/>
    <cellStyle name="Comma 11 3 2 3 5" xfId="31947"/>
    <cellStyle name="Comma 11 3 2 3 5 2" xfId="31948"/>
    <cellStyle name="Comma 11 3 2 3 5 3" xfId="31949"/>
    <cellStyle name="Comma 11 3 2 3 6" xfId="31950"/>
    <cellStyle name="Comma 11 3 2 3 6 2" xfId="31951"/>
    <cellStyle name="Comma 11 3 2 3 6 3" xfId="31952"/>
    <cellStyle name="Comma 11 3 2 3 7" xfId="31953"/>
    <cellStyle name="Comma 11 3 2 3 7 2" xfId="31954"/>
    <cellStyle name="Comma 11 3 2 3 8" xfId="31955"/>
    <cellStyle name="Comma 11 3 2 3 9" xfId="31956"/>
    <cellStyle name="Comma 11 3 2 4" xfId="31957"/>
    <cellStyle name="Comma 11 3 2 4 2" xfId="31958"/>
    <cellStyle name="Comma 11 3 2 4 2 2" xfId="31959"/>
    <cellStyle name="Comma 11 3 2 4 2 2 2" xfId="31960"/>
    <cellStyle name="Comma 11 3 2 4 2 2 3" xfId="31961"/>
    <cellStyle name="Comma 11 3 2 4 2 3" xfId="31962"/>
    <cellStyle name="Comma 11 3 2 4 2 3 2" xfId="31963"/>
    <cellStyle name="Comma 11 3 2 4 2 3 3" xfId="31964"/>
    <cellStyle name="Comma 11 3 2 4 2 4" xfId="31965"/>
    <cellStyle name="Comma 11 3 2 4 2 4 2" xfId="31966"/>
    <cellStyle name="Comma 11 3 2 4 2 5" xfId="31967"/>
    <cellStyle name="Comma 11 3 2 4 2 6" xfId="31968"/>
    <cellStyle name="Comma 11 3 2 4 3" xfId="31969"/>
    <cellStyle name="Comma 11 3 2 4 3 2" xfId="31970"/>
    <cellStyle name="Comma 11 3 2 4 3 2 2" xfId="31971"/>
    <cellStyle name="Comma 11 3 2 4 3 2 3" xfId="31972"/>
    <cellStyle name="Comma 11 3 2 4 3 3" xfId="31973"/>
    <cellStyle name="Comma 11 3 2 4 3 3 2" xfId="31974"/>
    <cellStyle name="Comma 11 3 2 4 3 3 3" xfId="31975"/>
    <cellStyle name="Comma 11 3 2 4 3 4" xfId="31976"/>
    <cellStyle name="Comma 11 3 2 4 3 4 2" xfId="31977"/>
    <cellStyle name="Comma 11 3 2 4 3 5" xfId="31978"/>
    <cellStyle name="Comma 11 3 2 4 3 6" xfId="31979"/>
    <cellStyle name="Comma 11 3 2 4 4" xfId="31980"/>
    <cellStyle name="Comma 11 3 2 4 4 2" xfId="31981"/>
    <cellStyle name="Comma 11 3 2 4 4 2 2" xfId="31982"/>
    <cellStyle name="Comma 11 3 2 4 4 2 3" xfId="31983"/>
    <cellStyle name="Comma 11 3 2 4 4 3" xfId="31984"/>
    <cellStyle name="Comma 11 3 2 4 4 3 2" xfId="31985"/>
    <cellStyle name="Comma 11 3 2 4 4 4" xfId="31986"/>
    <cellStyle name="Comma 11 3 2 4 4 5" xfId="31987"/>
    <cellStyle name="Comma 11 3 2 4 5" xfId="31988"/>
    <cellStyle name="Comma 11 3 2 4 5 2" xfId="31989"/>
    <cellStyle name="Comma 11 3 2 4 5 3" xfId="31990"/>
    <cellStyle name="Comma 11 3 2 4 6" xfId="31991"/>
    <cellStyle name="Comma 11 3 2 4 6 2" xfId="31992"/>
    <cellStyle name="Comma 11 3 2 4 6 3" xfId="31993"/>
    <cellStyle name="Comma 11 3 2 4 7" xfId="31994"/>
    <cellStyle name="Comma 11 3 2 4 7 2" xfId="31995"/>
    <cellStyle name="Comma 11 3 2 4 8" xfId="31996"/>
    <cellStyle name="Comma 11 3 2 4 9" xfId="31997"/>
    <cellStyle name="Comma 11 3 2 5" xfId="31998"/>
    <cellStyle name="Comma 11 3 2 5 2" xfId="31999"/>
    <cellStyle name="Comma 11 3 2 5 2 2" xfId="32000"/>
    <cellStyle name="Comma 11 3 2 5 2 3" xfId="32001"/>
    <cellStyle name="Comma 11 3 2 5 3" xfId="32002"/>
    <cellStyle name="Comma 11 3 2 5 3 2" xfId="32003"/>
    <cellStyle name="Comma 11 3 2 5 3 3" xfId="32004"/>
    <cellStyle name="Comma 11 3 2 5 4" xfId="32005"/>
    <cellStyle name="Comma 11 3 2 5 4 2" xfId="32006"/>
    <cellStyle name="Comma 11 3 2 5 5" xfId="32007"/>
    <cellStyle name="Comma 11 3 2 5 6" xfId="32008"/>
    <cellStyle name="Comma 11 3 2 6" xfId="32009"/>
    <cellStyle name="Comma 11 3 2 6 2" xfId="32010"/>
    <cellStyle name="Comma 11 3 2 6 2 2" xfId="32011"/>
    <cellStyle name="Comma 11 3 2 6 2 3" xfId="32012"/>
    <cellStyle name="Comma 11 3 2 6 3" xfId="32013"/>
    <cellStyle name="Comma 11 3 2 6 3 2" xfId="32014"/>
    <cellStyle name="Comma 11 3 2 6 3 3" xfId="32015"/>
    <cellStyle name="Comma 11 3 2 6 4" xfId="32016"/>
    <cellStyle name="Comma 11 3 2 6 4 2" xfId="32017"/>
    <cellStyle name="Comma 11 3 2 6 5" xfId="32018"/>
    <cellStyle name="Comma 11 3 2 6 6" xfId="32019"/>
    <cellStyle name="Comma 11 3 2 7" xfId="32020"/>
    <cellStyle name="Comma 11 3 2 7 2" xfId="32021"/>
    <cellStyle name="Comma 11 3 2 7 2 2" xfId="32022"/>
    <cellStyle name="Comma 11 3 2 7 2 3" xfId="32023"/>
    <cellStyle name="Comma 11 3 2 7 3" xfId="32024"/>
    <cellStyle name="Comma 11 3 2 7 3 2" xfId="32025"/>
    <cellStyle name="Comma 11 3 2 7 4" xfId="32026"/>
    <cellStyle name="Comma 11 3 2 7 5" xfId="32027"/>
    <cellStyle name="Comma 11 3 2 8" xfId="32028"/>
    <cellStyle name="Comma 11 3 2 8 2" xfId="32029"/>
    <cellStyle name="Comma 11 3 2 8 3" xfId="32030"/>
    <cellStyle name="Comma 11 3 2 9" xfId="32031"/>
    <cellStyle name="Comma 11 3 2 9 2" xfId="32032"/>
    <cellStyle name="Comma 11 3 2 9 3" xfId="32033"/>
    <cellStyle name="Comma 11 3 3" xfId="8221"/>
    <cellStyle name="Comma 11 3 3 10" xfId="32034"/>
    <cellStyle name="Comma 11 3 3 11" xfId="32035"/>
    <cellStyle name="Comma 11 3 3 2" xfId="32036"/>
    <cellStyle name="Comma 11 3 3 2 2" xfId="32037"/>
    <cellStyle name="Comma 11 3 3 2 2 2" xfId="32038"/>
    <cellStyle name="Comma 11 3 3 2 2 2 2" xfId="32039"/>
    <cellStyle name="Comma 11 3 3 2 2 2 3" xfId="32040"/>
    <cellStyle name="Comma 11 3 3 2 2 3" xfId="32041"/>
    <cellStyle name="Comma 11 3 3 2 2 3 2" xfId="32042"/>
    <cellStyle name="Comma 11 3 3 2 2 3 3" xfId="32043"/>
    <cellStyle name="Comma 11 3 3 2 2 4" xfId="32044"/>
    <cellStyle name="Comma 11 3 3 2 2 4 2" xfId="32045"/>
    <cellStyle name="Comma 11 3 3 2 2 5" xfId="32046"/>
    <cellStyle name="Comma 11 3 3 2 2 6" xfId="32047"/>
    <cellStyle name="Comma 11 3 3 2 3" xfId="32048"/>
    <cellStyle name="Comma 11 3 3 2 3 2" xfId="32049"/>
    <cellStyle name="Comma 11 3 3 2 3 2 2" xfId="32050"/>
    <cellStyle name="Comma 11 3 3 2 3 2 3" xfId="32051"/>
    <cellStyle name="Comma 11 3 3 2 3 3" xfId="32052"/>
    <cellStyle name="Comma 11 3 3 2 3 3 2" xfId="32053"/>
    <cellStyle name="Comma 11 3 3 2 3 3 3" xfId="32054"/>
    <cellStyle name="Comma 11 3 3 2 3 4" xfId="32055"/>
    <cellStyle name="Comma 11 3 3 2 3 4 2" xfId="32056"/>
    <cellStyle name="Comma 11 3 3 2 3 5" xfId="32057"/>
    <cellStyle name="Comma 11 3 3 2 3 6" xfId="32058"/>
    <cellStyle name="Comma 11 3 3 2 4" xfId="32059"/>
    <cellStyle name="Comma 11 3 3 2 4 2" xfId="32060"/>
    <cellStyle name="Comma 11 3 3 2 4 2 2" xfId="32061"/>
    <cellStyle name="Comma 11 3 3 2 4 2 3" xfId="32062"/>
    <cellStyle name="Comma 11 3 3 2 4 3" xfId="32063"/>
    <cellStyle name="Comma 11 3 3 2 4 3 2" xfId="32064"/>
    <cellStyle name="Comma 11 3 3 2 4 4" xfId="32065"/>
    <cellStyle name="Comma 11 3 3 2 4 5" xfId="32066"/>
    <cellStyle name="Comma 11 3 3 2 5" xfId="32067"/>
    <cellStyle name="Comma 11 3 3 2 5 2" xfId="32068"/>
    <cellStyle name="Comma 11 3 3 2 5 3" xfId="32069"/>
    <cellStyle name="Comma 11 3 3 2 6" xfId="32070"/>
    <cellStyle name="Comma 11 3 3 2 6 2" xfId="32071"/>
    <cellStyle name="Comma 11 3 3 2 6 3" xfId="32072"/>
    <cellStyle name="Comma 11 3 3 2 7" xfId="32073"/>
    <cellStyle name="Comma 11 3 3 2 7 2" xfId="32074"/>
    <cellStyle name="Comma 11 3 3 2 8" xfId="32075"/>
    <cellStyle name="Comma 11 3 3 2 9" xfId="32076"/>
    <cellStyle name="Comma 11 3 3 3" xfId="32077"/>
    <cellStyle name="Comma 11 3 3 3 2" xfId="32078"/>
    <cellStyle name="Comma 11 3 3 3 2 2" xfId="32079"/>
    <cellStyle name="Comma 11 3 3 3 2 3" xfId="32080"/>
    <cellStyle name="Comma 11 3 3 3 3" xfId="32081"/>
    <cellStyle name="Comma 11 3 3 3 3 2" xfId="32082"/>
    <cellStyle name="Comma 11 3 3 3 3 3" xfId="32083"/>
    <cellStyle name="Comma 11 3 3 3 4" xfId="32084"/>
    <cellStyle name="Comma 11 3 3 3 4 2" xfId="32085"/>
    <cellStyle name="Comma 11 3 3 3 5" xfId="32086"/>
    <cellStyle name="Comma 11 3 3 3 6" xfId="32087"/>
    <cellStyle name="Comma 11 3 3 4" xfId="32088"/>
    <cellStyle name="Comma 11 3 3 4 2" xfId="32089"/>
    <cellStyle name="Comma 11 3 3 4 2 2" xfId="32090"/>
    <cellStyle name="Comma 11 3 3 4 2 3" xfId="32091"/>
    <cellStyle name="Comma 11 3 3 4 3" xfId="32092"/>
    <cellStyle name="Comma 11 3 3 4 3 2" xfId="32093"/>
    <cellStyle name="Comma 11 3 3 4 3 3" xfId="32094"/>
    <cellStyle name="Comma 11 3 3 4 4" xfId="32095"/>
    <cellStyle name="Comma 11 3 3 4 4 2" xfId="32096"/>
    <cellStyle name="Comma 11 3 3 4 5" xfId="32097"/>
    <cellStyle name="Comma 11 3 3 4 6" xfId="32098"/>
    <cellStyle name="Comma 11 3 3 5" xfId="32099"/>
    <cellStyle name="Comma 11 3 3 5 2" xfId="32100"/>
    <cellStyle name="Comma 11 3 3 5 2 2" xfId="32101"/>
    <cellStyle name="Comma 11 3 3 5 2 3" xfId="32102"/>
    <cellStyle name="Comma 11 3 3 5 3" xfId="32103"/>
    <cellStyle name="Comma 11 3 3 5 3 2" xfId="32104"/>
    <cellStyle name="Comma 11 3 3 5 4" xfId="32105"/>
    <cellStyle name="Comma 11 3 3 5 5" xfId="32106"/>
    <cellStyle name="Comma 11 3 3 6" xfId="32107"/>
    <cellStyle name="Comma 11 3 3 6 2" xfId="32108"/>
    <cellStyle name="Comma 11 3 3 6 3" xfId="32109"/>
    <cellStyle name="Comma 11 3 3 7" xfId="32110"/>
    <cellStyle name="Comma 11 3 3 7 2" xfId="32111"/>
    <cellStyle name="Comma 11 3 3 7 3" xfId="32112"/>
    <cellStyle name="Comma 11 3 3 8" xfId="32113"/>
    <cellStyle name="Comma 11 3 3 8 2" xfId="32114"/>
    <cellStyle name="Comma 11 3 3 9" xfId="32115"/>
    <cellStyle name="Comma 11 3 4" xfId="32116"/>
    <cellStyle name="Comma 11 3 4 2" xfId="32117"/>
    <cellStyle name="Comma 11 3 4 2 2" xfId="32118"/>
    <cellStyle name="Comma 11 3 4 2 2 2" xfId="32119"/>
    <cellStyle name="Comma 11 3 4 2 2 3" xfId="32120"/>
    <cellStyle name="Comma 11 3 4 2 3" xfId="32121"/>
    <cellStyle name="Comma 11 3 4 2 3 2" xfId="32122"/>
    <cellStyle name="Comma 11 3 4 2 3 3" xfId="32123"/>
    <cellStyle name="Comma 11 3 4 2 4" xfId="32124"/>
    <cellStyle name="Comma 11 3 4 2 4 2" xfId="32125"/>
    <cellStyle name="Comma 11 3 4 2 5" xfId="32126"/>
    <cellStyle name="Comma 11 3 4 2 6" xfId="32127"/>
    <cellStyle name="Comma 11 3 4 3" xfId="32128"/>
    <cellStyle name="Comma 11 3 4 3 2" xfId="32129"/>
    <cellStyle name="Comma 11 3 4 3 2 2" xfId="32130"/>
    <cellStyle name="Comma 11 3 4 3 2 3" xfId="32131"/>
    <cellStyle name="Comma 11 3 4 3 3" xfId="32132"/>
    <cellStyle name="Comma 11 3 4 3 3 2" xfId="32133"/>
    <cellStyle name="Comma 11 3 4 3 3 3" xfId="32134"/>
    <cellStyle name="Comma 11 3 4 3 4" xfId="32135"/>
    <cellStyle name="Comma 11 3 4 3 4 2" xfId="32136"/>
    <cellStyle name="Comma 11 3 4 3 5" xfId="32137"/>
    <cellStyle name="Comma 11 3 4 3 6" xfId="32138"/>
    <cellStyle name="Comma 11 3 4 4" xfId="32139"/>
    <cellStyle name="Comma 11 3 4 4 2" xfId="32140"/>
    <cellStyle name="Comma 11 3 4 4 2 2" xfId="32141"/>
    <cellStyle name="Comma 11 3 4 4 2 3" xfId="32142"/>
    <cellStyle name="Comma 11 3 4 4 3" xfId="32143"/>
    <cellStyle name="Comma 11 3 4 4 3 2" xfId="32144"/>
    <cellStyle name="Comma 11 3 4 4 4" xfId="32145"/>
    <cellStyle name="Comma 11 3 4 4 5" xfId="32146"/>
    <cellStyle name="Comma 11 3 4 5" xfId="32147"/>
    <cellStyle name="Comma 11 3 4 5 2" xfId="32148"/>
    <cellStyle name="Comma 11 3 4 5 3" xfId="32149"/>
    <cellStyle name="Comma 11 3 4 6" xfId="32150"/>
    <cellStyle name="Comma 11 3 4 6 2" xfId="32151"/>
    <cellStyle name="Comma 11 3 4 6 3" xfId="32152"/>
    <cellStyle name="Comma 11 3 4 7" xfId="32153"/>
    <cellStyle name="Comma 11 3 4 7 2" xfId="32154"/>
    <cellStyle name="Comma 11 3 4 8" xfId="32155"/>
    <cellStyle name="Comma 11 3 4 9" xfId="32156"/>
    <cellStyle name="Comma 11 3 5" xfId="32157"/>
    <cellStyle name="Comma 11 3 5 2" xfId="32158"/>
    <cellStyle name="Comma 11 3 5 2 2" xfId="32159"/>
    <cellStyle name="Comma 11 3 5 2 2 2" xfId="32160"/>
    <cellStyle name="Comma 11 3 5 2 2 3" xfId="32161"/>
    <cellStyle name="Comma 11 3 5 2 3" xfId="32162"/>
    <cellStyle name="Comma 11 3 5 2 3 2" xfId="32163"/>
    <cellStyle name="Comma 11 3 5 2 3 3" xfId="32164"/>
    <cellStyle name="Comma 11 3 5 2 4" xfId="32165"/>
    <cellStyle name="Comma 11 3 5 2 4 2" xfId="32166"/>
    <cellStyle name="Comma 11 3 5 2 5" xfId="32167"/>
    <cellStyle name="Comma 11 3 5 2 6" xfId="32168"/>
    <cellStyle name="Comma 11 3 5 3" xfId="32169"/>
    <cellStyle name="Comma 11 3 5 3 2" xfId="32170"/>
    <cellStyle name="Comma 11 3 5 3 2 2" xfId="32171"/>
    <cellStyle name="Comma 11 3 5 3 2 3" xfId="32172"/>
    <cellStyle name="Comma 11 3 5 3 3" xfId="32173"/>
    <cellStyle name="Comma 11 3 5 3 3 2" xfId="32174"/>
    <cellStyle name="Comma 11 3 5 3 3 3" xfId="32175"/>
    <cellStyle name="Comma 11 3 5 3 4" xfId="32176"/>
    <cellStyle name="Comma 11 3 5 3 4 2" xfId="32177"/>
    <cellStyle name="Comma 11 3 5 3 5" xfId="32178"/>
    <cellStyle name="Comma 11 3 5 3 6" xfId="32179"/>
    <cellStyle name="Comma 11 3 5 4" xfId="32180"/>
    <cellStyle name="Comma 11 3 5 4 2" xfId="32181"/>
    <cellStyle name="Comma 11 3 5 4 2 2" xfId="32182"/>
    <cellStyle name="Comma 11 3 5 4 2 3" xfId="32183"/>
    <cellStyle name="Comma 11 3 5 4 3" xfId="32184"/>
    <cellStyle name="Comma 11 3 5 4 3 2" xfId="32185"/>
    <cellStyle name="Comma 11 3 5 4 4" xfId="32186"/>
    <cellStyle name="Comma 11 3 5 4 5" xfId="32187"/>
    <cellStyle name="Comma 11 3 5 5" xfId="32188"/>
    <cellStyle name="Comma 11 3 5 5 2" xfId="32189"/>
    <cellStyle name="Comma 11 3 5 5 3" xfId="32190"/>
    <cellStyle name="Comma 11 3 5 6" xfId="32191"/>
    <cellStyle name="Comma 11 3 5 6 2" xfId="32192"/>
    <cellStyle name="Comma 11 3 5 6 3" xfId="32193"/>
    <cellStyle name="Comma 11 3 5 7" xfId="32194"/>
    <cellStyle name="Comma 11 3 5 7 2" xfId="32195"/>
    <cellStyle name="Comma 11 3 5 8" xfId="32196"/>
    <cellStyle name="Comma 11 3 5 9" xfId="32197"/>
    <cellStyle name="Comma 11 3 6" xfId="32198"/>
    <cellStyle name="Comma 11 3 6 2" xfId="32199"/>
    <cellStyle name="Comma 11 3 6 2 2" xfId="32200"/>
    <cellStyle name="Comma 11 3 6 2 3" xfId="32201"/>
    <cellStyle name="Comma 11 3 6 3" xfId="32202"/>
    <cellStyle name="Comma 11 3 6 3 2" xfId="32203"/>
    <cellStyle name="Comma 11 3 6 3 3" xfId="32204"/>
    <cellStyle name="Comma 11 3 6 4" xfId="32205"/>
    <cellStyle name="Comma 11 3 6 4 2" xfId="32206"/>
    <cellStyle name="Comma 11 3 6 5" xfId="32207"/>
    <cellStyle name="Comma 11 3 6 6" xfId="32208"/>
    <cellStyle name="Comma 11 3 7" xfId="32209"/>
    <cellStyle name="Comma 11 3 7 2" xfId="32210"/>
    <cellStyle name="Comma 11 3 7 2 2" xfId="32211"/>
    <cellStyle name="Comma 11 3 7 2 3" xfId="32212"/>
    <cellStyle name="Comma 11 3 7 3" xfId="32213"/>
    <cellStyle name="Comma 11 3 7 3 2" xfId="32214"/>
    <cellStyle name="Comma 11 3 7 3 3" xfId="32215"/>
    <cellStyle name="Comma 11 3 7 4" xfId="32216"/>
    <cellStyle name="Comma 11 3 7 4 2" xfId="32217"/>
    <cellStyle name="Comma 11 3 7 5" xfId="32218"/>
    <cellStyle name="Comma 11 3 7 6" xfId="32219"/>
    <cellStyle name="Comma 11 3 8" xfId="32220"/>
    <cellStyle name="Comma 11 3 8 2" xfId="32221"/>
    <cellStyle name="Comma 11 3 8 2 2" xfId="32222"/>
    <cellStyle name="Comma 11 3 8 2 3" xfId="32223"/>
    <cellStyle name="Comma 11 3 8 3" xfId="32224"/>
    <cellStyle name="Comma 11 3 8 3 2" xfId="32225"/>
    <cellStyle name="Comma 11 3 8 4" xfId="32226"/>
    <cellStyle name="Comma 11 3 8 5" xfId="32227"/>
    <cellStyle name="Comma 11 3 9" xfId="32228"/>
    <cellStyle name="Comma 11 3 9 2" xfId="32229"/>
    <cellStyle name="Comma 11 3 9 3" xfId="32230"/>
    <cellStyle name="Comma 11 4" xfId="8222"/>
    <cellStyle name="Comma 11 4 10" xfId="32231"/>
    <cellStyle name="Comma 11 4 10 2" xfId="32232"/>
    <cellStyle name="Comma 11 4 11" xfId="32233"/>
    <cellStyle name="Comma 11 4 12" xfId="32234"/>
    <cellStyle name="Comma 11 4 13" xfId="32235"/>
    <cellStyle name="Comma 11 4 2" xfId="8223"/>
    <cellStyle name="Comma 11 4 2 10" xfId="32236"/>
    <cellStyle name="Comma 11 4 2 11" xfId="32237"/>
    <cellStyle name="Comma 11 4 2 2" xfId="32238"/>
    <cellStyle name="Comma 11 4 2 2 2" xfId="32239"/>
    <cellStyle name="Comma 11 4 2 2 2 2" xfId="32240"/>
    <cellStyle name="Comma 11 4 2 2 2 2 2" xfId="32241"/>
    <cellStyle name="Comma 11 4 2 2 2 2 3" xfId="32242"/>
    <cellStyle name="Comma 11 4 2 2 2 3" xfId="32243"/>
    <cellStyle name="Comma 11 4 2 2 2 3 2" xfId="32244"/>
    <cellStyle name="Comma 11 4 2 2 2 3 3" xfId="32245"/>
    <cellStyle name="Comma 11 4 2 2 2 4" xfId="32246"/>
    <cellStyle name="Comma 11 4 2 2 2 4 2" xfId="32247"/>
    <cellStyle name="Comma 11 4 2 2 2 5" xfId="32248"/>
    <cellStyle name="Comma 11 4 2 2 2 6" xfId="32249"/>
    <cellStyle name="Comma 11 4 2 2 3" xfId="32250"/>
    <cellStyle name="Comma 11 4 2 2 3 2" xfId="32251"/>
    <cellStyle name="Comma 11 4 2 2 3 2 2" xfId="32252"/>
    <cellStyle name="Comma 11 4 2 2 3 2 3" xfId="32253"/>
    <cellStyle name="Comma 11 4 2 2 3 3" xfId="32254"/>
    <cellStyle name="Comma 11 4 2 2 3 3 2" xfId="32255"/>
    <cellStyle name="Comma 11 4 2 2 3 3 3" xfId="32256"/>
    <cellStyle name="Comma 11 4 2 2 3 4" xfId="32257"/>
    <cellStyle name="Comma 11 4 2 2 3 4 2" xfId="32258"/>
    <cellStyle name="Comma 11 4 2 2 3 5" xfId="32259"/>
    <cellStyle name="Comma 11 4 2 2 3 6" xfId="32260"/>
    <cellStyle name="Comma 11 4 2 2 4" xfId="32261"/>
    <cellStyle name="Comma 11 4 2 2 4 2" xfId="32262"/>
    <cellStyle name="Comma 11 4 2 2 4 2 2" xfId="32263"/>
    <cellStyle name="Comma 11 4 2 2 4 2 3" xfId="32264"/>
    <cellStyle name="Comma 11 4 2 2 4 3" xfId="32265"/>
    <cellStyle name="Comma 11 4 2 2 4 3 2" xfId="32266"/>
    <cellStyle name="Comma 11 4 2 2 4 4" xfId="32267"/>
    <cellStyle name="Comma 11 4 2 2 4 5" xfId="32268"/>
    <cellStyle name="Comma 11 4 2 2 5" xfId="32269"/>
    <cellStyle name="Comma 11 4 2 2 5 2" xfId="32270"/>
    <cellStyle name="Comma 11 4 2 2 5 3" xfId="32271"/>
    <cellStyle name="Comma 11 4 2 2 6" xfId="32272"/>
    <cellStyle name="Comma 11 4 2 2 6 2" xfId="32273"/>
    <cellStyle name="Comma 11 4 2 2 6 3" xfId="32274"/>
    <cellStyle name="Comma 11 4 2 2 7" xfId="32275"/>
    <cellStyle name="Comma 11 4 2 2 7 2" xfId="32276"/>
    <cellStyle name="Comma 11 4 2 2 8" xfId="32277"/>
    <cellStyle name="Comma 11 4 2 2 9" xfId="32278"/>
    <cellStyle name="Comma 11 4 2 3" xfId="32279"/>
    <cellStyle name="Comma 11 4 2 3 2" xfId="32280"/>
    <cellStyle name="Comma 11 4 2 3 2 2" xfId="32281"/>
    <cellStyle name="Comma 11 4 2 3 2 3" xfId="32282"/>
    <cellStyle name="Comma 11 4 2 3 3" xfId="32283"/>
    <cellStyle name="Comma 11 4 2 3 3 2" xfId="32284"/>
    <cellStyle name="Comma 11 4 2 3 3 3" xfId="32285"/>
    <cellStyle name="Comma 11 4 2 3 4" xfId="32286"/>
    <cellStyle name="Comma 11 4 2 3 4 2" xfId="32287"/>
    <cellStyle name="Comma 11 4 2 3 5" xfId="32288"/>
    <cellStyle name="Comma 11 4 2 3 6" xfId="32289"/>
    <cellStyle name="Comma 11 4 2 4" xfId="32290"/>
    <cellStyle name="Comma 11 4 2 4 2" xfId="32291"/>
    <cellStyle name="Comma 11 4 2 4 2 2" xfId="32292"/>
    <cellStyle name="Comma 11 4 2 4 2 3" xfId="32293"/>
    <cellStyle name="Comma 11 4 2 4 3" xfId="32294"/>
    <cellStyle name="Comma 11 4 2 4 3 2" xfId="32295"/>
    <cellStyle name="Comma 11 4 2 4 3 3" xfId="32296"/>
    <cellStyle name="Comma 11 4 2 4 4" xfId="32297"/>
    <cellStyle name="Comma 11 4 2 4 4 2" xfId="32298"/>
    <cellStyle name="Comma 11 4 2 4 5" xfId="32299"/>
    <cellStyle name="Comma 11 4 2 4 6" xfId="32300"/>
    <cellStyle name="Comma 11 4 2 5" xfId="32301"/>
    <cellStyle name="Comma 11 4 2 5 2" xfId="32302"/>
    <cellStyle name="Comma 11 4 2 5 2 2" xfId="32303"/>
    <cellStyle name="Comma 11 4 2 5 2 3" xfId="32304"/>
    <cellStyle name="Comma 11 4 2 5 3" xfId="32305"/>
    <cellStyle name="Comma 11 4 2 5 3 2" xfId="32306"/>
    <cellStyle name="Comma 11 4 2 5 4" xfId="32307"/>
    <cellStyle name="Comma 11 4 2 5 5" xfId="32308"/>
    <cellStyle name="Comma 11 4 2 6" xfId="32309"/>
    <cellStyle name="Comma 11 4 2 6 2" xfId="32310"/>
    <cellStyle name="Comma 11 4 2 6 3" xfId="32311"/>
    <cellStyle name="Comma 11 4 2 7" xfId="32312"/>
    <cellStyle name="Comma 11 4 2 7 2" xfId="32313"/>
    <cellStyle name="Comma 11 4 2 7 3" xfId="32314"/>
    <cellStyle name="Comma 11 4 2 8" xfId="32315"/>
    <cellStyle name="Comma 11 4 2 8 2" xfId="32316"/>
    <cellStyle name="Comma 11 4 2 9" xfId="32317"/>
    <cellStyle name="Comma 11 4 3" xfId="32318"/>
    <cellStyle name="Comma 11 4 3 2" xfId="32319"/>
    <cellStyle name="Comma 11 4 3 2 2" xfId="32320"/>
    <cellStyle name="Comma 11 4 3 2 2 2" xfId="32321"/>
    <cellStyle name="Comma 11 4 3 2 2 3" xfId="32322"/>
    <cellStyle name="Comma 11 4 3 2 3" xfId="32323"/>
    <cellStyle name="Comma 11 4 3 2 3 2" xfId="32324"/>
    <cellStyle name="Comma 11 4 3 2 3 3" xfId="32325"/>
    <cellStyle name="Comma 11 4 3 2 4" xfId="32326"/>
    <cellStyle name="Comma 11 4 3 2 4 2" xfId="32327"/>
    <cellStyle name="Comma 11 4 3 2 5" xfId="32328"/>
    <cellStyle name="Comma 11 4 3 2 6" xfId="32329"/>
    <cellStyle name="Comma 11 4 3 3" xfId="32330"/>
    <cellStyle name="Comma 11 4 3 3 2" xfId="32331"/>
    <cellStyle name="Comma 11 4 3 3 2 2" xfId="32332"/>
    <cellStyle name="Comma 11 4 3 3 2 3" xfId="32333"/>
    <cellStyle name="Comma 11 4 3 3 3" xfId="32334"/>
    <cellStyle name="Comma 11 4 3 3 3 2" xfId="32335"/>
    <cellStyle name="Comma 11 4 3 3 3 3" xfId="32336"/>
    <cellStyle name="Comma 11 4 3 3 4" xfId="32337"/>
    <cellStyle name="Comma 11 4 3 3 4 2" xfId="32338"/>
    <cellStyle name="Comma 11 4 3 3 5" xfId="32339"/>
    <cellStyle name="Comma 11 4 3 3 6" xfId="32340"/>
    <cellStyle name="Comma 11 4 3 4" xfId="32341"/>
    <cellStyle name="Comma 11 4 3 4 2" xfId="32342"/>
    <cellStyle name="Comma 11 4 3 4 2 2" xfId="32343"/>
    <cellStyle name="Comma 11 4 3 4 2 3" xfId="32344"/>
    <cellStyle name="Comma 11 4 3 4 3" xfId="32345"/>
    <cellStyle name="Comma 11 4 3 4 3 2" xfId="32346"/>
    <cellStyle name="Comma 11 4 3 4 4" xfId="32347"/>
    <cellStyle name="Comma 11 4 3 4 5" xfId="32348"/>
    <cellStyle name="Comma 11 4 3 5" xfId="32349"/>
    <cellStyle name="Comma 11 4 3 5 2" xfId="32350"/>
    <cellStyle name="Comma 11 4 3 5 3" xfId="32351"/>
    <cellStyle name="Comma 11 4 3 6" xfId="32352"/>
    <cellStyle name="Comma 11 4 3 6 2" xfId="32353"/>
    <cellStyle name="Comma 11 4 3 6 3" xfId="32354"/>
    <cellStyle name="Comma 11 4 3 7" xfId="32355"/>
    <cellStyle name="Comma 11 4 3 7 2" xfId="32356"/>
    <cellStyle name="Comma 11 4 3 8" xfId="32357"/>
    <cellStyle name="Comma 11 4 3 9" xfId="32358"/>
    <cellStyle name="Comma 11 4 4" xfId="32359"/>
    <cellStyle name="Comma 11 4 4 2" xfId="32360"/>
    <cellStyle name="Comma 11 4 4 2 2" xfId="32361"/>
    <cellStyle name="Comma 11 4 4 2 2 2" xfId="32362"/>
    <cellStyle name="Comma 11 4 4 2 2 3" xfId="32363"/>
    <cellStyle name="Comma 11 4 4 2 3" xfId="32364"/>
    <cellStyle name="Comma 11 4 4 2 3 2" xfId="32365"/>
    <cellStyle name="Comma 11 4 4 2 3 3" xfId="32366"/>
    <cellStyle name="Comma 11 4 4 2 4" xfId="32367"/>
    <cellStyle name="Comma 11 4 4 2 4 2" xfId="32368"/>
    <cellStyle name="Comma 11 4 4 2 5" xfId="32369"/>
    <cellStyle name="Comma 11 4 4 2 6" xfId="32370"/>
    <cellStyle name="Comma 11 4 4 3" xfId="32371"/>
    <cellStyle name="Comma 11 4 4 3 2" xfId="32372"/>
    <cellStyle name="Comma 11 4 4 3 2 2" xfId="32373"/>
    <cellStyle name="Comma 11 4 4 3 2 3" xfId="32374"/>
    <cellStyle name="Comma 11 4 4 3 3" xfId="32375"/>
    <cellStyle name="Comma 11 4 4 3 3 2" xfId="32376"/>
    <cellStyle name="Comma 11 4 4 3 3 3" xfId="32377"/>
    <cellStyle name="Comma 11 4 4 3 4" xfId="32378"/>
    <cellStyle name="Comma 11 4 4 3 4 2" xfId="32379"/>
    <cellStyle name="Comma 11 4 4 3 5" xfId="32380"/>
    <cellStyle name="Comma 11 4 4 3 6" xfId="32381"/>
    <cellStyle name="Comma 11 4 4 4" xfId="32382"/>
    <cellStyle name="Comma 11 4 4 4 2" xfId="32383"/>
    <cellStyle name="Comma 11 4 4 4 2 2" xfId="32384"/>
    <cellStyle name="Comma 11 4 4 4 2 3" xfId="32385"/>
    <cellStyle name="Comma 11 4 4 4 3" xfId="32386"/>
    <cellStyle name="Comma 11 4 4 4 3 2" xfId="32387"/>
    <cellStyle name="Comma 11 4 4 4 4" xfId="32388"/>
    <cellStyle name="Comma 11 4 4 4 5" xfId="32389"/>
    <cellStyle name="Comma 11 4 4 5" xfId="32390"/>
    <cellStyle name="Comma 11 4 4 5 2" xfId="32391"/>
    <cellStyle name="Comma 11 4 4 5 3" xfId="32392"/>
    <cellStyle name="Comma 11 4 4 6" xfId="32393"/>
    <cellStyle name="Comma 11 4 4 6 2" xfId="32394"/>
    <cellStyle name="Comma 11 4 4 6 3" xfId="32395"/>
    <cellStyle name="Comma 11 4 4 7" xfId="32396"/>
    <cellStyle name="Comma 11 4 4 7 2" xfId="32397"/>
    <cellStyle name="Comma 11 4 4 8" xfId="32398"/>
    <cellStyle name="Comma 11 4 4 9" xfId="32399"/>
    <cellStyle name="Comma 11 4 5" xfId="32400"/>
    <cellStyle name="Comma 11 4 5 2" xfId="32401"/>
    <cellStyle name="Comma 11 4 5 2 2" xfId="32402"/>
    <cellStyle name="Comma 11 4 5 2 3" xfId="32403"/>
    <cellStyle name="Comma 11 4 5 3" xfId="32404"/>
    <cellStyle name="Comma 11 4 5 3 2" xfId="32405"/>
    <cellStyle name="Comma 11 4 5 3 3" xfId="32406"/>
    <cellStyle name="Comma 11 4 5 4" xfId="32407"/>
    <cellStyle name="Comma 11 4 5 4 2" xfId="32408"/>
    <cellStyle name="Comma 11 4 5 5" xfId="32409"/>
    <cellStyle name="Comma 11 4 5 6" xfId="32410"/>
    <cellStyle name="Comma 11 4 6" xfId="32411"/>
    <cellStyle name="Comma 11 4 6 2" xfId="32412"/>
    <cellStyle name="Comma 11 4 6 2 2" xfId="32413"/>
    <cellStyle name="Comma 11 4 6 2 3" xfId="32414"/>
    <cellStyle name="Comma 11 4 6 3" xfId="32415"/>
    <cellStyle name="Comma 11 4 6 3 2" xfId="32416"/>
    <cellStyle name="Comma 11 4 6 3 3" xfId="32417"/>
    <cellStyle name="Comma 11 4 6 4" xfId="32418"/>
    <cellStyle name="Comma 11 4 6 4 2" xfId="32419"/>
    <cellStyle name="Comma 11 4 6 5" xfId="32420"/>
    <cellStyle name="Comma 11 4 6 6" xfId="32421"/>
    <cellStyle name="Comma 11 4 7" xfId="32422"/>
    <cellStyle name="Comma 11 4 7 2" xfId="32423"/>
    <cellStyle name="Comma 11 4 7 2 2" xfId="32424"/>
    <cellStyle name="Comma 11 4 7 2 3" xfId="32425"/>
    <cellStyle name="Comma 11 4 7 3" xfId="32426"/>
    <cellStyle name="Comma 11 4 7 3 2" xfId="32427"/>
    <cellStyle name="Comma 11 4 7 4" xfId="32428"/>
    <cellStyle name="Comma 11 4 7 5" xfId="32429"/>
    <cellStyle name="Comma 11 4 8" xfId="32430"/>
    <cellStyle name="Comma 11 4 8 2" xfId="32431"/>
    <cellStyle name="Comma 11 4 8 3" xfId="32432"/>
    <cellStyle name="Comma 11 4 9" xfId="32433"/>
    <cellStyle name="Comma 11 4 9 2" xfId="32434"/>
    <cellStyle name="Comma 11 4 9 3" xfId="32435"/>
    <cellStyle name="Comma 11 5" xfId="8224"/>
    <cellStyle name="Comma 11 5 10" xfId="32436"/>
    <cellStyle name="Comma 11 5 11" xfId="32437"/>
    <cellStyle name="Comma 11 5 2" xfId="8225"/>
    <cellStyle name="Comma 11 5 2 10" xfId="32438"/>
    <cellStyle name="Comma 11 5 2 2" xfId="32439"/>
    <cellStyle name="Comma 11 5 2 2 2" xfId="32440"/>
    <cellStyle name="Comma 11 5 2 2 2 2" xfId="32441"/>
    <cellStyle name="Comma 11 5 2 2 2 3" xfId="32442"/>
    <cellStyle name="Comma 11 5 2 2 3" xfId="32443"/>
    <cellStyle name="Comma 11 5 2 2 3 2" xfId="32444"/>
    <cellStyle name="Comma 11 5 2 2 3 3" xfId="32445"/>
    <cellStyle name="Comma 11 5 2 2 4" xfId="32446"/>
    <cellStyle name="Comma 11 5 2 2 4 2" xfId="32447"/>
    <cellStyle name="Comma 11 5 2 2 5" xfId="32448"/>
    <cellStyle name="Comma 11 5 2 2 6" xfId="32449"/>
    <cellStyle name="Comma 11 5 2 3" xfId="32450"/>
    <cellStyle name="Comma 11 5 2 3 2" xfId="32451"/>
    <cellStyle name="Comma 11 5 2 3 2 2" xfId="32452"/>
    <cellStyle name="Comma 11 5 2 3 2 3" xfId="32453"/>
    <cellStyle name="Comma 11 5 2 3 3" xfId="32454"/>
    <cellStyle name="Comma 11 5 2 3 3 2" xfId="32455"/>
    <cellStyle name="Comma 11 5 2 3 3 3" xfId="32456"/>
    <cellStyle name="Comma 11 5 2 3 4" xfId="32457"/>
    <cellStyle name="Comma 11 5 2 3 4 2" xfId="32458"/>
    <cellStyle name="Comma 11 5 2 3 5" xfId="32459"/>
    <cellStyle name="Comma 11 5 2 3 6" xfId="32460"/>
    <cellStyle name="Comma 11 5 2 4" xfId="32461"/>
    <cellStyle name="Comma 11 5 2 4 2" xfId="32462"/>
    <cellStyle name="Comma 11 5 2 4 2 2" xfId="32463"/>
    <cellStyle name="Comma 11 5 2 4 2 3" xfId="32464"/>
    <cellStyle name="Comma 11 5 2 4 3" xfId="32465"/>
    <cellStyle name="Comma 11 5 2 4 3 2" xfId="32466"/>
    <cellStyle name="Comma 11 5 2 4 4" xfId="32467"/>
    <cellStyle name="Comma 11 5 2 4 5" xfId="32468"/>
    <cellStyle name="Comma 11 5 2 5" xfId="32469"/>
    <cellStyle name="Comma 11 5 2 5 2" xfId="32470"/>
    <cellStyle name="Comma 11 5 2 5 3" xfId="32471"/>
    <cellStyle name="Comma 11 5 2 6" xfId="32472"/>
    <cellStyle name="Comma 11 5 2 6 2" xfId="32473"/>
    <cellStyle name="Comma 11 5 2 6 3" xfId="32474"/>
    <cellStyle name="Comma 11 5 2 7" xfId="32475"/>
    <cellStyle name="Comma 11 5 2 7 2" xfId="32476"/>
    <cellStyle name="Comma 11 5 2 8" xfId="32477"/>
    <cellStyle name="Comma 11 5 2 9" xfId="32478"/>
    <cellStyle name="Comma 11 5 3" xfId="32479"/>
    <cellStyle name="Comma 11 5 3 2" xfId="32480"/>
    <cellStyle name="Comma 11 5 3 2 2" xfId="32481"/>
    <cellStyle name="Comma 11 5 3 2 3" xfId="32482"/>
    <cellStyle name="Comma 11 5 3 3" xfId="32483"/>
    <cellStyle name="Comma 11 5 3 3 2" xfId="32484"/>
    <cellStyle name="Comma 11 5 3 3 3" xfId="32485"/>
    <cellStyle name="Comma 11 5 3 4" xfId="32486"/>
    <cellStyle name="Comma 11 5 3 4 2" xfId="32487"/>
    <cellStyle name="Comma 11 5 3 5" xfId="32488"/>
    <cellStyle name="Comma 11 5 3 6" xfId="32489"/>
    <cellStyle name="Comma 11 5 4" xfId="32490"/>
    <cellStyle name="Comma 11 5 4 2" xfId="32491"/>
    <cellStyle name="Comma 11 5 4 2 2" xfId="32492"/>
    <cellStyle name="Comma 11 5 4 2 3" xfId="32493"/>
    <cellStyle name="Comma 11 5 4 3" xfId="32494"/>
    <cellStyle name="Comma 11 5 4 3 2" xfId="32495"/>
    <cellStyle name="Comma 11 5 4 3 3" xfId="32496"/>
    <cellStyle name="Comma 11 5 4 4" xfId="32497"/>
    <cellStyle name="Comma 11 5 4 4 2" xfId="32498"/>
    <cellStyle name="Comma 11 5 4 5" xfId="32499"/>
    <cellStyle name="Comma 11 5 4 6" xfId="32500"/>
    <cellStyle name="Comma 11 5 5" xfId="32501"/>
    <cellStyle name="Comma 11 5 5 2" xfId="32502"/>
    <cellStyle name="Comma 11 5 5 2 2" xfId="32503"/>
    <cellStyle name="Comma 11 5 5 2 3" xfId="32504"/>
    <cellStyle name="Comma 11 5 5 3" xfId="32505"/>
    <cellStyle name="Comma 11 5 5 3 2" xfId="32506"/>
    <cellStyle name="Comma 11 5 5 4" xfId="32507"/>
    <cellStyle name="Comma 11 5 5 5" xfId="32508"/>
    <cellStyle name="Comma 11 5 6" xfId="32509"/>
    <cellStyle name="Comma 11 5 6 2" xfId="32510"/>
    <cellStyle name="Comma 11 5 6 3" xfId="32511"/>
    <cellStyle name="Comma 11 5 7" xfId="32512"/>
    <cellStyle name="Comma 11 5 7 2" xfId="32513"/>
    <cellStyle name="Comma 11 5 7 3" xfId="32514"/>
    <cellStyle name="Comma 11 5 8" xfId="32515"/>
    <cellStyle name="Comma 11 5 8 2" xfId="32516"/>
    <cellStyle name="Comma 11 5 9" xfId="32517"/>
    <cellStyle name="Comma 11 6" xfId="8226"/>
    <cellStyle name="Comma 11 6 10" xfId="32518"/>
    <cellStyle name="Comma 11 6 2" xfId="32519"/>
    <cellStyle name="Comma 11 6 2 2" xfId="32520"/>
    <cellStyle name="Comma 11 6 2 2 2" xfId="32521"/>
    <cellStyle name="Comma 11 6 2 2 3" xfId="32522"/>
    <cellStyle name="Comma 11 6 2 3" xfId="32523"/>
    <cellStyle name="Comma 11 6 2 3 2" xfId="32524"/>
    <cellStyle name="Comma 11 6 2 3 3" xfId="32525"/>
    <cellStyle name="Comma 11 6 2 4" xfId="32526"/>
    <cellStyle name="Comma 11 6 2 4 2" xfId="32527"/>
    <cellStyle name="Comma 11 6 2 5" xfId="32528"/>
    <cellStyle name="Comma 11 6 2 6" xfId="32529"/>
    <cellStyle name="Comma 11 6 3" xfId="32530"/>
    <cellStyle name="Comma 11 6 3 2" xfId="32531"/>
    <cellStyle name="Comma 11 6 3 2 2" xfId="32532"/>
    <cellStyle name="Comma 11 6 3 2 3" xfId="32533"/>
    <cellStyle name="Comma 11 6 3 3" xfId="32534"/>
    <cellStyle name="Comma 11 6 3 3 2" xfId="32535"/>
    <cellStyle name="Comma 11 6 3 3 3" xfId="32536"/>
    <cellStyle name="Comma 11 6 3 4" xfId="32537"/>
    <cellStyle name="Comma 11 6 3 4 2" xfId="32538"/>
    <cellStyle name="Comma 11 6 3 5" xfId="32539"/>
    <cellStyle name="Comma 11 6 3 6" xfId="32540"/>
    <cellStyle name="Comma 11 6 4" xfId="32541"/>
    <cellStyle name="Comma 11 6 4 2" xfId="32542"/>
    <cellStyle name="Comma 11 6 4 2 2" xfId="32543"/>
    <cellStyle name="Comma 11 6 4 2 3" xfId="32544"/>
    <cellStyle name="Comma 11 6 4 3" xfId="32545"/>
    <cellStyle name="Comma 11 6 4 3 2" xfId="32546"/>
    <cellStyle name="Comma 11 6 4 4" xfId="32547"/>
    <cellStyle name="Comma 11 6 4 5" xfId="32548"/>
    <cellStyle name="Comma 11 6 5" xfId="32549"/>
    <cellStyle name="Comma 11 6 5 2" xfId="32550"/>
    <cellStyle name="Comma 11 6 5 3" xfId="32551"/>
    <cellStyle name="Comma 11 6 6" xfId="32552"/>
    <cellStyle name="Comma 11 6 6 2" xfId="32553"/>
    <cellStyle name="Comma 11 6 6 3" xfId="32554"/>
    <cellStyle name="Comma 11 6 7" xfId="32555"/>
    <cellStyle name="Comma 11 6 7 2" xfId="32556"/>
    <cellStyle name="Comma 11 6 8" xfId="32557"/>
    <cellStyle name="Comma 11 6 9" xfId="32558"/>
    <cellStyle name="Comma 11 7" xfId="32559"/>
    <cellStyle name="Comma 11 7 2" xfId="32560"/>
    <cellStyle name="Comma 11 7 2 2" xfId="32561"/>
    <cellStyle name="Comma 11 7 2 2 2" xfId="32562"/>
    <cellStyle name="Comma 11 7 2 2 3" xfId="32563"/>
    <cellStyle name="Comma 11 7 2 3" xfId="32564"/>
    <cellStyle name="Comma 11 7 2 3 2" xfId="32565"/>
    <cellStyle name="Comma 11 7 2 3 3" xfId="32566"/>
    <cellStyle name="Comma 11 7 2 4" xfId="32567"/>
    <cellStyle name="Comma 11 7 2 4 2" xfId="32568"/>
    <cellStyle name="Comma 11 7 2 5" xfId="32569"/>
    <cellStyle name="Comma 11 7 2 6" xfId="32570"/>
    <cellStyle name="Comma 11 7 3" xfId="32571"/>
    <cellStyle name="Comma 11 7 3 2" xfId="32572"/>
    <cellStyle name="Comma 11 7 3 2 2" xfId="32573"/>
    <cellStyle name="Comma 11 7 3 2 3" xfId="32574"/>
    <cellStyle name="Comma 11 7 3 3" xfId="32575"/>
    <cellStyle name="Comma 11 7 3 3 2" xfId="32576"/>
    <cellStyle name="Comma 11 7 3 3 3" xfId="32577"/>
    <cellStyle name="Comma 11 7 3 4" xfId="32578"/>
    <cellStyle name="Comma 11 7 3 4 2" xfId="32579"/>
    <cellStyle name="Comma 11 7 3 5" xfId="32580"/>
    <cellStyle name="Comma 11 7 3 6" xfId="32581"/>
    <cellStyle name="Comma 11 7 4" xfId="32582"/>
    <cellStyle name="Comma 11 7 4 2" xfId="32583"/>
    <cellStyle name="Comma 11 7 4 2 2" xfId="32584"/>
    <cellStyle name="Comma 11 7 4 2 3" xfId="32585"/>
    <cellStyle name="Comma 11 7 4 3" xfId="32586"/>
    <cellStyle name="Comma 11 7 4 3 2" xfId="32587"/>
    <cellStyle name="Comma 11 7 4 4" xfId="32588"/>
    <cellStyle name="Comma 11 7 4 5" xfId="32589"/>
    <cellStyle name="Comma 11 7 5" xfId="32590"/>
    <cellStyle name="Comma 11 7 5 2" xfId="32591"/>
    <cellStyle name="Comma 11 7 5 3" xfId="32592"/>
    <cellStyle name="Comma 11 7 6" xfId="32593"/>
    <cellStyle name="Comma 11 7 6 2" xfId="32594"/>
    <cellStyle name="Comma 11 7 6 3" xfId="32595"/>
    <cellStyle name="Comma 11 7 7" xfId="32596"/>
    <cellStyle name="Comma 11 7 7 2" xfId="32597"/>
    <cellStyle name="Comma 11 7 8" xfId="32598"/>
    <cellStyle name="Comma 11 7 9" xfId="32599"/>
    <cellStyle name="Comma 11 8" xfId="32600"/>
    <cellStyle name="Comma 11 8 2" xfId="32601"/>
    <cellStyle name="Comma 11 8 2 2" xfId="32602"/>
    <cellStyle name="Comma 11 8 2 3" xfId="32603"/>
    <cellStyle name="Comma 11 8 3" xfId="32604"/>
    <cellStyle name="Comma 11 8 3 2" xfId="32605"/>
    <cellStyle name="Comma 11 8 3 3" xfId="32606"/>
    <cellStyle name="Comma 11 8 4" xfId="32607"/>
    <cellStyle name="Comma 11 8 4 2" xfId="32608"/>
    <cellStyle name="Comma 11 8 5" xfId="32609"/>
    <cellStyle name="Comma 11 8 6" xfId="32610"/>
    <cellStyle name="Comma 11 9" xfId="32611"/>
    <cellStyle name="Comma 11 9 2" xfId="32612"/>
    <cellStyle name="Comma 11 9 2 2" xfId="32613"/>
    <cellStyle name="Comma 11 9 2 3" xfId="32614"/>
    <cellStyle name="Comma 11 9 3" xfId="32615"/>
    <cellStyle name="Comma 11 9 3 2" xfId="32616"/>
    <cellStyle name="Comma 11 9 3 3" xfId="32617"/>
    <cellStyle name="Comma 11 9 4" xfId="32618"/>
    <cellStyle name="Comma 11 9 4 2" xfId="32619"/>
    <cellStyle name="Comma 11 9 5" xfId="32620"/>
    <cellStyle name="Comma 11 9 6" xfId="32621"/>
    <cellStyle name="Comma 110" xfId="58464"/>
    <cellStyle name="Comma 111" xfId="58465"/>
    <cellStyle name="Comma 112" xfId="58466"/>
    <cellStyle name="Comma 113" xfId="58467"/>
    <cellStyle name="Comma 114" xfId="58468"/>
    <cellStyle name="Comma 115" xfId="58469"/>
    <cellStyle name="Comma 116" xfId="58470"/>
    <cellStyle name="Comma 117" xfId="61974"/>
    <cellStyle name="Comma 12" xfId="3238"/>
    <cellStyle name="Comma 12 10" xfId="32622"/>
    <cellStyle name="Comma 12 10 2" xfId="32623"/>
    <cellStyle name="Comma 12 10 2 2" xfId="32624"/>
    <cellStyle name="Comma 12 10 2 3" xfId="32625"/>
    <cellStyle name="Comma 12 10 3" xfId="32626"/>
    <cellStyle name="Comma 12 10 3 2" xfId="32627"/>
    <cellStyle name="Comma 12 10 4" xfId="32628"/>
    <cellStyle name="Comma 12 10 5" xfId="32629"/>
    <cellStyle name="Comma 12 11" xfId="32630"/>
    <cellStyle name="Comma 12 11 2" xfId="32631"/>
    <cellStyle name="Comma 12 11 3" xfId="32632"/>
    <cellStyle name="Comma 12 12" xfId="32633"/>
    <cellStyle name="Comma 12 12 2" xfId="32634"/>
    <cellStyle name="Comma 12 12 3" xfId="32635"/>
    <cellStyle name="Comma 12 13" xfId="32636"/>
    <cellStyle name="Comma 12 13 2" xfId="32637"/>
    <cellStyle name="Comma 12 14" xfId="32638"/>
    <cellStyle name="Comma 12 15" xfId="32639"/>
    <cellStyle name="Comma 12 16" xfId="32640"/>
    <cellStyle name="Comma 12 2" xfId="3239"/>
    <cellStyle name="Comma 12 2 10" xfId="32641"/>
    <cellStyle name="Comma 12 2 10 2" xfId="32642"/>
    <cellStyle name="Comma 12 2 10 3" xfId="32643"/>
    <cellStyle name="Comma 12 2 11" xfId="32644"/>
    <cellStyle name="Comma 12 2 11 2" xfId="32645"/>
    <cellStyle name="Comma 12 2 11 3" xfId="32646"/>
    <cellStyle name="Comma 12 2 12" xfId="32647"/>
    <cellStyle name="Comma 12 2 12 2" xfId="32648"/>
    <cellStyle name="Comma 12 2 13" xfId="32649"/>
    <cellStyle name="Comma 12 2 14" xfId="32650"/>
    <cellStyle name="Comma 12 2 15" xfId="32651"/>
    <cellStyle name="Comma 12 2 2" xfId="9047"/>
    <cellStyle name="Comma 12 2 2 10" xfId="32652"/>
    <cellStyle name="Comma 12 2 2 10 2" xfId="32653"/>
    <cellStyle name="Comma 12 2 2 10 3" xfId="32654"/>
    <cellStyle name="Comma 12 2 2 11" xfId="32655"/>
    <cellStyle name="Comma 12 2 2 11 2" xfId="32656"/>
    <cellStyle name="Comma 12 2 2 12" xfId="32657"/>
    <cellStyle name="Comma 12 2 2 13" xfId="32658"/>
    <cellStyle name="Comma 12 2 2 2" xfId="32659"/>
    <cellStyle name="Comma 12 2 2 2 10" xfId="32660"/>
    <cellStyle name="Comma 12 2 2 2 10 2" xfId="32661"/>
    <cellStyle name="Comma 12 2 2 2 11" xfId="32662"/>
    <cellStyle name="Comma 12 2 2 2 12" xfId="32663"/>
    <cellStyle name="Comma 12 2 2 2 2" xfId="32664"/>
    <cellStyle name="Comma 12 2 2 2 2 10" xfId="32665"/>
    <cellStyle name="Comma 12 2 2 2 2 2" xfId="32666"/>
    <cellStyle name="Comma 12 2 2 2 2 2 2" xfId="32667"/>
    <cellStyle name="Comma 12 2 2 2 2 2 2 2" xfId="32668"/>
    <cellStyle name="Comma 12 2 2 2 2 2 2 2 2" xfId="32669"/>
    <cellStyle name="Comma 12 2 2 2 2 2 2 2 3" xfId="32670"/>
    <cellStyle name="Comma 12 2 2 2 2 2 2 3" xfId="32671"/>
    <cellStyle name="Comma 12 2 2 2 2 2 2 3 2" xfId="32672"/>
    <cellStyle name="Comma 12 2 2 2 2 2 2 3 3" xfId="32673"/>
    <cellStyle name="Comma 12 2 2 2 2 2 2 4" xfId="32674"/>
    <cellStyle name="Comma 12 2 2 2 2 2 2 4 2" xfId="32675"/>
    <cellStyle name="Comma 12 2 2 2 2 2 2 5" xfId="32676"/>
    <cellStyle name="Comma 12 2 2 2 2 2 2 6" xfId="32677"/>
    <cellStyle name="Comma 12 2 2 2 2 2 3" xfId="32678"/>
    <cellStyle name="Comma 12 2 2 2 2 2 3 2" xfId="32679"/>
    <cellStyle name="Comma 12 2 2 2 2 2 3 2 2" xfId="32680"/>
    <cellStyle name="Comma 12 2 2 2 2 2 3 2 3" xfId="32681"/>
    <cellStyle name="Comma 12 2 2 2 2 2 3 3" xfId="32682"/>
    <cellStyle name="Comma 12 2 2 2 2 2 3 3 2" xfId="32683"/>
    <cellStyle name="Comma 12 2 2 2 2 2 3 3 3" xfId="32684"/>
    <cellStyle name="Comma 12 2 2 2 2 2 3 4" xfId="32685"/>
    <cellStyle name="Comma 12 2 2 2 2 2 3 4 2" xfId="32686"/>
    <cellStyle name="Comma 12 2 2 2 2 2 3 5" xfId="32687"/>
    <cellStyle name="Comma 12 2 2 2 2 2 3 6" xfId="32688"/>
    <cellStyle name="Comma 12 2 2 2 2 2 4" xfId="32689"/>
    <cellStyle name="Comma 12 2 2 2 2 2 4 2" xfId="32690"/>
    <cellStyle name="Comma 12 2 2 2 2 2 4 2 2" xfId="32691"/>
    <cellStyle name="Comma 12 2 2 2 2 2 4 2 3" xfId="32692"/>
    <cellStyle name="Comma 12 2 2 2 2 2 4 3" xfId="32693"/>
    <cellStyle name="Comma 12 2 2 2 2 2 4 3 2" xfId="32694"/>
    <cellStyle name="Comma 12 2 2 2 2 2 4 4" xfId="32695"/>
    <cellStyle name="Comma 12 2 2 2 2 2 4 5" xfId="32696"/>
    <cellStyle name="Comma 12 2 2 2 2 2 5" xfId="32697"/>
    <cellStyle name="Comma 12 2 2 2 2 2 5 2" xfId="32698"/>
    <cellStyle name="Comma 12 2 2 2 2 2 5 3" xfId="32699"/>
    <cellStyle name="Comma 12 2 2 2 2 2 6" xfId="32700"/>
    <cellStyle name="Comma 12 2 2 2 2 2 6 2" xfId="32701"/>
    <cellStyle name="Comma 12 2 2 2 2 2 6 3" xfId="32702"/>
    <cellStyle name="Comma 12 2 2 2 2 2 7" xfId="32703"/>
    <cellStyle name="Comma 12 2 2 2 2 2 7 2" xfId="32704"/>
    <cellStyle name="Comma 12 2 2 2 2 2 8" xfId="32705"/>
    <cellStyle name="Comma 12 2 2 2 2 2 9" xfId="32706"/>
    <cellStyle name="Comma 12 2 2 2 2 3" xfId="32707"/>
    <cellStyle name="Comma 12 2 2 2 2 3 2" xfId="32708"/>
    <cellStyle name="Comma 12 2 2 2 2 3 2 2" xfId="32709"/>
    <cellStyle name="Comma 12 2 2 2 2 3 2 3" xfId="32710"/>
    <cellStyle name="Comma 12 2 2 2 2 3 3" xfId="32711"/>
    <cellStyle name="Comma 12 2 2 2 2 3 3 2" xfId="32712"/>
    <cellStyle name="Comma 12 2 2 2 2 3 3 3" xfId="32713"/>
    <cellStyle name="Comma 12 2 2 2 2 3 4" xfId="32714"/>
    <cellStyle name="Comma 12 2 2 2 2 3 4 2" xfId="32715"/>
    <cellStyle name="Comma 12 2 2 2 2 3 5" xfId="32716"/>
    <cellStyle name="Comma 12 2 2 2 2 3 6" xfId="32717"/>
    <cellStyle name="Comma 12 2 2 2 2 4" xfId="32718"/>
    <cellStyle name="Comma 12 2 2 2 2 4 2" xfId="32719"/>
    <cellStyle name="Comma 12 2 2 2 2 4 2 2" xfId="32720"/>
    <cellStyle name="Comma 12 2 2 2 2 4 2 3" xfId="32721"/>
    <cellStyle name="Comma 12 2 2 2 2 4 3" xfId="32722"/>
    <cellStyle name="Comma 12 2 2 2 2 4 3 2" xfId="32723"/>
    <cellStyle name="Comma 12 2 2 2 2 4 3 3" xfId="32724"/>
    <cellStyle name="Comma 12 2 2 2 2 4 4" xfId="32725"/>
    <cellStyle name="Comma 12 2 2 2 2 4 4 2" xfId="32726"/>
    <cellStyle name="Comma 12 2 2 2 2 4 5" xfId="32727"/>
    <cellStyle name="Comma 12 2 2 2 2 4 6" xfId="32728"/>
    <cellStyle name="Comma 12 2 2 2 2 5" xfId="32729"/>
    <cellStyle name="Comma 12 2 2 2 2 5 2" xfId="32730"/>
    <cellStyle name="Comma 12 2 2 2 2 5 2 2" xfId="32731"/>
    <cellStyle name="Comma 12 2 2 2 2 5 2 3" xfId="32732"/>
    <cellStyle name="Comma 12 2 2 2 2 5 3" xfId="32733"/>
    <cellStyle name="Comma 12 2 2 2 2 5 3 2" xfId="32734"/>
    <cellStyle name="Comma 12 2 2 2 2 5 4" xfId="32735"/>
    <cellStyle name="Comma 12 2 2 2 2 5 5" xfId="32736"/>
    <cellStyle name="Comma 12 2 2 2 2 6" xfId="32737"/>
    <cellStyle name="Comma 12 2 2 2 2 6 2" xfId="32738"/>
    <cellStyle name="Comma 12 2 2 2 2 6 3" xfId="32739"/>
    <cellStyle name="Comma 12 2 2 2 2 7" xfId="32740"/>
    <cellStyle name="Comma 12 2 2 2 2 7 2" xfId="32741"/>
    <cellStyle name="Comma 12 2 2 2 2 7 3" xfId="32742"/>
    <cellStyle name="Comma 12 2 2 2 2 8" xfId="32743"/>
    <cellStyle name="Comma 12 2 2 2 2 8 2" xfId="32744"/>
    <cellStyle name="Comma 12 2 2 2 2 9" xfId="32745"/>
    <cellStyle name="Comma 12 2 2 2 3" xfId="32746"/>
    <cellStyle name="Comma 12 2 2 2 3 2" xfId="32747"/>
    <cellStyle name="Comma 12 2 2 2 3 2 2" xfId="32748"/>
    <cellStyle name="Comma 12 2 2 2 3 2 2 2" xfId="32749"/>
    <cellStyle name="Comma 12 2 2 2 3 2 2 3" xfId="32750"/>
    <cellStyle name="Comma 12 2 2 2 3 2 3" xfId="32751"/>
    <cellStyle name="Comma 12 2 2 2 3 2 3 2" xfId="32752"/>
    <cellStyle name="Comma 12 2 2 2 3 2 3 3" xfId="32753"/>
    <cellStyle name="Comma 12 2 2 2 3 2 4" xfId="32754"/>
    <cellStyle name="Comma 12 2 2 2 3 2 4 2" xfId="32755"/>
    <cellStyle name="Comma 12 2 2 2 3 2 5" xfId="32756"/>
    <cellStyle name="Comma 12 2 2 2 3 2 6" xfId="32757"/>
    <cellStyle name="Comma 12 2 2 2 3 3" xfId="32758"/>
    <cellStyle name="Comma 12 2 2 2 3 3 2" xfId="32759"/>
    <cellStyle name="Comma 12 2 2 2 3 3 2 2" xfId="32760"/>
    <cellStyle name="Comma 12 2 2 2 3 3 2 3" xfId="32761"/>
    <cellStyle name="Comma 12 2 2 2 3 3 3" xfId="32762"/>
    <cellStyle name="Comma 12 2 2 2 3 3 3 2" xfId="32763"/>
    <cellStyle name="Comma 12 2 2 2 3 3 3 3" xfId="32764"/>
    <cellStyle name="Comma 12 2 2 2 3 3 4" xfId="32765"/>
    <cellStyle name="Comma 12 2 2 2 3 3 4 2" xfId="32766"/>
    <cellStyle name="Comma 12 2 2 2 3 3 5" xfId="32767"/>
    <cellStyle name="Comma 12 2 2 2 3 3 6" xfId="32768"/>
    <cellStyle name="Comma 12 2 2 2 3 4" xfId="32769"/>
    <cellStyle name="Comma 12 2 2 2 3 4 2" xfId="32770"/>
    <cellStyle name="Comma 12 2 2 2 3 4 2 2" xfId="32771"/>
    <cellStyle name="Comma 12 2 2 2 3 4 2 3" xfId="32772"/>
    <cellStyle name="Comma 12 2 2 2 3 4 3" xfId="32773"/>
    <cellStyle name="Comma 12 2 2 2 3 4 3 2" xfId="32774"/>
    <cellStyle name="Comma 12 2 2 2 3 4 4" xfId="32775"/>
    <cellStyle name="Comma 12 2 2 2 3 4 5" xfId="32776"/>
    <cellStyle name="Comma 12 2 2 2 3 5" xfId="32777"/>
    <cellStyle name="Comma 12 2 2 2 3 5 2" xfId="32778"/>
    <cellStyle name="Comma 12 2 2 2 3 5 3" xfId="32779"/>
    <cellStyle name="Comma 12 2 2 2 3 6" xfId="32780"/>
    <cellStyle name="Comma 12 2 2 2 3 6 2" xfId="32781"/>
    <cellStyle name="Comma 12 2 2 2 3 6 3" xfId="32782"/>
    <cellStyle name="Comma 12 2 2 2 3 7" xfId="32783"/>
    <cellStyle name="Comma 12 2 2 2 3 7 2" xfId="32784"/>
    <cellStyle name="Comma 12 2 2 2 3 8" xfId="32785"/>
    <cellStyle name="Comma 12 2 2 2 3 9" xfId="32786"/>
    <cellStyle name="Comma 12 2 2 2 4" xfId="32787"/>
    <cellStyle name="Comma 12 2 2 2 4 2" xfId="32788"/>
    <cellStyle name="Comma 12 2 2 2 4 2 2" xfId="32789"/>
    <cellStyle name="Comma 12 2 2 2 4 2 2 2" xfId="32790"/>
    <cellStyle name="Comma 12 2 2 2 4 2 2 3" xfId="32791"/>
    <cellStyle name="Comma 12 2 2 2 4 2 3" xfId="32792"/>
    <cellStyle name="Comma 12 2 2 2 4 2 3 2" xfId="32793"/>
    <cellStyle name="Comma 12 2 2 2 4 2 3 3" xfId="32794"/>
    <cellStyle name="Comma 12 2 2 2 4 2 4" xfId="32795"/>
    <cellStyle name="Comma 12 2 2 2 4 2 4 2" xfId="32796"/>
    <cellStyle name="Comma 12 2 2 2 4 2 5" xfId="32797"/>
    <cellStyle name="Comma 12 2 2 2 4 2 6" xfId="32798"/>
    <cellStyle name="Comma 12 2 2 2 4 3" xfId="32799"/>
    <cellStyle name="Comma 12 2 2 2 4 3 2" xfId="32800"/>
    <cellStyle name="Comma 12 2 2 2 4 3 2 2" xfId="32801"/>
    <cellStyle name="Comma 12 2 2 2 4 3 2 3" xfId="32802"/>
    <cellStyle name="Comma 12 2 2 2 4 3 3" xfId="32803"/>
    <cellStyle name="Comma 12 2 2 2 4 3 3 2" xfId="32804"/>
    <cellStyle name="Comma 12 2 2 2 4 3 3 3" xfId="32805"/>
    <cellStyle name="Comma 12 2 2 2 4 3 4" xfId="32806"/>
    <cellStyle name="Comma 12 2 2 2 4 3 4 2" xfId="32807"/>
    <cellStyle name="Comma 12 2 2 2 4 3 5" xfId="32808"/>
    <cellStyle name="Comma 12 2 2 2 4 3 6" xfId="32809"/>
    <cellStyle name="Comma 12 2 2 2 4 4" xfId="32810"/>
    <cellStyle name="Comma 12 2 2 2 4 4 2" xfId="32811"/>
    <cellStyle name="Comma 12 2 2 2 4 4 2 2" xfId="32812"/>
    <cellStyle name="Comma 12 2 2 2 4 4 2 3" xfId="32813"/>
    <cellStyle name="Comma 12 2 2 2 4 4 3" xfId="32814"/>
    <cellStyle name="Comma 12 2 2 2 4 4 3 2" xfId="32815"/>
    <cellStyle name="Comma 12 2 2 2 4 4 4" xfId="32816"/>
    <cellStyle name="Comma 12 2 2 2 4 4 5" xfId="32817"/>
    <cellStyle name="Comma 12 2 2 2 4 5" xfId="32818"/>
    <cellStyle name="Comma 12 2 2 2 4 5 2" xfId="32819"/>
    <cellStyle name="Comma 12 2 2 2 4 5 3" xfId="32820"/>
    <cellStyle name="Comma 12 2 2 2 4 6" xfId="32821"/>
    <cellStyle name="Comma 12 2 2 2 4 6 2" xfId="32822"/>
    <cellStyle name="Comma 12 2 2 2 4 6 3" xfId="32823"/>
    <cellStyle name="Comma 12 2 2 2 4 7" xfId="32824"/>
    <cellStyle name="Comma 12 2 2 2 4 7 2" xfId="32825"/>
    <cellStyle name="Comma 12 2 2 2 4 8" xfId="32826"/>
    <cellStyle name="Comma 12 2 2 2 4 9" xfId="32827"/>
    <cellStyle name="Comma 12 2 2 2 5" xfId="32828"/>
    <cellStyle name="Comma 12 2 2 2 5 2" xfId="32829"/>
    <cellStyle name="Comma 12 2 2 2 5 2 2" xfId="32830"/>
    <cellStyle name="Comma 12 2 2 2 5 2 3" xfId="32831"/>
    <cellStyle name="Comma 12 2 2 2 5 3" xfId="32832"/>
    <cellStyle name="Comma 12 2 2 2 5 3 2" xfId="32833"/>
    <cellStyle name="Comma 12 2 2 2 5 3 3" xfId="32834"/>
    <cellStyle name="Comma 12 2 2 2 5 4" xfId="32835"/>
    <cellStyle name="Comma 12 2 2 2 5 4 2" xfId="32836"/>
    <cellStyle name="Comma 12 2 2 2 5 5" xfId="32837"/>
    <cellStyle name="Comma 12 2 2 2 5 6" xfId="32838"/>
    <cellStyle name="Comma 12 2 2 2 6" xfId="32839"/>
    <cellStyle name="Comma 12 2 2 2 6 2" xfId="32840"/>
    <cellStyle name="Comma 12 2 2 2 6 2 2" xfId="32841"/>
    <cellStyle name="Comma 12 2 2 2 6 2 3" xfId="32842"/>
    <cellStyle name="Comma 12 2 2 2 6 3" xfId="32843"/>
    <cellStyle name="Comma 12 2 2 2 6 3 2" xfId="32844"/>
    <cellStyle name="Comma 12 2 2 2 6 3 3" xfId="32845"/>
    <cellStyle name="Comma 12 2 2 2 6 4" xfId="32846"/>
    <cellStyle name="Comma 12 2 2 2 6 4 2" xfId="32847"/>
    <cellStyle name="Comma 12 2 2 2 6 5" xfId="32848"/>
    <cellStyle name="Comma 12 2 2 2 6 6" xfId="32849"/>
    <cellStyle name="Comma 12 2 2 2 7" xfId="32850"/>
    <cellStyle name="Comma 12 2 2 2 7 2" xfId="32851"/>
    <cellStyle name="Comma 12 2 2 2 7 2 2" xfId="32852"/>
    <cellStyle name="Comma 12 2 2 2 7 2 3" xfId="32853"/>
    <cellStyle name="Comma 12 2 2 2 7 3" xfId="32854"/>
    <cellStyle name="Comma 12 2 2 2 7 3 2" xfId="32855"/>
    <cellStyle name="Comma 12 2 2 2 7 4" xfId="32856"/>
    <cellStyle name="Comma 12 2 2 2 7 5" xfId="32857"/>
    <cellStyle name="Comma 12 2 2 2 8" xfId="32858"/>
    <cellStyle name="Comma 12 2 2 2 8 2" xfId="32859"/>
    <cellStyle name="Comma 12 2 2 2 8 3" xfId="32860"/>
    <cellStyle name="Comma 12 2 2 2 9" xfId="32861"/>
    <cellStyle name="Comma 12 2 2 2 9 2" xfId="32862"/>
    <cellStyle name="Comma 12 2 2 2 9 3" xfId="32863"/>
    <cellStyle name="Comma 12 2 2 3" xfId="32864"/>
    <cellStyle name="Comma 12 2 2 3 10" xfId="32865"/>
    <cellStyle name="Comma 12 2 2 3 2" xfId="32866"/>
    <cellStyle name="Comma 12 2 2 3 2 2" xfId="32867"/>
    <cellStyle name="Comma 12 2 2 3 2 2 2" xfId="32868"/>
    <cellStyle name="Comma 12 2 2 3 2 2 2 2" xfId="32869"/>
    <cellStyle name="Comma 12 2 2 3 2 2 2 3" xfId="32870"/>
    <cellStyle name="Comma 12 2 2 3 2 2 3" xfId="32871"/>
    <cellStyle name="Comma 12 2 2 3 2 2 3 2" xfId="32872"/>
    <cellStyle name="Comma 12 2 2 3 2 2 3 3" xfId="32873"/>
    <cellStyle name="Comma 12 2 2 3 2 2 4" xfId="32874"/>
    <cellStyle name="Comma 12 2 2 3 2 2 4 2" xfId="32875"/>
    <cellStyle name="Comma 12 2 2 3 2 2 5" xfId="32876"/>
    <cellStyle name="Comma 12 2 2 3 2 2 6" xfId="32877"/>
    <cellStyle name="Comma 12 2 2 3 2 3" xfId="32878"/>
    <cellStyle name="Comma 12 2 2 3 2 3 2" xfId="32879"/>
    <cellStyle name="Comma 12 2 2 3 2 3 2 2" xfId="32880"/>
    <cellStyle name="Comma 12 2 2 3 2 3 2 3" xfId="32881"/>
    <cellStyle name="Comma 12 2 2 3 2 3 3" xfId="32882"/>
    <cellStyle name="Comma 12 2 2 3 2 3 3 2" xfId="32883"/>
    <cellStyle name="Comma 12 2 2 3 2 3 3 3" xfId="32884"/>
    <cellStyle name="Comma 12 2 2 3 2 3 4" xfId="32885"/>
    <cellStyle name="Comma 12 2 2 3 2 3 4 2" xfId="32886"/>
    <cellStyle name="Comma 12 2 2 3 2 3 5" xfId="32887"/>
    <cellStyle name="Comma 12 2 2 3 2 3 6" xfId="32888"/>
    <cellStyle name="Comma 12 2 2 3 2 4" xfId="32889"/>
    <cellStyle name="Comma 12 2 2 3 2 4 2" xfId="32890"/>
    <cellStyle name="Comma 12 2 2 3 2 4 2 2" xfId="32891"/>
    <cellStyle name="Comma 12 2 2 3 2 4 2 3" xfId="32892"/>
    <cellStyle name="Comma 12 2 2 3 2 4 3" xfId="32893"/>
    <cellStyle name="Comma 12 2 2 3 2 4 3 2" xfId="32894"/>
    <cellStyle name="Comma 12 2 2 3 2 4 4" xfId="32895"/>
    <cellStyle name="Comma 12 2 2 3 2 4 5" xfId="32896"/>
    <cellStyle name="Comma 12 2 2 3 2 5" xfId="32897"/>
    <cellStyle name="Comma 12 2 2 3 2 5 2" xfId="32898"/>
    <cellStyle name="Comma 12 2 2 3 2 5 3" xfId="32899"/>
    <cellStyle name="Comma 12 2 2 3 2 6" xfId="32900"/>
    <cellStyle name="Comma 12 2 2 3 2 6 2" xfId="32901"/>
    <cellStyle name="Comma 12 2 2 3 2 6 3" xfId="32902"/>
    <cellStyle name="Comma 12 2 2 3 2 7" xfId="32903"/>
    <cellStyle name="Comma 12 2 2 3 2 7 2" xfId="32904"/>
    <cellStyle name="Comma 12 2 2 3 2 8" xfId="32905"/>
    <cellStyle name="Comma 12 2 2 3 2 9" xfId="32906"/>
    <cellStyle name="Comma 12 2 2 3 3" xfId="32907"/>
    <cellStyle name="Comma 12 2 2 3 3 2" xfId="32908"/>
    <cellStyle name="Comma 12 2 2 3 3 2 2" xfId="32909"/>
    <cellStyle name="Comma 12 2 2 3 3 2 3" xfId="32910"/>
    <cellStyle name="Comma 12 2 2 3 3 3" xfId="32911"/>
    <cellStyle name="Comma 12 2 2 3 3 3 2" xfId="32912"/>
    <cellStyle name="Comma 12 2 2 3 3 3 3" xfId="32913"/>
    <cellStyle name="Comma 12 2 2 3 3 4" xfId="32914"/>
    <cellStyle name="Comma 12 2 2 3 3 4 2" xfId="32915"/>
    <cellStyle name="Comma 12 2 2 3 3 5" xfId="32916"/>
    <cellStyle name="Comma 12 2 2 3 3 6" xfId="32917"/>
    <cellStyle name="Comma 12 2 2 3 4" xfId="32918"/>
    <cellStyle name="Comma 12 2 2 3 4 2" xfId="32919"/>
    <cellStyle name="Comma 12 2 2 3 4 2 2" xfId="32920"/>
    <cellStyle name="Comma 12 2 2 3 4 2 3" xfId="32921"/>
    <cellStyle name="Comma 12 2 2 3 4 3" xfId="32922"/>
    <cellStyle name="Comma 12 2 2 3 4 3 2" xfId="32923"/>
    <cellStyle name="Comma 12 2 2 3 4 3 3" xfId="32924"/>
    <cellStyle name="Comma 12 2 2 3 4 4" xfId="32925"/>
    <cellStyle name="Comma 12 2 2 3 4 4 2" xfId="32926"/>
    <cellStyle name="Comma 12 2 2 3 4 5" xfId="32927"/>
    <cellStyle name="Comma 12 2 2 3 4 6" xfId="32928"/>
    <cellStyle name="Comma 12 2 2 3 5" xfId="32929"/>
    <cellStyle name="Comma 12 2 2 3 5 2" xfId="32930"/>
    <cellStyle name="Comma 12 2 2 3 5 2 2" xfId="32931"/>
    <cellStyle name="Comma 12 2 2 3 5 2 3" xfId="32932"/>
    <cellStyle name="Comma 12 2 2 3 5 3" xfId="32933"/>
    <cellStyle name="Comma 12 2 2 3 5 3 2" xfId="32934"/>
    <cellStyle name="Comma 12 2 2 3 5 4" xfId="32935"/>
    <cellStyle name="Comma 12 2 2 3 5 5" xfId="32936"/>
    <cellStyle name="Comma 12 2 2 3 6" xfId="32937"/>
    <cellStyle name="Comma 12 2 2 3 6 2" xfId="32938"/>
    <cellStyle name="Comma 12 2 2 3 6 3" xfId="32939"/>
    <cellStyle name="Comma 12 2 2 3 7" xfId="32940"/>
    <cellStyle name="Comma 12 2 2 3 7 2" xfId="32941"/>
    <cellStyle name="Comma 12 2 2 3 7 3" xfId="32942"/>
    <cellStyle name="Comma 12 2 2 3 8" xfId="32943"/>
    <cellStyle name="Comma 12 2 2 3 8 2" xfId="32944"/>
    <cellStyle name="Comma 12 2 2 3 9" xfId="32945"/>
    <cellStyle name="Comma 12 2 2 4" xfId="32946"/>
    <cellStyle name="Comma 12 2 2 4 2" xfId="32947"/>
    <cellStyle name="Comma 12 2 2 4 2 2" xfId="32948"/>
    <cellStyle name="Comma 12 2 2 4 2 2 2" xfId="32949"/>
    <cellStyle name="Comma 12 2 2 4 2 2 3" xfId="32950"/>
    <cellStyle name="Comma 12 2 2 4 2 3" xfId="32951"/>
    <cellStyle name="Comma 12 2 2 4 2 3 2" xfId="32952"/>
    <cellStyle name="Comma 12 2 2 4 2 3 3" xfId="32953"/>
    <cellStyle name="Comma 12 2 2 4 2 4" xfId="32954"/>
    <cellStyle name="Comma 12 2 2 4 2 4 2" xfId="32955"/>
    <cellStyle name="Comma 12 2 2 4 2 5" xfId="32956"/>
    <cellStyle name="Comma 12 2 2 4 2 6" xfId="32957"/>
    <cellStyle name="Comma 12 2 2 4 3" xfId="32958"/>
    <cellStyle name="Comma 12 2 2 4 3 2" xfId="32959"/>
    <cellStyle name="Comma 12 2 2 4 3 2 2" xfId="32960"/>
    <cellStyle name="Comma 12 2 2 4 3 2 3" xfId="32961"/>
    <cellStyle name="Comma 12 2 2 4 3 3" xfId="32962"/>
    <cellStyle name="Comma 12 2 2 4 3 3 2" xfId="32963"/>
    <cellStyle name="Comma 12 2 2 4 3 3 3" xfId="32964"/>
    <cellStyle name="Comma 12 2 2 4 3 4" xfId="32965"/>
    <cellStyle name="Comma 12 2 2 4 3 4 2" xfId="32966"/>
    <cellStyle name="Comma 12 2 2 4 3 5" xfId="32967"/>
    <cellStyle name="Comma 12 2 2 4 3 6" xfId="32968"/>
    <cellStyle name="Comma 12 2 2 4 4" xfId="32969"/>
    <cellStyle name="Comma 12 2 2 4 4 2" xfId="32970"/>
    <cellStyle name="Comma 12 2 2 4 4 2 2" xfId="32971"/>
    <cellStyle name="Comma 12 2 2 4 4 2 3" xfId="32972"/>
    <cellStyle name="Comma 12 2 2 4 4 3" xfId="32973"/>
    <cellStyle name="Comma 12 2 2 4 4 3 2" xfId="32974"/>
    <cellStyle name="Comma 12 2 2 4 4 4" xfId="32975"/>
    <cellStyle name="Comma 12 2 2 4 4 5" xfId="32976"/>
    <cellStyle name="Comma 12 2 2 4 5" xfId="32977"/>
    <cellStyle name="Comma 12 2 2 4 5 2" xfId="32978"/>
    <cellStyle name="Comma 12 2 2 4 5 3" xfId="32979"/>
    <cellStyle name="Comma 12 2 2 4 6" xfId="32980"/>
    <cellStyle name="Comma 12 2 2 4 6 2" xfId="32981"/>
    <cellStyle name="Comma 12 2 2 4 6 3" xfId="32982"/>
    <cellStyle name="Comma 12 2 2 4 7" xfId="32983"/>
    <cellStyle name="Comma 12 2 2 4 7 2" xfId="32984"/>
    <cellStyle name="Comma 12 2 2 4 8" xfId="32985"/>
    <cellStyle name="Comma 12 2 2 4 9" xfId="32986"/>
    <cellStyle name="Comma 12 2 2 5" xfId="32987"/>
    <cellStyle name="Comma 12 2 2 5 2" xfId="32988"/>
    <cellStyle name="Comma 12 2 2 5 2 2" xfId="32989"/>
    <cellStyle name="Comma 12 2 2 5 2 2 2" xfId="32990"/>
    <cellStyle name="Comma 12 2 2 5 2 2 3" xfId="32991"/>
    <cellStyle name="Comma 12 2 2 5 2 3" xfId="32992"/>
    <cellStyle name="Comma 12 2 2 5 2 3 2" xfId="32993"/>
    <cellStyle name="Comma 12 2 2 5 2 3 3" xfId="32994"/>
    <cellStyle name="Comma 12 2 2 5 2 4" xfId="32995"/>
    <cellStyle name="Comma 12 2 2 5 2 4 2" xfId="32996"/>
    <cellStyle name="Comma 12 2 2 5 2 5" xfId="32997"/>
    <cellStyle name="Comma 12 2 2 5 2 6" xfId="32998"/>
    <cellStyle name="Comma 12 2 2 5 3" xfId="32999"/>
    <cellStyle name="Comma 12 2 2 5 3 2" xfId="33000"/>
    <cellStyle name="Comma 12 2 2 5 3 2 2" xfId="33001"/>
    <cellStyle name="Comma 12 2 2 5 3 2 3" xfId="33002"/>
    <cellStyle name="Comma 12 2 2 5 3 3" xfId="33003"/>
    <cellStyle name="Comma 12 2 2 5 3 3 2" xfId="33004"/>
    <cellStyle name="Comma 12 2 2 5 3 3 3" xfId="33005"/>
    <cellStyle name="Comma 12 2 2 5 3 4" xfId="33006"/>
    <cellStyle name="Comma 12 2 2 5 3 4 2" xfId="33007"/>
    <cellStyle name="Comma 12 2 2 5 3 5" xfId="33008"/>
    <cellStyle name="Comma 12 2 2 5 3 6" xfId="33009"/>
    <cellStyle name="Comma 12 2 2 5 4" xfId="33010"/>
    <cellStyle name="Comma 12 2 2 5 4 2" xfId="33011"/>
    <cellStyle name="Comma 12 2 2 5 4 2 2" xfId="33012"/>
    <cellStyle name="Comma 12 2 2 5 4 2 3" xfId="33013"/>
    <cellStyle name="Comma 12 2 2 5 4 3" xfId="33014"/>
    <cellStyle name="Comma 12 2 2 5 4 3 2" xfId="33015"/>
    <cellStyle name="Comma 12 2 2 5 4 4" xfId="33016"/>
    <cellStyle name="Comma 12 2 2 5 4 5" xfId="33017"/>
    <cellStyle name="Comma 12 2 2 5 5" xfId="33018"/>
    <cellStyle name="Comma 12 2 2 5 5 2" xfId="33019"/>
    <cellStyle name="Comma 12 2 2 5 5 3" xfId="33020"/>
    <cellStyle name="Comma 12 2 2 5 6" xfId="33021"/>
    <cellStyle name="Comma 12 2 2 5 6 2" xfId="33022"/>
    <cellStyle name="Comma 12 2 2 5 6 3" xfId="33023"/>
    <cellStyle name="Comma 12 2 2 5 7" xfId="33024"/>
    <cellStyle name="Comma 12 2 2 5 7 2" xfId="33025"/>
    <cellStyle name="Comma 12 2 2 5 8" xfId="33026"/>
    <cellStyle name="Comma 12 2 2 5 9" xfId="33027"/>
    <cellStyle name="Comma 12 2 2 6" xfId="33028"/>
    <cellStyle name="Comma 12 2 2 6 2" xfId="33029"/>
    <cellStyle name="Comma 12 2 2 6 2 2" xfId="33030"/>
    <cellStyle name="Comma 12 2 2 6 2 3" xfId="33031"/>
    <cellStyle name="Comma 12 2 2 6 3" xfId="33032"/>
    <cellStyle name="Comma 12 2 2 6 3 2" xfId="33033"/>
    <cellStyle name="Comma 12 2 2 6 3 3" xfId="33034"/>
    <cellStyle name="Comma 12 2 2 6 4" xfId="33035"/>
    <cellStyle name="Comma 12 2 2 6 4 2" xfId="33036"/>
    <cellStyle name="Comma 12 2 2 6 5" xfId="33037"/>
    <cellStyle name="Comma 12 2 2 6 6" xfId="33038"/>
    <cellStyle name="Comma 12 2 2 7" xfId="33039"/>
    <cellStyle name="Comma 12 2 2 7 2" xfId="33040"/>
    <cellStyle name="Comma 12 2 2 7 2 2" xfId="33041"/>
    <cellStyle name="Comma 12 2 2 7 2 3" xfId="33042"/>
    <cellStyle name="Comma 12 2 2 7 3" xfId="33043"/>
    <cellStyle name="Comma 12 2 2 7 3 2" xfId="33044"/>
    <cellStyle name="Comma 12 2 2 7 3 3" xfId="33045"/>
    <cellStyle name="Comma 12 2 2 7 4" xfId="33046"/>
    <cellStyle name="Comma 12 2 2 7 4 2" xfId="33047"/>
    <cellStyle name="Comma 12 2 2 7 5" xfId="33048"/>
    <cellStyle name="Comma 12 2 2 7 6" xfId="33049"/>
    <cellStyle name="Comma 12 2 2 8" xfId="33050"/>
    <cellStyle name="Comma 12 2 2 8 2" xfId="33051"/>
    <cellStyle name="Comma 12 2 2 8 2 2" xfId="33052"/>
    <cellStyle name="Comma 12 2 2 8 2 3" xfId="33053"/>
    <cellStyle name="Comma 12 2 2 8 3" xfId="33054"/>
    <cellStyle name="Comma 12 2 2 8 3 2" xfId="33055"/>
    <cellStyle name="Comma 12 2 2 8 4" xfId="33056"/>
    <cellStyle name="Comma 12 2 2 8 5" xfId="33057"/>
    <cellStyle name="Comma 12 2 2 9" xfId="33058"/>
    <cellStyle name="Comma 12 2 2 9 2" xfId="33059"/>
    <cellStyle name="Comma 12 2 2 9 3" xfId="33060"/>
    <cellStyle name="Comma 12 2 3" xfId="33061"/>
    <cellStyle name="Comma 12 2 3 10" xfId="33062"/>
    <cellStyle name="Comma 12 2 3 10 2" xfId="33063"/>
    <cellStyle name="Comma 12 2 3 11" xfId="33064"/>
    <cellStyle name="Comma 12 2 3 12" xfId="33065"/>
    <cellStyle name="Comma 12 2 3 2" xfId="33066"/>
    <cellStyle name="Comma 12 2 3 2 10" xfId="33067"/>
    <cellStyle name="Comma 12 2 3 2 2" xfId="33068"/>
    <cellStyle name="Comma 12 2 3 2 2 2" xfId="33069"/>
    <cellStyle name="Comma 12 2 3 2 2 2 2" xfId="33070"/>
    <cellStyle name="Comma 12 2 3 2 2 2 2 2" xfId="33071"/>
    <cellStyle name="Comma 12 2 3 2 2 2 2 3" xfId="33072"/>
    <cellStyle name="Comma 12 2 3 2 2 2 3" xfId="33073"/>
    <cellStyle name="Comma 12 2 3 2 2 2 3 2" xfId="33074"/>
    <cellStyle name="Comma 12 2 3 2 2 2 3 3" xfId="33075"/>
    <cellStyle name="Comma 12 2 3 2 2 2 4" xfId="33076"/>
    <cellStyle name="Comma 12 2 3 2 2 2 4 2" xfId="33077"/>
    <cellStyle name="Comma 12 2 3 2 2 2 5" xfId="33078"/>
    <cellStyle name="Comma 12 2 3 2 2 2 6" xfId="33079"/>
    <cellStyle name="Comma 12 2 3 2 2 3" xfId="33080"/>
    <cellStyle name="Comma 12 2 3 2 2 3 2" xfId="33081"/>
    <cellStyle name="Comma 12 2 3 2 2 3 2 2" xfId="33082"/>
    <cellStyle name="Comma 12 2 3 2 2 3 2 3" xfId="33083"/>
    <cellStyle name="Comma 12 2 3 2 2 3 3" xfId="33084"/>
    <cellStyle name="Comma 12 2 3 2 2 3 3 2" xfId="33085"/>
    <cellStyle name="Comma 12 2 3 2 2 3 3 3" xfId="33086"/>
    <cellStyle name="Comma 12 2 3 2 2 3 4" xfId="33087"/>
    <cellStyle name="Comma 12 2 3 2 2 3 4 2" xfId="33088"/>
    <cellStyle name="Comma 12 2 3 2 2 3 5" xfId="33089"/>
    <cellStyle name="Comma 12 2 3 2 2 3 6" xfId="33090"/>
    <cellStyle name="Comma 12 2 3 2 2 4" xfId="33091"/>
    <cellStyle name="Comma 12 2 3 2 2 4 2" xfId="33092"/>
    <cellStyle name="Comma 12 2 3 2 2 4 2 2" xfId="33093"/>
    <cellStyle name="Comma 12 2 3 2 2 4 2 3" xfId="33094"/>
    <cellStyle name="Comma 12 2 3 2 2 4 3" xfId="33095"/>
    <cellStyle name="Comma 12 2 3 2 2 4 3 2" xfId="33096"/>
    <cellStyle name="Comma 12 2 3 2 2 4 4" xfId="33097"/>
    <cellStyle name="Comma 12 2 3 2 2 4 5" xfId="33098"/>
    <cellStyle name="Comma 12 2 3 2 2 5" xfId="33099"/>
    <cellStyle name="Comma 12 2 3 2 2 5 2" xfId="33100"/>
    <cellStyle name="Comma 12 2 3 2 2 5 3" xfId="33101"/>
    <cellStyle name="Comma 12 2 3 2 2 6" xfId="33102"/>
    <cellStyle name="Comma 12 2 3 2 2 6 2" xfId="33103"/>
    <cellStyle name="Comma 12 2 3 2 2 6 3" xfId="33104"/>
    <cellStyle name="Comma 12 2 3 2 2 7" xfId="33105"/>
    <cellStyle name="Comma 12 2 3 2 2 7 2" xfId="33106"/>
    <cellStyle name="Comma 12 2 3 2 2 8" xfId="33107"/>
    <cellStyle name="Comma 12 2 3 2 2 9" xfId="33108"/>
    <cellStyle name="Comma 12 2 3 2 3" xfId="33109"/>
    <cellStyle name="Comma 12 2 3 2 3 2" xfId="33110"/>
    <cellStyle name="Comma 12 2 3 2 3 2 2" xfId="33111"/>
    <cellStyle name="Comma 12 2 3 2 3 2 3" xfId="33112"/>
    <cellStyle name="Comma 12 2 3 2 3 3" xfId="33113"/>
    <cellStyle name="Comma 12 2 3 2 3 3 2" xfId="33114"/>
    <cellStyle name="Comma 12 2 3 2 3 3 3" xfId="33115"/>
    <cellStyle name="Comma 12 2 3 2 3 4" xfId="33116"/>
    <cellStyle name="Comma 12 2 3 2 3 4 2" xfId="33117"/>
    <cellStyle name="Comma 12 2 3 2 3 5" xfId="33118"/>
    <cellStyle name="Comma 12 2 3 2 3 6" xfId="33119"/>
    <cellStyle name="Comma 12 2 3 2 4" xfId="33120"/>
    <cellStyle name="Comma 12 2 3 2 4 2" xfId="33121"/>
    <cellStyle name="Comma 12 2 3 2 4 2 2" xfId="33122"/>
    <cellStyle name="Comma 12 2 3 2 4 2 3" xfId="33123"/>
    <cellStyle name="Comma 12 2 3 2 4 3" xfId="33124"/>
    <cellStyle name="Comma 12 2 3 2 4 3 2" xfId="33125"/>
    <cellStyle name="Comma 12 2 3 2 4 3 3" xfId="33126"/>
    <cellStyle name="Comma 12 2 3 2 4 4" xfId="33127"/>
    <cellStyle name="Comma 12 2 3 2 4 4 2" xfId="33128"/>
    <cellStyle name="Comma 12 2 3 2 4 5" xfId="33129"/>
    <cellStyle name="Comma 12 2 3 2 4 6" xfId="33130"/>
    <cellStyle name="Comma 12 2 3 2 5" xfId="33131"/>
    <cellStyle name="Comma 12 2 3 2 5 2" xfId="33132"/>
    <cellStyle name="Comma 12 2 3 2 5 2 2" xfId="33133"/>
    <cellStyle name="Comma 12 2 3 2 5 2 3" xfId="33134"/>
    <cellStyle name="Comma 12 2 3 2 5 3" xfId="33135"/>
    <cellStyle name="Comma 12 2 3 2 5 3 2" xfId="33136"/>
    <cellStyle name="Comma 12 2 3 2 5 4" xfId="33137"/>
    <cellStyle name="Comma 12 2 3 2 5 5" xfId="33138"/>
    <cellStyle name="Comma 12 2 3 2 6" xfId="33139"/>
    <cellStyle name="Comma 12 2 3 2 6 2" xfId="33140"/>
    <cellStyle name="Comma 12 2 3 2 6 3" xfId="33141"/>
    <cellStyle name="Comma 12 2 3 2 7" xfId="33142"/>
    <cellStyle name="Comma 12 2 3 2 7 2" xfId="33143"/>
    <cellStyle name="Comma 12 2 3 2 7 3" xfId="33144"/>
    <cellStyle name="Comma 12 2 3 2 8" xfId="33145"/>
    <cellStyle name="Comma 12 2 3 2 8 2" xfId="33146"/>
    <cellStyle name="Comma 12 2 3 2 9" xfId="33147"/>
    <cellStyle name="Comma 12 2 3 3" xfId="33148"/>
    <cellStyle name="Comma 12 2 3 3 2" xfId="33149"/>
    <cellStyle name="Comma 12 2 3 3 2 2" xfId="33150"/>
    <cellStyle name="Comma 12 2 3 3 2 2 2" xfId="33151"/>
    <cellStyle name="Comma 12 2 3 3 2 2 3" xfId="33152"/>
    <cellStyle name="Comma 12 2 3 3 2 3" xfId="33153"/>
    <cellStyle name="Comma 12 2 3 3 2 3 2" xfId="33154"/>
    <cellStyle name="Comma 12 2 3 3 2 3 3" xfId="33155"/>
    <cellStyle name="Comma 12 2 3 3 2 4" xfId="33156"/>
    <cellStyle name="Comma 12 2 3 3 2 4 2" xfId="33157"/>
    <cellStyle name="Comma 12 2 3 3 2 5" xfId="33158"/>
    <cellStyle name="Comma 12 2 3 3 2 6" xfId="33159"/>
    <cellStyle name="Comma 12 2 3 3 3" xfId="33160"/>
    <cellStyle name="Comma 12 2 3 3 3 2" xfId="33161"/>
    <cellStyle name="Comma 12 2 3 3 3 2 2" xfId="33162"/>
    <cellStyle name="Comma 12 2 3 3 3 2 3" xfId="33163"/>
    <cellStyle name="Comma 12 2 3 3 3 3" xfId="33164"/>
    <cellStyle name="Comma 12 2 3 3 3 3 2" xfId="33165"/>
    <cellStyle name="Comma 12 2 3 3 3 3 3" xfId="33166"/>
    <cellStyle name="Comma 12 2 3 3 3 4" xfId="33167"/>
    <cellStyle name="Comma 12 2 3 3 3 4 2" xfId="33168"/>
    <cellStyle name="Comma 12 2 3 3 3 5" xfId="33169"/>
    <cellStyle name="Comma 12 2 3 3 3 6" xfId="33170"/>
    <cellStyle name="Comma 12 2 3 3 4" xfId="33171"/>
    <cellStyle name="Comma 12 2 3 3 4 2" xfId="33172"/>
    <cellStyle name="Comma 12 2 3 3 4 2 2" xfId="33173"/>
    <cellStyle name="Comma 12 2 3 3 4 2 3" xfId="33174"/>
    <cellStyle name="Comma 12 2 3 3 4 3" xfId="33175"/>
    <cellStyle name="Comma 12 2 3 3 4 3 2" xfId="33176"/>
    <cellStyle name="Comma 12 2 3 3 4 4" xfId="33177"/>
    <cellStyle name="Comma 12 2 3 3 4 5" xfId="33178"/>
    <cellStyle name="Comma 12 2 3 3 5" xfId="33179"/>
    <cellStyle name="Comma 12 2 3 3 5 2" xfId="33180"/>
    <cellStyle name="Comma 12 2 3 3 5 3" xfId="33181"/>
    <cellStyle name="Comma 12 2 3 3 6" xfId="33182"/>
    <cellStyle name="Comma 12 2 3 3 6 2" xfId="33183"/>
    <cellStyle name="Comma 12 2 3 3 6 3" xfId="33184"/>
    <cellStyle name="Comma 12 2 3 3 7" xfId="33185"/>
    <cellStyle name="Comma 12 2 3 3 7 2" xfId="33186"/>
    <cellStyle name="Comma 12 2 3 3 8" xfId="33187"/>
    <cellStyle name="Comma 12 2 3 3 9" xfId="33188"/>
    <cellStyle name="Comma 12 2 3 4" xfId="33189"/>
    <cellStyle name="Comma 12 2 3 4 2" xfId="33190"/>
    <cellStyle name="Comma 12 2 3 4 2 2" xfId="33191"/>
    <cellStyle name="Comma 12 2 3 4 2 2 2" xfId="33192"/>
    <cellStyle name="Comma 12 2 3 4 2 2 3" xfId="33193"/>
    <cellStyle name="Comma 12 2 3 4 2 3" xfId="33194"/>
    <cellStyle name="Comma 12 2 3 4 2 3 2" xfId="33195"/>
    <cellStyle name="Comma 12 2 3 4 2 3 3" xfId="33196"/>
    <cellStyle name="Comma 12 2 3 4 2 4" xfId="33197"/>
    <cellStyle name="Comma 12 2 3 4 2 4 2" xfId="33198"/>
    <cellStyle name="Comma 12 2 3 4 2 5" xfId="33199"/>
    <cellStyle name="Comma 12 2 3 4 2 6" xfId="33200"/>
    <cellStyle name="Comma 12 2 3 4 3" xfId="33201"/>
    <cellStyle name="Comma 12 2 3 4 3 2" xfId="33202"/>
    <cellStyle name="Comma 12 2 3 4 3 2 2" xfId="33203"/>
    <cellStyle name="Comma 12 2 3 4 3 2 3" xfId="33204"/>
    <cellStyle name="Comma 12 2 3 4 3 3" xfId="33205"/>
    <cellStyle name="Comma 12 2 3 4 3 3 2" xfId="33206"/>
    <cellStyle name="Comma 12 2 3 4 3 3 3" xfId="33207"/>
    <cellStyle name="Comma 12 2 3 4 3 4" xfId="33208"/>
    <cellStyle name="Comma 12 2 3 4 3 4 2" xfId="33209"/>
    <cellStyle name="Comma 12 2 3 4 3 5" xfId="33210"/>
    <cellStyle name="Comma 12 2 3 4 3 6" xfId="33211"/>
    <cellStyle name="Comma 12 2 3 4 4" xfId="33212"/>
    <cellStyle name="Comma 12 2 3 4 4 2" xfId="33213"/>
    <cellStyle name="Comma 12 2 3 4 4 2 2" xfId="33214"/>
    <cellStyle name="Comma 12 2 3 4 4 2 3" xfId="33215"/>
    <cellStyle name="Comma 12 2 3 4 4 3" xfId="33216"/>
    <cellStyle name="Comma 12 2 3 4 4 3 2" xfId="33217"/>
    <cellStyle name="Comma 12 2 3 4 4 4" xfId="33218"/>
    <cellStyle name="Comma 12 2 3 4 4 5" xfId="33219"/>
    <cellStyle name="Comma 12 2 3 4 5" xfId="33220"/>
    <cellStyle name="Comma 12 2 3 4 5 2" xfId="33221"/>
    <cellStyle name="Comma 12 2 3 4 5 3" xfId="33222"/>
    <cellStyle name="Comma 12 2 3 4 6" xfId="33223"/>
    <cellStyle name="Comma 12 2 3 4 6 2" xfId="33224"/>
    <cellStyle name="Comma 12 2 3 4 6 3" xfId="33225"/>
    <cellStyle name="Comma 12 2 3 4 7" xfId="33226"/>
    <cellStyle name="Comma 12 2 3 4 7 2" xfId="33227"/>
    <cellStyle name="Comma 12 2 3 4 8" xfId="33228"/>
    <cellStyle name="Comma 12 2 3 4 9" xfId="33229"/>
    <cellStyle name="Comma 12 2 3 5" xfId="33230"/>
    <cellStyle name="Comma 12 2 3 5 2" xfId="33231"/>
    <cellStyle name="Comma 12 2 3 5 2 2" xfId="33232"/>
    <cellStyle name="Comma 12 2 3 5 2 3" xfId="33233"/>
    <cellStyle name="Comma 12 2 3 5 3" xfId="33234"/>
    <cellStyle name="Comma 12 2 3 5 3 2" xfId="33235"/>
    <cellStyle name="Comma 12 2 3 5 3 3" xfId="33236"/>
    <cellStyle name="Comma 12 2 3 5 4" xfId="33237"/>
    <cellStyle name="Comma 12 2 3 5 4 2" xfId="33238"/>
    <cellStyle name="Comma 12 2 3 5 5" xfId="33239"/>
    <cellStyle name="Comma 12 2 3 5 6" xfId="33240"/>
    <cellStyle name="Comma 12 2 3 6" xfId="33241"/>
    <cellStyle name="Comma 12 2 3 6 2" xfId="33242"/>
    <cellStyle name="Comma 12 2 3 6 2 2" xfId="33243"/>
    <cellStyle name="Comma 12 2 3 6 2 3" xfId="33244"/>
    <cellStyle name="Comma 12 2 3 6 3" xfId="33245"/>
    <cellStyle name="Comma 12 2 3 6 3 2" xfId="33246"/>
    <cellStyle name="Comma 12 2 3 6 3 3" xfId="33247"/>
    <cellStyle name="Comma 12 2 3 6 4" xfId="33248"/>
    <cellStyle name="Comma 12 2 3 6 4 2" xfId="33249"/>
    <cellStyle name="Comma 12 2 3 6 5" xfId="33250"/>
    <cellStyle name="Comma 12 2 3 6 6" xfId="33251"/>
    <cellStyle name="Comma 12 2 3 7" xfId="33252"/>
    <cellStyle name="Comma 12 2 3 7 2" xfId="33253"/>
    <cellStyle name="Comma 12 2 3 7 2 2" xfId="33254"/>
    <cellStyle name="Comma 12 2 3 7 2 3" xfId="33255"/>
    <cellStyle name="Comma 12 2 3 7 3" xfId="33256"/>
    <cellStyle name="Comma 12 2 3 7 3 2" xfId="33257"/>
    <cellStyle name="Comma 12 2 3 7 4" xfId="33258"/>
    <cellStyle name="Comma 12 2 3 7 5" xfId="33259"/>
    <cellStyle name="Comma 12 2 3 8" xfId="33260"/>
    <cellStyle name="Comma 12 2 3 8 2" xfId="33261"/>
    <cellStyle name="Comma 12 2 3 8 3" xfId="33262"/>
    <cellStyle name="Comma 12 2 3 9" xfId="33263"/>
    <cellStyle name="Comma 12 2 3 9 2" xfId="33264"/>
    <cellStyle name="Comma 12 2 3 9 3" xfId="33265"/>
    <cellStyle name="Comma 12 2 4" xfId="33266"/>
    <cellStyle name="Comma 12 2 4 10" xfId="33267"/>
    <cellStyle name="Comma 12 2 4 2" xfId="33268"/>
    <cellStyle name="Comma 12 2 4 2 2" xfId="33269"/>
    <cellStyle name="Comma 12 2 4 2 2 2" xfId="33270"/>
    <cellStyle name="Comma 12 2 4 2 2 2 2" xfId="33271"/>
    <cellStyle name="Comma 12 2 4 2 2 2 3" xfId="33272"/>
    <cellStyle name="Comma 12 2 4 2 2 3" xfId="33273"/>
    <cellStyle name="Comma 12 2 4 2 2 3 2" xfId="33274"/>
    <cellStyle name="Comma 12 2 4 2 2 3 3" xfId="33275"/>
    <cellStyle name="Comma 12 2 4 2 2 4" xfId="33276"/>
    <cellStyle name="Comma 12 2 4 2 2 4 2" xfId="33277"/>
    <cellStyle name="Comma 12 2 4 2 2 5" xfId="33278"/>
    <cellStyle name="Comma 12 2 4 2 2 6" xfId="33279"/>
    <cellStyle name="Comma 12 2 4 2 3" xfId="33280"/>
    <cellStyle name="Comma 12 2 4 2 3 2" xfId="33281"/>
    <cellStyle name="Comma 12 2 4 2 3 2 2" xfId="33282"/>
    <cellStyle name="Comma 12 2 4 2 3 2 3" xfId="33283"/>
    <cellStyle name="Comma 12 2 4 2 3 3" xfId="33284"/>
    <cellStyle name="Comma 12 2 4 2 3 3 2" xfId="33285"/>
    <cellStyle name="Comma 12 2 4 2 3 3 3" xfId="33286"/>
    <cellStyle name="Comma 12 2 4 2 3 4" xfId="33287"/>
    <cellStyle name="Comma 12 2 4 2 3 4 2" xfId="33288"/>
    <cellStyle name="Comma 12 2 4 2 3 5" xfId="33289"/>
    <cellStyle name="Comma 12 2 4 2 3 6" xfId="33290"/>
    <cellStyle name="Comma 12 2 4 2 4" xfId="33291"/>
    <cellStyle name="Comma 12 2 4 2 4 2" xfId="33292"/>
    <cellStyle name="Comma 12 2 4 2 4 2 2" xfId="33293"/>
    <cellStyle name="Comma 12 2 4 2 4 2 3" xfId="33294"/>
    <cellStyle name="Comma 12 2 4 2 4 3" xfId="33295"/>
    <cellStyle name="Comma 12 2 4 2 4 3 2" xfId="33296"/>
    <cellStyle name="Comma 12 2 4 2 4 4" xfId="33297"/>
    <cellStyle name="Comma 12 2 4 2 4 5" xfId="33298"/>
    <cellStyle name="Comma 12 2 4 2 5" xfId="33299"/>
    <cellStyle name="Comma 12 2 4 2 5 2" xfId="33300"/>
    <cellStyle name="Comma 12 2 4 2 5 3" xfId="33301"/>
    <cellStyle name="Comma 12 2 4 2 6" xfId="33302"/>
    <cellStyle name="Comma 12 2 4 2 6 2" xfId="33303"/>
    <cellStyle name="Comma 12 2 4 2 6 3" xfId="33304"/>
    <cellStyle name="Comma 12 2 4 2 7" xfId="33305"/>
    <cellStyle name="Comma 12 2 4 2 7 2" xfId="33306"/>
    <cellStyle name="Comma 12 2 4 2 8" xfId="33307"/>
    <cellStyle name="Comma 12 2 4 2 9" xfId="33308"/>
    <cellStyle name="Comma 12 2 4 3" xfId="33309"/>
    <cellStyle name="Comma 12 2 4 3 2" xfId="33310"/>
    <cellStyle name="Comma 12 2 4 3 2 2" xfId="33311"/>
    <cellStyle name="Comma 12 2 4 3 2 3" xfId="33312"/>
    <cellStyle name="Comma 12 2 4 3 3" xfId="33313"/>
    <cellStyle name="Comma 12 2 4 3 3 2" xfId="33314"/>
    <cellStyle name="Comma 12 2 4 3 3 3" xfId="33315"/>
    <cellStyle name="Comma 12 2 4 3 4" xfId="33316"/>
    <cellStyle name="Comma 12 2 4 3 4 2" xfId="33317"/>
    <cellStyle name="Comma 12 2 4 3 5" xfId="33318"/>
    <cellStyle name="Comma 12 2 4 3 6" xfId="33319"/>
    <cellStyle name="Comma 12 2 4 4" xfId="33320"/>
    <cellStyle name="Comma 12 2 4 4 2" xfId="33321"/>
    <cellStyle name="Comma 12 2 4 4 2 2" xfId="33322"/>
    <cellStyle name="Comma 12 2 4 4 2 3" xfId="33323"/>
    <cellStyle name="Comma 12 2 4 4 3" xfId="33324"/>
    <cellStyle name="Comma 12 2 4 4 3 2" xfId="33325"/>
    <cellStyle name="Comma 12 2 4 4 3 3" xfId="33326"/>
    <cellStyle name="Comma 12 2 4 4 4" xfId="33327"/>
    <cellStyle name="Comma 12 2 4 4 4 2" xfId="33328"/>
    <cellStyle name="Comma 12 2 4 4 5" xfId="33329"/>
    <cellStyle name="Comma 12 2 4 4 6" xfId="33330"/>
    <cellStyle name="Comma 12 2 4 5" xfId="33331"/>
    <cellStyle name="Comma 12 2 4 5 2" xfId="33332"/>
    <cellStyle name="Comma 12 2 4 5 2 2" xfId="33333"/>
    <cellStyle name="Comma 12 2 4 5 2 3" xfId="33334"/>
    <cellStyle name="Comma 12 2 4 5 3" xfId="33335"/>
    <cellStyle name="Comma 12 2 4 5 3 2" xfId="33336"/>
    <cellStyle name="Comma 12 2 4 5 4" xfId="33337"/>
    <cellStyle name="Comma 12 2 4 5 5" xfId="33338"/>
    <cellStyle name="Comma 12 2 4 6" xfId="33339"/>
    <cellStyle name="Comma 12 2 4 6 2" xfId="33340"/>
    <cellStyle name="Comma 12 2 4 6 3" xfId="33341"/>
    <cellStyle name="Comma 12 2 4 7" xfId="33342"/>
    <cellStyle name="Comma 12 2 4 7 2" xfId="33343"/>
    <cellStyle name="Comma 12 2 4 7 3" xfId="33344"/>
    <cellStyle name="Comma 12 2 4 8" xfId="33345"/>
    <cellStyle name="Comma 12 2 4 8 2" xfId="33346"/>
    <cellStyle name="Comma 12 2 4 9" xfId="33347"/>
    <cellStyle name="Comma 12 2 5" xfId="33348"/>
    <cellStyle name="Comma 12 2 5 2" xfId="33349"/>
    <cellStyle name="Comma 12 2 5 2 2" xfId="33350"/>
    <cellStyle name="Comma 12 2 5 2 2 2" xfId="33351"/>
    <cellStyle name="Comma 12 2 5 2 2 3" xfId="33352"/>
    <cellStyle name="Comma 12 2 5 2 3" xfId="33353"/>
    <cellStyle name="Comma 12 2 5 2 3 2" xfId="33354"/>
    <cellStyle name="Comma 12 2 5 2 3 3" xfId="33355"/>
    <cellStyle name="Comma 12 2 5 2 4" xfId="33356"/>
    <cellStyle name="Comma 12 2 5 2 4 2" xfId="33357"/>
    <cellStyle name="Comma 12 2 5 2 5" xfId="33358"/>
    <cellStyle name="Comma 12 2 5 2 6" xfId="33359"/>
    <cellStyle name="Comma 12 2 5 3" xfId="33360"/>
    <cellStyle name="Comma 12 2 5 3 2" xfId="33361"/>
    <cellStyle name="Comma 12 2 5 3 2 2" xfId="33362"/>
    <cellStyle name="Comma 12 2 5 3 2 3" xfId="33363"/>
    <cellStyle name="Comma 12 2 5 3 3" xfId="33364"/>
    <cellStyle name="Comma 12 2 5 3 3 2" xfId="33365"/>
    <cellStyle name="Comma 12 2 5 3 3 3" xfId="33366"/>
    <cellStyle name="Comma 12 2 5 3 4" xfId="33367"/>
    <cellStyle name="Comma 12 2 5 3 4 2" xfId="33368"/>
    <cellStyle name="Comma 12 2 5 3 5" xfId="33369"/>
    <cellStyle name="Comma 12 2 5 3 6" xfId="33370"/>
    <cellStyle name="Comma 12 2 5 4" xfId="33371"/>
    <cellStyle name="Comma 12 2 5 4 2" xfId="33372"/>
    <cellStyle name="Comma 12 2 5 4 2 2" xfId="33373"/>
    <cellStyle name="Comma 12 2 5 4 2 3" xfId="33374"/>
    <cellStyle name="Comma 12 2 5 4 3" xfId="33375"/>
    <cellStyle name="Comma 12 2 5 4 3 2" xfId="33376"/>
    <cellStyle name="Comma 12 2 5 4 4" xfId="33377"/>
    <cellStyle name="Comma 12 2 5 4 5" xfId="33378"/>
    <cellStyle name="Comma 12 2 5 5" xfId="33379"/>
    <cellStyle name="Comma 12 2 5 5 2" xfId="33380"/>
    <cellStyle name="Comma 12 2 5 5 3" xfId="33381"/>
    <cellStyle name="Comma 12 2 5 6" xfId="33382"/>
    <cellStyle name="Comma 12 2 5 6 2" xfId="33383"/>
    <cellStyle name="Comma 12 2 5 6 3" xfId="33384"/>
    <cellStyle name="Comma 12 2 5 7" xfId="33385"/>
    <cellStyle name="Comma 12 2 5 7 2" xfId="33386"/>
    <cellStyle name="Comma 12 2 5 8" xfId="33387"/>
    <cellStyle name="Comma 12 2 5 9" xfId="33388"/>
    <cellStyle name="Comma 12 2 6" xfId="33389"/>
    <cellStyle name="Comma 12 2 6 2" xfId="33390"/>
    <cellStyle name="Comma 12 2 6 2 2" xfId="33391"/>
    <cellStyle name="Comma 12 2 6 2 2 2" xfId="33392"/>
    <cellStyle name="Comma 12 2 6 2 2 3" xfId="33393"/>
    <cellStyle name="Comma 12 2 6 2 3" xfId="33394"/>
    <cellStyle name="Comma 12 2 6 2 3 2" xfId="33395"/>
    <cellStyle name="Comma 12 2 6 2 3 3" xfId="33396"/>
    <cellStyle name="Comma 12 2 6 2 4" xfId="33397"/>
    <cellStyle name="Comma 12 2 6 2 4 2" xfId="33398"/>
    <cellStyle name="Comma 12 2 6 2 5" xfId="33399"/>
    <cellStyle name="Comma 12 2 6 2 6" xfId="33400"/>
    <cellStyle name="Comma 12 2 6 3" xfId="33401"/>
    <cellStyle name="Comma 12 2 6 3 2" xfId="33402"/>
    <cellStyle name="Comma 12 2 6 3 2 2" xfId="33403"/>
    <cellStyle name="Comma 12 2 6 3 2 3" xfId="33404"/>
    <cellStyle name="Comma 12 2 6 3 3" xfId="33405"/>
    <cellStyle name="Comma 12 2 6 3 3 2" xfId="33406"/>
    <cellStyle name="Comma 12 2 6 3 3 3" xfId="33407"/>
    <cellStyle name="Comma 12 2 6 3 4" xfId="33408"/>
    <cellStyle name="Comma 12 2 6 3 4 2" xfId="33409"/>
    <cellStyle name="Comma 12 2 6 3 5" xfId="33410"/>
    <cellStyle name="Comma 12 2 6 3 6" xfId="33411"/>
    <cellStyle name="Comma 12 2 6 4" xfId="33412"/>
    <cellStyle name="Comma 12 2 6 4 2" xfId="33413"/>
    <cellStyle name="Comma 12 2 6 4 2 2" xfId="33414"/>
    <cellStyle name="Comma 12 2 6 4 2 3" xfId="33415"/>
    <cellStyle name="Comma 12 2 6 4 3" xfId="33416"/>
    <cellStyle name="Comma 12 2 6 4 3 2" xfId="33417"/>
    <cellStyle name="Comma 12 2 6 4 4" xfId="33418"/>
    <cellStyle name="Comma 12 2 6 4 5" xfId="33419"/>
    <cellStyle name="Comma 12 2 6 5" xfId="33420"/>
    <cellStyle name="Comma 12 2 6 5 2" xfId="33421"/>
    <cellStyle name="Comma 12 2 6 5 3" xfId="33422"/>
    <cellStyle name="Comma 12 2 6 6" xfId="33423"/>
    <cellStyle name="Comma 12 2 6 6 2" xfId="33424"/>
    <cellStyle name="Comma 12 2 6 6 3" xfId="33425"/>
    <cellStyle name="Comma 12 2 6 7" xfId="33426"/>
    <cellStyle name="Comma 12 2 6 7 2" xfId="33427"/>
    <cellStyle name="Comma 12 2 6 8" xfId="33428"/>
    <cellStyle name="Comma 12 2 6 9" xfId="33429"/>
    <cellStyle name="Comma 12 2 7" xfId="33430"/>
    <cellStyle name="Comma 12 2 7 2" xfId="33431"/>
    <cellStyle name="Comma 12 2 7 2 2" xfId="33432"/>
    <cellStyle name="Comma 12 2 7 2 3" xfId="33433"/>
    <cellStyle name="Comma 12 2 7 3" xfId="33434"/>
    <cellStyle name="Comma 12 2 7 3 2" xfId="33435"/>
    <cellStyle name="Comma 12 2 7 3 3" xfId="33436"/>
    <cellStyle name="Comma 12 2 7 4" xfId="33437"/>
    <cellStyle name="Comma 12 2 7 4 2" xfId="33438"/>
    <cellStyle name="Comma 12 2 7 5" xfId="33439"/>
    <cellStyle name="Comma 12 2 7 6" xfId="33440"/>
    <cellStyle name="Comma 12 2 8" xfId="33441"/>
    <cellStyle name="Comma 12 2 8 2" xfId="33442"/>
    <cellStyle name="Comma 12 2 8 2 2" xfId="33443"/>
    <cellStyle name="Comma 12 2 8 2 3" xfId="33444"/>
    <cellStyle name="Comma 12 2 8 3" xfId="33445"/>
    <cellStyle name="Comma 12 2 8 3 2" xfId="33446"/>
    <cellStyle name="Comma 12 2 8 3 3" xfId="33447"/>
    <cellStyle name="Comma 12 2 8 4" xfId="33448"/>
    <cellStyle name="Comma 12 2 8 4 2" xfId="33449"/>
    <cellStyle name="Comma 12 2 8 5" xfId="33450"/>
    <cellStyle name="Comma 12 2 8 6" xfId="33451"/>
    <cellStyle name="Comma 12 2 9" xfId="33452"/>
    <cellStyle name="Comma 12 2 9 2" xfId="33453"/>
    <cellStyle name="Comma 12 2 9 2 2" xfId="33454"/>
    <cellStyle name="Comma 12 2 9 2 3" xfId="33455"/>
    <cellStyle name="Comma 12 2 9 3" xfId="33456"/>
    <cellStyle name="Comma 12 2 9 3 2" xfId="33457"/>
    <cellStyle name="Comma 12 2 9 4" xfId="33458"/>
    <cellStyle name="Comma 12 2 9 5" xfId="33459"/>
    <cellStyle name="Comma 12 3" xfId="33460"/>
    <cellStyle name="Comma 12 3 10" xfId="33461"/>
    <cellStyle name="Comma 12 3 10 2" xfId="33462"/>
    <cellStyle name="Comma 12 3 10 3" xfId="33463"/>
    <cellStyle name="Comma 12 3 11" xfId="33464"/>
    <cellStyle name="Comma 12 3 11 2" xfId="33465"/>
    <cellStyle name="Comma 12 3 12" xfId="33466"/>
    <cellStyle name="Comma 12 3 13" xfId="33467"/>
    <cellStyle name="Comma 12 3 2" xfId="33468"/>
    <cellStyle name="Comma 12 3 2 10" xfId="33469"/>
    <cellStyle name="Comma 12 3 2 10 2" xfId="33470"/>
    <cellStyle name="Comma 12 3 2 11" xfId="33471"/>
    <cellStyle name="Comma 12 3 2 12" xfId="33472"/>
    <cellStyle name="Comma 12 3 2 2" xfId="33473"/>
    <cellStyle name="Comma 12 3 2 2 10" xfId="33474"/>
    <cellStyle name="Comma 12 3 2 2 2" xfId="33475"/>
    <cellStyle name="Comma 12 3 2 2 2 2" xfId="33476"/>
    <cellStyle name="Comma 12 3 2 2 2 2 2" xfId="33477"/>
    <cellStyle name="Comma 12 3 2 2 2 2 2 2" xfId="33478"/>
    <cellStyle name="Comma 12 3 2 2 2 2 2 3" xfId="33479"/>
    <cellStyle name="Comma 12 3 2 2 2 2 3" xfId="33480"/>
    <cellStyle name="Comma 12 3 2 2 2 2 3 2" xfId="33481"/>
    <cellStyle name="Comma 12 3 2 2 2 2 3 3" xfId="33482"/>
    <cellStyle name="Comma 12 3 2 2 2 2 4" xfId="33483"/>
    <cellStyle name="Comma 12 3 2 2 2 2 4 2" xfId="33484"/>
    <cellStyle name="Comma 12 3 2 2 2 2 5" xfId="33485"/>
    <cellStyle name="Comma 12 3 2 2 2 2 6" xfId="33486"/>
    <cellStyle name="Comma 12 3 2 2 2 3" xfId="33487"/>
    <cellStyle name="Comma 12 3 2 2 2 3 2" xfId="33488"/>
    <cellStyle name="Comma 12 3 2 2 2 3 2 2" xfId="33489"/>
    <cellStyle name="Comma 12 3 2 2 2 3 2 3" xfId="33490"/>
    <cellStyle name="Comma 12 3 2 2 2 3 3" xfId="33491"/>
    <cellStyle name="Comma 12 3 2 2 2 3 3 2" xfId="33492"/>
    <cellStyle name="Comma 12 3 2 2 2 3 3 3" xfId="33493"/>
    <cellStyle name="Comma 12 3 2 2 2 3 4" xfId="33494"/>
    <cellStyle name="Comma 12 3 2 2 2 3 4 2" xfId="33495"/>
    <cellStyle name="Comma 12 3 2 2 2 3 5" xfId="33496"/>
    <cellStyle name="Comma 12 3 2 2 2 3 6" xfId="33497"/>
    <cellStyle name="Comma 12 3 2 2 2 4" xfId="33498"/>
    <cellStyle name="Comma 12 3 2 2 2 4 2" xfId="33499"/>
    <cellStyle name="Comma 12 3 2 2 2 4 2 2" xfId="33500"/>
    <cellStyle name="Comma 12 3 2 2 2 4 2 3" xfId="33501"/>
    <cellStyle name="Comma 12 3 2 2 2 4 3" xfId="33502"/>
    <cellStyle name="Comma 12 3 2 2 2 4 3 2" xfId="33503"/>
    <cellStyle name="Comma 12 3 2 2 2 4 4" xfId="33504"/>
    <cellStyle name="Comma 12 3 2 2 2 4 5" xfId="33505"/>
    <cellStyle name="Comma 12 3 2 2 2 5" xfId="33506"/>
    <cellStyle name="Comma 12 3 2 2 2 5 2" xfId="33507"/>
    <cellStyle name="Comma 12 3 2 2 2 5 3" xfId="33508"/>
    <cellStyle name="Comma 12 3 2 2 2 6" xfId="33509"/>
    <cellStyle name="Comma 12 3 2 2 2 6 2" xfId="33510"/>
    <cellStyle name="Comma 12 3 2 2 2 6 3" xfId="33511"/>
    <cellStyle name="Comma 12 3 2 2 2 7" xfId="33512"/>
    <cellStyle name="Comma 12 3 2 2 2 7 2" xfId="33513"/>
    <cellStyle name="Comma 12 3 2 2 2 8" xfId="33514"/>
    <cellStyle name="Comma 12 3 2 2 2 9" xfId="33515"/>
    <cellStyle name="Comma 12 3 2 2 3" xfId="33516"/>
    <cellStyle name="Comma 12 3 2 2 3 2" xfId="33517"/>
    <cellStyle name="Comma 12 3 2 2 3 2 2" xfId="33518"/>
    <cellStyle name="Comma 12 3 2 2 3 2 3" xfId="33519"/>
    <cellStyle name="Comma 12 3 2 2 3 3" xfId="33520"/>
    <cellStyle name="Comma 12 3 2 2 3 3 2" xfId="33521"/>
    <cellStyle name="Comma 12 3 2 2 3 3 3" xfId="33522"/>
    <cellStyle name="Comma 12 3 2 2 3 4" xfId="33523"/>
    <cellStyle name="Comma 12 3 2 2 3 4 2" xfId="33524"/>
    <cellStyle name="Comma 12 3 2 2 3 5" xfId="33525"/>
    <cellStyle name="Comma 12 3 2 2 3 6" xfId="33526"/>
    <cellStyle name="Comma 12 3 2 2 4" xfId="33527"/>
    <cellStyle name="Comma 12 3 2 2 4 2" xfId="33528"/>
    <cellStyle name="Comma 12 3 2 2 4 2 2" xfId="33529"/>
    <cellStyle name="Comma 12 3 2 2 4 2 3" xfId="33530"/>
    <cellStyle name="Comma 12 3 2 2 4 3" xfId="33531"/>
    <cellStyle name="Comma 12 3 2 2 4 3 2" xfId="33532"/>
    <cellStyle name="Comma 12 3 2 2 4 3 3" xfId="33533"/>
    <cellStyle name="Comma 12 3 2 2 4 4" xfId="33534"/>
    <cellStyle name="Comma 12 3 2 2 4 4 2" xfId="33535"/>
    <cellStyle name="Comma 12 3 2 2 4 5" xfId="33536"/>
    <cellStyle name="Comma 12 3 2 2 4 6" xfId="33537"/>
    <cellStyle name="Comma 12 3 2 2 5" xfId="33538"/>
    <cellStyle name="Comma 12 3 2 2 5 2" xfId="33539"/>
    <cellStyle name="Comma 12 3 2 2 5 2 2" xfId="33540"/>
    <cellStyle name="Comma 12 3 2 2 5 2 3" xfId="33541"/>
    <cellStyle name="Comma 12 3 2 2 5 3" xfId="33542"/>
    <cellStyle name="Comma 12 3 2 2 5 3 2" xfId="33543"/>
    <cellStyle name="Comma 12 3 2 2 5 4" xfId="33544"/>
    <cellStyle name="Comma 12 3 2 2 5 5" xfId="33545"/>
    <cellStyle name="Comma 12 3 2 2 6" xfId="33546"/>
    <cellStyle name="Comma 12 3 2 2 6 2" xfId="33547"/>
    <cellStyle name="Comma 12 3 2 2 6 3" xfId="33548"/>
    <cellStyle name="Comma 12 3 2 2 7" xfId="33549"/>
    <cellStyle name="Comma 12 3 2 2 7 2" xfId="33550"/>
    <cellStyle name="Comma 12 3 2 2 7 3" xfId="33551"/>
    <cellStyle name="Comma 12 3 2 2 8" xfId="33552"/>
    <cellStyle name="Comma 12 3 2 2 8 2" xfId="33553"/>
    <cellStyle name="Comma 12 3 2 2 9" xfId="33554"/>
    <cellStyle name="Comma 12 3 2 3" xfId="33555"/>
    <cellStyle name="Comma 12 3 2 3 2" xfId="33556"/>
    <cellStyle name="Comma 12 3 2 3 2 2" xfId="33557"/>
    <cellStyle name="Comma 12 3 2 3 2 2 2" xfId="33558"/>
    <cellStyle name="Comma 12 3 2 3 2 2 3" xfId="33559"/>
    <cellStyle name="Comma 12 3 2 3 2 3" xfId="33560"/>
    <cellStyle name="Comma 12 3 2 3 2 3 2" xfId="33561"/>
    <cellStyle name="Comma 12 3 2 3 2 3 3" xfId="33562"/>
    <cellStyle name="Comma 12 3 2 3 2 4" xfId="33563"/>
    <cellStyle name="Comma 12 3 2 3 2 4 2" xfId="33564"/>
    <cellStyle name="Comma 12 3 2 3 2 5" xfId="33565"/>
    <cellStyle name="Comma 12 3 2 3 2 6" xfId="33566"/>
    <cellStyle name="Comma 12 3 2 3 3" xfId="33567"/>
    <cellStyle name="Comma 12 3 2 3 3 2" xfId="33568"/>
    <cellStyle name="Comma 12 3 2 3 3 2 2" xfId="33569"/>
    <cellStyle name="Comma 12 3 2 3 3 2 3" xfId="33570"/>
    <cellStyle name="Comma 12 3 2 3 3 3" xfId="33571"/>
    <cellStyle name="Comma 12 3 2 3 3 3 2" xfId="33572"/>
    <cellStyle name="Comma 12 3 2 3 3 3 3" xfId="33573"/>
    <cellStyle name="Comma 12 3 2 3 3 4" xfId="33574"/>
    <cellStyle name="Comma 12 3 2 3 3 4 2" xfId="33575"/>
    <cellStyle name="Comma 12 3 2 3 3 5" xfId="33576"/>
    <cellStyle name="Comma 12 3 2 3 3 6" xfId="33577"/>
    <cellStyle name="Comma 12 3 2 3 4" xfId="33578"/>
    <cellStyle name="Comma 12 3 2 3 4 2" xfId="33579"/>
    <cellStyle name="Comma 12 3 2 3 4 2 2" xfId="33580"/>
    <cellStyle name="Comma 12 3 2 3 4 2 3" xfId="33581"/>
    <cellStyle name="Comma 12 3 2 3 4 3" xfId="33582"/>
    <cellStyle name="Comma 12 3 2 3 4 3 2" xfId="33583"/>
    <cellStyle name="Comma 12 3 2 3 4 4" xfId="33584"/>
    <cellStyle name="Comma 12 3 2 3 4 5" xfId="33585"/>
    <cellStyle name="Comma 12 3 2 3 5" xfId="33586"/>
    <cellStyle name="Comma 12 3 2 3 5 2" xfId="33587"/>
    <cellStyle name="Comma 12 3 2 3 5 3" xfId="33588"/>
    <cellStyle name="Comma 12 3 2 3 6" xfId="33589"/>
    <cellStyle name="Comma 12 3 2 3 6 2" xfId="33590"/>
    <cellStyle name="Comma 12 3 2 3 6 3" xfId="33591"/>
    <cellStyle name="Comma 12 3 2 3 7" xfId="33592"/>
    <cellStyle name="Comma 12 3 2 3 7 2" xfId="33593"/>
    <cellStyle name="Comma 12 3 2 3 8" xfId="33594"/>
    <cellStyle name="Comma 12 3 2 3 9" xfId="33595"/>
    <cellStyle name="Comma 12 3 2 4" xfId="33596"/>
    <cellStyle name="Comma 12 3 2 4 2" xfId="33597"/>
    <cellStyle name="Comma 12 3 2 4 2 2" xfId="33598"/>
    <cellStyle name="Comma 12 3 2 4 2 2 2" xfId="33599"/>
    <cellStyle name="Comma 12 3 2 4 2 2 3" xfId="33600"/>
    <cellStyle name="Comma 12 3 2 4 2 3" xfId="33601"/>
    <cellStyle name="Comma 12 3 2 4 2 3 2" xfId="33602"/>
    <cellStyle name="Comma 12 3 2 4 2 3 3" xfId="33603"/>
    <cellStyle name="Comma 12 3 2 4 2 4" xfId="33604"/>
    <cellStyle name="Comma 12 3 2 4 2 4 2" xfId="33605"/>
    <cellStyle name="Comma 12 3 2 4 2 5" xfId="33606"/>
    <cellStyle name="Comma 12 3 2 4 2 6" xfId="33607"/>
    <cellStyle name="Comma 12 3 2 4 3" xfId="33608"/>
    <cellStyle name="Comma 12 3 2 4 3 2" xfId="33609"/>
    <cellStyle name="Comma 12 3 2 4 3 2 2" xfId="33610"/>
    <cellStyle name="Comma 12 3 2 4 3 2 3" xfId="33611"/>
    <cellStyle name="Comma 12 3 2 4 3 3" xfId="33612"/>
    <cellStyle name="Comma 12 3 2 4 3 3 2" xfId="33613"/>
    <cellStyle name="Comma 12 3 2 4 3 3 3" xfId="33614"/>
    <cellStyle name="Comma 12 3 2 4 3 4" xfId="33615"/>
    <cellStyle name="Comma 12 3 2 4 3 4 2" xfId="33616"/>
    <cellStyle name="Comma 12 3 2 4 3 5" xfId="33617"/>
    <cellStyle name="Comma 12 3 2 4 3 6" xfId="33618"/>
    <cellStyle name="Comma 12 3 2 4 4" xfId="33619"/>
    <cellStyle name="Comma 12 3 2 4 4 2" xfId="33620"/>
    <cellStyle name="Comma 12 3 2 4 4 2 2" xfId="33621"/>
    <cellStyle name="Comma 12 3 2 4 4 2 3" xfId="33622"/>
    <cellStyle name="Comma 12 3 2 4 4 3" xfId="33623"/>
    <cellStyle name="Comma 12 3 2 4 4 3 2" xfId="33624"/>
    <cellStyle name="Comma 12 3 2 4 4 4" xfId="33625"/>
    <cellStyle name="Comma 12 3 2 4 4 5" xfId="33626"/>
    <cellStyle name="Comma 12 3 2 4 5" xfId="33627"/>
    <cellStyle name="Comma 12 3 2 4 5 2" xfId="33628"/>
    <cellStyle name="Comma 12 3 2 4 5 3" xfId="33629"/>
    <cellStyle name="Comma 12 3 2 4 6" xfId="33630"/>
    <cellStyle name="Comma 12 3 2 4 6 2" xfId="33631"/>
    <cellStyle name="Comma 12 3 2 4 6 3" xfId="33632"/>
    <cellStyle name="Comma 12 3 2 4 7" xfId="33633"/>
    <cellStyle name="Comma 12 3 2 4 7 2" xfId="33634"/>
    <cellStyle name="Comma 12 3 2 4 8" xfId="33635"/>
    <cellStyle name="Comma 12 3 2 4 9" xfId="33636"/>
    <cellStyle name="Comma 12 3 2 5" xfId="33637"/>
    <cellStyle name="Comma 12 3 2 5 2" xfId="33638"/>
    <cellStyle name="Comma 12 3 2 5 2 2" xfId="33639"/>
    <cellStyle name="Comma 12 3 2 5 2 3" xfId="33640"/>
    <cellStyle name="Comma 12 3 2 5 3" xfId="33641"/>
    <cellStyle name="Comma 12 3 2 5 3 2" xfId="33642"/>
    <cellStyle name="Comma 12 3 2 5 3 3" xfId="33643"/>
    <cellStyle name="Comma 12 3 2 5 4" xfId="33644"/>
    <cellStyle name="Comma 12 3 2 5 4 2" xfId="33645"/>
    <cellStyle name="Comma 12 3 2 5 5" xfId="33646"/>
    <cellStyle name="Comma 12 3 2 5 6" xfId="33647"/>
    <cellStyle name="Comma 12 3 2 6" xfId="33648"/>
    <cellStyle name="Comma 12 3 2 6 2" xfId="33649"/>
    <cellStyle name="Comma 12 3 2 6 2 2" xfId="33650"/>
    <cellStyle name="Comma 12 3 2 6 2 3" xfId="33651"/>
    <cellStyle name="Comma 12 3 2 6 3" xfId="33652"/>
    <cellStyle name="Comma 12 3 2 6 3 2" xfId="33653"/>
    <cellStyle name="Comma 12 3 2 6 3 3" xfId="33654"/>
    <cellStyle name="Comma 12 3 2 6 4" xfId="33655"/>
    <cellStyle name="Comma 12 3 2 6 4 2" xfId="33656"/>
    <cellStyle name="Comma 12 3 2 6 5" xfId="33657"/>
    <cellStyle name="Comma 12 3 2 6 6" xfId="33658"/>
    <cellStyle name="Comma 12 3 2 7" xfId="33659"/>
    <cellStyle name="Comma 12 3 2 7 2" xfId="33660"/>
    <cellStyle name="Comma 12 3 2 7 2 2" xfId="33661"/>
    <cellStyle name="Comma 12 3 2 7 2 3" xfId="33662"/>
    <cellStyle name="Comma 12 3 2 7 3" xfId="33663"/>
    <cellStyle name="Comma 12 3 2 7 3 2" xfId="33664"/>
    <cellStyle name="Comma 12 3 2 7 4" xfId="33665"/>
    <cellStyle name="Comma 12 3 2 7 5" xfId="33666"/>
    <cellStyle name="Comma 12 3 2 8" xfId="33667"/>
    <cellStyle name="Comma 12 3 2 8 2" xfId="33668"/>
    <cellStyle name="Comma 12 3 2 8 3" xfId="33669"/>
    <cellStyle name="Comma 12 3 2 9" xfId="33670"/>
    <cellStyle name="Comma 12 3 2 9 2" xfId="33671"/>
    <cellStyle name="Comma 12 3 2 9 3" xfId="33672"/>
    <cellStyle name="Comma 12 3 3" xfId="33673"/>
    <cellStyle name="Comma 12 3 3 10" xfId="33674"/>
    <cellStyle name="Comma 12 3 3 2" xfId="33675"/>
    <cellStyle name="Comma 12 3 3 2 2" xfId="33676"/>
    <cellStyle name="Comma 12 3 3 2 2 2" xfId="33677"/>
    <cellStyle name="Comma 12 3 3 2 2 2 2" xfId="33678"/>
    <cellStyle name="Comma 12 3 3 2 2 2 3" xfId="33679"/>
    <cellStyle name="Comma 12 3 3 2 2 3" xfId="33680"/>
    <cellStyle name="Comma 12 3 3 2 2 3 2" xfId="33681"/>
    <cellStyle name="Comma 12 3 3 2 2 3 3" xfId="33682"/>
    <cellStyle name="Comma 12 3 3 2 2 4" xfId="33683"/>
    <cellStyle name="Comma 12 3 3 2 2 4 2" xfId="33684"/>
    <cellStyle name="Comma 12 3 3 2 2 5" xfId="33685"/>
    <cellStyle name="Comma 12 3 3 2 2 6" xfId="33686"/>
    <cellStyle name="Comma 12 3 3 2 3" xfId="33687"/>
    <cellStyle name="Comma 12 3 3 2 3 2" xfId="33688"/>
    <cellStyle name="Comma 12 3 3 2 3 2 2" xfId="33689"/>
    <cellStyle name="Comma 12 3 3 2 3 2 3" xfId="33690"/>
    <cellStyle name="Comma 12 3 3 2 3 3" xfId="33691"/>
    <cellStyle name="Comma 12 3 3 2 3 3 2" xfId="33692"/>
    <cellStyle name="Comma 12 3 3 2 3 3 3" xfId="33693"/>
    <cellStyle name="Comma 12 3 3 2 3 4" xfId="33694"/>
    <cellStyle name="Comma 12 3 3 2 3 4 2" xfId="33695"/>
    <cellStyle name="Comma 12 3 3 2 3 5" xfId="33696"/>
    <cellStyle name="Comma 12 3 3 2 3 6" xfId="33697"/>
    <cellStyle name="Comma 12 3 3 2 4" xfId="33698"/>
    <cellStyle name="Comma 12 3 3 2 4 2" xfId="33699"/>
    <cellStyle name="Comma 12 3 3 2 4 2 2" xfId="33700"/>
    <cellStyle name="Comma 12 3 3 2 4 2 3" xfId="33701"/>
    <cellStyle name="Comma 12 3 3 2 4 3" xfId="33702"/>
    <cellStyle name="Comma 12 3 3 2 4 3 2" xfId="33703"/>
    <cellStyle name="Comma 12 3 3 2 4 4" xfId="33704"/>
    <cellStyle name="Comma 12 3 3 2 4 5" xfId="33705"/>
    <cellStyle name="Comma 12 3 3 2 5" xfId="33706"/>
    <cellStyle name="Comma 12 3 3 2 5 2" xfId="33707"/>
    <cellStyle name="Comma 12 3 3 2 5 3" xfId="33708"/>
    <cellStyle name="Comma 12 3 3 2 6" xfId="33709"/>
    <cellStyle name="Comma 12 3 3 2 6 2" xfId="33710"/>
    <cellStyle name="Comma 12 3 3 2 6 3" xfId="33711"/>
    <cellStyle name="Comma 12 3 3 2 7" xfId="33712"/>
    <cellStyle name="Comma 12 3 3 2 7 2" xfId="33713"/>
    <cellStyle name="Comma 12 3 3 2 8" xfId="33714"/>
    <cellStyle name="Comma 12 3 3 2 9" xfId="33715"/>
    <cellStyle name="Comma 12 3 3 3" xfId="33716"/>
    <cellStyle name="Comma 12 3 3 3 2" xfId="33717"/>
    <cellStyle name="Comma 12 3 3 3 2 2" xfId="33718"/>
    <cellStyle name="Comma 12 3 3 3 2 3" xfId="33719"/>
    <cellStyle name="Comma 12 3 3 3 3" xfId="33720"/>
    <cellStyle name="Comma 12 3 3 3 3 2" xfId="33721"/>
    <cellStyle name="Comma 12 3 3 3 3 3" xfId="33722"/>
    <cellStyle name="Comma 12 3 3 3 4" xfId="33723"/>
    <cellStyle name="Comma 12 3 3 3 4 2" xfId="33724"/>
    <cellStyle name="Comma 12 3 3 3 5" xfId="33725"/>
    <cellStyle name="Comma 12 3 3 3 6" xfId="33726"/>
    <cellStyle name="Comma 12 3 3 4" xfId="33727"/>
    <cellStyle name="Comma 12 3 3 4 2" xfId="33728"/>
    <cellStyle name="Comma 12 3 3 4 2 2" xfId="33729"/>
    <cellStyle name="Comma 12 3 3 4 2 3" xfId="33730"/>
    <cellStyle name="Comma 12 3 3 4 3" xfId="33731"/>
    <cellStyle name="Comma 12 3 3 4 3 2" xfId="33732"/>
    <cellStyle name="Comma 12 3 3 4 3 3" xfId="33733"/>
    <cellStyle name="Comma 12 3 3 4 4" xfId="33734"/>
    <cellStyle name="Comma 12 3 3 4 4 2" xfId="33735"/>
    <cellStyle name="Comma 12 3 3 4 5" xfId="33736"/>
    <cellStyle name="Comma 12 3 3 4 6" xfId="33737"/>
    <cellStyle name="Comma 12 3 3 5" xfId="33738"/>
    <cellStyle name="Comma 12 3 3 5 2" xfId="33739"/>
    <cellStyle name="Comma 12 3 3 5 2 2" xfId="33740"/>
    <cellStyle name="Comma 12 3 3 5 2 3" xfId="33741"/>
    <cellStyle name="Comma 12 3 3 5 3" xfId="33742"/>
    <cellStyle name="Comma 12 3 3 5 3 2" xfId="33743"/>
    <cellStyle name="Comma 12 3 3 5 4" xfId="33744"/>
    <cellStyle name="Comma 12 3 3 5 5" xfId="33745"/>
    <cellStyle name="Comma 12 3 3 6" xfId="33746"/>
    <cellStyle name="Comma 12 3 3 6 2" xfId="33747"/>
    <cellStyle name="Comma 12 3 3 6 3" xfId="33748"/>
    <cellStyle name="Comma 12 3 3 7" xfId="33749"/>
    <cellStyle name="Comma 12 3 3 7 2" xfId="33750"/>
    <cellStyle name="Comma 12 3 3 7 3" xfId="33751"/>
    <cellStyle name="Comma 12 3 3 8" xfId="33752"/>
    <cellStyle name="Comma 12 3 3 8 2" xfId="33753"/>
    <cellStyle name="Comma 12 3 3 9" xfId="33754"/>
    <cellStyle name="Comma 12 3 4" xfId="33755"/>
    <cellStyle name="Comma 12 3 4 2" xfId="33756"/>
    <cellStyle name="Comma 12 3 4 2 2" xfId="33757"/>
    <cellStyle name="Comma 12 3 4 2 2 2" xfId="33758"/>
    <cellStyle name="Comma 12 3 4 2 2 3" xfId="33759"/>
    <cellStyle name="Comma 12 3 4 2 3" xfId="33760"/>
    <cellStyle name="Comma 12 3 4 2 3 2" xfId="33761"/>
    <cellStyle name="Comma 12 3 4 2 3 3" xfId="33762"/>
    <cellStyle name="Comma 12 3 4 2 4" xfId="33763"/>
    <cellStyle name="Comma 12 3 4 2 4 2" xfId="33764"/>
    <cellStyle name="Comma 12 3 4 2 5" xfId="33765"/>
    <cellStyle name="Comma 12 3 4 2 6" xfId="33766"/>
    <cellStyle name="Comma 12 3 4 3" xfId="33767"/>
    <cellStyle name="Comma 12 3 4 3 2" xfId="33768"/>
    <cellStyle name="Comma 12 3 4 3 2 2" xfId="33769"/>
    <cellStyle name="Comma 12 3 4 3 2 3" xfId="33770"/>
    <cellStyle name="Comma 12 3 4 3 3" xfId="33771"/>
    <cellStyle name="Comma 12 3 4 3 3 2" xfId="33772"/>
    <cellStyle name="Comma 12 3 4 3 3 3" xfId="33773"/>
    <cellStyle name="Comma 12 3 4 3 4" xfId="33774"/>
    <cellStyle name="Comma 12 3 4 3 4 2" xfId="33775"/>
    <cellStyle name="Comma 12 3 4 3 5" xfId="33776"/>
    <cellStyle name="Comma 12 3 4 3 6" xfId="33777"/>
    <cellStyle name="Comma 12 3 4 4" xfId="33778"/>
    <cellStyle name="Comma 12 3 4 4 2" xfId="33779"/>
    <cellStyle name="Comma 12 3 4 4 2 2" xfId="33780"/>
    <cellStyle name="Comma 12 3 4 4 2 3" xfId="33781"/>
    <cellStyle name="Comma 12 3 4 4 3" xfId="33782"/>
    <cellStyle name="Comma 12 3 4 4 3 2" xfId="33783"/>
    <cellStyle name="Comma 12 3 4 4 4" xfId="33784"/>
    <cellStyle name="Comma 12 3 4 4 5" xfId="33785"/>
    <cellStyle name="Comma 12 3 4 5" xfId="33786"/>
    <cellStyle name="Comma 12 3 4 5 2" xfId="33787"/>
    <cellStyle name="Comma 12 3 4 5 3" xfId="33788"/>
    <cellStyle name="Comma 12 3 4 6" xfId="33789"/>
    <cellStyle name="Comma 12 3 4 6 2" xfId="33790"/>
    <cellStyle name="Comma 12 3 4 6 3" xfId="33791"/>
    <cellStyle name="Comma 12 3 4 7" xfId="33792"/>
    <cellStyle name="Comma 12 3 4 7 2" xfId="33793"/>
    <cellStyle name="Comma 12 3 4 8" xfId="33794"/>
    <cellStyle name="Comma 12 3 4 9" xfId="33795"/>
    <cellStyle name="Comma 12 3 5" xfId="33796"/>
    <cellStyle name="Comma 12 3 5 2" xfId="33797"/>
    <cellStyle name="Comma 12 3 5 2 2" xfId="33798"/>
    <cellStyle name="Comma 12 3 5 2 2 2" xfId="33799"/>
    <cellStyle name="Comma 12 3 5 2 2 3" xfId="33800"/>
    <cellStyle name="Comma 12 3 5 2 3" xfId="33801"/>
    <cellStyle name="Comma 12 3 5 2 3 2" xfId="33802"/>
    <cellStyle name="Comma 12 3 5 2 3 3" xfId="33803"/>
    <cellStyle name="Comma 12 3 5 2 4" xfId="33804"/>
    <cellStyle name="Comma 12 3 5 2 4 2" xfId="33805"/>
    <cellStyle name="Comma 12 3 5 2 5" xfId="33806"/>
    <cellStyle name="Comma 12 3 5 2 6" xfId="33807"/>
    <cellStyle name="Comma 12 3 5 3" xfId="33808"/>
    <cellStyle name="Comma 12 3 5 3 2" xfId="33809"/>
    <cellStyle name="Comma 12 3 5 3 2 2" xfId="33810"/>
    <cellStyle name="Comma 12 3 5 3 2 3" xfId="33811"/>
    <cellStyle name="Comma 12 3 5 3 3" xfId="33812"/>
    <cellStyle name="Comma 12 3 5 3 3 2" xfId="33813"/>
    <cellStyle name="Comma 12 3 5 3 3 3" xfId="33814"/>
    <cellStyle name="Comma 12 3 5 3 4" xfId="33815"/>
    <cellStyle name="Comma 12 3 5 3 4 2" xfId="33816"/>
    <cellStyle name="Comma 12 3 5 3 5" xfId="33817"/>
    <cellStyle name="Comma 12 3 5 3 6" xfId="33818"/>
    <cellStyle name="Comma 12 3 5 4" xfId="33819"/>
    <cellStyle name="Comma 12 3 5 4 2" xfId="33820"/>
    <cellStyle name="Comma 12 3 5 4 2 2" xfId="33821"/>
    <cellStyle name="Comma 12 3 5 4 2 3" xfId="33822"/>
    <cellStyle name="Comma 12 3 5 4 3" xfId="33823"/>
    <cellStyle name="Comma 12 3 5 4 3 2" xfId="33824"/>
    <cellStyle name="Comma 12 3 5 4 4" xfId="33825"/>
    <cellStyle name="Comma 12 3 5 4 5" xfId="33826"/>
    <cellStyle name="Comma 12 3 5 5" xfId="33827"/>
    <cellStyle name="Comma 12 3 5 5 2" xfId="33828"/>
    <cellStyle name="Comma 12 3 5 5 3" xfId="33829"/>
    <cellStyle name="Comma 12 3 5 6" xfId="33830"/>
    <cellStyle name="Comma 12 3 5 6 2" xfId="33831"/>
    <cellStyle name="Comma 12 3 5 6 3" xfId="33832"/>
    <cellStyle name="Comma 12 3 5 7" xfId="33833"/>
    <cellStyle name="Comma 12 3 5 7 2" xfId="33834"/>
    <cellStyle name="Comma 12 3 5 8" xfId="33835"/>
    <cellStyle name="Comma 12 3 5 9" xfId="33836"/>
    <cellStyle name="Comma 12 3 6" xfId="33837"/>
    <cellStyle name="Comma 12 3 6 2" xfId="33838"/>
    <cellStyle name="Comma 12 3 6 2 2" xfId="33839"/>
    <cellStyle name="Comma 12 3 6 2 3" xfId="33840"/>
    <cellStyle name="Comma 12 3 6 3" xfId="33841"/>
    <cellStyle name="Comma 12 3 6 3 2" xfId="33842"/>
    <cellStyle name="Comma 12 3 6 3 3" xfId="33843"/>
    <cellStyle name="Comma 12 3 6 4" xfId="33844"/>
    <cellStyle name="Comma 12 3 6 4 2" xfId="33845"/>
    <cellStyle name="Comma 12 3 6 5" xfId="33846"/>
    <cellStyle name="Comma 12 3 6 6" xfId="33847"/>
    <cellStyle name="Comma 12 3 7" xfId="33848"/>
    <cellStyle name="Comma 12 3 7 2" xfId="33849"/>
    <cellStyle name="Comma 12 3 7 2 2" xfId="33850"/>
    <cellStyle name="Comma 12 3 7 2 3" xfId="33851"/>
    <cellStyle name="Comma 12 3 7 3" xfId="33852"/>
    <cellStyle name="Comma 12 3 7 3 2" xfId="33853"/>
    <cellStyle name="Comma 12 3 7 3 3" xfId="33854"/>
    <cellStyle name="Comma 12 3 7 4" xfId="33855"/>
    <cellStyle name="Comma 12 3 7 4 2" xfId="33856"/>
    <cellStyle name="Comma 12 3 7 5" xfId="33857"/>
    <cellStyle name="Comma 12 3 7 6" xfId="33858"/>
    <cellStyle name="Comma 12 3 8" xfId="33859"/>
    <cellStyle name="Comma 12 3 8 2" xfId="33860"/>
    <cellStyle name="Comma 12 3 8 2 2" xfId="33861"/>
    <cellStyle name="Comma 12 3 8 2 3" xfId="33862"/>
    <cellStyle name="Comma 12 3 8 3" xfId="33863"/>
    <cellStyle name="Comma 12 3 8 3 2" xfId="33864"/>
    <cellStyle name="Comma 12 3 8 4" xfId="33865"/>
    <cellStyle name="Comma 12 3 8 5" xfId="33866"/>
    <cellStyle name="Comma 12 3 9" xfId="33867"/>
    <cellStyle name="Comma 12 3 9 2" xfId="33868"/>
    <cellStyle name="Comma 12 3 9 3" xfId="33869"/>
    <cellStyle name="Comma 12 4" xfId="33870"/>
    <cellStyle name="Comma 12 4 10" xfId="33871"/>
    <cellStyle name="Comma 12 4 10 2" xfId="33872"/>
    <cellStyle name="Comma 12 4 11" xfId="33873"/>
    <cellStyle name="Comma 12 4 12" xfId="33874"/>
    <cellStyle name="Comma 12 4 2" xfId="33875"/>
    <cellStyle name="Comma 12 4 2 10" xfId="33876"/>
    <cellStyle name="Comma 12 4 2 2" xfId="33877"/>
    <cellStyle name="Comma 12 4 2 2 2" xfId="33878"/>
    <cellStyle name="Comma 12 4 2 2 2 2" xfId="33879"/>
    <cellStyle name="Comma 12 4 2 2 2 2 2" xfId="33880"/>
    <cellStyle name="Comma 12 4 2 2 2 2 3" xfId="33881"/>
    <cellStyle name="Comma 12 4 2 2 2 3" xfId="33882"/>
    <cellStyle name="Comma 12 4 2 2 2 3 2" xfId="33883"/>
    <cellStyle name="Comma 12 4 2 2 2 3 3" xfId="33884"/>
    <cellStyle name="Comma 12 4 2 2 2 4" xfId="33885"/>
    <cellStyle name="Comma 12 4 2 2 2 4 2" xfId="33886"/>
    <cellStyle name="Comma 12 4 2 2 2 5" xfId="33887"/>
    <cellStyle name="Comma 12 4 2 2 2 6" xfId="33888"/>
    <cellStyle name="Comma 12 4 2 2 3" xfId="33889"/>
    <cellStyle name="Comma 12 4 2 2 3 2" xfId="33890"/>
    <cellStyle name="Comma 12 4 2 2 3 2 2" xfId="33891"/>
    <cellStyle name="Comma 12 4 2 2 3 2 3" xfId="33892"/>
    <cellStyle name="Comma 12 4 2 2 3 3" xfId="33893"/>
    <cellStyle name="Comma 12 4 2 2 3 3 2" xfId="33894"/>
    <cellStyle name="Comma 12 4 2 2 3 3 3" xfId="33895"/>
    <cellStyle name="Comma 12 4 2 2 3 4" xfId="33896"/>
    <cellStyle name="Comma 12 4 2 2 3 4 2" xfId="33897"/>
    <cellStyle name="Comma 12 4 2 2 3 5" xfId="33898"/>
    <cellStyle name="Comma 12 4 2 2 3 6" xfId="33899"/>
    <cellStyle name="Comma 12 4 2 2 4" xfId="33900"/>
    <cellStyle name="Comma 12 4 2 2 4 2" xfId="33901"/>
    <cellStyle name="Comma 12 4 2 2 4 2 2" xfId="33902"/>
    <cellStyle name="Comma 12 4 2 2 4 2 3" xfId="33903"/>
    <cellStyle name="Comma 12 4 2 2 4 3" xfId="33904"/>
    <cellStyle name="Comma 12 4 2 2 4 3 2" xfId="33905"/>
    <cellStyle name="Comma 12 4 2 2 4 4" xfId="33906"/>
    <cellStyle name="Comma 12 4 2 2 4 5" xfId="33907"/>
    <cellStyle name="Comma 12 4 2 2 5" xfId="33908"/>
    <cellStyle name="Comma 12 4 2 2 5 2" xfId="33909"/>
    <cellStyle name="Comma 12 4 2 2 5 3" xfId="33910"/>
    <cellStyle name="Comma 12 4 2 2 6" xfId="33911"/>
    <cellStyle name="Comma 12 4 2 2 6 2" xfId="33912"/>
    <cellStyle name="Comma 12 4 2 2 6 3" xfId="33913"/>
    <cellStyle name="Comma 12 4 2 2 7" xfId="33914"/>
    <cellStyle name="Comma 12 4 2 2 7 2" xfId="33915"/>
    <cellStyle name="Comma 12 4 2 2 8" xfId="33916"/>
    <cellStyle name="Comma 12 4 2 2 9" xfId="33917"/>
    <cellStyle name="Comma 12 4 2 3" xfId="33918"/>
    <cellStyle name="Comma 12 4 2 3 2" xfId="33919"/>
    <cellStyle name="Comma 12 4 2 3 2 2" xfId="33920"/>
    <cellStyle name="Comma 12 4 2 3 2 3" xfId="33921"/>
    <cellStyle name="Comma 12 4 2 3 3" xfId="33922"/>
    <cellStyle name="Comma 12 4 2 3 3 2" xfId="33923"/>
    <cellStyle name="Comma 12 4 2 3 3 3" xfId="33924"/>
    <cellStyle name="Comma 12 4 2 3 4" xfId="33925"/>
    <cellStyle name="Comma 12 4 2 3 4 2" xfId="33926"/>
    <cellStyle name="Comma 12 4 2 3 5" xfId="33927"/>
    <cellStyle name="Comma 12 4 2 3 6" xfId="33928"/>
    <cellStyle name="Comma 12 4 2 4" xfId="33929"/>
    <cellStyle name="Comma 12 4 2 4 2" xfId="33930"/>
    <cellStyle name="Comma 12 4 2 4 2 2" xfId="33931"/>
    <cellStyle name="Comma 12 4 2 4 2 3" xfId="33932"/>
    <cellStyle name="Comma 12 4 2 4 3" xfId="33933"/>
    <cellStyle name="Comma 12 4 2 4 3 2" xfId="33934"/>
    <cellStyle name="Comma 12 4 2 4 3 3" xfId="33935"/>
    <cellStyle name="Comma 12 4 2 4 4" xfId="33936"/>
    <cellStyle name="Comma 12 4 2 4 4 2" xfId="33937"/>
    <cellStyle name="Comma 12 4 2 4 5" xfId="33938"/>
    <cellStyle name="Comma 12 4 2 4 6" xfId="33939"/>
    <cellStyle name="Comma 12 4 2 5" xfId="33940"/>
    <cellStyle name="Comma 12 4 2 5 2" xfId="33941"/>
    <cellStyle name="Comma 12 4 2 5 2 2" xfId="33942"/>
    <cellStyle name="Comma 12 4 2 5 2 3" xfId="33943"/>
    <cellStyle name="Comma 12 4 2 5 3" xfId="33944"/>
    <cellStyle name="Comma 12 4 2 5 3 2" xfId="33945"/>
    <cellStyle name="Comma 12 4 2 5 4" xfId="33946"/>
    <cellStyle name="Comma 12 4 2 5 5" xfId="33947"/>
    <cellStyle name="Comma 12 4 2 6" xfId="33948"/>
    <cellStyle name="Comma 12 4 2 6 2" xfId="33949"/>
    <cellStyle name="Comma 12 4 2 6 3" xfId="33950"/>
    <cellStyle name="Comma 12 4 2 7" xfId="33951"/>
    <cellStyle name="Comma 12 4 2 7 2" xfId="33952"/>
    <cellStyle name="Comma 12 4 2 7 3" xfId="33953"/>
    <cellStyle name="Comma 12 4 2 8" xfId="33954"/>
    <cellStyle name="Comma 12 4 2 8 2" xfId="33955"/>
    <cellStyle name="Comma 12 4 2 9" xfId="33956"/>
    <cellStyle name="Comma 12 4 3" xfId="33957"/>
    <cellStyle name="Comma 12 4 3 2" xfId="33958"/>
    <cellStyle name="Comma 12 4 3 2 2" xfId="33959"/>
    <cellStyle name="Comma 12 4 3 2 2 2" xfId="33960"/>
    <cellStyle name="Comma 12 4 3 2 2 3" xfId="33961"/>
    <cellStyle name="Comma 12 4 3 2 3" xfId="33962"/>
    <cellStyle name="Comma 12 4 3 2 3 2" xfId="33963"/>
    <cellStyle name="Comma 12 4 3 2 3 3" xfId="33964"/>
    <cellStyle name="Comma 12 4 3 2 4" xfId="33965"/>
    <cellStyle name="Comma 12 4 3 2 4 2" xfId="33966"/>
    <cellStyle name="Comma 12 4 3 2 5" xfId="33967"/>
    <cellStyle name="Comma 12 4 3 2 6" xfId="33968"/>
    <cellStyle name="Comma 12 4 3 3" xfId="33969"/>
    <cellStyle name="Comma 12 4 3 3 2" xfId="33970"/>
    <cellStyle name="Comma 12 4 3 3 2 2" xfId="33971"/>
    <cellStyle name="Comma 12 4 3 3 2 3" xfId="33972"/>
    <cellStyle name="Comma 12 4 3 3 3" xfId="33973"/>
    <cellStyle name="Comma 12 4 3 3 3 2" xfId="33974"/>
    <cellStyle name="Comma 12 4 3 3 3 3" xfId="33975"/>
    <cellStyle name="Comma 12 4 3 3 4" xfId="33976"/>
    <cellStyle name="Comma 12 4 3 3 4 2" xfId="33977"/>
    <cellStyle name="Comma 12 4 3 3 5" xfId="33978"/>
    <cellStyle name="Comma 12 4 3 3 6" xfId="33979"/>
    <cellStyle name="Comma 12 4 3 4" xfId="33980"/>
    <cellStyle name="Comma 12 4 3 4 2" xfId="33981"/>
    <cellStyle name="Comma 12 4 3 4 2 2" xfId="33982"/>
    <cellStyle name="Comma 12 4 3 4 2 3" xfId="33983"/>
    <cellStyle name="Comma 12 4 3 4 3" xfId="33984"/>
    <cellStyle name="Comma 12 4 3 4 3 2" xfId="33985"/>
    <cellStyle name="Comma 12 4 3 4 4" xfId="33986"/>
    <cellStyle name="Comma 12 4 3 4 5" xfId="33987"/>
    <cellStyle name="Comma 12 4 3 5" xfId="33988"/>
    <cellStyle name="Comma 12 4 3 5 2" xfId="33989"/>
    <cellStyle name="Comma 12 4 3 5 3" xfId="33990"/>
    <cellStyle name="Comma 12 4 3 6" xfId="33991"/>
    <cellStyle name="Comma 12 4 3 6 2" xfId="33992"/>
    <cellStyle name="Comma 12 4 3 6 3" xfId="33993"/>
    <cellStyle name="Comma 12 4 3 7" xfId="33994"/>
    <cellStyle name="Comma 12 4 3 7 2" xfId="33995"/>
    <cellStyle name="Comma 12 4 3 8" xfId="33996"/>
    <cellStyle name="Comma 12 4 3 9" xfId="33997"/>
    <cellStyle name="Comma 12 4 4" xfId="33998"/>
    <cellStyle name="Comma 12 4 4 2" xfId="33999"/>
    <cellStyle name="Comma 12 4 4 2 2" xfId="34000"/>
    <cellStyle name="Comma 12 4 4 2 2 2" xfId="34001"/>
    <cellStyle name="Comma 12 4 4 2 2 3" xfId="34002"/>
    <cellStyle name="Comma 12 4 4 2 3" xfId="34003"/>
    <cellStyle name="Comma 12 4 4 2 3 2" xfId="34004"/>
    <cellStyle name="Comma 12 4 4 2 3 3" xfId="34005"/>
    <cellStyle name="Comma 12 4 4 2 4" xfId="34006"/>
    <cellStyle name="Comma 12 4 4 2 4 2" xfId="34007"/>
    <cellStyle name="Comma 12 4 4 2 5" xfId="34008"/>
    <cellStyle name="Comma 12 4 4 2 6" xfId="34009"/>
    <cellStyle name="Comma 12 4 4 3" xfId="34010"/>
    <cellStyle name="Comma 12 4 4 3 2" xfId="34011"/>
    <cellStyle name="Comma 12 4 4 3 2 2" xfId="34012"/>
    <cellStyle name="Comma 12 4 4 3 2 3" xfId="34013"/>
    <cellStyle name="Comma 12 4 4 3 3" xfId="34014"/>
    <cellStyle name="Comma 12 4 4 3 3 2" xfId="34015"/>
    <cellStyle name="Comma 12 4 4 3 3 3" xfId="34016"/>
    <cellStyle name="Comma 12 4 4 3 4" xfId="34017"/>
    <cellStyle name="Comma 12 4 4 3 4 2" xfId="34018"/>
    <cellStyle name="Comma 12 4 4 3 5" xfId="34019"/>
    <cellStyle name="Comma 12 4 4 3 6" xfId="34020"/>
    <cellStyle name="Comma 12 4 4 4" xfId="34021"/>
    <cellStyle name="Comma 12 4 4 4 2" xfId="34022"/>
    <cellStyle name="Comma 12 4 4 4 2 2" xfId="34023"/>
    <cellStyle name="Comma 12 4 4 4 2 3" xfId="34024"/>
    <cellStyle name="Comma 12 4 4 4 3" xfId="34025"/>
    <cellStyle name="Comma 12 4 4 4 3 2" xfId="34026"/>
    <cellStyle name="Comma 12 4 4 4 4" xfId="34027"/>
    <cellStyle name="Comma 12 4 4 4 5" xfId="34028"/>
    <cellStyle name="Comma 12 4 4 5" xfId="34029"/>
    <cellStyle name="Comma 12 4 4 5 2" xfId="34030"/>
    <cellStyle name="Comma 12 4 4 5 3" xfId="34031"/>
    <cellStyle name="Comma 12 4 4 6" xfId="34032"/>
    <cellStyle name="Comma 12 4 4 6 2" xfId="34033"/>
    <cellStyle name="Comma 12 4 4 6 3" xfId="34034"/>
    <cellStyle name="Comma 12 4 4 7" xfId="34035"/>
    <cellStyle name="Comma 12 4 4 7 2" xfId="34036"/>
    <cellStyle name="Comma 12 4 4 8" xfId="34037"/>
    <cellStyle name="Comma 12 4 4 9" xfId="34038"/>
    <cellStyle name="Comma 12 4 5" xfId="34039"/>
    <cellStyle name="Comma 12 4 5 2" xfId="34040"/>
    <cellStyle name="Comma 12 4 5 2 2" xfId="34041"/>
    <cellStyle name="Comma 12 4 5 2 3" xfId="34042"/>
    <cellStyle name="Comma 12 4 5 3" xfId="34043"/>
    <cellStyle name="Comma 12 4 5 3 2" xfId="34044"/>
    <cellStyle name="Comma 12 4 5 3 3" xfId="34045"/>
    <cellStyle name="Comma 12 4 5 4" xfId="34046"/>
    <cellStyle name="Comma 12 4 5 4 2" xfId="34047"/>
    <cellStyle name="Comma 12 4 5 5" xfId="34048"/>
    <cellStyle name="Comma 12 4 5 6" xfId="34049"/>
    <cellStyle name="Comma 12 4 6" xfId="34050"/>
    <cellStyle name="Comma 12 4 6 2" xfId="34051"/>
    <cellStyle name="Comma 12 4 6 2 2" xfId="34052"/>
    <cellStyle name="Comma 12 4 6 2 3" xfId="34053"/>
    <cellStyle name="Comma 12 4 6 3" xfId="34054"/>
    <cellStyle name="Comma 12 4 6 3 2" xfId="34055"/>
    <cellStyle name="Comma 12 4 6 3 3" xfId="34056"/>
    <cellStyle name="Comma 12 4 6 4" xfId="34057"/>
    <cellStyle name="Comma 12 4 6 4 2" xfId="34058"/>
    <cellStyle name="Comma 12 4 6 5" xfId="34059"/>
    <cellStyle name="Comma 12 4 6 6" xfId="34060"/>
    <cellStyle name="Comma 12 4 7" xfId="34061"/>
    <cellStyle name="Comma 12 4 7 2" xfId="34062"/>
    <cellStyle name="Comma 12 4 7 2 2" xfId="34063"/>
    <cellStyle name="Comma 12 4 7 2 3" xfId="34064"/>
    <cellStyle name="Comma 12 4 7 3" xfId="34065"/>
    <cellStyle name="Comma 12 4 7 3 2" xfId="34066"/>
    <cellStyle name="Comma 12 4 7 4" xfId="34067"/>
    <cellStyle name="Comma 12 4 7 5" xfId="34068"/>
    <cellStyle name="Comma 12 4 8" xfId="34069"/>
    <cellStyle name="Comma 12 4 8 2" xfId="34070"/>
    <cellStyle name="Comma 12 4 8 3" xfId="34071"/>
    <cellStyle name="Comma 12 4 9" xfId="34072"/>
    <cellStyle name="Comma 12 4 9 2" xfId="34073"/>
    <cellStyle name="Comma 12 4 9 3" xfId="34074"/>
    <cellStyle name="Comma 12 5" xfId="34075"/>
    <cellStyle name="Comma 12 5 10" xfId="34076"/>
    <cellStyle name="Comma 12 5 2" xfId="34077"/>
    <cellStyle name="Comma 12 5 2 2" xfId="34078"/>
    <cellStyle name="Comma 12 5 2 2 2" xfId="34079"/>
    <cellStyle name="Comma 12 5 2 2 2 2" xfId="34080"/>
    <cellStyle name="Comma 12 5 2 2 2 3" xfId="34081"/>
    <cellStyle name="Comma 12 5 2 2 3" xfId="34082"/>
    <cellStyle name="Comma 12 5 2 2 3 2" xfId="34083"/>
    <cellStyle name="Comma 12 5 2 2 3 3" xfId="34084"/>
    <cellStyle name="Comma 12 5 2 2 4" xfId="34085"/>
    <cellStyle name="Comma 12 5 2 2 4 2" xfId="34086"/>
    <cellStyle name="Comma 12 5 2 2 5" xfId="34087"/>
    <cellStyle name="Comma 12 5 2 2 6" xfId="34088"/>
    <cellStyle name="Comma 12 5 2 3" xfId="34089"/>
    <cellStyle name="Comma 12 5 2 3 2" xfId="34090"/>
    <cellStyle name="Comma 12 5 2 3 2 2" xfId="34091"/>
    <cellStyle name="Comma 12 5 2 3 2 3" xfId="34092"/>
    <cellStyle name="Comma 12 5 2 3 3" xfId="34093"/>
    <cellStyle name="Comma 12 5 2 3 3 2" xfId="34094"/>
    <cellStyle name="Comma 12 5 2 3 3 3" xfId="34095"/>
    <cellStyle name="Comma 12 5 2 3 4" xfId="34096"/>
    <cellStyle name="Comma 12 5 2 3 4 2" xfId="34097"/>
    <cellStyle name="Comma 12 5 2 3 5" xfId="34098"/>
    <cellStyle name="Comma 12 5 2 3 6" xfId="34099"/>
    <cellStyle name="Comma 12 5 2 4" xfId="34100"/>
    <cellStyle name="Comma 12 5 2 4 2" xfId="34101"/>
    <cellStyle name="Comma 12 5 2 4 2 2" xfId="34102"/>
    <cellStyle name="Comma 12 5 2 4 2 3" xfId="34103"/>
    <cellStyle name="Comma 12 5 2 4 3" xfId="34104"/>
    <cellStyle name="Comma 12 5 2 4 3 2" xfId="34105"/>
    <cellStyle name="Comma 12 5 2 4 4" xfId="34106"/>
    <cellStyle name="Comma 12 5 2 4 5" xfId="34107"/>
    <cellStyle name="Comma 12 5 2 5" xfId="34108"/>
    <cellStyle name="Comma 12 5 2 5 2" xfId="34109"/>
    <cellStyle name="Comma 12 5 2 5 3" xfId="34110"/>
    <cellStyle name="Comma 12 5 2 6" xfId="34111"/>
    <cellStyle name="Comma 12 5 2 6 2" xfId="34112"/>
    <cellStyle name="Comma 12 5 2 6 3" xfId="34113"/>
    <cellStyle name="Comma 12 5 2 7" xfId="34114"/>
    <cellStyle name="Comma 12 5 2 7 2" xfId="34115"/>
    <cellStyle name="Comma 12 5 2 8" xfId="34116"/>
    <cellStyle name="Comma 12 5 2 9" xfId="34117"/>
    <cellStyle name="Comma 12 5 3" xfId="34118"/>
    <cellStyle name="Comma 12 5 3 2" xfId="34119"/>
    <cellStyle name="Comma 12 5 3 2 2" xfId="34120"/>
    <cellStyle name="Comma 12 5 3 2 3" xfId="34121"/>
    <cellStyle name="Comma 12 5 3 3" xfId="34122"/>
    <cellStyle name="Comma 12 5 3 3 2" xfId="34123"/>
    <cellStyle name="Comma 12 5 3 3 3" xfId="34124"/>
    <cellStyle name="Comma 12 5 3 4" xfId="34125"/>
    <cellStyle name="Comma 12 5 3 4 2" xfId="34126"/>
    <cellStyle name="Comma 12 5 3 5" xfId="34127"/>
    <cellStyle name="Comma 12 5 3 6" xfId="34128"/>
    <cellStyle name="Comma 12 5 4" xfId="34129"/>
    <cellStyle name="Comma 12 5 4 2" xfId="34130"/>
    <cellStyle name="Comma 12 5 4 2 2" xfId="34131"/>
    <cellStyle name="Comma 12 5 4 2 3" xfId="34132"/>
    <cellStyle name="Comma 12 5 4 3" xfId="34133"/>
    <cellStyle name="Comma 12 5 4 3 2" xfId="34134"/>
    <cellStyle name="Comma 12 5 4 3 3" xfId="34135"/>
    <cellStyle name="Comma 12 5 4 4" xfId="34136"/>
    <cellStyle name="Comma 12 5 4 4 2" xfId="34137"/>
    <cellStyle name="Comma 12 5 4 5" xfId="34138"/>
    <cellStyle name="Comma 12 5 4 6" xfId="34139"/>
    <cellStyle name="Comma 12 5 5" xfId="34140"/>
    <cellStyle name="Comma 12 5 5 2" xfId="34141"/>
    <cellStyle name="Comma 12 5 5 2 2" xfId="34142"/>
    <cellStyle name="Comma 12 5 5 2 3" xfId="34143"/>
    <cellStyle name="Comma 12 5 5 3" xfId="34144"/>
    <cellStyle name="Comma 12 5 5 3 2" xfId="34145"/>
    <cellStyle name="Comma 12 5 5 4" xfId="34146"/>
    <cellStyle name="Comma 12 5 5 5" xfId="34147"/>
    <cellStyle name="Comma 12 5 6" xfId="34148"/>
    <cellStyle name="Comma 12 5 6 2" xfId="34149"/>
    <cellStyle name="Comma 12 5 6 3" xfId="34150"/>
    <cellStyle name="Comma 12 5 7" xfId="34151"/>
    <cellStyle name="Comma 12 5 7 2" xfId="34152"/>
    <cellStyle name="Comma 12 5 7 3" xfId="34153"/>
    <cellStyle name="Comma 12 5 8" xfId="34154"/>
    <cellStyle name="Comma 12 5 8 2" xfId="34155"/>
    <cellStyle name="Comma 12 5 9" xfId="34156"/>
    <cellStyle name="Comma 12 6" xfId="34157"/>
    <cellStyle name="Comma 12 6 2" xfId="34158"/>
    <cellStyle name="Comma 12 6 2 2" xfId="34159"/>
    <cellStyle name="Comma 12 6 2 2 2" xfId="34160"/>
    <cellStyle name="Comma 12 6 2 2 3" xfId="34161"/>
    <cellStyle name="Comma 12 6 2 3" xfId="34162"/>
    <cellStyle name="Comma 12 6 2 3 2" xfId="34163"/>
    <cellStyle name="Comma 12 6 2 3 3" xfId="34164"/>
    <cellStyle name="Comma 12 6 2 4" xfId="34165"/>
    <cellStyle name="Comma 12 6 2 4 2" xfId="34166"/>
    <cellStyle name="Comma 12 6 2 5" xfId="34167"/>
    <cellStyle name="Comma 12 6 2 6" xfId="34168"/>
    <cellStyle name="Comma 12 6 3" xfId="34169"/>
    <cellStyle name="Comma 12 6 3 2" xfId="34170"/>
    <cellStyle name="Comma 12 6 3 2 2" xfId="34171"/>
    <cellStyle name="Comma 12 6 3 2 3" xfId="34172"/>
    <cellStyle name="Comma 12 6 3 3" xfId="34173"/>
    <cellStyle name="Comma 12 6 3 3 2" xfId="34174"/>
    <cellStyle name="Comma 12 6 3 3 3" xfId="34175"/>
    <cellStyle name="Comma 12 6 3 4" xfId="34176"/>
    <cellStyle name="Comma 12 6 3 4 2" xfId="34177"/>
    <cellStyle name="Comma 12 6 3 5" xfId="34178"/>
    <cellStyle name="Comma 12 6 3 6" xfId="34179"/>
    <cellStyle name="Comma 12 6 4" xfId="34180"/>
    <cellStyle name="Comma 12 6 4 2" xfId="34181"/>
    <cellStyle name="Comma 12 6 4 2 2" xfId="34182"/>
    <cellStyle name="Comma 12 6 4 2 3" xfId="34183"/>
    <cellStyle name="Comma 12 6 4 3" xfId="34184"/>
    <cellStyle name="Comma 12 6 4 3 2" xfId="34185"/>
    <cellStyle name="Comma 12 6 4 4" xfId="34186"/>
    <cellStyle name="Comma 12 6 4 5" xfId="34187"/>
    <cellStyle name="Comma 12 6 5" xfId="34188"/>
    <cellStyle name="Comma 12 6 5 2" xfId="34189"/>
    <cellStyle name="Comma 12 6 5 3" xfId="34190"/>
    <cellStyle name="Comma 12 6 6" xfId="34191"/>
    <cellStyle name="Comma 12 6 6 2" xfId="34192"/>
    <cellStyle name="Comma 12 6 6 3" xfId="34193"/>
    <cellStyle name="Comma 12 6 7" xfId="34194"/>
    <cellStyle name="Comma 12 6 7 2" xfId="34195"/>
    <cellStyle name="Comma 12 6 8" xfId="34196"/>
    <cellStyle name="Comma 12 6 9" xfId="34197"/>
    <cellStyle name="Comma 12 7" xfId="34198"/>
    <cellStyle name="Comma 12 7 2" xfId="34199"/>
    <cellStyle name="Comma 12 7 2 2" xfId="34200"/>
    <cellStyle name="Comma 12 7 2 2 2" xfId="34201"/>
    <cellStyle name="Comma 12 7 2 2 3" xfId="34202"/>
    <cellStyle name="Comma 12 7 2 3" xfId="34203"/>
    <cellStyle name="Comma 12 7 2 3 2" xfId="34204"/>
    <cellStyle name="Comma 12 7 2 3 3" xfId="34205"/>
    <cellStyle name="Comma 12 7 2 4" xfId="34206"/>
    <cellStyle name="Comma 12 7 2 4 2" xfId="34207"/>
    <cellStyle name="Comma 12 7 2 5" xfId="34208"/>
    <cellStyle name="Comma 12 7 2 6" xfId="34209"/>
    <cellStyle name="Comma 12 7 3" xfId="34210"/>
    <cellStyle name="Comma 12 7 3 2" xfId="34211"/>
    <cellStyle name="Comma 12 7 3 2 2" xfId="34212"/>
    <cellStyle name="Comma 12 7 3 2 3" xfId="34213"/>
    <cellStyle name="Comma 12 7 3 3" xfId="34214"/>
    <cellStyle name="Comma 12 7 3 3 2" xfId="34215"/>
    <cellStyle name="Comma 12 7 3 3 3" xfId="34216"/>
    <cellStyle name="Comma 12 7 3 4" xfId="34217"/>
    <cellStyle name="Comma 12 7 3 4 2" xfId="34218"/>
    <cellStyle name="Comma 12 7 3 5" xfId="34219"/>
    <cellStyle name="Comma 12 7 3 6" xfId="34220"/>
    <cellStyle name="Comma 12 7 4" xfId="34221"/>
    <cellStyle name="Comma 12 7 4 2" xfId="34222"/>
    <cellStyle name="Comma 12 7 4 2 2" xfId="34223"/>
    <cellStyle name="Comma 12 7 4 2 3" xfId="34224"/>
    <cellStyle name="Comma 12 7 4 3" xfId="34225"/>
    <cellStyle name="Comma 12 7 4 3 2" xfId="34226"/>
    <cellStyle name="Comma 12 7 4 4" xfId="34227"/>
    <cellStyle name="Comma 12 7 4 5" xfId="34228"/>
    <cellStyle name="Comma 12 7 5" xfId="34229"/>
    <cellStyle name="Comma 12 7 5 2" xfId="34230"/>
    <cellStyle name="Comma 12 7 5 3" xfId="34231"/>
    <cellStyle name="Comma 12 7 6" xfId="34232"/>
    <cellStyle name="Comma 12 7 6 2" xfId="34233"/>
    <cellStyle name="Comma 12 7 6 3" xfId="34234"/>
    <cellStyle name="Comma 12 7 7" xfId="34235"/>
    <cellStyle name="Comma 12 7 7 2" xfId="34236"/>
    <cellStyle name="Comma 12 7 8" xfId="34237"/>
    <cellStyle name="Comma 12 7 9" xfId="34238"/>
    <cellStyle name="Comma 12 8" xfId="34239"/>
    <cellStyle name="Comma 12 8 2" xfId="34240"/>
    <cellStyle name="Comma 12 8 2 2" xfId="34241"/>
    <cellStyle name="Comma 12 8 2 3" xfId="34242"/>
    <cellStyle name="Comma 12 8 3" xfId="34243"/>
    <cellStyle name="Comma 12 8 3 2" xfId="34244"/>
    <cellStyle name="Comma 12 8 3 3" xfId="34245"/>
    <cellStyle name="Comma 12 8 4" xfId="34246"/>
    <cellStyle name="Comma 12 8 4 2" xfId="34247"/>
    <cellStyle name="Comma 12 8 5" xfId="34248"/>
    <cellStyle name="Comma 12 8 6" xfId="34249"/>
    <cellStyle name="Comma 12 9" xfId="34250"/>
    <cellStyle name="Comma 12 9 2" xfId="34251"/>
    <cellStyle name="Comma 12 9 2 2" xfId="34252"/>
    <cellStyle name="Comma 12 9 2 3" xfId="34253"/>
    <cellStyle name="Comma 12 9 3" xfId="34254"/>
    <cellStyle name="Comma 12 9 3 2" xfId="34255"/>
    <cellStyle name="Comma 12 9 3 3" xfId="34256"/>
    <cellStyle name="Comma 12 9 4" xfId="34257"/>
    <cellStyle name="Comma 12 9 4 2" xfId="34258"/>
    <cellStyle name="Comma 12 9 5" xfId="34259"/>
    <cellStyle name="Comma 12 9 6" xfId="34260"/>
    <cellStyle name="Comma 13" xfId="3240"/>
    <cellStyle name="Comma 13 10" xfId="34261"/>
    <cellStyle name="Comma 13 10 2" xfId="34262"/>
    <cellStyle name="Comma 13 10 2 2" xfId="34263"/>
    <cellStyle name="Comma 13 10 2 3" xfId="34264"/>
    <cellStyle name="Comma 13 10 3" xfId="34265"/>
    <cellStyle name="Comma 13 10 3 2" xfId="34266"/>
    <cellStyle name="Comma 13 10 4" xfId="34267"/>
    <cellStyle name="Comma 13 10 5" xfId="34268"/>
    <cellStyle name="Comma 13 11" xfId="34269"/>
    <cellStyle name="Comma 13 11 2" xfId="34270"/>
    <cellStyle name="Comma 13 11 3" xfId="34271"/>
    <cellStyle name="Comma 13 12" xfId="34272"/>
    <cellStyle name="Comma 13 12 2" xfId="34273"/>
    <cellStyle name="Comma 13 12 3" xfId="34274"/>
    <cellStyle name="Comma 13 13" xfId="34275"/>
    <cellStyle name="Comma 13 13 2" xfId="34276"/>
    <cellStyle name="Comma 13 14" xfId="34277"/>
    <cellStyle name="Comma 13 15" xfId="34278"/>
    <cellStyle name="Comma 13 16" xfId="34279"/>
    <cellStyle name="Comma 13 2" xfId="9048"/>
    <cellStyle name="Comma 13 2 10" xfId="34280"/>
    <cellStyle name="Comma 13 2 10 2" xfId="34281"/>
    <cellStyle name="Comma 13 2 10 3" xfId="34282"/>
    <cellStyle name="Comma 13 2 11" xfId="34283"/>
    <cellStyle name="Comma 13 2 11 2" xfId="34284"/>
    <cellStyle name="Comma 13 2 11 3" xfId="34285"/>
    <cellStyle name="Comma 13 2 12" xfId="34286"/>
    <cellStyle name="Comma 13 2 12 2" xfId="34287"/>
    <cellStyle name="Comma 13 2 13" xfId="34288"/>
    <cellStyle name="Comma 13 2 14" xfId="34289"/>
    <cellStyle name="Comma 13 2 15" xfId="34290"/>
    <cellStyle name="Comma 13 2 2" xfId="34291"/>
    <cellStyle name="Comma 13 2 2 10" xfId="34292"/>
    <cellStyle name="Comma 13 2 2 10 2" xfId="34293"/>
    <cellStyle name="Comma 13 2 2 10 3" xfId="34294"/>
    <cellStyle name="Comma 13 2 2 11" xfId="34295"/>
    <cellStyle name="Comma 13 2 2 11 2" xfId="34296"/>
    <cellStyle name="Comma 13 2 2 12" xfId="34297"/>
    <cellStyle name="Comma 13 2 2 13" xfId="34298"/>
    <cellStyle name="Comma 13 2 2 2" xfId="34299"/>
    <cellStyle name="Comma 13 2 2 2 10" xfId="34300"/>
    <cellStyle name="Comma 13 2 2 2 10 2" xfId="34301"/>
    <cellStyle name="Comma 13 2 2 2 11" xfId="34302"/>
    <cellStyle name="Comma 13 2 2 2 12" xfId="34303"/>
    <cellStyle name="Comma 13 2 2 2 2" xfId="34304"/>
    <cellStyle name="Comma 13 2 2 2 2 10" xfId="34305"/>
    <cellStyle name="Comma 13 2 2 2 2 2" xfId="34306"/>
    <cellStyle name="Comma 13 2 2 2 2 2 2" xfId="34307"/>
    <cellStyle name="Comma 13 2 2 2 2 2 2 2" xfId="34308"/>
    <cellStyle name="Comma 13 2 2 2 2 2 2 2 2" xfId="34309"/>
    <cellStyle name="Comma 13 2 2 2 2 2 2 2 3" xfId="34310"/>
    <cellStyle name="Comma 13 2 2 2 2 2 2 3" xfId="34311"/>
    <cellStyle name="Comma 13 2 2 2 2 2 2 3 2" xfId="34312"/>
    <cellStyle name="Comma 13 2 2 2 2 2 2 3 3" xfId="34313"/>
    <cellStyle name="Comma 13 2 2 2 2 2 2 4" xfId="34314"/>
    <cellStyle name="Comma 13 2 2 2 2 2 2 4 2" xfId="34315"/>
    <cellStyle name="Comma 13 2 2 2 2 2 2 5" xfId="34316"/>
    <cellStyle name="Comma 13 2 2 2 2 2 2 6" xfId="34317"/>
    <cellStyle name="Comma 13 2 2 2 2 2 3" xfId="34318"/>
    <cellStyle name="Comma 13 2 2 2 2 2 3 2" xfId="34319"/>
    <cellStyle name="Comma 13 2 2 2 2 2 3 2 2" xfId="34320"/>
    <cellStyle name="Comma 13 2 2 2 2 2 3 2 3" xfId="34321"/>
    <cellStyle name="Comma 13 2 2 2 2 2 3 3" xfId="34322"/>
    <cellStyle name="Comma 13 2 2 2 2 2 3 3 2" xfId="34323"/>
    <cellStyle name="Comma 13 2 2 2 2 2 3 3 3" xfId="34324"/>
    <cellStyle name="Comma 13 2 2 2 2 2 3 4" xfId="34325"/>
    <cellStyle name="Comma 13 2 2 2 2 2 3 4 2" xfId="34326"/>
    <cellStyle name="Comma 13 2 2 2 2 2 3 5" xfId="34327"/>
    <cellStyle name="Comma 13 2 2 2 2 2 3 6" xfId="34328"/>
    <cellStyle name="Comma 13 2 2 2 2 2 4" xfId="34329"/>
    <cellStyle name="Comma 13 2 2 2 2 2 4 2" xfId="34330"/>
    <cellStyle name="Comma 13 2 2 2 2 2 4 2 2" xfId="34331"/>
    <cellStyle name="Comma 13 2 2 2 2 2 4 2 3" xfId="34332"/>
    <cellStyle name="Comma 13 2 2 2 2 2 4 3" xfId="34333"/>
    <cellStyle name="Comma 13 2 2 2 2 2 4 3 2" xfId="34334"/>
    <cellStyle name="Comma 13 2 2 2 2 2 4 4" xfId="34335"/>
    <cellStyle name="Comma 13 2 2 2 2 2 4 5" xfId="34336"/>
    <cellStyle name="Comma 13 2 2 2 2 2 5" xfId="34337"/>
    <cellStyle name="Comma 13 2 2 2 2 2 5 2" xfId="34338"/>
    <cellStyle name="Comma 13 2 2 2 2 2 5 3" xfId="34339"/>
    <cellStyle name="Comma 13 2 2 2 2 2 6" xfId="34340"/>
    <cellStyle name="Comma 13 2 2 2 2 2 6 2" xfId="34341"/>
    <cellStyle name="Comma 13 2 2 2 2 2 6 3" xfId="34342"/>
    <cellStyle name="Comma 13 2 2 2 2 2 7" xfId="34343"/>
    <cellStyle name="Comma 13 2 2 2 2 2 7 2" xfId="34344"/>
    <cellStyle name="Comma 13 2 2 2 2 2 8" xfId="34345"/>
    <cellStyle name="Comma 13 2 2 2 2 2 9" xfId="34346"/>
    <cellStyle name="Comma 13 2 2 2 2 3" xfId="34347"/>
    <cellStyle name="Comma 13 2 2 2 2 3 2" xfId="34348"/>
    <cellStyle name="Comma 13 2 2 2 2 3 2 2" xfId="34349"/>
    <cellStyle name="Comma 13 2 2 2 2 3 2 3" xfId="34350"/>
    <cellStyle name="Comma 13 2 2 2 2 3 3" xfId="34351"/>
    <cellStyle name="Comma 13 2 2 2 2 3 3 2" xfId="34352"/>
    <cellStyle name="Comma 13 2 2 2 2 3 3 3" xfId="34353"/>
    <cellStyle name="Comma 13 2 2 2 2 3 4" xfId="34354"/>
    <cellStyle name="Comma 13 2 2 2 2 3 4 2" xfId="34355"/>
    <cellStyle name="Comma 13 2 2 2 2 3 5" xfId="34356"/>
    <cellStyle name="Comma 13 2 2 2 2 3 6" xfId="34357"/>
    <cellStyle name="Comma 13 2 2 2 2 4" xfId="34358"/>
    <cellStyle name="Comma 13 2 2 2 2 4 2" xfId="34359"/>
    <cellStyle name="Comma 13 2 2 2 2 4 2 2" xfId="34360"/>
    <cellStyle name="Comma 13 2 2 2 2 4 2 3" xfId="34361"/>
    <cellStyle name="Comma 13 2 2 2 2 4 3" xfId="34362"/>
    <cellStyle name="Comma 13 2 2 2 2 4 3 2" xfId="34363"/>
    <cellStyle name="Comma 13 2 2 2 2 4 3 3" xfId="34364"/>
    <cellStyle name="Comma 13 2 2 2 2 4 4" xfId="34365"/>
    <cellStyle name="Comma 13 2 2 2 2 4 4 2" xfId="34366"/>
    <cellStyle name="Comma 13 2 2 2 2 4 5" xfId="34367"/>
    <cellStyle name="Comma 13 2 2 2 2 4 6" xfId="34368"/>
    <cellStyle name="Comma 13 2 2 2 2 5" xfId="34369"/>
    <cellStyle name="Comma 13 2 2 2 2 5 2" xfId="34370"/>
    <cellStyle name="Comma 13 2 2 2 2 5 2 2" xfId="34371"/>
    <cellStyle name="Comma 13 2 2 2 2 5 2 3" xfId="34372"/>
    <cellStyle name="Comma 13 2 2 2 2 5 3" xfId="34373"/>
    <cellStyle name="Comma 13 2 2 2 2 5 3 2" xfId="34374"/>
    <cellStyle name="Comma 13 2 2 2 2 5 4" xfId="34375"/>
    <cellStyle name="Comma 13 2 2 2 2 5 5" xfId="34376"/>
    <cellStyle name="Comma 13 2 2 2 2 6" xfId="34377"/>
    <cellStyle name="Comma 13 2 2 2 2 6 2" xfId="34378"/>
    <cellStyle name="Comma 13 2 2 2 2 6 3" xfId="34379"/>
    <cellStyle name="Comma 13 2 2 2 2 7" xfId="34380"/>
    <cellStyle name="Comma 13 2 2 2 2 7 2" xfId="34381"/>
    <cellStyle name="Comma 13 2 2 2 2 7 3" xfId="34382"/>
    <cellStyle name="Comma 13 2 2 2 2 8" xfId="34383"/>
    <cellStyle name="Comma 13 2 2 2 2 8 2" xfId="34384"/>
    <cellStyle name="Comma 13 2 2 2 2 9" xfId="34385"/>
    <cellStyle name="Comma 13 2 2 2 3" xfId="34386"/>
    <cellStyle name="Comma 13 2 2 2 3 2" xfId="34387"/>
    <cellStyle name="Comma 13 2 2 2 3 2 2" xfId="34388"/>
    <cellStyle name="Comma 13 2 2 2 3 2 2 2" xfId="34389"/>
    <cellStyle name="Comma 13 2 2 2 3 2 2 3" xfId="34390"/>
    <cellStyle name="Comma 13 2 2 2 3 2 3" xfId="34391"/>
    <cellStyle name="Comma 13 2 2 2 3 2 3 2" xfId="34392"/>
    <cellStyle name="Comma 13 2 2 2 3 2 3 3" xfId="34393"/>
    <cellStyle name="Comma 13 2 2 2 3 2 4" xfId="34394"/>
    <cellStyle name="Comma 13 2 2 2 3 2 4 2" xfId="34395"/>
    <cellStyle name="Comma 13 2 2 2 3 2 5" xfId="34396"/>
    <cellStyle name="Comma 13 2 2 2 3 2 6" xfId="34397"/>
    <cellStyle name="Comma 13 2 2 2 3 3" xfId="34398"/>
    <cellStyle name="Comma 13 2 2 2 3 3 2" xfId="34399"/>
    <cellStyle name="Comma 13 2 2 2 3 3 2 2" xfId="34400"/>
    <cellStyle name="Comma 13 2 2 2 3 3 2 3" xfId="34401"/>
    <cellStyle name="Comma 13 2 2 2 3 3 3" xfId="34402"/>
    <cellStyle name="Comma 13 2 2 2 3 3 3 2" xfId="34403"/>
    <cellStyle name="Comma 13 2 2 2 3 3 3 3" xfId="34404"/>
    <cellStyle name="Comma 13 2 2 2 3 3 4" xfId="34405"/>
    <cellStyle name="Comma 13 2 2 2 3 3 4 2" xfId="34406"/>
    <cellStyle name="Comma 13 2 2 2 3 3 5" xfId="34407"/>
    <cellStyle name="Comma 13 2 2 2 3 3 6" xfId="34408"/>
    <cellStyle name="Comma 13 2 2 2 3 4" xfId="34409"/>
    <cellStyle name="Comma 13 2 2 2 3 4 2" xfId="34410"/>
    <cellStyle name="Comma 13 2 2 2 3 4 2 2" xfId="34411"/>
    <cellStyle name="Comma 13 2 2 2 3 4 2 3" xfId="34412"/>
    <cellStyle name="Comma 13 2 2 2 3 4 3" xfId="34413"/>
    <cellStyle name="Comma 13 2 2 2 3 4 3 2" xfId="34414"/>
    <cellStyle name="Comma 13 2 2 2 3 4 4" xfId="34415"/>
    <cellStyle name="Comma 13 2 2 2 3 4 5" xfId="34416"/>
    <cellStyle name="Comma 13 2 2 2 3 5" xfId="34417"/>
    <cellStyle name="Comma 13 2 2 2 3 5 2" xfId="34418"/>
    <cellStyle name="Comma 13 2 2 2 3 5 3" xfId="34419"/>
    <cellStyle name="Comma 13 2 2 2 3 6" xfId="34420"/>
    <cellStyle name="Comma 13 2 2 2 3 6 2" xfId="34421"/>
    <cellStyle name="Comma 13 2 2 2 3 6 3" xfId="34422"/>
    <cellStyle name="Comma 13 2 2 2 3 7" xfId="34423"/>
    <cellStyle name="Comma 13 2 2 2 3 7 2" xfId="34424"/>
    <cellStyle name="Comma 13 2 2 2 3 8" xfId="34425"/>
    <cellStyle name="Comma 13 2 2 2 3 9" xfId="34426"/>
    <cellStyle name="Comma 13 2 2 2 4" xfId="34427"/>
    <cellStyle name="Comma 13 2 2 2 4 2" xfId="34428"/>
    <cellStyle name="Comma 13 2 2 2 4 2 2" xfId="34429"/>
    <cellStyle name="Comma 13 2 2 2 4 2 2 2" xfId="34430"/>
    <cellStyle name="Comma 13 2 2 2 4 2 2 3" xfId="34431"/>
    <cellStyle name="Comma 13 2 2 2 4 2 3" xfId="34432"/>
    <cellStyle name="Comma 13 2 2 2 4 2 3 2" xfId="34433"/>
    <cellStyle name="Comma 13 2 2 2 4 2 3 3" xfId="34434"/>
    <cellStyle name="Comma 13 2 2 2 4 2 4" xfId="34435"/>
    <cellStyle name="Comma 13 2 2 2 4 2 4 2" xfId="34436"/>
    <cellStyle name="Comma 13 2 2 2 4 2 5" xfId="34437"/>
    <cellStyle name="Comma 13 2 2 2 4 2 6" xfId="34438"/>
    <cellStyle name="Comma 13 2 2 2 4 3" xfId="34439"/>
    <cellStyle name="Comma 13 2 2 2 4 3 2" xfId="34440"/>
    <cellStyle name="Comma 13 2 2 2 4 3 2 2" xfId="34441"/>
    <cellStyle name="Comma 13 2 2 2 4 3 2 3" xfId="34442"/>
    <cellStyle name="Comma 13 2 2 2 4 3 3" xfId="34443"/>
    <cellStyle name="Comma 13 2 2 2 4 3 3 2" xfId="34444"/>
    <cellStyle name="Comma 13 2 2 2 4 3 3 3" xfId="34445"/>
    <cellStyle name="Comma 13 2 2 2 4 3 4" xfId="34446"/>
    <cellStyle name="Comma 13 2 2 2 4 3 4 2" xfId="34447"/>
    <cellStyle name="Comma 13 2 2 2 4 3 5" xfId="34448"/>
    <cellStyle name="Comma 13 2 2 2 4 3 6" xfId="34449"/>
    <cellStyle name="Comma 13 2 2 2 4 4" xfId="34450"/>
    <cellStyle name="Comma 13 2 2 2 4 4 2" xfId="34451"/>
    <cellStyle name="Comma 13 2 2 2 4 4 2 2" xfId="34452"/>
    <cellStyle name="Comma 13 2 2 2 4 4 2 3" xfId="34453"/>
    <cellStyle name="Comma 13 2 2 2 4 4 3" xfId="34454"/>
    <cellStyle name="Comma 13 2 2 2 4 4 3 2" xfId="34455"/>
    <cellStyle name="Comma 13 2 2 2 4 4 4" xfId="34456"/>
    <cellStyle name="Comma 13 2 2 2 4 4 5" xfId="34457"/>
    <cellStyle name="Comma 13 2 2 2 4 5" xfId="34458"/>
    <cellStyle name="Comma 13 2 2 2 4 5 2" xfId="34459"/>
    <cellStyle name="Comma 13 2 2 2 4 5 3" xfId="34460"/>
    <cellStyle name="Comma 13 2 2 2 4 6" xfId="34461"/>
    <cellStyle name="Comma 13 2 2 2 4 6 2" xfId="34462"/>
    <cellStyle name="Comma 13 2 2 2 4 6 3" xfId="34463"/>
    <cellStyle name="Comma 13 2 2 2 4 7" xfId="34464"/>
    <cellStyle name="Comma 13 2 2 2 4 7 2" xfId="34465"/>
    <cellStyle name="Comma 13 2 2 2 4 8" xfId="34466"/>
    <cellStyle name="Comma 13 2 2 2 4 9" xfId="34467"/>
    <cellStyle name="Comma 13 2 2 2 5" xfId="34468"/>
    <cellStyle name="Comma 13 2 2 2 5 2" xfId="34469"/>
    <cellStyle name="Comma 13 2 2 2 5 2 2" xfId="34470"/>
    <cellStyle name="Comma 13 2 2 2 5 2 3" xfId="34471"/>
    <cellStyle name="Comma 13 2 2 2 5 3" xfId="34472"/>
    <cellStyle name="Comma 13 2 2 2 5 3 2" xfId="34473"/>
    <cellStyle name="Comma 13 2 2 2 5 3 3" xfId="34474"/>
    <cellStyle name="Comma 13 2 2 2 5 4" xfId="34475"/>
    <cellStyle name="Comma 13 2 2 2 5 4 2" xfId="34476"/>
    <cellStyle name="Comma 13 2 2 2 5 5" xfId="34477"/>
    <cellStyle name="Comma 13 2 2 2 5 6" xfId="34478"/>
    <cellStyle name="Comma 13 2 2 2 6" xfId="34479"/>
    <cellStyle name="Comma 13 2 2 2 6 2" xfId="34480"/>
    <cellStyle name="Comma 13 2 2 2 6 2 2" xfId="34481"/>
    <cellStyle name="Comma 13 2 2 2 6 2 3" xfId="34482"/>
    <cellStyle name="Comma 13 2 2 2 6 3" xfId="34483"/>
    <cellStyle name="Comma 13 2 2 2 6 3 2" xfId="34484"/>
    <cellStyle name="Comma 13 2 2 2 6 3 3" xfId="34485"/>
    <cellStyle name="Comma 13 2 2 2 6 4" xfId="34486"/>
    <cellStyle name="Comma 13 2 2 2 6 4 2" xfId="34487"/>
    <cellStyle name="Comma 13 2 2 2 6 5" xfId="34488"/>
    <cellStyle name="Comma 13 2 2 2 6 6" xfId="34489"/>
    <cellStyle name="Comma 13 2 2 2 7" xfId="34490"/>
    <cellStyle name="Comma 13 2 2 2 7 2" xfId="34491"/>
    <cellStyle name="Comma 13 2 2 2 7 2 2" xfId="34492"/>
    <cellStyle name="Comma 13 2 2 2 7 2 3" xfId="34493"/>
    <cellStyle name="Comma 13 2 2 2 7 3" xfId="34494"/>
    <cellStyle name="Comma 13 2 2 2 7 3 2" xfId="34495"/>
    <cellStyle name="Comma 13 2 2 2 7 4" xfId="34496"/>
    <cellStyle name="Comma 13 2 2 2 7 5" xfId="34497"/>
    <cellStyle name="Comma 13 2 2 2 8" xfId="34498"/>
    <cellStyle name="Comma 13 2 2 2 8 2" xfId="34499"/>
    <cellStyle name="Comma 13 2 2 2 8 3" xfId="34500"/>
    <cellStyle name="Comma 13 2 2 2 9" xfId="34501"/>
    <cellStyle name="Comma 13 2 2 2 9 2" xfId="34502"/>
    <cellStyle name="Comma 13 2 2 2 9 3" xfId="34503"/>
    <cellStyle name="Comma 13 2 2 3" xfId="34504"/>
    <cellStyle name="Comma 13 2 2 3 10" xfId="34505"/>
    <cellStyle name="Comma 13 2 2 3 2" xfId="34506"/>
    <cellStyle name="Comma 13 2 2 3 2 2" xfId="34507"/>
    <cellStyle name="Comma 13 2 2 3 2 2 2" xfId="34508"/>
    <cellStyle name="Comma 13 2 2 3 2 2 2 2" xfId="34509"/>
    <cellStyle name="Comma 13 2 2 3 2 2 2 3" xfId="34510"/>
    <cellStyle name="Comma 13 2 2 3 2 2 3" xfId="34511"/>
    <cellStyle name="Comma 13 2 2 3 2 2 3 2" xfId="34512"/>
    <cellStyle name="Comma 13 2 2 3 2 2 3 3" xfId="34513"/>
    <cellStyle name="Comma 13 2 2 3 2 2 4" xfId="34514"/>
    <cellStyle name="Comma 13 2 2 3 2 2 4 2" xfId="34515"/>
    <cellStyle name="Comma 13 2 2 3 2 2 5" xfId="34516"/>
    <cellStyle name="Comma 13 2 2 3 2 2 6" xfId="34517"/>
    <cellStyle name="Comma 13 2 2 3 2 3" xfId="34518"/>
    <cellStyle name="Comma 13 2 2 3 2 3 2" xfId="34519"/>
    <cellStyle name="Comma 13 2 2 3 2 3 2 2" xfId="34520"/>
    <cellStyle name="Comma 13 2 2 3 2 3 2 3" xfId="34521"/>
    <cellStyle name="Comma 13 2 2 3 2 3 3" xfId="34522"/>
    <cellStyle name="Comma 13 2 2 3 2 3 3 2" xfId="34523"/>
    <cellStyle name="Comma 13 2 2 3 2 3 3 3" xfId="34524"/>
    <cellStyle name="Comma 13 2 2 3 2 3 4" xfId="34525"/>
    <cellStyle name="Comma 13 2 2 3 2 3 4 2" xfId="34526"/>
    <cellStyle name="Comma 13 2 2 3 2 3 5" xfId="34527"/>
    <cellStyle name="Comma 13 2 2 3 2 3 6" xfId="34528"/>
    <cellStyle name="Comma 13 2 2 3 2 4" xfId="34529"/>
    <cellStyle name="Comma 13 2 2 3 2 4 2" xfId="34530"/>
    <cellStyle name="Comma 13 2 2 3 2 4 2 2" xfId="34531"/>
    <cellStyle name="Comma 13 2 2 3 2 4 2 3" xfId="34532"/>
    <cellStyle name="Comma 13 2 2 3 2 4 3" xfId="34533"/>
    <cellStyle name="Comma 13 2 2 3 2 4 3 2" xfId="34534"/>
    <cellStyle name="Comma 13 2 2 3 2 4 4" xfId="34535"/>
    <cellStyle name="Comma 13 2 2 3 2 4 5" xfId="34536"/>
    <cellStyle name="Comma 13 2 2 3 2 5" xfId="34537"/>
    <cellStyle name="Comma 13 2 2 3 2 5 2" xfId="34538"/>
    <cellStyle name="Comma 13 2 2 3 2 5 3" xfId="34539"/>
    <cellStyle name="Comma 13 2 2 3 2 6" xfId="34540"/>
    <cellStyle name="Comma 13 2 2 3 2 6 2" xfId="34541"/>
    <cellStyle name="Comma 13 2 2 3 2 6 3" xfId="34542"/>
    <cellStyle name="Comma 13 2 2 3 2 7" xfId="34543"/>
    <cellStyle name="Comma 13 2 2 3 2 7 2" xfId="34544"/>
    <cellStyle name="Comma 13 2 2 3 2 8" xfId="34545"/>
    <cellStyle name="Comma 13 2 2 3 2 9" xfId="34546"/>
    <cellStyle name="Comma 13 2 2 3 3" xfId="34547"/>
    <cellStyle name="Comma 13 2 2 3 3 2" xfId="34548"/>
    <cellStyle name="Comma 13 2 2 3 3 2 2" xfId="34549"/>
    <cellStyle name="Comma 13 2 2 3 3 2 3" xfId="34550"/>
    <cellStyle name="Comma 13 2 2 3 3 3" xfId="34551"/>
    <cellStyle name="Comma 13 2 2 3 3 3 2" xfId="34552"/>
    <cellStyle name="Comma 13 2 2 3 3 3 3" xfId="34553"/>
    <cellStyle name="Comma 13 2 2 3 3 4" xfId="34554"/>
    <cellStyle name="Comma 13 2 2 3 3 4 2" xfId="34555"/>
    <cellStyle name="Comma 13 2 2 3 3 5" xfId="34556"/>
    <cellStyle name="Comma 13 2 2 3 3 6" xfId="34557"/>
    <cellStyle name="Comma 13 2 2 3 4" xfId="34558"/>
    <cellStyle name="Comma 13 2 2 3 4 2" xfId="34559"/>
    <cellStyle name="Comma 13 2 2 3 4 2 2" xfId="34560"/>
    <cellStyle name="Comma 13 2 2 3 4 2 3" xfId="34561"/>
    <cellStyle name="Comma 13 2 2 3 4 3" xfId="34562"/>
    <cellStyle name="Comma 13 2 2 3 4 3 2" xfId="34563"/>
    <cellStyle name="Comma 13 2 2 3 4 3 3" xfId="34564"/>
    <cellStyle name="Comma 13 2 2 3 4 4" xfId="34565"/>
    <cellStyle name="Comma 13 2 2 3 4 4 2" xfId="34566"/>
    <cellStyle name="Comma 13 2 2 3 4 5" xfId="34567"/>
    <cellStyle name="Comma 13 2 2 3 4 6" xfId="34568"/>
    <cellStyle name="Comma 13 2 2 3 5" xfId="34569"/>
    <cellStyle name="Comma 13 2 2 3 5 2" xfId="34570"/>
    <cellStyle name="Comma 13 2 2 3 5 2 2" xfId="34571"/>
    <cellStyle name="Comma 13 2 2 3 5 2 3" xfId="34572"/>
    <cellStyle name="Comma 13 2 2 3 5 3" xfId="34573"/>
    <cellStyle name="Comma 13 2 2 3 5 3 2" xfId="34574"/>
    <cellStyle name="Comma 13 2 2 3 5 4" xfId="34575"/>
    <cellStyle name="Comma 13 2 2 3 5 5" xfId="34576"/>
    <cellStyle name="Comma 13 2 2 3 6" xfId="34577"/>
    <cellStyle name="Comma 13 2 2 3 6 2" xfId="34578"/>
    <cellStyle name="Comma 13 2 2 3 6 3" xfId="34579"/>
    <cellStyle name="Comma 13 2 2 3 7" xfId="34580"/>
    <cellStyle name="Comma 13 2 2 3 7 2" xfId="34581"/>
    <cellStyle name="Comma 13 2 2 3 7 3" xfId="34582"/>
    <cellStyle name="Comma 13 2 2 3 8" xfId="34583"/>
    <cellStyle name="Comma 13 2 2 3 8 2" xfId="34584"/>
    <cellStyle name="Comma 13 2 2 3 9" xfId="34585"/>
    <cellStyle name="Comma 13 2 2 4" xfId="34586"/>
    <cellStyle name="Comma 13 2 2 4 2" xfId="34587"/>
    <cellStyle name="Comma 13 2 2 4 2 2" xfId="34588"/>
    <cellStyle name="Comma 13 2 2 4 2 2 2" xfId="34589"/>
    <cellStyle name="Comma 13 2 2 4 2 2 3" xfId="34590"/>
    <cellStyle name="Comma 13 2 2 4 2 3" xfId="34591"/>
    <cellStyle name="Comma 13 2 2 4 2 3 2" xfId="34592"/>
    <cellStyle name="Comma 13 2 2 4 2 3 3" xfId="34593"/>
    <cellStyle name="Comma 13 2 2 4 2 4" xfId="34594"/>
    <cellStyle name="Comma 13 2 2 4 2 4 2" xfId="34595"/>
    <cellStyle name="Comma 13 2 2 4 2 5" xfId="34596"/>
    <cellStyle name="Comma 13 2 2 4 2 6" xfId="34597"/>
    <cellStyle name="Comma 13 2 2 4 3" xfId="34598"/>
    <cellStyle name="Comma 13 2 2 4 3 2" xfId="34599"/>
    <cellStyle name="Comma 13 2 2 4 3 2 2" xfId="34600"/>
    <cellStyle name="Comma 13 2 2 4 3 2 3" xfId="34601"/>
    <cellStyle name="Comma 13 2 2 4 3 3" xfId="34602"/>
    <cellStyle name="Comma 13 2 2 4 3 3 2" xfId="34603"/>
    <cellStyle name="Comma 13 2 2 4 3 3 3" xfId="34604"/>
    <cellStyle name="Comma 13 2 2 4 3 4" xfId="34605"/>
    <cellStyle name="Comma 13 2 2 4 3 4 2" xfId="34606"/>
    <cellStyle name="Comma 13 2 2 4 3 5" xfId="34607"/>
    <cellStyle name="Comma 13 2 2 4 3 6" xfId="34608"/>
    <cellStyle name="Comma 13 2 2 4 4" xfId="34609"/>
    <cellStyle name="Comma 13 2 2 4 4 2" xfId="34610"/>
    <cellStyle name="Comma 13 2 2 4 4 2 2" xfId="34611"/>
    <cellStyle name="Comma 13 2 2 4 4 2 3" xfId="34612"/>
    <cellStyle name="Comma 13 2 2 4 4 3" xfId="34613"/>
    <cellStyle name="Comma 13 2 2 4 4 3 2" xfId="34614"/>
    <cellStyle name="Comma 13 2 2 4 4 4" xfId="34615"/>
    <cellStyle name="Comma 13 2 2 4 4 5" xfId="34616"/>
    <cellStyle name="Comma 13 2 2 4 5" xfId="34617"/>
    <cellStyle name="Comma 13 2 2 4 5 2" xfId="34618"/>
    <cellStyle name="Comma 13 2 2 4 5 3" xfId="34619"/>
    <cellStyle name="Comma 13 2 2 4 6" xfId="34620"/>
    <cellStyle name="Comma 13 2 2 4 6 2" xfId="34621"/>
    <cellStyle name="Comma 13 2 2 4 6 3" xfId="34622"/>
    <cellStyle name="Comma 13 2 2 4 7" xfId="34623"/>
    <cellStyle name="Comma 13 2 2 4 7 2" xfId="34624"/>
    <cellStyle name="Comma 13 2 2 4 8" xfId="34625"/>
    <cellStyle name="Comma 13 2 2 4 9" xfId="34626"/>
    <cellStyle name="Comma 13 2 2 5" xfId="34627"/>
    <cellStyle name="Comma 13 2 2 5 2" xfId="34628"/>
    <cellStyle name="Comma 13 2 2 5 2 2" xfId="34629"/>
    <cellStyle name="Comma 13 2 2 5 2 2 2" xfId="34630"/>
    <cellStyle name="Comma 13 2 2 5 2 2 3" xfId="34631"/>
    <cellStyle name="Comma 13 2 2 5 2 3" xfId="34632"/>
    <cellStyle name="Comma 13 2 2 5 2 3 2" xfId="34633"/>
    <cellStyle name="Comma 13 2 2 5 2 3 3" xfId="34634"/>
    <cellStyle name="Comma 13 2 2 5 2 4" xfId="34635"/>
    <cellStyle name="Comma 13 2 2 5 2 4 2" xfId="34636"/>
    <cellStyle name="Comma 13 2 2 5 2 5" xfId="34637"/>
    <cellStyle name="Comma 13 2 2 5 2 6" xfId="34638"/>
    <cellStyle name="Comma 13 2 2 5 3" xfId="34639"/>
    <cellStyle name="Comma 13 2 2 5 3 2" xfId="34640"/>
    <cellStyle name="Comma 13 2 2 5 3 2 2" xfId="34641"/>
    <cellStyle name="Comma 13 2 2 5 3 2 3" xfId="34642"/>
    <cellStyle name="Comma 13 2 2 5 3 3" xfId="34643"/>
    <cellStyle name="Comma 13 2 2 5 3 3 2" xfId="34644"/>
    <cellStyle name="Comma 13 2 2 5 3 3 3" xfId="34645"/>
    <cellStyle name="Comma 13 2 2 5 3 4" xfId="34646"/>
    <cellStyle name="Comma 13 2 2 5 3 4 2" xfId="34647"/>
    <cellStyle name="Comma 13 2 2 5 3 5" xfId="34648"/>
    <cellStyle name="Comma 13 2 2 5 3 6" xfId="34649"/>
    <cellStyle name="Comma 13 2 2 5 4" xfId="34650"/>
    <cellStyle name="Comma 13 2 2 5 4 2" xfId="34651"/>
    <cellStyle name="Comma 13 2 2 5 4 2 2" xfId="34652"/>
    <cellStyle name="Comma 13 2 2 5 4 2 3" xfId="34653"/>
    <cellStyle name="Comma 13 2 2 5 4 3" xfId="34654"/>
    <cellStyle name="Comma 13 2 2 5 4 3 2" xfId="34655"/>
    <cellStyle name="Comma 13 2 2 5 4 4" xfId="34656"/>
    <cellStyle name="Comma 13 2 2 5 4 5" xfId="34657"/>
    <cellStyle name="Comma 13 2 2 5 5" xfId="34658"/>
    <cellStyle name="Comma 13 2 2 5 5 2" xfId="34659"/>
    <cellStyle name="Comma 13 2 2 5 5 3" xfId="34660"/>
    <cellStyle name="Comma 13 2 2 5 6" xfId="34661"/>
    <cellStyle name="Comma 13 2 2 5 6 2" xfId="34662"/>
    <cellStyle name="Comma 13 2 2 5 6 3" xfId="34663"/>
    <cellStyle name="Comma 13 2 2 5 7" xfId="34664"/>
    <cellStyle name="Comma 13 2 2 5 7 2" xfId="34665"/>
    <cellStyle name="Comma 13 2 2 5 8" xfId="34666"/>
    <cellStyle name="Comma 13 2 2 5 9" xfId="34667"/>
    <cellStyle name="Comma 13 2 2 6" xfId="34668"/>
    <cellStyle name="Comma 13 2 2 6 2" xfId="34669"/>
    <cellStyle name="Comma 13 2 2 6 2 2" xfId="34670"/>
    <cellStyle name="Comma 13 2 2 6 2 3" xfId="34671"/>
    <cellStyle name="Comma 13 2 2 6 3" xfId="34672"/>
    <cellStyle name="Comma 13 2 2 6 3 2" xfId="34673"/>
    <cellStyle name="Comma 13 2 2 6 3 3" xfId="34674"/>
    <cellStyle name="Comma 13 2 2 6 4" xfId="34675"/>
    <cellStyle name="Comma 13 2 2 6 4 2" xfId="34676"/>
    <cellStyle name="Comma 13 2 2 6 5" xfId="34677"/>
    <cellStyle name="Comma 13 2 2 6 6" xfId="34678"/>
    <cellStyle name="Comma 13 2 2 7" xfId="34679"/>
    <cellStyle name="Comma 13 2 2 7 2" xfId="34680"/>
    <cellStyle name="Comma 13 2 2 7 2 2" xfId="34681"/>
    <cellStyle name="Comma 13 2 2 7 2 3" xfId="34682"/>
    <cellStyle name="Comma 13 2 2 7 3" xfId="34683"/>
    <cellStyle name="Comma 13 2 2 7 3 2" xfId="34684"/>
    <cellStyle name="Comma 13 2 2 7 3 3" xfId="34685"/>
    <cellStyle name="Comma 13 2 2 7 4" xfId="34686"/>
    <cellStyle name="Comma 13 2 2 7 4 2" xfId="34687"/>
    <cellStyle name="Comma 13 2 2 7 5" xfId="34688"/>
    <cellStyle name="Comma 13 2 2 7 6" xfId="34689"/>
    <cellStyle name="Comma 13 2 2 8" xfId="34690"/>
    <cellStyle name="Comma 13 2 2 8 2" xfId="34691"/>
    <cellStyle name="Comma 13 2 2 8 2 2" xfId="34692"/>
    <cellStyle name="Comma 13 2 2 8 2 3" xfId="34693"/>
    <cellStyle name="Comma 13 2 2 8 3" xfId="34694"/>
    <cellStyle name="Comma 13 2 2 8 3 2" xfId="34695"/>
    <cellStyle name="Comma 13 2 2 8 4" xfId="34696"/>
    <cellStyle name="Comma 13 2 2 8 5" xfId="34697"/>
    <cellStyle name="Comma 13 2 2 9" xfId="34698"/>
    <cellStyle name="Comma 13 2 2 9 2" xfId="34699"/>
    <cellStyle name="Comma 13 2 2 9 3" xfId="34700"/>
    <cellStyle name="Comma 13 2 3" xfId="34701"/>
    <cellStyle name="Comma 13 2 3 10" xfId="34702"/>
    <cellStyle name="Comma 13 2 3 10 2" xfId="34703"/>
    <cellStyle name="Comma 13 2 3 11" xfId="34704"/>
    <cellStyle name="Comma 13 2 3 12" xfId="34705"/>
    <cellStyle name="Comma 13 2 3 2" xfId="34706"/>
    <cellStyle name="Comma 13 2 3 2 10" xfId="34707"/>
    <cellStyle name="Comma 13 2 3 2 2" xfId="34708"/>
    <cellStyle name="Comma 13 2 3 2 2 2" xfId="34709"/>
    <cellStyle name="Comma 13 2 3 2 2 2 2" xfId="34710"/>
    <cellStyle name="Comma 13 2 3 2 2 2 2 2" xfId="34711"/>
    <cellStyle name="Comma 13 2 3 2 2 2 2 3" xfId="34712"/>
    <cellStyle name="Comma 13 2 3 2 2 2 3" xfId="34713"/>
    <cellStyle name="Comma 13 2 3 2 2 2 3 2" xfId="34714"/>
    <cellStyle name="Comma 13 2 3 2 2 2 3 3" xfId="34715"/>
    <cellStyle name="Comma 13 2 3 2 2 2 4" xfId="34716"/>
    <cellStyle name="Comma 13 2 3 2 2 2 4 2" xfId="34717"/>
    <cellStyle name="Comma 13 2 3 2 2 2 5" xfId="34718"/>
    <cellStyle name="Comma 13 2 3 2 2 2 6" xfId="34719"/>
    <cellStyle name="Comma 13 2 3 2 2 3" xfId="34720"/>
    <cellStyle name="Comma 13 2 3 2 2 3 2" xfId="34721"/>
    <cellStyle name="Comma 13 2 3 2 2 3 2 2" xfId="34722"/>
    <cellStyle name="Comma 13 2 3 2 2 3 2 3" xfId="34723"/>
    <cellStyle name="Comma 13 2 3 2 2 3 3" xfId="34724"/>
    <cellStyle name="Comma 13 2 3 2 2 3 3 2" xfId="34725"/>
    <cellStyle name="Comma 13 2 3 2 2 3 3 3" xfId="34726"/>
    <cellStyle name="Comma 13 2 3 2 2 3 4" xfId="34727"/>
    <cellStyle name="Comma 13 2 3 2 2 3 4 2" xfId="34728"/>
    <cellStyle name="Comma 13 2 3 2 2 3 5" xfId="34729"/>
    <cellStyle name="Comma 13 2 3 2 2 3 6" xfId="34730"/>
    <cellStyle name="Comma 13 2 3 2 2 4" xfId="34731"/>
    <cellStyle name="Comma 13 2 3 2 2 4 2" xfId="34732"/>
    <cellStyle name="Comma 13 2 3 2 2 4 2 2" xfId="34733"/>
    <cellStyle name="Comma 13 2 3 2 2 4 2 3" xfId="34734"/>
    <cellStyle name="Comma 13 2 3 2 2 4 3" xfId="34735"/>
    <cellStyle name="Comma 13 2 3 2 2 4 3 2" xfId="34736"/>
    <cellStyle name="Comma 13 2 3 2 2 4 4" xfId="34737"/>
    <cellStyle name="Comma 13 2 3 2 2 4 5" xfId="34738"/>
    <cellStyle name="Comma 13 2 3 2 2 5" xfId="34739"/>
    <cellStyle name="Comma 13 2 3 2 2 5 2" xfId="34740"/>
    <cellStyle name="Comma 13 2 3 2 2 5 3" xfId="34741"/>
    <cellStyle name="Comma 13 2 3 2 2 6" xfId="34742"/>
    <cellStyle name="Comma 13 2 3 2 2 6 2" xfId="34743"/>
    <cellStyle name="Comma 13 2 3 2 2 6 3" xfId="34744"/>
    <cellStyle name="Comma 13 2 3 2 2 7" xfId="34745"/>
    <cellStyle name="Comma 13 2 3 2 2 7 2" xfId="34746"/>
    <cellStyle name="Comma 13 2 3 2 2 8" xfId="34747"/>
    <cellStyle name="Comma 13 2 3 2 2 9" xfId="34748"/>
    <cellStyle name="Comma 13 2 3 2 3" xfId="34749"/>
    <cellStyle name="Comma 13 2 3 2 3 2" xfId="34750"/>
    <cellStyle name="Comma 13 2 3 2 3 2 2" xfId="34751"/>
    <cellStyle name="Comma 13 2 3 2 3 2 3" xfId="34752"/>
    <cellStyle name="Comma 13 2 3 2 3 3" xfId="34753"/>
    <cellStyle name="Comma 13 2 3 2 3 3 2" xfId="34754"/>
    <cellStyle name="Comma 13 2 3 2 3 3 3" xfId="34755"/>
    <cellStyle name="Comma 13 2 3 2 3 4" xfId="34756"/>
    <cellStyle name="Comma 13 2 3 2 3 4 2" xfId="34757"/>
    <cellStyle name="Comma 13 2 3 2 3 5" xfId="34758"/>
    <cellStyle name="Comma 13 2 3 2 3 6" xfId="34759"/>
    <cellStyle name="Comma 13 2 3 2 4" xfId="34760"/>
    <cellStyle name="Comma 13 2 3 2 4 2" xfId="34761"/>
    <cellStyle name="Comma 13 2 3 2 4 2 2" xfId="34762"/>
    <cellStyle name="Comma 13 2 3 2 4 2 3" xfId="34763"/>
    <cellStyle name="Comma 13 2 3 2 4 3" xfId="34764"/>
    <cellStyle name="Comma 13 2 3 2 4 3 2" xfId="34765"/>
    <cellStyle name="Comma 13 2 3 2 4 3 3" xfId="34766"/>
    <cellStyle name="Comma 13 2 3 2 4 4" xfId="34767"/>
    <cellStyle name="Comma 13 2 3 2 4 4 2" xfId="34768"/>
    <cellStyle name="Comma 13 2 3 2 4 5" xfId="34769"/>
    <cellStyle name="Comma 13 2 3 2 4 6" xfId="34770"/>
    <cellStyle name="Comma 13 2 3 2 5" xfId="34771"/>
    <cellStyle name="Comma 13 2 3 2 5 2" xfId="34772"/>
    <cellStyle name="Comma 13 2 3 2 5 2 2" xfId="34773"/>
    <cellStyle name="Comma 13 2 3 2 5 2 3" xfId="34774"/>
    <cellStyle name="Comma 13 2 3 2 5 3" xfId="34775"/>
    <cellStyle name="Comma 13 2 3 2 5 3 2" xfId="34776"/>
    <cellStyle name="Comma 13 2 3 2 5 4" xfId="34777"/>
    <cellStyle name="Comma 13 2 3 2 5 5" xfId="34778"/>
    <cellStyle name="Comma 13 2 3 2 6" xfId="34779"/>
    <cellStyle name="Comma 13 2 3 2 6 2" xfId="34780"/>
    <cellStyle name="Comma 13 2 3 2 6 3" xfId="34781"/>
    <cellStyle name="Comma 13 2 3 2 7" xfId="34782"/>
    <cellStyle name="Comma 13 2 3 2 7 2" xfId="34783"/>
    <cellStyle name="Comma 13 2 3 2 7 3" xfId="34784"/>
    <cellStyle name="Comma 13 2 3 2 8" xfId="34785"/>
    <cellStyle name="Comma 13 2 3 2 8 2" xfId="34786"/>
    <cellStyle name="Comma 13 2 3 2 9" xfId="34787"/>
    <cellStyle name="Comma 13 2 3 3" xfId="34788"/>
    <cellStyle name="Comma 13 2 3 3 2" xfId="34789"/>
    <cellStyle name="Comma 13 2 3 3 2 2" xfId="34790"/>
    <cellStyle name="Comma 13 2 3 3 2 2 2" xfId="34791"/>
    <cellStyle name="Comma 13 2 3 3 2 2 3" xfId="34792"/>
    <cellStyle name="Comma 13 2 3 3 2 3" xfId="34793"/>
    <cellStyle name="Comma 13 2 3 3 2 3 2" xfId="34794"/>
    <cellStyle name="Comma 13 2 3 3 2 3 3" xfId="34795"/>
    <cellStyle name="Comma 13 2 3 3 2 4" xfId="34796"/>
    <cellStyle name="Comma 13 2 3 3 2 4 2" xfId="34797"/>
    <cellStyle name="Comma 13 2 3 3 2 5" xfId="34798"/>
    <cellStyle name="Comma 13 2 3 3 2 6" xfId="34799"/>
    <cellStyle name="Comma 13 2 3 3 3" xfId="34800"/>
    <cellStyle name="Comma 13 2 3 3 3 2" xfId="34801"/>
    <cellStyle name="Comma 13 2 3 3 3 2 2" xfId="34802"/>
    <cellStyle name="Comma 13 2 3 3 3 2 3" xfId="34803"/>
    <cellStyle name="Comma 13 2 3 3 3 3" xfId="34804"/>
    <cellStyle name="Comma 13 2 3 3 3 3 2" xfId="34805"/>
    <cellStyle name="Comma 13 2 3 3 3 3 3" xfId="34806"/>
    <cellStyle name="Comma 13 2 3 3 3 4" xfId="34807"/>
    <cellStyle name="Comma 13 2 3 3 3 4 2" xfId="34808"/>
    <cellStyle name="Comma 13 2 3 3 3 5" xfId="34809"/>
    <cellStyle name="Comma 13 2 3 3 3 6" xfId="34810"/>
    <cellStyle name="Comma 13 2 3 3 4" xfId="34811"/>
    <cellStyle name="Comma 13 2 3 3 4 2" xfId="34812"/>
    <cellStyle name="Comma 13 2 3 3 4 2 2" xfId="34813"/>
    <cellStyle name="Comma 13 2 3 3 4 2 3" xfId="34814"/>
    <cellStyle name="Comma 13 2 3 3 4 3" xfId="34815"/>
    <cellStyle name="Comma 13 2 3 3 4 3 2" xfId="34816"/>
    <cellStyle name="Comma 13 2 3 3 4 4" xfId="34817"/>
    <cellStyle name="Comma 13 2 3 3 4 5" xfId="34818"/>
    <cellStyle name="Comma 13 2 3 3 5" xfId="34819"/>
    <cellStyle name="Comma 13 2 3 3 5 2" xfId="34820"/>
    <cellStyle name="Comma 13 2 3 3 5 3" xfId="34821"/>
    <cellStyle name="Comma 13 2 3 3 6" xfId="34822"/>
    <cellStyle name="Comma 13 2 3 3 6 2" xfId="34823"/>
    <cellStyle name="Comma 13 2 3 3 6 3" xfId="34824"/>
    <cellStyle name="Comma 13 2 3 3 7" xfId="34825"/>
    <cellStyle name="Comma 13 2 3 3 7 2" xfId="34826"/>
    <cellStyle name="Comma 13 2 3 3 8" xfId="34827"/>
    <cellStyle name="Comma 13 2 3 3 9" xfId="34828"/>
    <cellStyle name="Comma 13 2 3 4" xfId="34829"/>
    <cellStyle name="Comma 13 2 3 4 2" xfId="34830"/>
    <cellStyle name="Comma 13 2 3 4 2 2" xfId="34831"/>
    <cellStyle name="Comma 13 2 3 4 2 2 2" xfId="34832"/>
    <cellStyle name="Comma 13 2 3 4 2 2 3" xfId="34833"/>
    <cellStyle name="Comma 13 2 3 4 2 3" xfId="34834"/>
    <cellStyle name="Comma 13 2 3 4 2 3 2" xfId="34835"/>
    <cellStyle name="Comma 13 2 3 4 2 3 3" xfId="34836"/>
    <cellStyle name="Comma 13 2 3 4 2 4" xfId="34837"/>
    <cellStyle name="Comma 13 2 3 4 2 4 2" xfId="34838"/>
    <cellStyle name="Comma 13 2 3 4 2 5" xfId="34839"/>
    <cellStyle name="Comma 13 2 3 4 2 6" xfId="34840"/>
    <cellStyle name="Comma 13 2 3 4 3" xfId="34841"/>
    <cellStyle name="Comma 13 2 3 4 3 2" xfId="34842"/>
    <cellStyle name="Comma 13 2 3 4 3 2 2" xfId="34843"/>
    <cellStyle name="Comma 13 2 3 4 3 2 3" xfId="34844"/>
    <cellStyle name="Comma 13 2 3 4 3 3" xfId="34845"/>
    <cellStyle name="Comma 13 2 3 4 3 3 2" xfId="34846"/>
    <cellStyle name="Comma 13 2 3 4 3 3 3" xfId="34847"/>
    <cellStyle name="Comma 13 2 3 4 3 4" xfId="34848"/>
    <cellStyle name="Comma 13 2 3 4 3 4 2" xfId="34849"/>
    <cellStyle name="Comma 13 2 3 4 3 5" xfId="34850"/>
    <cellStyle name="Comma 13 2 3 4 3 6" xfId="34851"/>
    <cellStyle name="Comma 13 2 3 4 4" xfId="34852"/>
    <cellStyle name="Comma 13 2 3 4 4 2" xfId="34853"/>
    <cellStyle name="Comma 13 2 3 4 4 2 2" xfId="34854"/>
    <cellStyle name="Comma 13 2 3 4 4 2 3" xfId="34855"/>
    <cellStyle name="Comma 13 2 3 4 4 3" xfId="34856"/>
    <cellStyle name="Comma 13 2 3 4 4 3 2" xfId="34857"/>
    <cellStyle name="Comma 13 2 3 4 4 4" xfId="34858"/>
    <cellStyle name="Comma 13 2 3 4 4 5" xfId="34859"/>
    <cellStyle name="Comma 13 2 3 4 5" xfId="34860"/>
    <cellStyle name="Comma 13 2 3 4 5 2" xfId="34861"/>
    <cellStyle name="Comma 13 2 3 4 5 3" xfId="34862"/>
    <cellStyle name="Comma 13 2 3 4 6" xfId="34863"/>
    <cellStyle name="Comma 13 2 3 4 6 2" xfId="34864"/>
    <cellStyle name="Comma 13 2 3 4 6 3" xfId="34865"/>
    <cellStyle name="Comma 13 2 3 4 7" xfId="34866"/>
    <cellStyle name="Comma 13 2 3 4 7 2" xfId="34867"/>
    <cellStyle name="Comma 13 2 3 4 8" xfId="34868"/>
    <cellStyle name="Comma 13 2 3 4 9" xfId="34869"/>
    <cellStyle name="Comma 13 2 3 5" xfId="34870"/>
    <cellStyle name="Comma 13 2 3 5 2" xfId="34871"/>
    <cellStyle name="Comma 13 2 3 5 2 2" xfId="34872"/>
    <cellStyle name="Comma 13 2 3 5 2 3" xfId="34873"/>
    <cellStyle name="Comma 13 2 3 5 3" xfId="34874"/>
    <cellStyle name="Comma 13 2 3 5 3 2" xfId="34875"/>
    <cellStyle name="Comma 13 2 3 5 3 3" xfId="34876"/>
    <cellStyle name="Comma 13 2 3 5 4" xfId="34877"/>
    <cellStyle name="Comma 13 2 3 5 4 2" xfId="34878"/>
    <cellStyle name="Comma 13 2 3 5 5" xfId="34879"/>
    <cellStyle name="Comma 13 2 3 5 6" xfId="34880"/>
    <cellStyle name="Comma 13 2 3 6" xfId="34881"/>
    <cellStyle name="Comma 13 2 3 6 2" xfId="34882"/>
    <cellStyle name="Comma 13 2 3 6 2 2" xfId="34883"/>
    <cellStyle name="Comma 13 2 3 6 2 3" xfId="34884"/>
    <cellStyle name="Comma 13 2 3 6 3" xfId="34885"/>
    <cellStyle name="Comma 13 2 3 6 3 2" xfId="34886"/>
    <cellStyle name="Comma 13 2 3 6 3 3" xfId="34887"/>
    <cellStyle name="Comma 13 2 3 6 4" xfId="34888"/>
    <cellStyle name="Comma 13 2 3 6 4 2" xfId="34889"/>
    <cellStyle name="Comma 13 2 3 6 5" xfId="34890"/>
    <cellStyle name="Comma 13 2 3 6 6" xfId="34891"/>
    <cellStyle name="Comma 13 2 3 7" xfId="34892"/>
    <cellStyle name="Comma 13 2 3 7 2" xfId="34893"/>
    <cellStyle name="Comma 13 2 3 7 2 2" xfId="34894"/>
    <cellStyle name="Comma 13 2 3 7 2 3" xfId="34895"/>
    <cellStyle name="Comma 13 2 3 7 3" xfId="34896"/>
    <cellStyle name="Comma 13 2 3 7 3 2" xfId="34897"/>
    <cellStyle name="Comma 13 2 3 7 4" xfId="34898"/>
    <cellStyle name="Comma 13 2 3 7 5" xfId="34899"/>
    <cellStyle name="Comma 13 2 3 8" xfId="34900"/>
    <cellStyle name="Comma 13 2 3 8 2" xfId="34901"/>
    <cellStyle name="Comma 13 2 3 8 3" xfId="34902"/>
    <cellStyle name="Comma 13 2 3 9" xfId="34903"/>
    <cellStyle name="Comma 13 2 3 9 2" xfId="34904"/>
    <cellStyle name="Comma 13 2 3 9 3" xfId="34905"/>
    <cellStyle name="Comma 13 2 4" xfId="34906"/>
    <cellStyle name="Comma 13 2 4 10" xfId="34907"/>
    <cellStyle name="Comma 13 2 4 2" xfId="34908"/>
    <cellStyle name="Comma 13 2 4 2 2" xfId="34909"/>
    <cellStyle name="Comma 13 2 4 2 2 2" xfId="34910"/>
    <cellStyle name="Comma 13 2 4 2 2 2 2" xfId="34911"/>
    <cellStyle name="Comma 13 2 4 2 2 2 3" xfId="34912"/>
    <cellStyle name="Comma 13 2 4 2 2 3" xfId="34913"/>
    <cellStyle name="Comma 13 2 4 2 2 3 2" xfId="34914"/>
    <cellStyle name="Comma 13 2 4 2 2 3 3" xfId="34915"/>
    <cellStyle name="Comma 13 2 4 2 2 4" xfId="34916"/>
    <cellStyle name="Comma 13 2 4 2 2 4 2" xfId="34917"/>
    <cellStyle name="Comma 13 2 4 2 2 5" xfId="34918"/>
    <cellStyle name="Comma 13 2 4 2 2 6" xfId="34919"/>
    <cellStyle name="Comma 13 2 4 2 3" xfId="34920"/>
    <cellStyle name="Comma 13 2 4 2 3 2" xfId="34921"/>
    <cellStyle name="Comma 13 2 4 2 3 2 2" xfId="34922"/>
    <cellStyle name="Comma 13 2 4 2 3 2 3" xfId="34923"/>
    <cellStyle name="Comma 13 2 4 2 3 3" xfId="34924"/>
    <cellStyle name="Comma 13 2 4 2 3 3 2" xfId="34925"/>
    <cellStyle name="Comma 13 2 4 2 3 3 3" xfId="34926"/>
    <cellStyle name="Comma 13 2 4 2 3 4" xfId="34927"/>
    <cellStyle name="Comma 13 2 4 2 3 4 2" xfId="34928"/>
    <cellStyle name="Comma 13 2 4 2 3 5" xfId="34929"/>
    <cellStyle name="Comma 13 2 4 2 3 6" xfId="34930"/>
    <cellStyle name="Comma 13 2 4 2 4" xfId="34931"/>
    <cellStyle name="Comma 13 2 4 2 4 2" xfId="34932"/>
    <cellStyle name="Comma 13 2 4 2 4 2 2" xfId="34933"/>
    <cellStyle name="Comma 13 2 4 2 4 2 3" xfId="34934"/>
    <cellStyle name="Comma 13 2 4 2 4 3" xfId="34935"/>
    <cellStyle name="Comma 13 2 4 2 4 3 2" xfId="34936"/>
    <cellStyle name="Comma 13 2 4 2 4 4" xfId="34937"/>
    <cellStyle name="Comma 13 2 4 2 4 5" xfId="34938"/>
    <cellStyle name="Comma 13 2 4 2 5" xfId="34939"/>
    <cellStyle name="Comma 13 2 4 2 5 2" xfId="34940"/>
    <cellStyle name="Comma 13 2 4 2 5 3" xfId="34941"/>
    <cellStyle name="Comma 13 2 4 2 6" xfId="34942"/>
    <cellStyle name="Comma 13 2 4 2 6 2" xfId="34943"/>
    <cellStyle name="Comma 13 2 4 2 6 3" xfId="34944"/>
    <cellStyle name="Comma 13 2 4 2 7" xfId="34945"/>
    <cellStyle name="Comma 13 2 4 2 7 2" xfId="34946"/>
    <cellStyle name="Comma 13 2 4 2 8" xfId="34947"/>
    <cellStyle name="Comma 13 2 4 2 9" xfId="34948"/>
    <cellStyle name="Comma 13 2 4 3" xfId="34949"/>
    <cellStyle name="Comma 13 2 4 3 2" xfId="34950"/>
    <cellStyle name="Comma 13 2 4 3 2 2" xfId="34951"/>
    <cellStyle name="Comma 13 2 4 3 2 3" xfId="34952"/>
    <cellStyle name="Comma 13 2 4 3 3" xfId="34953"/>
    <cellStyle name="Comma 13 2 4 3 3 2" xfId="34954"/>
    <cellStyle name="Comma 13 2 4 3 3 3" xfId="34955"/>
    <cellStyle name="Comma 13 2 4 3 4" xfId="34956"/>
    <cellStyle name="Comma 13 2 4 3 4 2" xfId="34957"/>
    <cellStyle name="Comma 13 2 4 3 5" xfId="34958"/>
    <cellStyle name="Comma 13 2 4 3 6" xfId="34959"/>
    <cellStyle name="Comma 13 2 4 4" xfId="34960"/>
    <cellStyle name="Comma 13 2 4 4 2" xfId="34961"/>
    <cellStyle name="Comma 13 2 4 4 2 2" xfId="34962"/>
    <cellStyle name="Comma 13 2 4 4 2 3" xfId="34963"/>
    <cellStyle name="Comma 13 2 4 4 3" xfId="34964"/>
    <cellStyle name="Comma 13 2 4 4 3 2" xfId="34965"/>
    <cellStyle name="Comma 13 2 4 4 3 3" xfId="34966"/>
    <cellStyle name="Comma 13 2 4 4 4" xfId="34967"/>
    <cellStyle name="Comma 13 2 4 4 4 2" xfId="34968"/>
    <cellStyle name="Comma 13 2 4 4 5" xfId="34969"/>
    <cellStyle name="Comma 13 2 4 4 6" xfId="34970"/>
    <cellStyle name="Comma 13 2 4 5" xfId="34971"/>
    <cellStyle name="Comma 13 2 4 5 2" xfId="34972"/>
    <cellStyle name="Comma 13 2 4 5 2 2" xfId="34973"/>
    <cellStyle name="Comma 13 2 4 5 2 3" xfId="34974"/>
    <cellStyle name="Comma 13 2 4 5 3" xfId="34975"/>
    <cellStyle name="Comma 13 2 4 5 3 2" xfId="34976"/>
    <cellStyle name="Comma 13 2 4 5 4" xfId="34977"/>
    <cellStyle name="Comma 13 2 4 5 5" xfId="34978"/>
    <cellStyle name="Comma 13 2 4 6" xfId="34979"/>
    <cellStyle name="Comma 13 2 4 6 2" xfId="34980"/>
    <cellStyle name="Comma 13 2 4 6 3" xfId="34981"/>
    <cellStyle name="Comma 13 2 4 7" xfId="34982"/>
    <cellStyle name="Comma 13 2 4 7 2" xfId="34983"/>
    <cellStyle name="Comma 13 2 4 7 3" xfId="34984"/>
    <cellStyle name="Comma 13 2 4 8" xfId="34985"/>
    <cellStyle name="Comma 13 2 4 8 2" xfId="34986"/>
    <cellStyle name="Comma 13 2 4 9" xfId="34987"/>
    <cellStyle name="Comma 13 2 5" xfId="34988"/>
    <cellStyle name="Comma 13 2 5 2" xfId="34989"/>
    <cellStyle name="Comma 13 2 5 2 2" xfId="34990"/>
    <cellStyle name="Comma 13 2 5 2 2 2" xfId="34991"/>
    <cellStyle name="Comma 13 2 5 2 2 3" xfId="34992"/>
    <cellStyle name="Comma 13 2 5 2 3" xfId="34993"/>
    <cellStyle name="Comma 13 2 5 2 3 2" xfId="34994"/>
    <cellStyle name="Comma 13 2 5 2 3 3" xfId="34995"/>
    <cellStyle name="Comma 13 2 5 2 4" xfId="34996"/>
    <cellStyle name="Comma 13 2 5 2 4 2" xfId="34997"/>
    <cellStyle name="Comma 13 2 5 2 5" xfId="34998"/>
    <cellStyle name="Comma 13 2 5 2 6" xfId="34999"/>
    <cellStyle name="Comma 13 2 5 3" xfId="35000"/>
    <cellStyle name="Comma 13 2 5 3 2" xfId="35001"/>
    <cellStyle name="Comma 13 2 5 3 2 2" xfId="35002"/>
    <cellStyle name="Comma 13 2 5 3 2 3" xfId="35003"/>
    <cellStyle name="Comma 13 2 5 3 3" xfId="35004"/>
    <cellStyle name="Comma 13 2 5 3 3 2" xfId="35005"/>
    <cellStyle name="Comma 13 2 5 3 3 3" xfId="35006"/>
    <cellStyle name="Comma 13 2 5 3 4" xfId="35007"/>
    <cellStyle name="Comma 13 2 5 3 4 2" xfId="35008"/>
    <cellStyle name="Comma 13 2 5 3 5" xfId="35009"/>
    <cellStyle name="Comma 13 2 5 3 6" xfId="35010"/>
    <cellStyle name="Comma 13 2 5 4" xfId="35011"/>
    <cellStyle name="Comma 13 2 5 4 2" xfId="35012"/>
    <cellStyle name="Comma 13 2 5 4 2 2" xfId="35013"/>
    <cellStyle name="Comma 13 2 5 4 2 3" xfId="35014"/>
    <cellStyle name="Comma 13 2 5 4 3" xfId="35015"/>
    <cellStyle name="Comma 13 2 5 4 3 2" xfId="35016"/>
    <cellStyle name="Comma 13 2 5 4 4" xfId="35017"/>
    <cellStyle name="Comma 13 2 5 4 5" xfId="35018"/>
    <cellStyle name="Comma 13 2 5 5" xfId="35019"/>
    <cellStyle name="Comma 13 2 5 5 2" xfId="35020"/>
    <cellStyle name="Comma 13 2 5 5 3" xfId="35021"/>
    <cellStyle name="Comma 13 2 5 6" xfId="35022"/>
    <cellStyle name="Comma 13 2 5 6 2" xfId="35023"/>
    <cellStyle name="Comma 13 2 5 6 3" xfId="35024"/>
    <cellStyle name="Comma 13 2 5 7" xfId="35025"/>
    <cellStyle name="Comma 13 2 5 7 2" xfId="35026"/>
    <cellStyle name="Comma 13 2 5 8" xfId="35027"/>
    <cellStyle name="Comma 13 2 5 9" xfId="35028"/>
    <cellStyle name="Comma 13 2 6" xfId="35029"/>
    <cellStyle name="Comma 13 2 6 2" xfId="35030"/>
    <cellStyle name="Comma 13 2 6 2 2" xfId="35031"/>
    <cellStyle name="Comma 13 2 6 2 2 2" xfId="35032"/>
    <cellStyle name="Comma 13 2 6 2 2 3" xfId="35033"/>
    <cellStyle name="Comma 13 2 6 2 3" xfId="35034"/>
    <cellStyle name="Comma 13 2 6 2 3 2" xfId="35035"/>
    <cellStyle name="Comma 13 2 6 2 3 3" xfId="35036"/>
    <cellStyle name="Comma 13 2 6 2 4" xfId="35037"/>
    <cellStyle name="Comma 13 2 6 2 4 2" xfId="35038"/>
    <cellStyle name="Comma 13 2 6 2 5" xfId="35039"/>
    <cellStyle name="Comma 13 2 6 2 6" xfId="35040"/>
    <cellStyle name="Comma 13 2 6 3" xfId="35041"/>
    <cellStyle name="Comma 13 2 6 3 2" xfId="35042"/>
    <cellStyle name="Comma 13 2 6 3 2 2" xfId="35043"/>
    <cellStyle name="Comma 13 2 6 3 2 3" xfId="35044"/>
    <cellStyle name="Comma 13 2 6 3 3" xfId="35045"/>
    <cellStyle name="Comma 13 2 6 3 3 2" xfId="35046"/>
    <cellStyle name="Comma 13 2 6 3 3 3" xfId="35047"/>
    <cellStyle name="Comma 13 2 6 3 4" xfId="35048"/>
    <cellStyle name="Comma 13 2 6 3 4 2" xfId="35049"/>
    <cellStyle name="Comma 13 2 6 3 5" xfId="35050"/>
    <cellStyle name="Comma 13 2 6 3 6" xfId="35051"/>
    <cellStyle name="Comma 13 2 6 4" xfId="35052"/>
    <cellStyle name="Comma 13 2 6 4 2" xfId="35053"/>
    <cellStyle name="Comma 13 2 6 4 2 2" xfId="35054"/>
    <cellStyle name="Comma 13 2 6 4 2 3" xfId="35055"/>
    <cellStyle name="Comma 13 2 6 4 3" xfId="35056"/>
    <cellStyle name="Comma 13 2 6 4 3 2" xfId="35057"/>
    <cellStyle name="Comma 13 2 6 4 4" xfId="35058"/>
    <cellStyle name="Comma 13 2 6 4 5" xfId="35059"/>
    <cellStyle name="Comma 13 2 6 5" xfId="35060"/>
    <cellStyle name="Comma 13 2 6 5 2" xfId="35061"/>
    <cellStyle name="Comma 13 2 6 5 3" xfId="35062"/>
    <cellStyle name="Comma 13 2 6 6" xfId="35063"/>
    <cellStyle name="Comma 13 2 6 6 2" xfId="35064"/>
    <cellStyle name="Comma 13 2 6 6 3" xfId="35065"/>
    <cellStyle name="Comma 13 2 6 7" xfId="35066"/>
    <cellStyle name="Comma 13 2 6 7 2" xfId="35067"/>
    <cellStyle name="Comma 13 2 6 8" xfId="35068"/>
    <cellStyle name="Comma 13 2 6 9" xfId="35069"/>
    <cellStyle name="Comma 13 2 7" xfId="35070"/>
    <cellStyle name="Comma 13 2 7 2" xfId="35071"/>
    <cellStyle name="Comma 13 2 7 2 2" xfId="35072"/>
    <cellStyle name="Comma 13 2 7 2 3" xfId="35073"/>
    <cellStyle name="Comma 13 2 7 3" xfId="35074"/>
    <cellStyle name="Comma 13 2 7 3 2" xfId="35075"/>
    <cellStyle name="Comma 13 2 7 3 3" xfId="35076"/>
    <cellStyle name="Comma 13 2 7 4" xfId="35077"/>
    <cellStyle name="Comma 13 2 7 4 2" xfId="35078"/>
    <cellStyle name="Comma 13 2 7 5" xfId="35079"/>
    <cellStyle name="Comma 13 2 7 6" xfId="35080"/>
    <cellStyle name="Comma 13 2 8" xfId="35081"/>
    <cellStyle name="Comma 13 2 8 2" xfId="35082"/>
    <cellStyle name="Comma 13 2 8 2 2" xfId="35083"/>
    <cellStyle name="Comma 13 2 8 2 3" xfId="35084"/>
    <cellStyle name="Comma 13 2 8 3" xfId="35085"/>
    <cellStyle name="Comma 13 2 8 3 2" xfId="35086"/>
    <cellStyle name="Comma 13 2 8 3 3" xfId="35087"/>
    <cellStyle name="Comma 13 2 8 4" xfId="35088"/>
    <cellStyle name="Comma 13 2 8 4 2" xfId="35089"/>
    <cellStyle name="Comma 13 2 8 5" xfId="35090"/>
    <cellStyle name="Comma 13 2 8 6" xfId="35091"/>
    <cellStyle name="Comma 13 2 9" xfId="35092"/>
    <cellStyle name="Comma 13 2 9 2" xfId="35093"/>
    <cellStyle name="Comma 13 2 9 2 2" xfId="35094"/>
    <cellStyle name="Comma 13 2 9 2 3" xfId="35095"/>
    <cellStyle name="Comma 13 2 9 3" xfId="35096"/>
    <cellStyle name="Comma 13 2 9 3 2" xfId="35097"/>
    <cellStyle name="Comma 13 2 9 4" xfId="35098"/>
    <cellStyle name="Comma 13 2 9 5" xfId="35099"/>
    <cellStyle name="Comma 13 3" xfId="9049"/>
    <cellStyle name="Comma 13 3 10" xfId="35100"/>
    <cellStyle name="Comma 13 3 10 2" xfId="35101"/>
    <cellStyle name="Comma 13 3 10 3" xfId="35102"/>
    <cellStyle name="Comma 13 3 11" xfId="35103"/>
    <cellStyle name="Comma 13 3 11 2" xfId="35104"/>
    <cellStyle name="Comma 13 3 12" xfId="35105"/>
    <cellStyle name="Comma 13 3 13" xfId="35106"/>
    <cellStyle name="Comma 13 3 2" xfId="35107"/>
    <cellStyle name="Comma 13 3 2 10" xfId="35108"/>
    <cellStyle name="Comma 13 3 2 10 2" xfId="35109"/>
    <cellStyle name="Comma 13 3 2 11" xfId="35110"/>
    <cellStyle name="Comma 13 3 2 12" xfId="35111"/>
    <cellStyle name="Comma 13 3 2 2" xfId="35112"/>
    <cellStyle name="Comma 13 3 2 2 10" xfId="35113"/>
    <cellStyle name="Comma 13 3 2 2 2" xfId="35114"/>
    <cellStyle name="Comma 13 3 2 2 2 2" xfId="35115"/>
    <cellStyle name="Comma 13 3 2 2 2 2 2" xfId="35116"/>
    <cellStyle name="Comma 13 3 2 2 2 2 2 2" xfId="35117"/>
    <cellStyle name="Comma 13 3 2 2 2 2 2 3" xfId="35118"/>
    <cellStyle name="Comma 13 3 2 2 2 2 3" xfId="35119"/>
    <cellStyle name="Comma 13 3 2 2 2 2 3 2" xfId="35120"/>
    <cellStyle name="Comma 13 3 2 2 2 2 3 3" xfId="35121"/>
    <cellStyle name="Comma 13 3 2 2 2 2 4" xfId="35122"/>
    <cellStyle name="Comma 13 3 2 2 2 2 4 2" xfId="35123"/>
    <cellStyle name="Comma 13 3 2 2 2 2 5" xfId="35124"/>
    <cellStyle name="Comma 13 3 2 2 2 2 6" xfId="35125"/>
    <cellStyle name="Comma 13 3 2 2 2 3" xfId="35126"/>
    <cellStyle name="Comma 13 3 2 2 2 3 2" xfId="35127"/>
    <cellStyle name="Comma 13 3 2 2 2 3 2 2" xfId="35128"/>
    <cellStyle name="Comma 13 3 2 2 2 3 2 3" xfId="35129"/>
    <cellStyle name="Comma 13 3 2 2 2 3 3" xfId="35130"/>
    <cellStyle name="Comma 13 3 2 2 2 3 3 2" xfId="35131"/>
    <cellStyle name="Comma 13 3 2 2 2 3 3 3" xfId="35132"/>
    <cellStyle name="Comma 13 3 2 2 2 3 4" xfId="35133"/>
    <cellStyle name="Comma 13 3 2 2 2 3 4 2" xfId="35134"/>
    <cellStyle name="Comma 13 3 2 2 2 3 5" xfId="35135"/>
    <cellStyle name="Comma 13 3 2 2 2 3 6" xfId="35136"/>
    <cellStyle name="Comma 13 3 2 2 2 4" xfId="35137"/>
    <cellStyle name="Comma 13 3 2 2 2 4 2" xfId="35138"/>
    <cellStyle name="Comma 13 3 2 2 2 4 2 2" xfId="35139"/>
    <cellStyle name="Comma 13 3 2 2 2 4 2 3" xfId="35140"/>
    <cellStyle name="Comma 13 3 2 2 2 4 3" xfId="35141"/>
    <cellStyle name="Comma 13 3 2 2 2 4 3 2" xfId="35142"/>
    <cellStyle name="Comma 13 3 2 2 2 4 4" xfId="35143"/>
    <cellStyle name="Comma 13 3 2 2 2 4 5" xfId="35144"/>
    <cellStyle name="Comma 13 3 2 2 2 5" xfId="35145"/>
    <cellStyle name="Comma 13 3 2 2 2 5 2" xfId="35146"/>
    <cellStyle name="Comma 13 3 2 2 2 5 3" xfId="35147"/>
    <cellStyle name="Comma 13 3 2 2 2 6" xfId="35148"/>
    <cellStyle name="Comma 13 3 2 2 2 6 2" xfId="35149"/>
    <cellStyle name="Comma 13 3 2 2 2 6 3" xfId="35150"/>
    <cellStyle name="Comma 13 3 2 2 2 7" xfId="35151"/>
    <cellStyle name="Comma 13 3 2 2 2 7 2" xfId="35152"/>
    <cellStyle name="Comma 13 3 2 2 2 8" xfId="35153"/>
    <cellStyle name="Comma 13 3 2 2 2 9" xfId="35154"/>
    <cellStyle name="Comma 13 3 2 2 3" xfId="35155"/>
    <cellStyle name="Comma 13 3 2 2 3 2" xfId="35156"/>
    <cellStyle name="Comma 13 3 2 2 3 2 2" xfId="35157"/>
    <cellStyle name="Comma 13 3 2 2 3 2 3" xfId="35158"/>
    <cellStyle name="Comma 13 3 2 2 3 3" xfId="35159"/>
    <cellStyle name="Comma 13 3 2 2 3 3 2" xfId="35160"/>
    <cellStyle name="Comma 13 3 2 2 3 3 3" xfId="35161"/>
    <cellStyle name="Comma 13 3 2 2 3 4" xfId="35162"/>
    <cellStyle name="Comma 13 3 2 2 3 4 2" xfId="35163"/>
    <cellStyle name="Comma 13 3 2 2 3 5" xfId="35164"/>
    <cellStyle name="Comma 13 3 2 2 3 6" xfId="35165"/>
    <cellStyle name="Comma 13 3 2 2 4" xfId="35166"/>
    <cellStyle name="Comma 13 3 2 2 4 2" xfId="35167"/>
    <cellStyle name="Comma 13 3 2 2 4 2 2" xfId="35168"/>
    <cellStyle name="Comma 13 3 2 2 4 2 3" xfId="35169"/>
    <cellStyle name="Comma 13 3 2 2 4 3" xfId="35170"/>
    <cellStyle name="Comma 13 3 2 2 4 3 2" xfId="35171"/>
    <cellStyle name="Comma 13 3 2 2 4 3 3" xfId="35172"/>
    <cellStyle name="Comma 13 3 2 2 4 4" xfId="35173"/>
    <cellStyle name="Comma 13 3 2 2 4 4 2" xfId="35174"/>
    <cellStyle name="Comma 13 3 2 2 4 5" xfId="35175"/>
    <cellStyle name="Comma 13 3 2 2 4 6" xfId="35176"/>
    <cellStyle name="Comma 13 3 2 2 5" xfId="35177"/>
    <cellStyle name="Comma 13 3 2 2 5 2" xfId="35178"/>
    <cellStyle name="Comma 13 3 2 2 5 2 2" xfId="35179"/>
    <cellStyle name="Comma 13 3 2 2 5 2 3" xfId="35180"/>
    <cellStyle name="Comma 13 3 2 2 5 3" xfId="35181"/>
    <cellStyle name="Comma 13 3 2 2 5 3 2" xfId="35182"/>
    <cellStyle name="Comma 13 3 2 2 5 4" xfId="35183"/>
    <cellStyle name="Comma 13 3 2 2 5 5" xfId="35184"/>
    <cellStyle name="Comma 13 3 2 2 6" xfId="35185"/>
    <cellStyle name="Comma 13 3 2 2 6 2" xfId="35186"/>
    <cellStyle name="Comma 13 3 2 2 6 3" xfId="35187"/>
    <cellStyle name="Comma 13 3 2 2 7" xfId="35188"/>
    <cellStyle name="Comma 13 3 2 2 7 2" xfId="35189"/>
    <cellStyle name="Comma 13 3 2 2 7 3" xfId="35190"/>
    <cellStyle name="Comma 13 3 2 2 8" xfId="35191"/>
    <cellStyle name="Comma 13 3 2 2 8 2" xfId="35192"/>
    <cellStyle name="Comma 13 3 2 2 9" xfId="35193"/>
    <cellStyle name="Comma 13 3 2 3" xfId="35194"/>
    <cellStyle name="Comma 13 3 2 3 2" xfId="35195"/>
    <cellStyle name="Comma 13 3 2 3 2 2" xfId="35196"/>
    <cellStyle name="Comma 13 3 2 3 2 2 2" xfId="35197"/>
    <cellStyle name="Comma 13 3 2 3 2 2 3" xfId="35198"/>
    <cellStyle name="Comma 13 3 2 3 2 3" xfId="35199"/>
    <cellStyle name="Comma 13 3 2 3 2 3 2" xfId="35200"/>
    <cellStyle name="Comma 13 3 2 3 2 3 3" xfId="35201"/>
    <cellStyle name="Comma 13 3 2 3 2 4" xfId="35202"/>
    <cellStyle name="Comma 13 3 2 3 2 4 2" xfId="35203"/>
    <cellStyle name="Comma 13 3 2 3 2 5" xfId="35204"/>
    <cellStyle name="Comma 13 3 2 3 2 6" xfId="35205"/>
    <cellStyle name="Comma 13 3 2 3 3" xfId="35206"/>
    <cellStyle name="Comma 13 3 2 3 3 2" xfId="35207"/>
    <cellStyle name="Comma 13 3 2 3 3 2 2" xfId="35208"/>
    <cellStyle name="Comma 13 3 2 3 3 2 3" xfId="35209"/>
    <cellStyle name="Comma 13 3 2 3 3 3" xfId="35210"/>
    <cellStyle name="Comma 13 3 2 3 3 3 2" xfId="35211"/>
    <cellStyle name="Comma 13 3 2 3 3 3 3" xfId="35212"/>
    <cellStyle name="Comma 13 3 2 3 3 4" xfId="35213"/>
    <cellStyle name="Comma 13 3 2 3 3 4 2" xfId="35214"/>
    <cellStyle name="Comma 13 3 2 3 3 5" xfId="35215"/>
    <cellStyle name="Comma 13 3 2 3 3 6" xfId="35216"/>
    <cellStyle name="Comma 13 3 2 3 4" xfId="35217"/>
    <cellStyle name="Comma 13 3 2 3 4 2" xfId="35218"/>
    <cellStyle name="Comma 13 3 2 3 4 2 2" xfId="35219"/>
    <cellStyle name="Comma 13 3 2 3 4 2 3" xfId="35220"/>
    <cellStyle name="Comma 13 3 2 3 4 3" xfId="35221"/>
    <cellStyle name="Comma 13 3 2 3 4 3 2" xfId="35222"/>
    <cellStyle name="Comma 13 3 2 3 4 4" xfId="35223"/>
    <cellStyle name="Comma 13 3 2 3 4 5" xfId="35224"/>
    <cellStyle name="Comma 13 3 2 3 5" xfId="35225"/>
    <cellStyle name="Comma 13 3 2 3 5 2" xfId="35226"/>
    <cellStyle name="Comma 13 3 2 3 5 3" xfId="35227"/>
    <cellStyle name="Comma 13 3 2 3 6" xfId="35228"/>
    <cellStyle name="Comma 13 3 2 3 6 2" xfId="35229"/>
    <cellStyle name="Comma 13 3 2 3 6 3" xfId="35230"/>
    <cellStyle name="Comma 13 3 2 3 7" xfId="35231"/>
    <cellStyle name="Comma 13 3 2 3 7 2" xfId="35232"/>
    <cellStyle name="Comma 13 3 2 3 8" xfId="35233"/>
    <cellStyle name="Comma 13 3 2 3 9" xfId="35234"/>
    <cellStyle name="Comma 13 3 2 4" xfId="35235"/>
    <cellStyle name="Comma 13 3 2 4 2" xfId="35236"/>
    <cellStyle name="Comma 13 3 2 4 2 2" xfId="35237"/>
    <cellStyle name="Comma 13 3 2 4 2 2 2" xfId="35238"/>
    <cellStyle name="Comma 13 3 2 4 2 2 3" xfId="35239"/>
    <cellStyle name="Comma 13 3 2 4 2 3" xfId="35240"/>
    <cellStyle name="Comma 13 3 2 4 2 3 2" xfId="35241"/>
    <cellStyle name="Comma 13 3 2 4 2 3 3" xfId="35242"/>
    <cellStyle name="Comma 13 3 2 4 2 4" xfId="35243"/>
    <cellStyle name="Comma 13 3 2 4 2 4 2" xfId="35244"/>
    <cellStyle name="Comma 13 3 2 4 2 5" xfId="35245"/>
    <cellStyle name="Comma 13 3 2 4 2 6" xfId="35246"/>
    <cellStyle name="Comma 13 3 2 4 3" xfId="35247"/>
    <cellStyle name="Comma 13 3 2 4 3 2" xfId="35248"/>
    <cellStyle name="Comma 13 3 2 4 3 2 2" xfId="35249"/>
    <cellStyle name="Comma 13 3 2 4 3 2 3" xfId="35250"/>
    <cellStyle name="Comma 13 3 2 4 3 3" xfId="35251"/>
    <cellStyle name="Comma 13 3 2 4 3 3 2" xfId="35252"/>
    <cellStyle name="Comma 13 3 2 4 3 3 3" xfId="35253"/>
    <cellStyle name="Comma 13 3 2 4 3 4" xfId="35254"/>
    <cellStyle name="Comma 13 3 2 4 3 4 2" xfId="35255"/>
    <cellStyle name="Comma 13 3 2 4 3 5" xfId="35256"/>
    <cellStyle name="Comma 13 3 2 4 3 6" xfId="35257"/>
    <cellStyle name="Comma 13 3 2 4 4" xfId="35258"/>
    <cellStyle name="Comma 13 3 2 4 4 2" xfId="35259"/>
    <cellStyle name="Comma 13 3 2 4 4 2 2" xfId="35260"/>
    <cellStyle name="Comma 13 3 2 4 4 2 3" xfId="35261"/>
    <cellStyle name="Comma 13 3 2 4 4 3" xfId="35262"/>
    <cellStyle name="Comma 13 3 2 4 4 3 2" xfId="35263"/>
    <cellStyle name="Comma 13 3 2 4 4 4" xfId="35264"/>
    <cellStyle name="Comma 13 3 2 4 4 5" xfId="35265"/>
    <cellStyle name="Comma 13 3 2 4 5" xfId="35266"/>
    <cellStyle name="Comma 13 3 2 4 5 2" xfId="35267"/>
    <cellStyle name="Comma 13 3 2 4 5 3" xfId="35268"/>
    <cellStyle name="Comma 13 3 2 4 6" xfId="35269"/>
    <cellStyle name="Comma 13 3 2 4 6 2" xfId="35270"/>
    <cellStyle name="Comma 13 3 2 4 6 3" xfId="35271"/>
    <cellStyle name="Comma 13 3 2 4 7" xfId="35272"/>
    <cellStyle name="Comma 13 3 2 4 7 2" xfId="35273"/>
    <cellStyle name="Comma 13 3 2 4 8" xfId="35274"/>
    <cellStyle name="Comma 13 3 2 4 9" xfId="35275"/>
    <cellStyle name="Comma 13 3 2 5" xfId="35276"/>
    <cellStyle name="Comma 13 3 2 5 2" xfId="35277"/>
    <cellStyle name="Comma 13 3 2 5 2 2" xfId="35278"/>
    <cellStyle name="Comma 13 3 2 5 2 3" xfId="35279"/>
    <cellStyle name="Comma 13 3 2 5 3" xfId="35280"/>
    <cellStyle name="Comma 13 3 2 5 3 2" xfId="35281"/>
    <cellStyle name="Comma 13 3 2 5 3 3" xfId="35282"/>
    <cellStyle name="Comma 13 3 2 5 4" xfId="35283"/>
    <cellStyle name="Comma 13 3 2 5 4 2" xfId="35284"/>
    <cellStyle name="Comma 13 3 2 5 5" xfId="35285"/>
    <cellStyle name="Comma 13 3 2 5 6" xfId="35286"/>
    <cellStyle name="Comma 13 3 2 6" xfId="35287"/>
    <cellStyle name="Comma 13 3 2 6 2" xfId="35288"/>
    <cellStyle name="Comma 13 3 2 6 2 2" xfId="35289"/>
    <cellStyle name="Comma 13 3 2 6 2 3" xfId="35290"/>
    <cellStyle name="Comma 13 3 2 6 3" xfId="35291"/>
    <cellStyle name="Comma 13 3 2 6 3 2" xfId="35292"/>
    <cellStyle name="Comma 13 3 2 6 3 3" xfId="35293"/>
    <cellStyle name="Comma 13 3 2 6 4" xfId="35294"/>
    <cellStyle name="Comma 13 3 2 6 4 2" xfId="35295"/>
    <cellStyle name="Comma 13 3 2 6 5" xfId="35296"/>
    <cellStyle name="Comma 13 3 2 6 6" xfId="35297"/>
    <cellStyle name="Comma 13 3 2 7" xfId="35298"/>
    <cellStyle name="Comma 13 3 2 7 2" xfId="35299"/>
    <cellStyle name="Comma 13 3 2 7 2 2" xfId="35300"/>
    <cellStyle name="Comma 13 3 2 7 2 3" xfId="35301"/>
    <cellStyle name="Comma 13 3 2 7 3" xfId="35302"/>
    <cellStyle name="Comma 13 3 2 7 3 2" xfId="35303"/>
    <cellStyle name="Comma 13 3 2 7 4" xfId="35304"/>
    <cellStyle name="Comma 13 3 2 7 5" xfId="35305"/>
    <cellStyle name="Comma 13 3 2 8" xfId="35306"/>
    <cellStyle name="Comma 13 3 2 8 2" xfId="35307"/>
    <cellStyle name="Comma 13 3 2 8 3" xfId="35308"/>
    <cellStyle name="Comma 13 3 2 9" xfId="35309"/>
    <cellStyle name="Comma 13 3 2 9 2" xfId="35310"/>
    <cellStyle name="Comma 13 3 2 9 3" xfId="35311"/>
    <cellStyle name="Comma 13 3 3" xfId="35312"/>
    <cellStyle name="Comma 13 3 3 10" xfId="35313"/>
    <cellStyle name="Comma 13 3 3 2" xfId="35314"/>
    <cellStyle name="Comma 13 3 3 2 2" xfId="35315"/>
    <cellStyle name="Comma 13 3 3 2 2 2" xfId="35316"/>
    <cellStyle name="Comma 13 3 3 2 2 2 2" xfId="35317"/>
    <cellStyle name="Comma 13 3 3 2 2 2 3" xfId="35318"/>
    <cellStyle name="Comma 13 3 3 2 2 3" xfId="35319"/>
    <cellStyle name="Comma 13 3 3 2 2 3 2" xfId="35320"/>
    <cellStyle name="Comma 13 3 3 2 2 3 3" xfId="35321"/>
    <cellStyle name="Comma 13 3 3 2 2 4" xfId="35322"/>
    <cellStyle name="Comma 13 3 3 2 2 4 2" xfId="35323"/>
    <cellStyle name="Comma 13 3 3 2 2 5" xfId="35324"/>
    <cellStyle name="Comma 13 3 3 2 2 6" xfId="35325"/>
    <cellStyle name="Comma 13 3 3 2 3" xfId="35326"/>
    <cellStyle name="Comma 13 3 3 2 3 2" xfId="35327"/>
    <cellStyle name="Comma 13 3 3 2 3 2 2" xfId="35328"/>
    <cellStyle name="Comma 13 3 3 2 3 2 3" xfId="35329"/>
    <cellStyle name="Comma 13 3 3 2 3 3" xfId="35330"/>
    <cellStyle name="Comma 13 3 3 2 3 3 2" xfId="35331"/>
    <cellStyle name="Comma 13 3 3 2 3 3 3" xfId="35332"/>
    <cellStyle name="Comma 13 3 3 2 3 4" xfId="35333"/>
    <cellStyle name="Comma 13 3 3 2 3 4 2" xfId="35334"/>
    <cellStyle name="Comma 13 3 3 2 3 5" xfId="35335"/>
    <cellStyle name="Comma 13 3 3 2 3 6" xfId="35336"/>
    <cellStyle name="Comma 13 3 3 2 4" xfId="35337"/>
    <cellStyle name="Comma 13 3 3 2 4 2" xfId="35338"/>
    <cellStyle name="Comma 13 3 3 2 4 2 2" xfId="35339"/>
    <cellStyle name="Comma 13 3 3 2 4 2 3" xfId="35340"/>
    <cellStyle name="Comma 13 3 3 2 4 3" xfId="35341"/>
    <cellStyle name="Comma 13 3 3 2 4 3 2" xfId="35342"/>
    <cellStyle name="Comma 13 3 3 2 4 4" xfId="35343"/>
    <cellStyle name="Comma 13 3 3 2 4 5" xfId="35344"/>
    <cellStyle name="Comma 13 3 3 2 5" xfId="35345"/>
    <cellStyle name="Comma 13 3 3 2 5 2" xfId="35346"/>
    <cellStyle name="Comma 13 3 3 2 5 3" xfId="35347"/>
    <cellStyle name="Comma 13 3 3 2 6" xfId="35348"/>
    <cellStyle name="Comma 13 3 3 2 6 2" xfId="35349"/>
    <cellStyle name="Comma 13 3 3 2 6 3" xfId="35350"/>
    <cellStyle name="Comma 13 3 3 2 7" xfId="35351"/>
    <cellStyle name="Comma 13 3 3 2 7 2" xfId="35352"/>
    <cellStyle name="Comma 13 3 3 2 8" xfId="35353"/>
    <cellStyle name="Comma 13 3 3 2 9" xfId="35354"/>
    <cellStyle name="Comma 13 3 3 3" xfId="35355"/>
    <cellStyle name="Comma 13 3 3 3 2" xfId="35356"/>
    <cellStyle name="Comma 13 3 3 3 2 2" xfId="35357"/>
    <cellStyle name="Comma 13 3 3 3 2 3" xfId="35358"/>
    <cellStyle name="Comma 13 3 3 3 3" xfId="35359"/>
    <cellStyle name="Comma 13 3 3 3 3 2" xfId="35360"/>
    <cellStyle name="Comma 13 3 3 3 3 3" xfId="35361"/>
    <cellStyle name="Comma 13 3 3 3 4" xfId="35362"/>
    <cellStyle name="Comma 13 3 3 3 4 2" xfId="35363"/>
    <cellStyle name="Comma 13 3 3 3 5" xfId="35364"/>
    <cellStyle name="Comma 13 3 3 3 6" xfId="35365"/>
    <cellStyle name="Comma 13 3 3 4" xfId="35366"/>
    <cellStyle name="Comma 13 3 3 4 2" xfId="35367"/>
    <cellStyle name="Comma 13 3 3 4 2 2" xfId="35368"/>
    <cellStyle name="Comma 13 3 3 4 2 3" xfId="35369"/>
    <cellStyle name="Comma 13 3 3 4 3" xfId="35370"/>
    <cellStyle name="Comma 13 3 3 4 3 2" xfId="35371"/>
    <cellStyle name="Comma 13 3 3 4 3 3" xfId="35372"/>
    <cellStyle name="Comma 13 3 3 4 4" xfId="35373"/>
    <cellStyle name="Comma 13 3 3 4 4 2" xfId="35374"/>
    <cellStyle name="Comma 13 3 3 4 5" xfId="35375"/>
    <cellStyle name="Comma 13 3 3 4 6" xfId="35376"/>
    <cellStyle name="Comma 13 3 3 5" xfId="35377"/>
    <cellStyle name="Comma 13 3 3 5 2" xfId="35378"/>
    <cellStyle name="Comma 13 3 3 5 2 2" xfId="35379"/>
    <cellStyle name="Comma 13 3 3 5 2 3" xfId="35380"/>
    <cellStyle name="Comma 13 3 3 5 3" xfId="35381"/>
    <cellStyle name="Comma 13 3 3 5 3 2" xfId="35382"/>
    <cellStyle name="Comma 13 3 3 5 4" xfId="35383"/>
    <cellStyle name="Comma 13 3 3 5 5" xfId="35384"/>
    <cellStyle name="Comma 13 3 3 6" xfId="35385"/>
    <cellStyle name="Comma 13 3 3 6 2" xfId="35386"/>
    <cellStyle name="Comma 13 3 3 6 3" xfId="35387"/>
    <cellStyle name="Comma 13 3 3 7" xfId="35388"/>
    <cellStyle name="Comma 13 3 3 7 2" xfId="35389"/>
    <cellStyle name="Comma 13 3 3 7 3" xfId="35390"/>
    <cellStyle name="Comma 13 3 3 8" xfId="35391"/>
    <cellStyle name="Comma 13 3 3 8 2" xfId="35392"/>
    <cellStyle name="Comma 13 3 3 9" xfId="35393"/>
    <cellStyle name="Comma 13 3 4" xfId="35394"/>
    <cellStyle name="Comma 13 3 4 2" xfId="35395"/>
    <cellStyle name="Comma 13 3 4 2 2" xfId="35396"/>
    <cellStyle name="Comma 13 3 4 2 2 2" xfId="35397"/>
    <cellStyle name="Comma 13 3 4 2 2 3" xfId="35398"/>
    <cellStyle name="Comma 13 3 4 2 3" xfId="35399"/>
    <cellStyle name="Comma 13 3 4 2 3 2" xfId="35400"/>
    <cellStyle name="Comma 13 3 4 2 3 3" xfId="35401"/>
    <cellStyle name="Comma 13 3 4 2 4" xfId="35402"/>
    <cellStyle name="Comma 13 3 4 2 4 2" xfId="35403"/>
    <cellStyle name="Comma 13 3 4 2 5" xfId="35404"/>
    <cellStyle name="Comma 13 3 4 2 6" xfId="35405"/>
    <cellStyle name="Comma 13 3 4 3" xfId="35406"/>
    <cellStyle name="Comma 13 3 4 3 2" xfId="35407"/>
    <cellStyle name="Comma 13 3 4 3 2 2" xfId="35408"/>
    <cellStyle name="Comma 13 3 4 3 2 3" xfId="35409"/>
    <cellStyle name="Comma 13 3 4 3 3" xfId="35410"/>
    <cellStyle name="Comma 13 3 4 3 3 2" xfId="35411"/>
    <cellStyle name="Comma 13 3 4 3 3 3" xfId="35412"/>
    <cellStyle name="Comma 13 3 4 3 4" xfId="35413"/>
    <cellStyle name="Comma 13 3 4 3 4 2" xfId="35414"/>
    <cellStyle name="Comma 13 3 4 3 5" xfId="35415"/>
    <cellStyle name="Comma 13 3 4 3 6" xfId="35416"/>
    <cellStyle name="Comma 13 3 4 4" xfId="35417"/>
    <cellStyle name="Comma 13 3 4 4 2" xfId="35418"/>
    <cellStyle name="Comma 13 3 4 4 2 2" xfId="35419"/>
    <cellStyle name="Comma 13 3 4 4 2 3" xfId="35420"/>
    <cellStyle name="Comma 13 3 4 4 3" xfId="35421"/>
    <cellStyle name="Comma 13 3 4 4 3 2" xfId="35422"/>
    <cellStyle name="Comma 13 3 4 4 4" xfId="35423"/>
    <cellStyle name="Comma 13 3 4 4 5" xfId="35424"/>
    <cellStyle name="Comma 13 3 4 5" xfId="35425"/>
    <cellStyle name="Comma 13 3 4 5 2" xfId="35426"/>
    <cellStyle name="Comma 13 3 4 5 3" xfId="35427"/>
    <cellStyle name="Comma 13 3 4 6" xfId="35428"/>
    <cellStyle name="Comma 13 3 4 6 2" xfId="35429"/>
    <cellStyle name="Comma 13 3 4 6 3" xfId="35430"/>
    <cellStyle name="Comma 13 3 4 7" xfId="35431"/>
    <cellStyle name="Comma 13 3 4 7 2" xfId="35432"/>
    <cellStyle name="Comma 13 3 4 8" xfId="35433"/>
    <cellStyle name="Comma 13 3 4 9" xfId="35434"/>
    <cellStyle name="Comma 13 3 5" xfId="35435"/>
    <cellStyle name="Comma 13 3 5 2" xfId="35436"/>
    <cellStyle name="Comma 13 3 5 2 2" xfId="35437"/>
    <cellStyle name="Comma 13 3 5 2 2 2" xfId="35438"/>
    <cellStyle name="Comma 13 3 5 2 2 3" xfId="35439"/>
    <cellStyle name="Comma 13 3 5 2 3" xfId="35440"/>
    <cellStyle name="Comma 13 3 5 2 3 2" xfId="35441"/>
    <cellStyle name="Comma 13 3 5 2 3 3" xfId="35442"/>
    <cellStyle name="Comma 13 3 5 2 4" xfId="35443"/>
    <cellStyle name="Comma 13 3 5 2 4 2" xfId="35444"/>
    <cellStyle name="Comma 13 3 5 2 5" xfId="35445"/>
    <cellStyle name="Comma 13 3 5 2 6" xfId="35446"/>
    <cellStyle name="Comma 13 3 5 3" xfId="35447"/>
    <cellStyle name="Comma 13 3 5 3 2" xfId="35448"/>
    <cellStyle name="Comma 13 3 5 3 2 2" xfId="35449"/>
    <cellStyle name="Comma 13 3 5 3 2 3" xfId="35450"/>
    <cellStyle name="Comma 13 3 5 3 3" xfId="35451"/>
    <cellStyle name="Comma 13 3 5 3 3 2" xfId="35452"/>
    <cellStyle name="Comma 13 3 5 3 3 3" xfId="35453"/>
    <cellStyle name="Comma 13 3 5 3 4" xfId="35454"/>
    <cellStyle name="Comma 13 3 5 3 4 2" xfId="35455"/>
    <cellStyle name="Comma 13 3 5 3 5" xfId="35456"/>
    <cellStyle name="Comma 13 3 5 3 6" xfId="35457"/>
    <cellStyle name="Comma 13 3 5 4" xfId="35458"/>
    <cellStyle name="Comma 13 3 5 4 2" xfId="35459"/>
    <cellStyle name="Comma 13 3 5 4 2 2" xfId="35460"/>
    <cellStyle name="Comma 13 3 5 4 2 3" xfId="35461"/>
    <cellStyle name="Comma 13 3 5 4 3" xfId="35462"/>
    <cellStyle name="Comma 13 3 5 4 3 2" xfId="35463"/>
    <cellStyle name="Comma 13 3 5 4 4" xfId="35464"/>
    <cellStyle name="Comma 13 3 5 4 5" xfId="35465"/>
    <cellStyle name="Comma 13 3 5 5" xfId="35466"/>
    <cellStyle name="Comma 13 3 5 5 2" xfId="35467"/>
    <cellStyle name="Comma 13 3 5 5 3" xfId="35468"/>
    <cellStyle name="Comma 13 3 5 6" xfId="35469"/>
    <cellStyle name="Comma 13 3 5 6 2" xfId="35470"/>
    <cellStyle name="Comma 13 3 5 6 3" xfId="35471"/>
    <cellStyle name="Comma 13 3 5 7" xfId="35472"/>
    <cellStyle name="Comma 13 3 5 7 2" xfId="35473"/>
    <cellStyle name="Comma 13 3 5 8" xfId="35474"/>
    <cellStyle name="Comma 13 3 5 9" xfId="35475"/>
    <cellStyle name="Comma 13 3 6" xfId="35476"/>
    <cellStyle name="Comma 13 3 6 2" xfId="35477"/>
    <cellStyle name="Comma 13 3 6 2 2" xfId="35478"/>
    <cellStyle name="Comma 13 3 6 2 3" xfId="35479"/>
    <cellStyle name="Comma 13 3 6 3" xfId="35480"/>
    <cellStyle name="Comma 13 3 6 3 2" xfId="35481"/>
    <cellStyle name="Comma 13 3 6 3 3" xfId="35482"/>
    <cellStyle name="Comma 13 3 6 4" xfId="35483"/>
    <cellStyle name="Comma 13 3 6 4 2" xfId="35484"/>
    <cellStyle name="Comma 13 3 6 5" xfId="35485"/>
    <cellStyle name="Comma 13 3 6 6" xfId="35486"/>
    <cellStyle name="Comma 13 3 7" xfId="35487"/>
    <cellStyle name="Comma 13 3 7 2" xfId="35488"/>
    <cellStyle name="Comma 13 3 7 2 2" xfId="35489"/>
    <cellStyle name="Comma 13 3 7 2 3" xfId="35490"/>
    <cellStyle name="Comma 13 3 7 3" xfId="35491"/>
    <cellStyle name="Comma 13 3 7 3 2" xfId="35492"/>
    <cellStyle name="Comma 13 3 7 3 3" xfId="35493"/>
    <cellStyle name="Comma 13 3 7 4" xfId="35494"/>
    <cellStyle name="Comma 13 3 7 4 2" xfId="35495"/>
    <cellStyle name="Comma 13 3 7 5" xfId="35496"/>
    <cellStyle name="Comma 13 3 7 6" xfId="35497"/>
    <cellStyle name="Comma 13 3 8" xfId="35498"/>
    <cellStyle name="Comma 13 3 8 2" xfId="35499"/>
    <cellStyle name="Comma 13 3 8 2 2" xfId="35500"/>
    <cellStyle name="Comma 13 3 8 2 3" xfId="35501"/>
    <cellStyle name="Comma 13 3 8 3" xfId="35502"/>
    <cellStyle name="Comma 13 3 8 3 2" xfId="35503"/>
    <cellStyle name="Comma 13 3 8 4" xfId="35504"/>
    <cellStyle name="Comma 13 3 8 5" xfId="35505"/>
    <cellStyle name="Comma 13 3 9" xfId="35506"/>
    <cellStyle name="Comma 13 3 9 2" xfId="35507"/>
    <cellStyle name="Comma 13 3 9 3" xfId="35508"/>
    <cellStyle name="Comma 13 4" xfId="35509"/>
    <cellStyle name="Comma 13 4 10" xfId="35510"/>
    <cellStyle name="Comma 13 4 10 2" xfId="35511"/>
    <cellStyle name="Comma 13 4 11" xfId="35512"/>
    <cellStyle name="Comma 13 4 12" xfId="35513"/>
    <cellStyle name="Comma 13 4 2" xfId="35514"/>
    <cellStyle name="Comma 13 4 2 10" xfId="35515"/>
    <cellStyle name="Comma 13 4 2 2" xfId="35516"/>
    <cellStyle name="Comma 13 4 2 2 2" xfId="35517"/>
    <cellStyle name="Comma 13 4 2 2 2 2" xfId="35518"/>
    <cellStyle name="Comma 13 4 2 2 2 2 2" xfId="35519"/>
    <cellStyle name="Comma 13 4 2 2 2 2 3" xfId="35520"/>
    <cellStyle name="Comma 13 4 2 2 2 3" xfId="35521"/>
    <cellStyle name="Comma 13 4 2 2 2 3 2" xfId="35522"/>
    <cellStyle name="Comma 13 4 2 2 2 3 3" xfId="35523"/>
    <cellStyle name="Comma 13 4 2 2 2 4" xfId="35524"/>
    <cellStyle name="Comma 13 4 2 2 2 4 2" xfId="35525"/>
    <cellStyle name="Comma 13 4 2 2 2 5" xfId="35526"/>
    <cellStyle name="Comma 13 4 2 2 2 6" xfId="35527"/>
    <cellStyle name="Comma 13 4 2 2 3" xfId="35528"/>
    <cellStyle name="Comma 13 4 2 2 3 2" xfId="35529"/>
    <cellStyle name="Comma 13 4 2 2 3 2 2" xfId="35530"/>
    <cellStyle name="Comma 13 4 2 2 3 2 3" xfId="35531"/>
    <cellStyle name="Comma 13 4 2 2 3 3" xfId="35532"/>
    <cellStyle name="Comma 13 4 2 2 3 3 2" xfId="35533"/>
    <cellStyle name="Comma 13 4 2 2 3 3 3" xfId="35534"/>
    <cellStyle name="Comma 13 4 2 2 3 4" xfId="35535"/>
    <cellStyle name="Comma 13 4 2 2 3 4 2" xfId="35536"/>
    <cellStyle name="Comma 13 4 2 2 3 5" xfId="35537"/>
    <cellStyle name="Comma 13 4 2 2 3 6" xfId="35538"/>
    <cellStyle name="Comma 13 4 2 2 4" xfId="35539"/>
    <cellStyle name="Comma 13 4 2 2 4 2" xfId="35540"/>
    <cellStyle name="Comma 13 4 2 2 4 2 2" xfId="35541"/>
    <cellStyle name="Comma 13 4 2 2 4 2 3" xfId="35542"/>
    <cellStyle name="Comma 13 4 2 2 4 3" xfId="35543"/>
    <cellStyle name="Comma 13 4 2 2 4 3 2" xfId="35544"/>
    <cellStyle name="Comma 13 4 2 2 4 4" xfId="35545"/>
    <cellStyle name="Comma 13 4 2 2 4 5" xfId="35546"/>
    <cellStyle name="Comma 13 4 2 2 5" xfId="35547"/>
    <cellStyle name="Comma 13 4 2 2 5 2" xfId="35548"/>
    <cellStyle name="Comma 13 4 2 2 5 3" xfId="35549"/>
    <cellStyle name="Comma 13 4 2 2 6" xfId="35550"/>
    <cellStyle name="Comma 13 4 2 2 6 2" xfId="35551"/>
    <cellStyle name="Comma 13 4 2 2 6 3" xfId="35552"/>
    <cellStyle name="Comma 13 4 2 2 7" xfId="35553"/>
    <cellStyle name="Comma 13 4 2 2 7 2" xfId="35554"/>
    <cellStyle name="Comma 13 4 2 2 8" xfId="35555"/>
    <cellStyle name="Comma 13 4 2 2 9" xfId="35556"/>
    <cellStyle name="Comma 13 4 2 3" xfId="35557"/>
    <cellStyle name="Comma 13 4 2 3 2" xfId="35558"/>
    <cellStyle name="Comma 13 4 2 3 2 2" xfId="35559"/>
    <cellStyle name="Comma 13 4 2 3 2 3" xfId="35560"/>
    <cellStyle name="Comma 13 4 2 3 3" xfId="35561"/>
    <cellStyle name="Comma 13 4 2 3 3 2" xfId="35562"/>
    <cellStyle name="Comma 13 4 2 3 3 3" xfId="35563"/>
    <cellStyle name="Comma 13 4 2 3 4" xfId="35564"/>
    <cellStyle name="Comma 13 4 2 3 4 2" xfId="35565"/>
    <cellStyle name="Comma 13 4 2 3 5" xfId="35566"/>
    <cellStyle name="Comma 13 4 2 3 6" xfId="35567"/>
    <cellStyle name="Comma 13 4 2 4" xfId="35568"/>
    <cellStyle name="Comma 13 4 2 4 2" xfId="35569"/>
    <cellStyle name="Comma 13 4 2 4 2 2" xfId="35570"/>
    <cellStyle name="Comma 13 4 2 4 2 3" xfId="35571"/>
    <cellStyle name="Comma 13 4 2 4 3" xfId="35572"/>
    <cellStyle name="Comma 13 4 2 4 3 2" xfId="35573"/>
    <cellStyle name="Comma 13 4 2 4 3 3" xfId="35574"/>
    <cellStyle name="Comma 13 4 2 4 4" xfId="35575"/>
    <cellStyle name="Comma 13 4 2 4 4 2" xfId="35576"/>
    <cellStyle name="Comma 13 4 2 4 5" xfId="35577"/>
    <cellStyle name="Comma 13 4 2 4 6" xfId="35578"/>
    <cellStyle name="Comma 13 4 2 5" xfId="35579"/>
    <cellStyle name="Comma 13 4 2 5 2" xfId="35580"/>
    <cellStyle name="Comma 13 4 2 5 2 2" xfId="35581"/>
    <cellStyle name="Comma 13 4 2 5 2 3" xfId="35582"/>
    <cellStyle name="Comma 13 4 2 5 3" xfId="35583"/>
    <cellStyle name="Comma 13 4 2 5 3 2" xfId="35584"/>
    <cellStyle name="Comma 13 4 2 5 4" xfId="35585"/>
    <cellStyle name="Comma 13 4 2 5 5" xfId="35586"/>
    <cellStyle name="Comma 13 4 2 6" xfId="35587"/>
    <cellStyle name="Comma 13 4 2 6 2" xfId="35588"/>
    <cellStyle name="Comma 13 4 2 6 3" xfId="35589"/>
    <cellStyle name="Comma 13 4 2 7" xfId="35590"/>
    <cellStyle name="Comma 13 4 2 7 2" xfId="35591"/>
    <cellStyle name="Comma 13 4 2 7 3" xfId="35592"/>
    <cellStyle name="Comma 13 4 2 8" xfId="35593"/>
    <cellStyle name="Comma 13 4 2 8 2" xfId="35594"/>
    <cellStyle name="Comma 13 4 2 9" xfId="35595"/>
    <cellStyle name="Comma 13 4 3" xfId="35596"/>
    <cellStyle name="Comma 13 4 3 2" xfId="35597"/>
    <cellStyle name="Comma 13 4 3 2 2" xfId="35598"/>
    <cellStyle name="Comma 13 4 3 2 2 2" xfId="35599"/>
    <cellStyle name="Comma 13 4 3 2 2 3" xfId="35600"/>
    <cellStyle name="Comma 13 4 3 2 3" xfId="35601"/>
    <cellStyle name="Comma 13 4 3 2 3 2" xfId="35602"/>
    <cellStyle name="Comma 13 4 3 2 3 3" xfId="35603"/>
    <cellStyle name="Comma 13 4 3 2 4" xfId="35604"/>
    <cellStyle name="Comma 13 4 3 2 4 2" xfId="35605"/>
    <cellStyle name="Comma 13 4 3 2 5" xfId="35606"/>
    <cellStyle name="Comma 13 4 3 2 6" xfId="35607"/>
    <cellStyle name="Comma 13 4 3 3" xfId="35608"/>
    <cellStyle name="Comma 13 4 3 3 2" xfId="35609"/>
    <cellStyle name="Comma 13 4 3 3 2 2" xfId="35610"/>
    <cellStyle name="Comma 13 4 3 3 2 3" xfId="35611"/>
    <cellStyle name="Comma 13 4 3 3 3" xfId="35612"/>
    <cellStyle name="Comma 13 4 3 3 3 2" xfId="35613"/>
    <cellStyle name="Comma 13 4 3 3 3 3" xfId="35614"/>
    <cellStyle name="Comma 13 4 3 3 4" xfId="35615"/>
    <cellStyle name="Comma 13 4 3 3 4 2" xfId="35616"/>
    <cellStyle name="Comma 13 4 3 3 5" xfId="35617"/>
    <cellStyle name="Comma 13 4 3 3 6" xfId="35618"/>
    <cellStyle name="Comma 13 4 3 4" xfId="35619"/>
    <cellStyle name="Comma 13 4 3 4 2" xfId="35620"/>
    <cellStyle name="Comma 13 4 3 4 2 2" xfId="35621"/>
    <cellStyle name="Comma 13 4 3 4 2 3" xfId="35622"/>
    <cellStyle name="Comma 13 4 3 4 3" xfId="35623"/>
    <cellStyle name="Comma 13 4 3 4 3 2" xfId="35624"/>
    <cellStyle name="Comma 13 4 3 4 4" xfId="35625"/>
    <cellStyle name="Comma 13 4 3 4 5" xfId="35626"/>
    <cellStyle name="Comma 13 4 3 5" xfId="35627"/>
    <cellStyle name="Comma 13 4 3 5 2" xfId="35628"/>
    <cellStyle name="Comma 13 4 3 5 3" xfId="35629"/>
    <cellStyle name="Comma 13 4 3 6" xfId="35630"/>
    <cellStyle name="Comma 13 4 3 6 2" xfId="35631"/>
    <cellStyle name="Comma 13 4 3 6 3" xfId="35632"/>
    <cellStyle name="Comma 13 4 3 7" xfId="35633"/>
    <cellStyle name="Comma 13 4 3 7 2" xfId="35634"/>
    <cellStyle name="Comma 13 4 3 8" xfId="35635"/>
    <cellStyle name="Comma 13 4 3 9" xfId="35636"/>
    <cellStyle name="Comma 13 4 4" xfId="35637"/>
    <cellStyle name="Comma 13 4 4 2" xfId="35638"/>
    <cellStyle name="Comma 13 4 4 2 2" xfId="35639"/>
    <cellStyle name="Comma 13 4 4 2 2 2" xfId="35640"/>
    <cellStyle name="Comma 13 4 4 2 2 3" xfId="35641"/>
    <cellStyle name="Comma 13 4 4 2 3" xfId="35642"/>
    <cellStyle name="Comma 13 4 4 2 3 2" xfId="35643"/>
    <cellStyle name="Comma 13 4 4 2 3 3" xfId="35644"/>
    <cellStyle name="Comma 13 4 4 2 4" xfId="35645"/>
    <cellStyle name="Comma 13 4 4 2 4 2" xfId="35646"/>
    <cellStyle name="Comma 13 4 4 2 5" xfId="35647"/>
    <cellStyle name="Comma 13 4 4 2 6" xfId="35648"/>
    <cellStyle name="Comma 13 4 4 3" xfId="35649"/>
    <cellStyle name="Comma 13 4 4 3 2" xfId="35650"/>
    <cellStyle name="Comma 13 4 4 3 2 2" xfId="35651"/>
    <cellStyle name="Comma 13 4 4 3 2 3" xfId="35652"/>
    <cellStyle name="Comma 13 4 4 3 3" xfId="35653"/>
    <cellStyle name="Comma 13 4 4 3 3 2" xfId="35654"/>
    <cellStyle name="Comma 13 4 4 3 3 3" xfId="35655"/>
    <cellStyle name="Comma 13 4 4 3 4" xfId="35656"/>
    <cellStyle name="Comma 13 4 4 3 4 2" xfId="35657"/>
    <cellStyle name="Comma 13 4 4 3 5" xfId="35658"/>
    <cellStyle name="Comma 13 4 4 3 6" xfId="35659"/>
    <cellStyle name="Comma 13 4 4 4" xfId="35660"/>
    <cellStyle name="Comma 13 4 4 4 2" xfId="35661"/>
    <cellStyle name="Comma 13 4 4 4 2 2" xfId="35662"/>
    <cellStyle name="Comma 13 4 4 4 2 3" xfId="35663"/>
    <cellStyle name="Comma 13 4 4 4 3" xfId="35664"/>
    <cellStyle name="Comma 13 4 4 4 3 2" xfId="35665"/>
    <cellStyle name="Comma 13 4 4 4 4" xfId="35666"/>
    <cellStyle name="Comma 13 4 4 4 5" xfId="35667"/>
    <cellStyle name="Comma 13 4 4 5" xfId="35668"/>
    <cellStyle name="Comma 13 4 4 5 2" xfId="35669"/>
    <cellStyle name="Comma 13 4 4 5 3" xfId="35670"/>
    <cellStyle name="Comma 13 4 4 6" xfId="35671"/>
    <cellStyle name="Comma 13 4 4 6 2" xfId="35672"/>
    <cellStyle name="Comma 13 4 4 6 3" xfId="35673"/>
    <cellStyle name="Comma 13 4 4 7" xfId="35674"/>
    <cellStyle name="Comma 13 4 4 7 2" xfId="35675"/>
    <cellStyle name="Comma 13 4 4 8" xfId="35676"/>
    <cellStyle name="Comma 13 4 4 9" xfId="35677"/>
    <cellStyle name="Comma 13 4 5" xfId="35678"/>
    <cellStyle name="Comma 13 4 5 2" xfId="35679"/>
    <cellStyle name="Comma 13 4 5 2 2" xfId="35680"/>
    <cellStyle name="Comma 13 4 5 2 3" xfId="35681"/>
    <cellStyle name="Comma 13 4 5 3" xfId="35682"/>
    <cellStyle name="Comma 13 4 5 3 2" xfId="35683"/>
    <cellStyle name="Comma 13 4 5 3 3" xfId="35684"/>
    <cellStyle name="Comma 13 4 5 4" xfId="35685"/>
    <cellStyle name="Comma 13 4 5 4 2" xfId="35686"/>
    <cellStyle name="Comma 13 4 5 5" xfId="35687"/>
    <cellStyle name="Comma 13 4 5 6" xfId="35688"/>
    <cellStyle name="Comma 13 4 6" xfId="35689"/>
    <cellStyle name="Comma 13 4 6 2" xfId="35690"/>
    <cellStyle name="Comma 13 4 6 2 2" xfId="35691"/>
    <cellStyle name="Comma 13 4 6 2 3" xfId="35692"/>
    <cellStyle name="Comma 13 4 6 3" xfId="35693"/>
    <cellStyle name="Comma 13 4 6 3 2" xfId="35694"/>
    <cellStyle name="Comma 13 4 6 3 3" xfId="35695"/>
    <cellStyle name="Comma 13 4 6 4" xfId="35696"/>
    <cellStyle name="Comma 13 4 6 4 2" xfId="35697"/>
    <cellStyle name="Comma 13 4 6 5" xfId="35698"/>
    <cellStyle name="Comma 13 4 6 6" xfId="35699"/>
    <cellStyle name="Comma 13 4 7" xfId="35700"/>
    <cellStyle name="Comma 13 4 7 2" xfId="35701"/>
    <cellStyle name="Comma 13 4 7 2 2" xfId="35702"/>
    <cellStyle name="Comma 13 4 7 2 3" xfId="35703"/>
    <cellStyle name="Comma 13 4 7 3" xfId="35704"/>
    <cellStyle name="Comma 13 4 7 3 2" xfId="35705"/>
    <cellStyle name="Comma 13 4 7 4" xfId="35706"/>
    <cellStyle name="Comma 13 4 7 5" xfId="35707"/>
    <cellStyle name="Comma 13 4 8" xfId="35708"/>
    <cellStyle name="Comma 13 4 8 2" xfId="35709"/>
    <cellStyle name="Comma 13 4 8 3" xfId="35710"/>
    <cellStyle name="Comma 13 4 9" xfId="35711"/>
    <cellStyle name="Comma 13 4 9 2" xfId="35712"/>
    <cellStyle name="Comma 13 4 9 3" xfId="35713"/>
    <cellStyle name="Comma 13 5" xfId="35714"/>
    <cellStyle name="Comma 13 5 10" xfId="35715"/>
    <cellStyle name="Comma 13 5 2" xfId="35716"/>
    <cellStyle name="Comma 13 5 2 2" xfId="35717"/>
    <cellStyle name="Comma 13 5 2 2 2" xfId="35718"/>
    <cellStyle name="Comma 13 5 2 2 2 2" xfId="35719"/>
    <cellStyle name="Comma 13 5 2 2 2 3" xfId="35720"/>
    <cellStyle name="Comma 13 5 2 2 3" xfId="35721"/>
    <cellStyle name="Comma 13 5 2 2 3 2" xfId="35722"/>
    <cellStyle name="Comma 13 5 2 2 3 3" xfId="35723"/>
    <cellStyle name="Comma 13 5 2 2 4" xfId="35724"/>
    <cellStyle name="Comma 13 5 2 2 4 2" xfId="35725"/>
    <cellStyle name="Comma 13 5 2 2 5" xfId="35726"/>
    <cellStyle name="Comma 13 5 2 2 6" xfId="35727"/>
    <cellStyle name="Comma 13 5 2 3" xfId="35728"/>
    <cellStyle name="Comma 13 5 2 3 2" xfId="35729"/>
    <cellStyle name="Comma 13 5 2 3 2 2" xfId="35730"/>
    <cellStyle name="Comma 13 5 2 3 2 3" xfId="35731"/>
    <cellStyle name="Comma 13 5 2 3 3" xfId="35732"/>
    <cellStyle name="Comma 13 5 2 3 3 2" xfId="35733"/>
    <cellStyle name="Comma 13 5 2 3 3 3" xfId="35734"/>
    <cellStyle name="Comma 13 5 2 3 4" xfId="35735"/>
    <cellStyle name="Comma 13 5 2 3 4 2" xfId="35736"/>
    <cellStyle name="Comma 13 5 2 3 5" xfId="35737"/>
    <cellStyle name="Comma 13 5 2 3 6" xfId="35738"/>
    <cellStyle name="Comma 13 5 2 4" xfId="35739"/>
    <cellStyle name="Comma 13 5 2 4 2" xfId="35740"/>
    <cellStyle name="Comma 13 5 2 4 2 2" xfId="35741"/>
    <cellStyle name="Comma 13 5 2 4 2 3" xfId="35742"/>
    <cellStyle name="Comma 13 5 2 4 3" xfId="35743"/>
    <cellStyle name="Comma 13 5 2 4 3 2" xfId="35744"/>
    <cellStyle name="Comma 13 5 2 4 4" xfId="35745"/>
    <cellStyle name="Comma 13 5 2 4 5" xfId="35746"/>
    <cellStyle name="Comma 13 5 2 5" xfId="35747"/>
    <cellStyle name="Comma 13 5 2 5 2" xfId="35748"/>
    <cellStyle name="Comma 13 5 2 5 3" xfId="35749"/>
    <cellStyle name="Comma 13 5 2 6" xfId="35750"/>
    <cellStyle name="Comma 13 5 2 6 2" xfId="35751"/>
    <cellStyle name="Comma 13 5 2 6 3" xfId="35752"/>
    <cellStyle name="Comma 13 5 2 7" xfId="35753"/>
    <cellStyle name="Comma 13 5 2 7 2" xfId="35754"/>
    <cellStyle name="Comma 13 5 2 8" xfId="35755"/>
    <cellStyle name="Comma 13 5 2 9" xfId="35756"/>
    <cellStyle name="Comma 13 5 3" xfId="35757"/>
    <cellStyle name="Comma 13 5 3 2" xfId="35758"/>
    <cellStyle name="Comma 13 5 3 2 2" xfId="35759"/>
    <cellStyle name="Comma 13 5 3 2 3" xfId="35760"/>
    <cellStyle name="Comma 13 5 3 3" xfId="35761"/>
    <cellStyle name="Comma 13 5 3 3 2" xfId="35762"/>
    <cellStyle name="Comma 13 5 3 3 3" xfId="35763"/>
    <cellStyle name="Comma 13 5 3 4" xfId="35764"/>
    <cellStyle name="Comma 13 5 3 4 2" xfId="35765"/>
    <cellStyle name="Comma 13 5 3 5" xfId="35766"/>
    <cellStyle name="Comma 13 5 3 6" xfId="35767"/>
    <cellStyle name="Comma 13 5 4" xfId="35768"/>
    <cellStyle name="Comma 13 5 4 2" xfId="35769"/>
    <cellStyle name="Comma 13 5 4 2 2" xfId="35770"/>
    <cellStyle name="Comma 13 5 4 2 3" xfId="35771"/>
    <cellStyle name="Comma 13 5 4 3" xfId="35772"/>
    <cellStyle name="Comma 13 5 4 3 2" xfId="35773"/>
    <cellStyle name="Comma 13 5 4 3 3" xfId="35774"/>
    <cellStyle name="Comma 13 5 4 4" xfId="35775"/>
    <cellStyle name="Comma 13 5 4 4 2" xfId="35776"/>
    <cellStyle name="Comma 13 5 4 5" xfId="35777"/>
    <cellStyle name="Comma 13 5 4 6" xfId="35778"/>
    <cellStyle name="Comma 13 5 5" xfId="35779"/>
    <cellStyle name="Comma 13 5 5 2" xfId="35780"/>
    <cellStyle name="Comma 13 5 5 2 2" xfId="35781"/>
    <cellStyle name="Comma 13 5 5 2 3" xfId="35782"/>
    <cellStyle name="Comma 13 5 5 3" xfId="35783"/>
    <cellStyle name="Comma 13 5 5 3 2" xfId="35784"/>
    <cellStyle name="Comma 13 5 5 4" xfId="35785"/>
    <cellStyle name="Comma 13 5 5 5" xfId="35786"/>
    <cellStyle name="Comma 13 5 6" xfId="35787"/>
    <cellStyle name="Comma 13 5 6 2" xfId="35788"/>
    <cellStyle name="Comma 13 5 6 3" xfId="35789"/>
    <cellStyle name="Comma 13 5 7" xfId="35790"/>
    <cellStyle name="Comma 13 5 7 2" xfId="35791"/>
    <cellStyle name="Comma 13 5 7 3" xfId="35792"/>
    <cellStyle name="Comma 13 5 8" xfId="35793"/>
    <cellStyle name="Comma 13 5 8 2" xfId="35794"/>
    <cellStyle name="Comma 13 5 9" xfId="35795"/>
    <cellStyle name="Comma 13 6" xfId="35796"/>
    <cellStyle name="Comma 13 6 2" xfId="35797"/>
    <cellStyle name="Comma 13 6 2 2" xfId="35798"/>
    <cellStyle name="Comma 13 6 2 2 2" xfId="35799"/>
    <cellStyle name="Comma 13 6 2 2 3" xfId="35800"/>
    <cellStyle name="Comma 13 6 2 3" xfId="35801"/>
    <cellStyle name="Comma 13 6 2 3 2" xfId="35802"/>
    <cellStyle name="Comma 13 6 2 3 3" xfId="35803"/>
    <cellStyle name="Comma 13 6 2 4" xfId="35804"/>
    <cellStyle name="Comma 13 6 2 4 2" xfId="35805"/>
    <cellStyle name="Comma 13 6 2 5" xfId="35806"/>
    <cellStyle name="Comma 13 6 2 6" xfId="35807"/>
    <cellStyle name="Comma 13 6 3" xfId="35808"/>
    <cellStyle name="Comma 13 6 3 2" xfId="35809"/>
    <cellStyle name="Comma 13 6 3 2 2" xfId="35810"/>
    <cellStyle name="Comma 13 6 3 2 3" xfId="35811"/>
    <cellStyle name="Comma 13 6 3 3" xfId="35812"/>
    <cellStyle name="Comma 13 6 3 3 2" xfId="35813"/>
    <cellStyle name="Comma 13 6 3 3 3" xfId="35814"/>
    <cellStyle name="Comma 13 6 3 4" xfId="35815"/>
    <cellStyle name="Comma 13 6 3 4 2" xfId="35816"/>
    <cellStyle name="Comma 13 6 3 5" xfId="35817"/>
    <cellStyle name="Comma 13 6 3 6" xfId="35818"/>
    <cellStyle name="Comma 13 6 4" xfId="35819"/>
    <cellStyle name="Comma 13 6 4 2" xfId="35820"/>
    <cellStyle name="Comma 13 6 4 2 2" xfId="35821"/>
    <cellStyle name="Comma 13 6 4 2 3" xfId="35822"/>
    <cellStyle name="Comma 13 6 4 3" xfId="35823"/>
    <cellStyle name="Comma 13 6 4 3 2" xfId="35824"/>
    <cellStyle name="Comma 13 6 4 4" xfId="35825"/>
    <cellStyle name="Comma 13 6 4 5" xfId="35826"/>
    <cellStyle name="Comma 13 6 5" xfId="35827"/>
    <cellStyle name="Comma 13 6 5 2" xfId="35828"/>
    <cellStyle name="Comma 13 6 5 3" xfId="35829"/>
    <cellStyle name="Comma 13 6 6" xfId="35830"/>
    <cellStyle name="Comma 13 6 6 2" xfId="35831"/>
    <cellStyle name="Comma 13 6 6 3" xfId="35832"/>
    <cellStyle name="Comma 13 6 7" xfId="35833"/>
    <cellStyle name="Comma 13 6 7 2" xfId="35834"/>
    <cellStyle name="Comma 13 6 8" xfId="35835"/>
    <cellStyle name="Comma 13 6 9" xfId="35836"/>
    <cellStyle name="Comma 13 7" xfId="35837"/>
    <cellStyle name="Comma 13 7 2" xfId="35838"/>
    <cellStyle name="Comma 13 7 2 2" xfId="35839"/>
    <cellStyle name="Comma 13 7 2 2 2" xfId="35840"/>
    <cellStyle name="Comma 13 7 2 2 3" xfId="35841"/>
    <cellStyle name="Comma 13 7 2 3" xfId="35842"/>
    <cellStyle name="Comma 13 7 2 3 2" xfId="35843"/>
    <cellStyle name="Comma 13 7 2 3 3" xfId="35844"/>
    <cellStyle name="Comma 13 7 2 4" xfId="35845"/>
    <cellStyle name="Comma 13 7 2 4 2" xfId="35846"/>
    <cellStyle name="Comma 13 7 2 5" xfId="35847"/>
    <cellStyle name="Comma 13 7 2 6" xfId="35848"/>
    <cellStyle name="Comma 13 7 3" xfId="35849"/>
    <cellStyle name="Comma 13 7 3 2" xfId="35850"/>
    <cellStyle name="Comma 13 7 3 2 2" xfId="35851"/>
    <cellStyle name="Comma 13 7 3 2 3" xfId="35852"/>
    <cellStyle name="Comma 13 7 3 3" xfId="35853"/>
    <cellStyle name="Comma 13 7 3 3 2" xfId="35854"/>
    <cellStyle name="Comma 13 7 3 3 3" xfId="35855"/>
    <cellStyle name="Comma 13 7 3 4" xfId="35856"/>
    <cellStyle name="Comma 13 7 3 4 2" xfId="35857"/>
    <cellStyle name="Comma 13 7 3 5" xfId="35858"/>
    <cellStyle name="Comma 13 7 3 6" xfId="35859"/>
    <cellStyle name="Comma 13 7 4" xfId="35860"/>
    <cellStyle name="Comma 13 7 4 2" xfId="35861"/>
    <cellStyle name="Comma 13 7 4 2 2" xfId="35862"/>
    <cellStyle name="Comma 13 7 4 2 3" xfId="35863"/>
    <cellStyle name="Comma 13 7 4 3" xfId="35864"/>
    <cellStyle name="Comma 13 7 4 3 2" xfId="35865"/>
    <cellStyle name="Comma 13 7 4 4" xfId="35866"/>
    <cellStyle name="Comma 13 7 4 5" xfId="35867"/>
    <cellStyle name="Comma 13 7 5" xfId="35868"/>
    <cellStyle name="Comma 13 7 5 2" xfId="35869"/>
    <cellStyle name="Comma 13 7 5 3" xfId="35870"/>
    <cellStyle name="Comma 13 7 6" xfId="35871"/>
    <cellStyle name="Comma 13 7 6 2" xfId="35872"/>
    <cellStyle name="Comma 13 7 6 3" xfId="35873"/>
    <cellStyle name="Comma 13 7 7" xfId="35874"/>
    <cellStyle name="Comma 13 7 7 2" xfId="35875"/>
    <cellStyle name="Comma 13 7 8" xfId="35876"/>
    <cellStyle name="Comma 13 7 9" xfId="35877"/>
    <cellStyle name="Comma 13 8" xfId="35878"/>
    <cellStyle name="Comma 13 8 2" xfId="35879"/>
    <cellStyle name="Comma 13 8 2 2" xfId="35880"/>
    <cellStyle name="Comma 13 8 2 3" xfId="35881"/>
    <cellStyle name="Comma 13 8 3" xfId="35882"/>
    <cellStyle name="Comma 13 8 3 2" xfId="35883"/>
    <cellStyle name="Comma 13 8 3 3" xfId="35884"/>
    <cellStyle name="Comma 13 8 4" xfId="35885"/>
    <cellStyle name="Comma 13 8 4 2" xfId="35886"/>
    <cellStyle name="Comma 13 8 5" xfId="35887"/>
    <cellStyle name="Comma 13 8 6" xfId="35888"/>
    <cellStyle name="Comma 13 9" xfId="35889"/>
    <cellStyle name="Comma 13 9 2" xfId="35890"/>
    <cellStyle name="Comma 13 9 2 2" xfId="35891"/>
    <cellStyle name="Comma 13 9 2 3" xfId="35892"/>
    <cellStyle name="Comma 13 9 3" xfId="35893"/>
    <cellStyle name="Comma 13 9 3 2" xfId="35894"/>
    <cellStyle name="Comma 13 9 3 3" xfId="35895"/>
    <cellStyle name="Comma 13 9 4" xfId="35896"/>
    <cellStyle name="Comma 13 9 4 2" xfId="35897"/>
    <cellStyle name="Comma 13 9 5" xfId="35898"/>
    <cellStyle name="Comma 13 9 6" xfId="35899"/>
    <cellStyle name="Comma 14" xfId="3241"/>
    <cellStyle name="Comma 14 10" xfId="35900"/>
    <cellStyle name="Comma 14 10 2" xfId="35901"/>
    <cellStyle name="Comma 14 10 2 2" xfId="35902"/>
    <cellStyle name="Comma 14 10 2 3" xfId="35903"/>
    <cellStyle name="Comma 14 10 3" xfId="35904"/>
    <cellStyle name="Comma 14 10 3 2" xfId="35905"/>
    <cellStyle name="Comma 14 10 4" xfId="35906"/>
    <cellStyle name="Comma 14 10 5" xfId="35907"/>
    <cellStyle name="Comma 14 11" xfId="35908"/>
    <cellStyle name="Comma 14 11 2" xfId="35909"/>
    <cellStyle name="Comma 14 11 3" xfId="35910"/>
    <cellStyle name="Comma 14 12" xfId="35911"/>
    <cellStyle name="Comma 14 12 2" xfId="35912"/>
    <cellStyle name="Comma 14 12 3" xfId="35913"/>
    <cellStyle name="Comma 14 13" xfId="35914"/>
    <cellStyle name="Comma 14 13 2" xfId="35915"/>
    <cellStyle name="Comma 14 14" xfId="35916"/>
    <cellStyle name="Comma 14 15" xfId="35917"/>
    <cellStyle name="Comma 14 16" xfId="35918"/>
    <cellStyle name="Comma 14 2" xfId="8227"/>
    <cellStyle name="Comma 14 2 10" xfId="35919"/>
    <cellStyle name="Comma 14 2 10 2" xfId="35920"/>
    <cellStyle name="Comma 14 2 10 3" xfId="35921"/>
    <cellStyle name="Comma 14 2 11" xfId="35922"/>
    <cellStyle name="Comma 14 2 11 2" xfId="35923"/>
    <cellStyle name="Comma 14 2 11 3" xfId="35924"/>
    <cellStyle name="Comma 14 2 12" xfId="35925"/>
    <cellStyle name="Comma 14 2 12 2" xfId="35926"/>
    <cellStyle name="Comma 14 2 13" xfId="35927"/>
    <cellStyle name="Comma 14 2 14" xfId="35928"/>
    <cellStyle name="Comma 14 2 15" xfId="35929"/>
    <cellStyle name="Comma 14 2 2" xfId="35930"/>
    <cellStyle name="Comma 14 2 2 10" xfId="35931"/>
    <cellStyle name="Comma 14 2 2 10 2" xfId="35932"/>
    <cellStyle name="Comma 14 2 2 10 3" xfId="35933"/>
    <cellStyle name="Comma 14 2 2 11" xfId="35934"/>
    <cellStyle name="Comma 14 2 2 11 2" xfId="35935"/>
    <cellStyle name="Comma 14 2 2 12" xfId="35936"/>
    <cellStyle name="Comma 14 2 2 13" xfId="35937"/>
    <cellStyle name="Comma 14 2 2 2" xfId="35938"/>
    <cellStyle name="Comma 14 2 2 2 10" xfId="35939"/>
    <cellStyle name="Comma 14 2 2 2 10 2" xfId="35940"/>
    <cellStyle name="Comma 14 2 2 2 11" xfId="35941"/>
    <cellStyle name="Comma 14 2 2 2 12" xfId="35942"/>
    <cellStyle name="Comma 14 2 2 2 2" xfId="35943"/>
    <cellStyle name="Comma 14 2 2 2 2 10" xfId="35944"/>
    <cellStyle name="Comma 14 2 2 2 2 2" xfId="35945"/>
    <cellStyle name="Comma 14 2 2 2 2 2 2" xfId="35946"/>
    <cellStyle name="Comma 14 2 2 2 2 2 2 2" xfId="35947"/>
    <cellStyle name="Comma 14 2 2 2 2 2 2 2 2" xfId="35948"/>
    <cellStyle name="Comma 14 2 2 2 2 2 2 2 3" xfId="35949"/>
    <cellStyle name="Comma 14 2 2 2 2 2 2 3" xfId="35950"/>
    <cellStyle name="Comma 14 2 2 2 2 2 2 3 2" xfId="35951"/>
    <cellStyle name="Comma 14 2 2 2 2 2 2 3 3" xfId="35952"/>
    <cellStyle name="Comma 14 2 2 2 2 2 2 4" xfId="35953"/>
    <cellStyle name="Comma 14 2 2 2 2 2 2 4 2" xfId="35954"/>
    <cellStyle name="Comma 14 2 2 2 2 2 2 5" xfId="35955"/>
    <cellStyle name="Comma 14 2 2 2 2 2 2 6" xfId="35956"/>
    <cellStyle name="Comma 14 2 2 2 2 2 3" xfId="35957"/>
    <cellStyle name="Comma 14 2 2 2 2 2 3 2" xfId="35958"/>
    <cellStyle name="Comma 14 2 2 2 2 2 3 2 2" xfId="35959"/>
    <cellStyle name="Comma 14 2 2 2 2 2 3 2 3" xfId="35960"/>
    <cellStyle name="Comma 14 2 2 2 2 2 3 3" xfId="35961"/>
    <cellStyle name="Comma 14 2 2 2 2 2 3 3 2" xfId="35962"/>
    <cellStyle name="Comma 14 2 2 2 2 2 3 3 3" xfId="35963"/>
    <cellStyle name="Comma 14 2 2 2 2 2 3 4" xfId="35964"/>
    <cellStyle name="Comma 14 2 2 2 2 2 3 4 2" xfId="35965"/>
    <cellStyle name="Comma 14 2 2 2 2 2 3 5" xfId="35966"/>
    <cellStyle name="Comma 14 2 2 2 2 2 3 6" xfId="35967"/>
    <cellStyle name="Comma 14 2 2 2 2 2 4" xfId="35968"/>
    <cellStyle name="Comma 14 2 2 2 2 2 4 2" xfId="35969"/>
    <cellStyle name="Comma 14 2 2 2 2 2 4 2 2" xfId="35970"/>
    <cellStyle name="Comma 14 2 2 2 2 2 4 2 3" xfId="35971"/>
    <cellStyle name="Comma 14 2 2 2 2 2 4 3" xfId="35972"/>
    <cellStyle name="Comma 14 2 2 2 2 2 4 3 2" xfId="35973"/>
    <cellStyle name="Comma 14 2 2 2 2 2 4 4" xfId="35974"/>
    <cellStyle name="Comma 14 2 2 2 2 2 4 5" xfId="35975"/>
    <cellStyle name="Comma 14 2 2 2 2 2 5" xfId="35976"/>
    <cellStyle name="Comma 14 2 2 2 2 2 5 2" xfId="35977"/>
    <cellStyle name="Comma 14 2 2 2 2 2 5 3" xfId="35978"/>
    <cellStyle name="Comma 14 2 2 2 2 2 6" xfId="35979"/>
    <cellStyle name="Comma 14 2 2 2 2 2 6 2" xfId="35980"/>
    <cellStyle name="Comma 14 2 2 2 2 2 6 3" xfId="35981"/>
    <cellStyle name="Comma 14 2 2 2 2 2 7" xfId="35982"/>
    <cellStyle name="Comma 14 2 2 2 2 2 7 2" xfId="35983"/>
    <cellStyle name="Comma 14 2 2 2 2 2 8" xfId="35984"/>
    <cellStyle name="Comma 14 2 2 2 2 2 9" xfId="35985"/>
    <cellStyle name="Comma 14 2 2 2 2 3" xfId="35986"/>
    <cellStyle name="Comma 14 2 2 2 2 3 2" xfId="35987"/>
    <cellStyle name="Comma 14 2 2 2 2 3 2 2" xfId="35988"/>
    <cellStyle name="Comma 14 2 2 2 2 3 2 3" xfId="35989"/>
    <cellStyle name="Comma 14 2 2 2 2 3 3" xfId="35990"/>
    <cellStyle name="Comma 14 2 2 2 2 3 3 2" xfId="35991"/>
    <cellStyle name="Comma 14 2 2 2 2 3 3 3" xfId="35992"/>
    <cellStyle name="Comma 14 2 2 2 2 3 4" xfId="35993"/>
    <cellStyle name="Comma 14 2 2 2 2 3 4 2" xfId="35994"/>
    <cellStyle name="Comma 14 2 2 2 2 3 5" xfId="35995"/>
    <cellStyle name="Comma 14 2 2 2 2 3 6" xfId="35996"/>
    <cellStyle name="Comma 14 2 2 2 2 4" xfId="35997"/>
    <cellStyle name="Comma 14 2 2 2 2 4 2" xfId="35998"/>
    <cellStyle name="Comma 14 2 2 2 2 4 2 2" xfId="35999"/>
    <cellStyle name="Comma 14 2 2 2 2 4 2 3" xfId="36000"/>
    <cellStyle name="Comma 14 2 2 2 2 4 3" xfId="36001"/>
    <cellStyle name="Comma 14 2 2 2 2 4 3 2" xfId="36002"/>
    <cellStyle name="Comma 14 2 2 2 2 4 3 3" xfId="36003"/>
    <cellStyle name="Comma 14 2 2 2 2 4 4" xfId="36004"/>
    <cellStyle name="Comma 14 2 2 2 2 4 4 2" xfId="36005"/>
    <cellStyle name="Comma 14 2 2 2 2 4 5" xfId="36006"/>
    <cellStyle name="Comma 14 2 2 2 2 4 6" xfId="36007"/>
    <cellStyle name="Comma 14 2 2 2 2 5" xfId="36008"/>
    <cellStyle name="Comma 14 2 2 2 2 5 2" xfId="36009"/>
    <cellStyle name="Comma 14 2 2 2 2 5 2 2" xfId="36010"/>
    <cellStyle name="Comma 14 2 2 2 2 5 2 3" xfId="36011"/>
    <cellStyle name="Comma 14 2 2 2 2 5 3" xfId="36012"/>
    <cellStyle name="Comma 14 2 2 2 2 5 3 2" xfId="36013"/>
    <cellStyle name="Comma 14 2 2 2 2 5 4" xfId="36014"/>
    <cellStyle name="Comma 14 2 2 2 2 5 5" xfId="36015"/>
    <cellStyle name="Comma 14 2 2 2 2 6" xfId="36016"/>
    <cellStyle name="Comma 14 2 2 2 2 6 2" xfId="36017"/>
    <cellStyle name="Comma 14 2 2 2 2 6 3" xfId="36018"/>
    <cellStyle name="Comma 14 2 2 2 2 7" xfId="36019"/>
    <cellStyle name="Comma 14 2 2 2 2 7 2" xfId="36020"/>
    <cellStyle name="Comma 14 2 2 2 2 7 3" xfId="36021"/>
    <cellStyle name="Comma 14 2 2 2 2 8" xfId="36022"/>
    <cellStyle name="Comma 14 2 2 2 2 8 2" xfId="36023"/>
    <cellStyle name="Comma 14 2 2 2 2 9" xfId="36024"/>
    <cellStyle name="Comma 14 2 2 2 3" xfId="36025"/>
    <cellStyle name="Comma 14 2 2 2 3 2" xfId="36026"/>
    <cellStyle name="Comma 14 2 2 2 3 2 2" xfId="36027"/>
    <cellStyle name="Comma 14 2 2 2 3 2 2 2" xfId="36028"/>
    <cellStyle name="Comma 14 2 2 2 3 2 2 3" xfId="36029"/>
    <cellStyle name="Comma 14 2 2 2 3 2 3" xfId="36030"/>
    <cellStyle name="Comma 14 2 2 2 3 2 3 2" xfId="36031"/>
    <cellStyle name="Comma 14 2 2 2 3 2 3 3" xfId="36032"/>
    <cellStyle name="Comma 14 2 2 2 3 2 4" xfId="36033"/>
    <cellStyle name="Comma 14 2 2 2 3 2 4 2" xfId="36034"/>
    <cellStyle name="Comma 14 2 2 2 3 2 5" xfId="36035"/>
    <cellStyle name="Comma 14 2 2 2 3 2 6" xfId="36036"/>
    <cellStyle name="Comma 14 2 2 2 3 3" xfId="36037"/>
    <cellStyle name="Comma 14 2 2 2 3 3 2" xfId="36038"/>
    <cellStyle name="Comma 14 2 2 2 3 3 2 2" xfId="36039"/>
    <cellStyle name="Comma 14 2 2 2 3 3 2 3" xfId="36040"/>
    <cellStyle name="Comma 14 2 2 2 3 3 3" xfId="36041"/>
    <cellStyle name="Comma 14 2 2 2 3 3 3 2" xfId="36042"/>
    <cellStyle name="Comma 14 2 2 2 3 3 3 3" xfId="36043"/>
    <cellStyle name="Comma 14 2 2 2 3 3 4" xfId="36044"/>
    <cellStyle name="Comma 14 2 2 2 3 3 4 2" xfId="36045"/>
    <cellStyle name="Comma 14 2 2 2 3 3 5" xfId="36046"/>
    <cellStyle name="Comma 14 2 2 2 3 3 6" xfId="36047"/>
    <cellStyle name="Comma 14 2 2 2 3 4" xfId="36048"/>
    <cellStyle name="Comma 14 2 2 2 3 4 2" xfId="36049"/>
    <cellStyle name="Comma 14 2 2 2 3 4 2 2" xfId="36050"/>
    <cellStyle name="Comma 14 2 2 2 3 4 2 3" xfId="36051"/>
    <cellStyle name="Comma 14 2 2 2 3 4 3" xfId="36052"/>
    <cellStyle name="Comma 14 2 2 2 3 4 3 2" xfId="36053"/>
    <cellStyle name="Comma 14 2 2 2 3 4 4" xfId="36054"/>
    <cellStyle name="Comma 14 2 2 2 3 4 5" xfId="36055"/>
    <cellStyle name="Comma 14 2 2 2 3 5" xfId="36056"/>
    <cellStyle name="Comma 14 2 2 2 3 5 2" xfId="36057"/>
    <cellStyle name="Comma 14 2 2 2 3 5 3" xfId="36058"/>
    <cellStyle name="Comma 14 2 2 2 3 6" xfId="36059"/>
    <cellStyle name="Comma 14 2 2 2 3 6 2" xfId="36060"/>
    <cellStyle name="Comma 14 2 2 2 3 6 3" xfId="36061"/>
    <cellStyle name="Comma 14 2 2 2 3 7" xfId="36062"/>
    <cellStyle name="Comma 14 2 2 2 3 7 2" xfId="36063"/>
    <cellStyle name="Comma 14 2 2 2 3 8" xfId="36064"/>
    <cellStyle name="Comma 14 2 2 2 3 9" xfId="36065"/>
    <cellStyle name="Comma 14 2 2 2 4" xfId="36066"/>
    <cellStyle name="Comma 14 2 2 2 4 2" xfId="36067"/>
    <cellStyle name="Comma 14 2 2 2 4 2 2" xfId="36068"/>
    <cellStyle name="Comma 14 2 2 2 4 2 2 2" xfId="36069"/>
    <cellStyle name="Comma 14 2 2 2 4 2 2 3" xfId="36070"/>
    <cellStyle name="Comma 14 2 2 2 4 2 3" xfId="36071"/>
    <cellStyle name="Comma 14 2 2 2 4 2 3 2" xfId="36072"/>
    <cellStyle name="Comma 14 2 2 2 4 2 3 3" xfId="36073"/>
    <cellStyle name="Comma 14 2 2 2 4 2 4" xfId="36074"/>
    <cellStyle name="Comma 14 2 2 2 4 2 4 2" xfId="36075"/>
    <cellStyle name="Comma 14 2 2 2 4 2 5" xfId="36076"/>
    <cellStyle name="Comma 14 2 2 2 4 2 6" xfId="36077"/>
    <cellStyle name="Comma 14 2 2 2 4 3" xfId="36078"/>
    <cellStyle name="Comma 14 2 2 2 4 3 2" xfId="36079"/>
    <cellStyle name="Comma 14 2 2 2 4 3 2 2" xfId="36080"/>
    <cellStyle name="Comma 14 2 2 2 4 3 2 3" xfId="36081"/>
    <cellStyle name="Comma 14 2 2 2 4 3 3" xfId="36082"/>
    <cellStyle name="Comma 14 2 2 2 4 3 3 2" xfId="36083"/>
    <cellStyle name="Comma 14 2 2 2 4 3 3 3" xfId="36084"/>
    <cellStyle name="Comma 14 2 2 2 4 3 4" xfId="36085"/>
    <cellStyle name="Comma 14 2 2 2 4 3 4 2" xfId="36086"/>
    <cellStyle name="Comma 14 2 2 2 4 3 5" xfId="36087"/>
    <cellStyle name="Comma 14 2 2 2 4 3 6" xfId="36088"/>
    <cellStyle name="Comma 14 2 2 2 4 4" xfId="36089"/>
    <cellStyle name="Comma 14 2 2 2 4 4 2" xfId="36090"/>
    <cellStyle name="Comma 14 2 2 2 4 4 2 2" xfId="36091"/>
    <cellStyle name="Comma 14 2 2 2 4 4 2 3" xfId="36092"/>
    <cellStyle name="Comma 14 2 2 2 4 4 3" xfId="36093"/>
    <cellStyle name="Comma 14 2 2 2 4 4 3 2" xfId="36094"/>
    <cellStyle name="Comma 14 2 2 2 4 4 4" xfId="36095"/>
    <cellStyle name="Comma 14 2 2 2 4 4 5" xfId="36096"/>
    <cellStyle name="Comma 14 2 2 2 4 5" xfId="36097"/>
    <cellStyle name="Comma 14 2 2 2 4 5 2" xfId="36098"/>
    <cellStyle name="Comma 14 2 2 2 4 5 3" xfId="36099"/>
    <cellStyle name="Comma 14 2 2 2 4 6" xfId="36100"/>
    <cellStyle name="Comma 14 2 2 2 4 6 2" xfId="36101"/>
    <cellStyle name="Comma 14 2 2 2 4 6 3" xfId="36102"/>
    <cellStyle name="Comma 14 2 2 2 4 7" xfId="36103"/>
    <cellStyle name="Comma 14 2 2 2 4 7 2" xfId="36104"/>
    <cellStyle name="Comma 14 2 2 2 4 8" xfId="36105"/>
    <cellStyle name="Comma 14 2 2 2 4 9" xfId="36106"/>
    <cellStyle name="Comma 14 2 2 2 5" xfId="36107"/>
    <cellStyle name="Comma 14 2 2 2 5 2" xfId="36108"/>
    <cellStyle name="Comma 14 2 2 2 5 2 2" xfId="36109"/>
    <cellStyle name="Comma 14 2 2 2 5 2 3" xfId="36110"/>
    <cellStyle name="Comma 14 2 2 2 5 3" xfId="36111"/>
    <cellStyle name="Comma 14 2 2 2 5 3 2" xfId="36112"/>
    <cellStyle name="Comma 14 2 2 2 5 3 3" xfId="36113"/>
    <cellStyle name="Comma 14 2 2 2 5 4" xfId="36114"/>
    <cellStyle name="Comma 14 2 2 2 5 4 2" xfId="36115"/>
    <cellStyle name="Comma 14 2 2 2 5 5" xfId="36116"/>
    <cellStyle name="Comma 14 2 2 2 5 6" xfId="36117"/>
    <cellStyle name="Comma 14 2 2 2 6" xfId="36118"/>
    <cellStyle name="Comma 14 2 2 2 6 2" xfId="36119"/>
    <cellStyle name="Comma 14 2 2 2 6 2 2" xfId="36120"/>
    <cellStyle name="Comma 14 2 2 2 6 2 3" xfId="36121"/>
    <cellStyle name="Comma 14 2 2 2 6 3" xfId="36122"/>
    <cellStyle name="Comma 14 2 2 2 6 3 2" xfId="36123"/>
    <cellStyle name="Comma 14 2 2 2 6 3 3" xfId="36124"/>
    <cellStyle name="Comma 14 2 2 2 6 4" xfId="36125"/>
    <cellStyle name="Comma 14 2 2 2 6 4 2" xfId="36126"/>
    <cellStyle name="Comma 14 2 2 2 6 5" xfId="36127"/>
    <cellStyle name="Comma 14 2 2 2 6 6" xfId="36128"/>
    <cellStyle name="Comma 14 2 2 2 7" xfId="36129"/>
    <cellStyle name="Comma 14 2 2 2 7 2" xfId="36130"/>
    <cellStyle name="Comma 14 2 2 2 7 2 2" xfId="36131"/>
    <cellStyle name="Comma 14 2 2 2 7 2 3" xfId="36132"/>
    <cellStyle name="Comma 14 2 2 2 7 3" xfId="36133"/>
    <cellStyle name="Comma 14 2 2 2 7 3 2" xfId="36134"/>
    <cellStyle name="Comma 14 2 2 2 7 4" xfId="36135"/>
    <cellStyle name="Comma 14 2 2 2 7 5" xfId="36136"/>
    <cellStyle name="Comma 14 2 2 2 8" xfId="36137"/>
    <cellStyle name="Comma 14 2 2 2 8 2" xfId="36138"/>
    <cellStyle name="Comma 14 2 2 2 8 3" xfId="36139"/>
    <cellStyle name="Comma 14 2 2 2 9" xfId="36140"/>
    <cellStyle name="Comma 14 2 2 2 9 2" xfId="36141"/>
    <cellStyle name="Comma 14 2 2 2 9 3" xfId="36142"/>
    <cellStyle name="Comma 14 2 2 3" xfId="36143"/>
    <cellStyle name="Comma 14 2 2 3 10" xfId="36144"/>
    <cellStyle name="Comma 14 2 2 3 2" xfId="36145"/>
    <cellStyle name="Comma 14 2 2 3 2 2" xfId="36146"/>
    <cellStyle name="Comma 14 2 2 3 2 2 2" xfId="36147"/>
    <cellStyle name="Comma 14 2 2 3 2 2 2 2" xfId="36148"/>
    <cellStyle name="Comma 14 2 2 3 2 2 2 3" xfId="36149"/>
    <cellStyle name="Comma 14 2 2 3 2 2 3" xfId="36150"/>
    <cellStyle name="Comma 14 2 2 3 2 2 3 2" xfId="36151"/>
    <cellStyle name="Comma 14 2 2 3 2 2 3 3" xfId="36152"/>
    <cellStyle name="Comma 14 2 2 3 2 2 4" xfId="36153"/>
    <cellStyle name="Comma 14 2 2 3 2 2 4 2" xfId="36154"/>
    <cellStyle name="Comma 14 2 2 3 2 2 5" xfId="36155"/>
    <cellStyle name="Comma 14 2 2 3 2 2 6" xfId="36156"/>
    <cellStyle name="Comma 14 2 2 3 2 3" xfId="36157"/>
    <cellStyle name="Comma 14 2 2 3 2 3 2" xfId="36158"/>
    <cellStyle name="Comma 14 2 2 3 2 3 2 2" xfId="36159"/>
    <cellStyle name="Comma 14 2 2 3 2 3 2 3" xfId="36160"/>
    <cellStyle name="Comma 14 2 2 3 2 3 3" xfId="36161"/>
    <cellStyle name="Comma 14 2 2 3 2 3 3 2" xfId="36162"/>
    <cellStyle name="Comma 14 2 2 3 2 3 3 3" xfId="36163"/>
    <cellStyle name="Comma 14 2 2 3 2 3 4" xfId="36164"/>
    <cellStyle name="Comma 14 2 2 3 2 3 4 2" xfId="36165"/>
    <cellStyle name="Comma 14 2 2 3 2 3 5" xfId="36166"/>
    <cellStyle name="Comma 14 2 2 3 2 3 6" xfId="36167"/>
    <cellStyle name="Comma 14 2 2 3 2 4" xfId="36168"/>
    <cellStyle name="Comma 14 2 2 3 2 4 2" xfId="36169"/>
    <cellStyle name="Comma 14 2 2 3 2 4 2 2" xfId="36170"/>
    <cellStyle name="Comma 14 2 2 3 2 4 2 3" xfId="36171"/>
    <cellStyle name="Comma 14 2 2 3 2 4 3" xfId="36172"/>
    <cellStyle name="Comma 14 2 2 3 2 4 3 2" xfId="36173"/>
    <cellStyle name="Comma 14 2 2 3 2 4 4" xfId="36174"/>
    <cellStyle name="Comma 14 2 2 3 2 4 5" xfId="36175"/>
    <cellStyle name="Comma 14 2 2 3 2 5" xfId="36176"/>
    <cellStyle name="Comma 14 2 2 3 2 5 2" xfId="36177"/>
    <cellStyle name="Comma 14 2 2 3 2 5 3" xfId="36178"/>
    <cellStyle name="Comma 14 2 2 3 2 6" xfId="36179"/>
    <cellStyle name="Comma 14 2 2 3 2 6 2" xfId="36180"/>
    <cellStyle name="Comma 14 2 2 3 2 6 3" xfId="36181"/>
    <cellStyle name="Comma 14 2 2 3 2 7" xfId="36182"/>
    <cellStyle name="Comma 14 2 2 3 2 7 2" xfId="36183"/>
    <cellStyle name="Comma 14 2 2 3 2 8" xfId="36184"/>
    <cellStyle name="Comma 14 2 2 3 2 9" xfId="36185"/>
    <cellStyle name="Comma 14 2 2 3 3" xfId="36186"/>
    <cellStyle name="Comma 14 2 2 3 3 2" xfId="36187"/>
    <cellStyle name="Comma 14 2 2 3 3 2 2" xfId="36188"/>
    <cellStyle name="Comma 14 2 2 3 3 2 3" xfId="36189"/>
    <cellStyle name="Comma 14 2 2 3 3 3" xfId="36190"/>
    <cellStyle name="Comma 14 2 2 3 3 3 2" xfId="36191"/>
    <cellStyle name="Comma 14 2 2 3 3 3 3" xfId="36192"/>
    <cellStyle name="Comma 14 2 2 3 3 4" xfId="36193"/>
    <cellStyle name="Comma 14 2 2 3 3 4 2" xfId="36194"/>
    <cellStyle name="Comma 14 2 2 3 3 5" xfId="36195"/>
    <cellStyle name="Comma 14 2 2 3 3 6" xfId="36196"/>
    <cellStyle name="Comma 14 2 2 3 4" xfId="36197"/>
    <cellStyle name="Comma 14 2 2 3 4 2" xfId="36198"/>
    <cellStyle name="Comma 14 2 2 3 4 2 2" xfId="36199"/>
    <cellStyle name="Comma 14 2 2 3 4 2 3" xfId="36200"/>
    <cellStyle name="Comma 14 2 2 3 4 3" xfId="36201"/>
    <cellStyle name="Comma 14 2 2 3 4 3 2" xfId="36202"/>
    <cellStyle name="Comma 14 2 2 3 4 3 3" xfId="36203"/>
    <cellStyle name="Comma 14 2 2 3 4 4" xfId="36204"/>
    <cellStyle name="Comma 14 2 2 3 4 4 2" xfId="36205"/>
    <cellStyle name="Comma 14 2 2 3 4 5" xfId="36206"/>
    <cellStyle name="Comma 14 2 2 3 4 6" xfId="36207"/>
    <cellStyle name="Comma 14 2 2 3 5" xfId="36208"/>
    <cellStyle name="Comma 14 2 2 3 5 2" xfId="36209"/>
    <cellStyle name="Comma 14 2 2 3 5 2 2" xfId="36210"/>
    <cellStyle name="Comma 14 2 2 3 5 2 3" xfId="36211"/>
    <cellStyle name="Comma 14 2 2 3 5 3" xfId="36212"/>
    <cellStyle name="Comma 14 2 2 3 5 3 2" xfId="36213"/>
    <cellStyle name="Comma 14 2 2 3 5 4" xfId="36214"/>
    <cellStyle name="Comma 14 2 2 3 5 5" xfId="36215"/>
    <cellStyle name="Comma 14 2 2 3 6" xfId="36216"/>
    <cellStyle name="Comma 14 2 2 3 6 2" xfId="36217"/>
    <cellStyle name="Comma 14 2 2 3 6 3" xfId="36218"/>
    <cellStyle name="Comma 14 2 2 3 7" xfId="36219"/>
    <cellStyle name="Comma 14 2 2 3 7 2" xfId="36220"/>
    <cellStyle name="Comma 14 2 2 3 7 3" xfId="36221"/>
    <cellStyle name="Comma 14 2 2 3 8" xfId="36222"/>
    <cellStyle name="Comma 14 2 2 3 8 2" xfId="36223"/>
    <cellStyle name="Comma 14 2 2 3 9" xfId="36224"/>
    <cellStyle name="Comma 14 2 2 4" xfId="36225"/>
    <cellStyle name="Comma 14 2 2 4 2" xfId="36226"/>
    <cellStyle name="Comma 14 2 2 4 2 2" xfId="36227"/>
    <cellStyle name="Comma 14 2 2 4 2 2 2" xfId="36228"/>
    <cellStyle name="Comma 14 2 2 4 2 2 3" xfId="36229"/>
    <cellStyle name="Comma 14 2 2 4 2 3" xfId="36230"/>
    <cellStyle name="Comma 14 2 2 4 2 3 2" xfId="36231"/>
    <cellStyle name="Comma 14 2 2 4 2 3 3" xfId="36232"/>
    <cellStyle name="Comma 14 2 2 4 2 4" xfId="36233"/>
    <cellStyle name="Comma 14 2 2 4 2 4 2" xfId="36234"/>
    <cellStyle name="Comma 14 2 2 4 2 5" xfId="36235"/>
    <cellStyle name="Comma 14 2 2 4 2 6" xfId="36236"/>
    <cellStyle name="Comma 14 2 2 4 3" xfId="36237"/>
    <cellStyle name="Comma 14 2 2 4 3 2" xfId="36238"/>
    <cellStyle name="Comma 14 2 2 4 3 2 2" xfId="36239"/>
    <cellStyle name="Comma 14 2 2 4 3 2 3" xfId="36240"/>
    <cellStyle name="Comma 14 2 2 4 3 3" xfId="36241"/>
    <cellStyle name="Comma 14 2 2 4 3 3 2" xfId="36242"/>
    <cellStyle name="Comma 14 2 2 4 3 3 3" xfId="36243"/>
    <cellStyle name="Comma 14 2 2 4 3 4" xfId="36244"/>
    <cellStyle name="Comma 14 2 2 4 3 4 2" xfId="36245"/>
    <cellStyle name="Comma 14 2 2 4 3 5" xfId="36246"/>
    <cellStyle name="Comma 14 2 2 4 3 6" xfId="36247"/>
    <cellStyle name="Comma 14 2 2 4 4" xfId="36248"/>
    <cellStyle name="Comma 14 2 2 4 4 2" xfId="36249"/>
    <cellStyle name="Comma 14 2 2 4 4 2 2" xfId="36250"/>
    <cellStyle name="Comma 14 2 2 4 4 2 3" xfId="36251"/>
    <cellStyle name="Comma 14 2 2 4 4 3" xfId="36252"/>
    <cellStyle name="Comma 14 2 2 4 4 3 2" xfId="36253"/>
    <cellStyle name="Comma 14 2 2 4 4 4" xfId="36254"/>
    <cellStyle name="Comma 14 2 2 4 4 5" xfId="36255"/>
    <cellStyle name="Comma 14 2 2 4 5" xfId="36256"/>
    <cellStyle name="Comma 14 2 2 4 5 2" xfId="36257"/>
    <cellStyle name="Comma 14 2 2 4 5 3" xfId="36258"/>
    <cellStyle name="Comma 14 2 2 4 6" xfId="36259"/>
    <cellStyle name="Comma 14 2 2 4 6 2" xfId="36260"/>
    <cellStyle name="Comma 14 2 2 4 6 3" xfId="36261"/>
    <cellStyle name="Comma 14 2 2 4 7" xfId="36262"/>
    <cellStyle name="Comma 14 2 2 4 7 2" xfId="36263"/>
    <cellStyle name="Comma 14 2 2 4 8" xfId="36264"/>
    <cellStyle name="Comma 14 2 2 4 9" xfId="36265"/>
    <cellStyle name="Comma 14 2 2 5" xfId="36266"/>
    <cellStyle name="Comma 14 2 2 5 2" xfId="36267"/>
    <cellStyle name="Comma 14 2 2 5 2 2" xfId="36268"/>
    <cellStyle name="Comma 14 2 2 5 2 2 2" xfId="36269"/>
    <cellStyle name="Comma 14 2 2 5 2 2 3" xfId="36270"/>
    <cellStyle name="Comma 14 2 2 5 2 3" xfId="36271"/>
    <cellStyle name="Comma 14 2 2 5 2 3 2" xfId="36272"/>
    <cellStyle name="Comma 14 2 2 5 2 3 3" xfId="36273"/>
    <cellStyle name="Comma 14 2 2 5 2 4" xfId="36274"/>
    <cellStyle name="Comma 14 2 2 5 2 4 2" xfId="36275"/>
    <cellStyle name="Comma 14 2 2 5 2 5" xfId="36276"/>
    <cellStyle name="Comma 14 2 2 5 2 6" xfId="36277"/>
    <cellStyle name="Comma 14 2 2 5 3" xfId="36278"/>
    <cellStyle name="Comma 14 2 2 5 3 2" xfId="36279"/>
    <cellStyle name="Comma 14 2 2 5 3 2 2" xfId="36280"/>
    <cellStyle name="Comma 14 2 2 5 3 2 3" xfId="36281"/>
    <cellStyle name="Comma 14 2 2 5 3 3" xfId="36282"/>
    <cellStyle name="Comma 14 2 2 5 3 3 2" xfId="36283"/>
    <cellStyle name="Comma 14 2 2 5 3 3 3" xfId="36284"/>
    <cellStyle name="Comma 14 2 2 5 3 4" xfId="36285"/>
    <cellStyle name="Comma 14 2 2 5 3 4 2" xfId="36286"/>
    <cellStyle name="Comma 14 2 2 5 3 5" xfId="36287"/>
    <cellStyle name="Comma 14 2 2 5 3 6" xfId="36288"/>
    <cellStyle name="Comma 14 2 2 5 4" xfId="36289"/>
    <cellStyle name="Comma 14 2 2 5 4 2" xfId="36290"/>
    <cellStyle name="Comma 14 2 2 5 4 2 2" xfId="36291"/>
    <cellStyle name="Comma 14 2 2 5 4 2 3" xfId="36292"/>
    <cellStyle name="Comma 14 2 2 5 4 3" xfId="36293"/>
    <cellStyle name="Comma 14 2 2 5 4 3 2" xfId="36294"/>
    <cellStyle name="Comma 14 2 2 5 4 4" xfId="36295"/>
    <cellStyle name="Comma 14 2 2 5 4 5" xfId="36296"/>
    <cellStyle name="Comma 14 2 2 5 5" xfId="36297"/>
    <cellStyle name="Comma 14 2 2 5 5 2" xfId="36298"/>
    <cellStyle name="Comma 14 2 2 5 5 3" xfId="36299"/>
    <cellStyle name="Comma 14 2 2 5 6" xfId="36300"/>
    <cellStyle name="Comma 14 2 2 5 6 2" xfId="36301"/>
    <cellStyle name="Comma 14 2 2 5 6 3" xfId="36302"/>
    <cellStyle name="Comma 14 2 2 5 7" xfId="36303"/>
    <cellStyle name="Comma 14 2 2 5 7 2" xfId="36304"/>
    <cellStyle name="Comma 14 2 2 5 8" xfId="36305"/>
    <cellStyle name="Comma 14 2 2 5 9" xfId="36306"/>
    <cellStyle name="Comma 14 2 2 6" xfId="36307"/>
    <cellStyle name="Comma 14 2 2 6 2" xfId="36308"/>
    <cellStyle name="Comma 14 2 2 6 2 2" xfId="36309"/>
    <cellStyle name="Comma 14 2 2 6 2 3" xfId="36310"/>
    <cellStyle name="Comma 14 2 2 6 3" xfId="36311"/>
    <cellStyle name="Comma 14 2 2 6 3 2" xfId="36312"/>
    <cellStyle name="Comma 14 2 2 6 3 3" xfId="36313"/>
    <cellStyle name="Comma 14 2 2 6 4" xfId="36314"/>
    <cellStyle name="Comma 14 2 2 6 4 2" xfId="36315"/>
    <cellStyle name="Comma 14 2 2 6 5" xfId="36316"/>
    <cellStyle name="Comma 14 2 2 6 6" xfId="36317"/>
    <cellStyle name="Comma 14 2 2 7" xfId="36318"/>
    <cellStyle name="Comma 14 2 2 7 2" xfId="36319"/>
    <cellStyle name="Comma 14 2 2 7 2 2" xfId="36320"/>
    <cellStyle name="Comma 14 2 2 7 2 3" xfId="36321"/>
    <cellStyle name="Comma 14 2 2 7 3" xfId="36322"/>
    <cellStyle name="Comma 14 2 2 7 3 2" xfId="36323"/>
    <cellStyle name="Comma 14 2 2 7 3 3" xfId="36324"/>
    <cellStyle name="Comma 14 2 2 7 4" xfId="36325"/>
    <cellStyle name="Comma 14 2 2 7 4 2" xfId="36326"/>
    <cellStyle name="Comma 14 2 2 7 5" xfId="36327"/>
    <cellStyle name="Comma 14 2 2 7 6" xfId="36328"/>
    <cellStyle name="Comma 14 2 2 8" xfId="36329"/>
    <cellStyle name="Comma 14 2 2 8 2" xfId="36330"/>
    <cellStyle name="Comma 14 2 2 8 2 2" xfId="36331"/>
    <cellStyle name="Comma 14 2 2 8 2 3" xfId="36332"/>
    <cellStyle name="Comma 14 2 2 8 3" xfId="36333"/>
    <cellStyle name="Comma 14 2 2 8 3 2" xfId="36334"/>
    <cellStyle name="Comma 14 2 2 8 4" xfId="36335"/>
    <cellStyle name="Comma 14 2 2 8 5" xfId="36336"/>
    <cellStyle name="Comma 14 2 2 9" xfId="36337"/>
    <cellStyle name="Comma 14 2 2 9 2" xfId="36338"/>
    <cellStyle name="Comma 14 2 2 9 3" xfId="36339"/>
    <cellStyle name="Comma 14 2 3" xfId="36340"/>
    <cellStyle name="Comma 14 2 3 10" xfId="36341"/>
    <cellStyle name="Comma 14 2 3 10 2" xfId="36342"/>
    <cellStyle name="Comma 14 2 3 11" xfId="36343"/>
    <cellStyle name="Comma 14 2 3 12" xfId="36344"/>
    <cellStyle name="Comma 14 2 3 2" xfId="36345"/>
    <cellStyle name="Comma 14 2 3 2 10" xfId="36346"/>
    <cellStyle name="Comma 14 2 3 2 2" xfId="36347"/>
    <cellStyle name="Comma 14 2 3 2 2 2" xfId="36348"/>
    <cellStyle name="Comma 14 2 3 2 2 2 2" xfId="36349"/>
    <cellStyle name="Comma 14 2 3 2 2 2 2 2" xfId="36350"/>
    <cellStyle name="Comma 14 2 3 2 2 2 2 3" xfId="36351"/>
    <cellStyle name="Comma 14 2 3 2 2 2 3" xfId="36352"/>
    <cellStyle name="Comma 14 2 3 2 2 2 3 2" xfId="36353"/>
    <cellStyle name="Comma 14 2 3 2 2 2 3 3" xfId="36354"/>
    <cellStyle name="Comma 14 2 3 2 2 2 4" xfId="36355"/>
    <cellStyle name="Comma 14 2 3 2 2 2 4 2" xfId="36356"/>
    <cellStyle name="Comma 14 2 3 2 2 2 5" xfId="36357"/>
    <cellStyle name="Comma 14 2 3 2 2 2 6" xfId="36358"/>
    <cellStyle name="Comma 14 2 3 2 2 3" xfId="36359"/>
    <cellStyle name="Comma 14 2 3 2 2 3 2" xfId="36360"/>
    <cellStyle name="Comma 14 2 3 2 2 3 2 2" xfId="36361"/>
    <cellStyle name="Comma 14 2 3 2 2 3 2 3" xfId="36362"/>
    <cellStyle name="Comma 14 2 3 2 2 3 3" xfId="36363"/>
    <cellStyle name="Comma 14 2 3 2 2 3 3 2" xfId="36364"/>
    <cellStyle name="Comma 14 2 3 2 2 3 3 3" xfId="36365"/>
    <cellStyle name="Comma 14 2 3 2 2 3 4" xfId="36366"/>
    <cellStyle name="Comma 14 2 3 2 2 3 4 2" xfId="36367"/>
    <cellStyle name="Comma 14 2 3 2 2 3 5" xfId="36368"/>
    <cellStyle name="Comma 14 2 3 2 2 3 6" xfId="36369"/>
    <cellStyle name="Comma 14 2 3 2 2 4" xfId="36370"/>
    <cellStyle name="Comma 14 2 3 2 2 4 2" xfId="36371"/>
    <cellStyle name="Comma 14 2 3 2 2 4 2 2" xfId="36372"/>
    <cellStyle name="Comma 14 2 3 2 2 4 2 3" xfId="36373"/>
    <cellStyle name="Comma 14 2 3 2 2 4 3" xfId="36374"/>
    <cellStyle name="Comma 14 2 3 2 2 4 3 2" xfId="36375"/>
    <cellStyle name="Comma 14 2 3 2 2 4 4" xfId="36376"/>
    <cellStyle name="Comma 14 2 3 2 2 4 5" xfId="36377"/>
    <cellStyle name="Comma 14 2 3 2 2 5" xfId="36378"/>
    <cellStyle name="Comma 14 2 3 2 2 5 2" xfId="36379"/>
    <cellStyle name="Comma 14 2 3 2 2 5 3" xfId="36380"/>
    <cellStyle name="Comma 14 2 3 2 2 6" xfId="36381"/>
    <cellStyle name="Comma 14 2 3 2 2 6 2" xfId="36382"/>
    <cellStyle name="Comma 14 2 3 2 2 6 3" xfId="36383"/>
    <cellStyle name="Comma 14 2 3 2 2 7" xfId="36384"/>
    <cellStyle name="Comma 14 2 3 2 2 7 2" xfId="36385"/>
    <cellStyle name="Comma 14 2 3 2 2 8" xfId="36386"/>
    <cellStyle name="Comma 14 2 3 2 2 9" xfId="36387"/>
    <cellStyle name="Comma 14 2 3 2 3" xfId="36388"/>
    <cellStyle name="Comma 14 2 3 2 3 2" xfId="36389"/>
    <cellStyle name="Comma 14 2 3 2 3 2 2" xfId="36390"/>
    <cellStyle name="Comma 14 2 3 2 3 2 3" xfId="36391"/>
    <cellStyle name="Comma 14 2 3 2 3 3" xfId="36392"/>
    <cellStyle name="Comma 14 2 3 2 3 3 2" xfId="36393"/>
    <cellStyle name="Comma 14 2 3 2 3 3 3" xfId="36394"/>
    <cellStyle name="Comma 14 2 3 2 3 4" xfId="36395"/>
    <cellStyle name="Comma 14 2 3 2 3 4 2" xfId="36396"/>
    <cellStyle name="Comma 14 2 3 2 3 5" xfId="36397"/>
    <cellStyle name="Comma 14 2 3 2 3 6" xfId="36398"/>
    <cellStyle name="Comma 14 2 3 2 4" xfId="36399"/>
    <cellStyle name="Comma 14 2 3 2 4 2" xfId="36400"/>
    <cellStyle name="Comma 14 2 3 2 4 2 2" xfId="36401"/>
    <cellStyle name="Comma 14 2 3 2 4 2 3" xfId="36402"/>
    <cellStyle name="Comma 14 2 3 2 4 3" xfId="36403"/>
    <cellStyle name="Comma 14 2 3 2 4 3 2" xfId="36404"/>
    <cellStyle name="Comma 14 2 3 2 4 3 3" xfId="36405"/>
    <cellStyle name="Comma 14 2 3 2 4 4" xfId="36406"/>
    <cellStyle name="Comma 14 2 3 2 4 4 2" xfId="36407"/>
    <cellStyle name="Comma 14 2 3 2 4 5" xfId="36408"/>
    <cellStyle name="Comma 14 2 3 2 4 6" xfId="36409"/>
    <cellStyle name="Comma 14 2 3 2 5" xfId="36410"/>
    <cellStyle name="Comma 14 2 3 2 5 2" xfId="36411"/>
    <cellStyle name="Comma 14 2 3 2 5 2 2" xfId="36412"/>
    <cellStyle name="Comma 14 2 3 2 5 2 3" xfId="36413"/>
    <cellStyle name="Comma 14 2 3 2 5 3" xfId="36414"/>
    <cellStyle name="Comma 14 2 3 2 5 3 2" xfId="36415"/>
    <cellStyle name="Comma 14 2 3 2 5 4" xfId="36416"/>
    <cellStyle name="Comma 14 2 3 2 5 5" xfId="36417"/>
    <cellStyle name="Comma 14 2 3 2 6" xfId="36418"/>
    <cellStyle name="Comma 14 2 3 2 6 2" xfId="36419"/>
    <cellStyle name="Comma 14 2 3 2 6 3" xfId="36420"/>
    <cellStyle name="Comma 14 2 3 2 7" xfId="36421"/>
    <cellStyle name="Comma 14 2 3 2 7 2" xfId="36422"/>
    <cellStyle name="Comma 14 2 3 2 7 3" xfId="36423"/>
    <cellStyle name="Comma 14 2 3 2 8" xfId="36424"/>
    <cellStyle name="Comma 14 2 3 2 8 2" xfId="36425"/>
    <cellStyle name="Comma 14 2 3 2 9" xfId="36426"/>
    <cellStyle name="Comma 14 2 3 3" xfId="36427"/>
    <cellStyle name="Comma 14 2 3 3 2" xfId="36428"/>
    <cellStyle name="Comma 14 2 3 3 2 2" xfId="36429"/>
    <cellStyle name="Comma 14 2 3 3 2 2 2" xfId="36430"/>
    <cellStyle name="Comma 14 2 3 3 2 2 3" xfId="36431"/>
    <cellStyle name="Comma 14 2 3 3 2 3" xfId="36432"/>
    <cellStyle name="Comma 14 2 3 3 2 3 2" xfId="36433"/>
    <cellStyle name="Comma 14 2 3 3 2 3 3" xfId="36434"/>
    <cellStyle name="Comma 14 2 3 3 2 4" xfId="36435"/>
    <cellStyle name="Comma 14 2 3 3 2 4 2" xfId="36436"/>
    <cellStyle name="Comma 14 2 3 3 2 5" xfId="36437"/>
    <cellStyle name="Comma 14 2 3 3 2 6" xfId="36438"/>
    <cellStyle name="Comma 14 2 3 3 3" xfId="36439"/>
    <cellStyle name="Comma 14 2 3 3 3 2" xfId="36440"/>
    <cellStyle name="Comma 14 2 3 3 3 2 2" xfId="36441"/>
    <cellStyle name="Comma 14 2 3 3 3 2 3" xfId="36442"/>
    <cellStyle name="Comma 14 2 3 3 3 3" xfId="36443"/>
    <cellStyle name="Comma 14 2 3 3 3 3 2" xfId="36444"/>
    <cellStyle name="Comma 14 2 3 3 3 3 3" xfId="36445"/>
    <cellStyle name="Comma 14 2 3 3 3 4" xfId="36446"/>
    <cellStyle name="Comma 14 2 3 3 3 4 2" xfId="36447"/>
    <cellStyle name="Comma 14 2 3 3 3 5" xfId="36448"/>
    <cellStyle name="Comma 14 2 3 3 3 6" xfId="36449"/>
    <cellStyle name="Comma 14 2 3 3 4" xfId="36450"/>
    <cellStyle name="Comma 14 2 3 3 4 2" xfId="36451"/>
    <cellStyle name="Comma 14 2 3 3 4 2 2" xfId="36452"/>
    <cellStyle name="Comma 14 2 3 3 4 2 3" xfId="36453"/>
    <cellStyle name="Comma 14 2 3 3 4 3" xfId="36454"/>
    <cellStyle name="Comma 14 2 3 3 4 3 2" xfId="36455"/>
    <cellStyle name="Comma 14 2 3 3 4 4" xfId="36456"/>
    <cellStyle name="Comma 14 2 3 3 4 5" xfId="36457"/>
    <cellStyle name="Comma 14 2 3 3 5" xfId="36458"/>
    <cellStyle name="Comma 14 2 3 3 5 2" xfId="36459"/>
    <cellStyle name="Comma 14 2 3 3 5 3" xfId="36460"/>
    <cellStyle name="Comma 14 2 3 3 6" xfId="36461"/>
    <cellStyle name="Comma 14 2 3 3 6 2" xfId="36462"/>
    <cellStyle name="Comma 14 2 3 3 6 3" xfId="36463"/>
    <cellStyle name="Comma 14 2 3 3 7" xfId="36464"/>
    <cellStyle name="Comma 14 2 3 3 7 2" xfId="36465"/>
    <cellStyle name="Comma 14 2 3 3 8" xfId="36466"/>
    <cellStyle name="Comma 14 2 3 3 9" xfId="36467"/>
    <cellStyle name="Comma 14 2 3 4" xfId="36468"/>
    <cellStyle name="Comma 14 2 3 4 2" xfId="36469"/>
    <cellStyle name="Comma 14 2 3 4 2 2" xfId="36470"/>
    <cellStyle name="Comma 14 2 3 4 2 2 2" xfId="36471"/>
    <cellStyle name="Comma 14 2 3 4 2 2 3" xfId="36472"/>
    <cellStyle name="Comma 14 2 3 4 2 3" xfId="36473"/>
    <cellStyle name="Comma 14 2 3 4 2 3 2" xfId="36474"/>
    <cellStyle name="Comma 14 2 3 4 2 3 3" xfId="36475"/>
    <cellStyle name="Comma 14 2 3 4 2 4" xfId="36476"/>
    <cellStyle name="Comma 14 2 3 4 2 4 2" xfId="36477"/>
    <cellStyle name="Comma 14 2 3 4 2 5" xfId="36478"/>
    <cellStyle name="Comma 14 2 3 4 2 6" xfId="36479"/>
    <cellStyle name="Comma 14 2 3 4 3" xfId="36480"/>
    <cellStyle name="Comma 14 2 3 4 3 2" xfId="36481"/>
    <cellStyle name="Comma 14 2 3 4 3 2 2" xfId="36482"/>
    <cellStyle name="Comma 14 2 3 4 3 2 3" xfId="36483"/>
    <cellStyle name="Comma 14 2 3 4 3 3" xfId="36484"/>
    <cellStyle name="Comma 14 2 3 4 3 3 2" xfId="36485"/>
    <cellStyle name="Comma 14 2 3 4 3 3 3" xfId="36486"/>
    <cellStyle name="Comma 14 2 3 4 3 4" xfId="36487"/>
    <cellStyle name="Comma 14 2 3 4 3 4 2" xfId="36488"/>
    <cellStyle name="Comma 14 2 3 4 3 5" xfId="36489"/>
    <cellStyle name="Comma 14 2 3 4 3 6" xfId="36490"/>
    <cellStyle name="Comma 14 2 3 4 4" xfId="36491"/>
    <cellStyle name="Comma 14 2 3 4 4 2" xfId="36492"/>
    <cellStyle name="Comma 14 2 3 4 4 2 2" xfId="36493"/>
    <cellStyle name="Comma 14 2 3 4 4 2 3" xfId="36494"/>
    <cellStyle name="Comma 14 2 3 4 4 3" xfId="36495"/>
    <cellStyle name="Comma 14 2 3 4 4 3 2" xfId="36496"/>
    <cellStyle name="Comma 14 2 3 4 4 4" xfId="36497"/>
    <cellStyle name="Comma 14 2 3 4 4 5" xfId="36498"/>
    <cellStyle name="Comma 14 2 3 4 5" xfId="36499"/>
    <cellStyle name="Comma 14 2 3 4 5 2" xfId="36500"/>
    <cellStyle name="Comma 14 2 3 4 5 3" xfId="36501"/>
    <cellStyle name="Comma 14 2 3 4 6" xfId="36502"/>
    <cellStyle name="Comma 14 2 3 4 6 2" xfId="36503"/>
    <cellStyle name="Comma 14 2 3 4 6 3" xfId="36504"/>
    <cellStyle name="Comma 14 2 3 4 7" xfId="36505"/>
    <cellStyle name="Comma 14 2 3 4 7 2" xfId="36506"/>
    <cellStyle name="Comma 14 2 3 4 8" xfId="36507"/>
    <cellStyle name="Comma 14 2 3 4 9" xfId="36508"/>
    <cellStyle name="Comma 14 2 3 5" xfId="36509"/>
    <cellStyle name="Comma 14 2 3 5 2" xfId="36510"/>
    <cellStyle name="Comma 14 2 3 5 2 2" xfId="36511"/>
    <cellStyle name="Comma 14 2 3 5 2 3" xfId="36512"/>
    <cellStyle name="Comma 14 2 3 5 3" xfId="36513"/>
    <cellStyle name="Comma 14 2 3 5 3 2" xfId="36514"/>
    <cellStyle name="Comma 14 2 3 5 3 3" xfId="36515"/>
    <cellStyle name="Comma 14 2 3 5 4" xfId="36516"/>
    <cellStyle name="Comma 14 2 3 5 4 2" xfId="36517"/>
    <cellStyle name="Comma 14 2 3 5 5" xfId="36518"/>
    <cellStyle name="Comma 14 2 3 5 6" xfId="36519"/>
    <cellStyle name="Comma 14 2 3 6" xfId="36520"/>
    <cellStyle name="Comma 14 2 3 6 2" xfId="36521"/>
    <cellStyle name="Comma 14 2 3 6 2 2" xfId="36522"/>
    <cellStyle name="Comma 14 2 3 6 2 3" xfId="36523"/>
    <cellStyle name="Comma 14 2 3 6 3" xfId="36524"/>
    <cellStyle name="Comma 14 2 3 6 3 2" xfId="36525"/>
    <cellStyle name="Comma 14 2 3 6 3 3" xfId="36526"/>
    <cellStyle name="Comma 14 2 3 6 4" xfId="36527"/>
    <cellStyle name="Comma 14 2 3 6 4 2" xfId="36528"/>
    <cellStyle name="Comma 14 2 3 6 5" xfId="36529"/>
    <cellStyle name="Comma 14 2 3 6 6" xfId="36530"/>
    <cellStyle name="Comma 14 2 3 7" xfId="36531"/>
    <cellStyle name="Comma 14 2 3 7 2" xfId="36532"/>
    <cellStyle name="Comma 14 2 3 7 2 2" xfId="36533"/>
    <cellStyle name="Comma 14 2 3 7 2 3" xfId="36534"/>
    <cellStyle name="Comma 14 2 3 7 3" xfId="36535"/>
    <cellStyle name="Comma 14 2 3 7 3 2" xfId="36536"/>
    <cellStyle name="Comma 14 2 3 7 4" xfId="36537"/>
    <cellStyle name="Comma 14 2 3 7 5" xfId="36538"/>
    <cellStyle name="Comma 14 2 3 8" xfId="36539"/>
    <cellStyle name="Comma 14 2 3 8 2" xfId="36540"/>
    <cellStyle name="Comma 14 2 3 8 3" xfId="36541"/>
    <cellStyle name="Comma 14 2 3 9" xfId="36542"/>
    <cellStyle name="Comma 14 2 3 9 2" xfId="36543"/>
    <cellStyle name="Comma 14 2 3 9 3" xfId="36544"/>
    <cellStyle name="Comma 14 2 4" xfId="36545"/>
    <cellStyle name="Comma 14 2 4 10" xfId="36546"/>
    <cellStyle name="Comma 14 2 4 2" xfId="36547"/>
    <cellStyle name="Comma 14 2 4 2 2" xfId="36548"/>
    <cellStyle name="Comma 14 2 4 2 2 2" xfId="36549"/>
    <cellStyle name="Comma 14 2 4 2 2 2 2" xfId="36550"/>
    <cellStyle name="Comma 14 2 4 2 2 2 3" xfId="36551"/>
    <cellStyle name="Comma 14 2 4 2 2 3" xfId="36552"/>
    <cellStyle name="Comma 14 2 4 2 2 3 2" xfId="36553"/>
    <cellStyle name="Comma 14 2 4 2 2 3 3" xfId="36554"/>
    <cellStyle name="Comma 14 2 4 2 2 4" xfId="36555"/>
    <cellStyle name="Comma 14 2 4 2 2 4 2" xfId="36556"/>
    <cellStyle name="Comma 14 2 4 2 2 5" xfId="36557"/>
    <cellStyle name="Comma 14 2 4 2 2 6" xfId="36558"/>
    <cellStyle name="Comma 14 2 4 2 3" xfId="36559"/>
    <cellStyle name="Comma 14 2 4 2 3 2" xfId="36560"/>
    <cellStyle name="Comma 14 2 4 2 3 2 2" xfId="36561"/>
    <cellStyle name="Comma 14 2 4 2 3 2 3" xfId="36562"/>
    <cellStyle name="Comma 14 2 4 2 3 3" xfId="36563"/>
    <cellStyle name="Comma 14 2 4 2 3 3 2" xfId="36564"/>
    <cellStyle name="Comma 14 2 4 2 3 3 3" xfId="36565"/>
    <cellStyle name="Comma 14 2 4 2 3 4" xfId="36566"/>
    <cellStyle name="Comma 14 2 4 2 3 4 2" xfId="36567"/>
    <cellStyle name="Comma 14 2 4 2 3 5" xfId="36568"/>
    <cellStyle name="Comma 14 2 4 2 3 6" xfId="36569"/>
    <cellStyle name="Comma 14 2 4 2 4" xfId="36570"/>
    <cellStyle name="Comma 14 2 4 2 4 2" xfId="36571"/>
    <cellStyle name="Comma 14 2 4 2 4 2 2" xfId="36572"/>
    <cellStyle name="Comma 14 2 4 2 4 2 3" xfId="36573"/>
    <cellStyle name="Comma 14 2 4 2 4 3" xfId="36574"/>
    <cellStyle name="Comma 14 2 4 2 4 3 2" xfId="36575"/>
    <cellStyle name="Comma 14 2 4 2 4 4" xfId="36576"/>
    <cellStyle name="Comma 14 2 4 2 4 5" xfId="36577"/>
    <cellStyle name="Comma 14 2 4 2 5" xfId="36578"/>
    <cellStyle name="Comma 14 2 4 2 5 2" xfId="36579"/>
    <cellStyle name="Comma 14 2 4 2 5 3" xfId="36580"/>
    <cellStyle name="Comma 14 2 4 2 6" xfId="36581"/>
    <cellStyle name="Comma 14 2 4 2 6 2" xfId="36582"/>
    <cellStyle name="Comma 14 2 4 2 6 3" xfId="36583"/>
    <cellStyle name="Comma 14 2 4 2 7" xfId="36584"/>
    <cellStyle name="Comma 14 2 4 2 7 2" xfId="36585"/>
    <cellStyle name="Comma 14 2 4 2 8" xfId="36586"/>
    <cellStyle name="Comma 14 2 4 2 9" xfId="36587"/>
    <cellStyle name="Comma 14 2 4 3" xfId="36588"/>
    <cellStyle name="Comma 14 2 4 3 2" xfId="36589"/>
    <cellStyle name="Comma 14 2 4 3 2 2" xfId="36590"/>
    <cellStyle name="Comma 14 2 4 3 2 3" xfId="36591"/>
    <cellStyle name="Comma 14 2 4 3 3" xfId="36592"/>
    <cellStyle name="Comma 14 2 4 3 3 2" xfId="36593"/>
    <cellStyle name="Comma 14 2 4 3 3 3" xfId="36594"/>
    <cellStyle name="Comma 14 2 4 3 4" xfId="36595"/>
    <cellStyle name="Comma 14 2 4 3 4 2" xfId="36596"/>
    <cellStyle name="Comma 14 2 4 3 5" xfId="36597"/>
    <cellStyle name="Comma 14 2 4 3 6" xfId="36598"/>
    <cellStyle name="Comma 14 2 4 4" xfId="36599"/>
    <cellStyle name="Comma 14 2 4 4 2" xfId="36600"/>
    <cellStyle name="Comma 14 2 4 4 2 2" xfId="36601"/>
    <cellStyle name="Comma 14 2 4 4 2 3" xfId="36602"/>
    <cellStyle name="Comma 14 2 4 4 3" xfId="36603"/>
    <cellStyle name="Comma 14 2 4 4 3 2" xfId="36604"/>
    <cellStyle name="Comma 14 2 4 4 3 3" xfId="36605"/>
    <cellStyle name="Comma 14 2 4 4 4" xfId="36606"/>
    <cellStyle name="Comma 14 2 4 4 4 2" xfId="36607"/>
    <cellStyle name="Comma 14 2 4 4 5" xfId="36608"/>
    <cellStyle name="Comma 14 2 4 4 6" xfId="36609"/>
    <cellStyle name="Comma 14 2 4 5" xfId="36610"/>
    <cellStyle name="Comma 14 2 4 5 2" xfId="36611"/>
    <cellStyle name="Comma 14 2 4 5 2 2" xfId="36612"/>
    <cellStyle name="Comma 14 2 4 5 2 3" xfId="36613"/>
    <cellStyle name="Comma 14 2 4 5 3" xfId="36614"/>
    <cellStyle name="Comma 14 2 4 5 3 2" xfId="36615"/>
    <cellStyle name="Comma 14 2 4 5 4" xfId="36616"/>
    <cellStyle name="Comma 14 2 4 5 5" xfId="36617"/>
    <cellStyle name="Comma 14 2 4 6" xfId="36618"/>
    <cellStyle name="Comma 14 2 4 6 2" xfId="36619"/>
    <cellStyle name="Comma 14 2 4 6 3" xfId="36620"/>
    <cellStyle name="Comma 14 2 4 7" xfId="36621"/>
    <cellStyle name="Comma 14 2 4 7 2" xfId="36622"/>
    <cellStyle name="Comma 14 2 4 7 3" xfId="36623"/>
    <cellStyle name="Comma 14 2 4 8" xfId="36624"/>
    <cellStyle name="Comma 14 2 4 8 2" xfId="36625"/>
    <cellStyle name="Comma 14 2 4 9" xfId="36626"/>
    <cellStyle name="Comma 14 2 5" xfId="36627"/>
    <cellStyle name="Comma 14 2 5 2" xfId="36628"/>
    <cellStyle name="Comma 14 2 5 2 2" xfId="36629"/>
    <cellStyle name="Comma 14 2 5 2 2 2" xfId="36630"/>
    <cellStyle name="Comma 14 2 5 2 2 3" xfId="36631"/>
    <cellStyle name="Comma 14 2 5 2 3" xfId="36632"/>
    <cellStyle name="Comma 14 2 5 2 3 2" xfId="36633"/>
    <cellStyle name="Comma 14 2 5 2 3 3" xfId="36634"/>
    <cellStyle name="Comma 14 2 5 2 4" xfId="36635"/>
    <cellStyle name="Comma 14 2 5 2 4 2" xfId="36636"/>
    <cellStyle name="Comma 14 2 5 2 5" xfId="36637"/>
    <cellStyle name="Comma 14 2 5 2 6" xfId="36638"/>
    <cellStyle name="Comma 14 2 5 3" xfId="36639"/>
    <cellStyle name="Comma 14 2 5 3 2" xfId="36640"/>
    <cellStyle name="Comma 14 2 5 3 2 2" xfId="36641"/>
    <cellStyle name="Comma 14 2 5 3 2 3" xfId="36642"/>
    <cellStyle name="Comma 14 2 5 3 3" xfId="36643"/>
    <cellStyle name="Comma 14 2 5 3 3 2" xfId="36644"/>
    <cellStyle name="Comma 14 2 5 3 3 3" xfId="36645"/>
    <cellStyle name="Comma 14 2 5 3 4" xfId="36646"/>
    <cellStyle name="Comma 14 2 5 3 4 2" xfId="36647"/>
    <cellStyle name="Comma 14 2 5 3 5" xfId="36648"/>
    <cellStyle name="Comma 14 2 5 3 6" xfId="36649"/>
    <cellStyle name="Comma 14 2 5 4" xfId="36650"/>
    <cellStyle name="Comma 14 2 5 4 2" xfId="36651"/>
    <cellStyle name="Comma 14 2 5 4 2 2" xfId="36652"/>
    <cellStyle name="Comma 14 2 5 4 2 3" xfId="36653"/>
    <cellStyle name="Comma 14 2 5 4 3" xfId="36654"/>
    <cellStyle name="Comma 14 2 5 4 3 2" xfId="36655"/>
    <cellStyle name="Comma 14 2 5 4 4" xfId="36656"/>
    <cellStyle name="Comma 14 2 5 4 5" xfId="36657"/>
    <cellStyle name="Comma 14 2 5 5" xfId="36658"/>
    <cellStyle name="Comma 14 2 5 5 2" xfId="36659"/>
    <cellStyle name="Comma 14 2 5 5 3" xfId="36660"/>
    <cellStyle name="Comma 14 2 5 6" xfId="36661"/>
    <cellStyle name="Comma 14 2 5 6 2" xfId="36662"/>
    <cellStyle name="Comma 14 2 5 6 3" xfId="36663"/>
    <cellStyle name="Comma 14 2 5 7" xfId="36664"/>
    <cellStyle name="Comma 14 2 5 7 2" xfId="36665"/>
    <cellStyle name="Comma 14 2 5 8" xfId="36666"/>
    <cellStyle name="Comma 14 2 5 9" xfId="36667"/>
    <cellStyle name="Comma 14 2 6" xfId="36668"/>
    <cellStyle name="Comma 14 2 6 2" xfId="36669"/>
    <cellStyle name="Comma 14 2 6 2 2" xfId="36670"/>
    <cellStyle name="Comma 14 2 6 2 2 2" xfId="36671"/>
    <cellStyle name="Comma 14 2 6 2 2 3" xfId="36672"/>
    <cellStyle name="Comma 14 2 6 2 3" xfId="36673"/>
    <cellStyle name="Comma 14 2 6 2 3 2" xfId="36674"/>
    <cellStyle name="Comma 14 2 6 2 3 3" xfId="36675"/>
    <cellStyle name="Comma 14 2 6 2 4" xfId="36676"/>
    <cellStyle name="Comma 14 2 6 2 4 2" xfId="36677"/>
    <cellStyle name="Comma 14 2 6 2 5" xfId="36678"/>
    <cellStyle name="Comma 14 2 6 2 6" xfId="36679"/>
    <cellStyle name="Comma 14 2 6 3" xfId="36680"/>
    <cellStyle name="Comma 14 2 6 3 2" xfId="36681"/>
    <cellStyle name="Comma 14 2 6 3 2 2" xfId="36682"/>
    <cellStyle name="Comma 14 2 6 3 2 3" xfId="36683"/>
    <cellStyle name="Comma 14 2 6 3 3" xfId="36684"/>
    <cellStyle name="Comma 14 2 6 3 3 2" xfId="36685"/>
    <cellStyle name="Comma 14 2 6 3 3 3" xfId="36686"/>
    <cellStyle name="Comma 14 2 6 3 4" xfId="36687"/>
    <cellStyle name="Comma 14 2 6 3 4 2" xfId="36688"/>
    <cellStyle name="Comma 14 2 6 3 5" xfId="36689"/>
    <cellStyle name="Comma 14 2 6 3 6" xfId="36690"/>
    <cellStyle name="Comma 14 2 6 4" xfId="36691"/>
    <cellStyle name="Comma 14 2 6 4 2" xfId="36692"/>
    <cellStyle name="Comma 14 2 6 4 2 2" xfId="36693"/>
    <cellStyle name="Comma 14 2 6 4 2 3" xfId="36694"/>
    <cellStyle name="Comma 14 2 6 4 3" xfId="36695"/>
    <cellStyle name="Comma 14 2 6 4 3 2" xfId="36696"/>
    <cellStyle name="Comma 14 2 6 4 4" xfId="36697"/>
    <cellStyle name="Comma 14 2 6 4 5" xfId="36698"/>
    <cellStyle name="Comma 14 2 6 5" xfId="36699"/>
    <cellStyle name="Comma 14 2 6 5 2" xfId="36700"/>
    <cellStyle name="Comma 14 2 6 5 3" xfId="36701"/>
    <cellStyle name="Comma 14 2 6 6" xfId="36702"/>
    <cellStyle name="Comma 14 2 6 6 2" xfId="36703"/>
    <cellStyle name="Comma 14 2 6 6 3" xfId="36704"/>
    <cellStyle name="Comma 14 2 6 7" xfId="36705"/>
    <cellStyle name="Comma 14 2 6 7 2" xfId="36706"/>
    <cellStyle name="Comma 14 2 6 8" xfId="36707"/>
    <cellStyle name="Comma 14 2 6 9" xfId="36708"/>
    <cellStyle name="Comma 14 2 7" xfId="36709"/>
    <cellStyle name="Comma 14 2 7 2" xfId="36710"/>
    <cellStyle name="Comma 14 2 7 2 2" xfId="36711"/>
    <cellStyle name="Comma 14 2 7 2 3" xfId="36712"/>
    <cellStyle name="Comma 14 2 7 3" xfId="36713"/>
    <cellStyle name="Comma 14 2 7 3 2" xfId="36714"/>
    <cellStyle name="Comma 14 2 7 3 3" xfId="36715"/>
    <cellStyle name="Comma 14 2 7 4" xfId="36716"/>
    <cellStyle name="Comma 14 2 7 4 2" xfId="36717"/>
    <cellStyle name="Comma 14 2 7 5" xfId="36718"/>
    <cellStyle name="Comma 14 2 7 6" xfId="36719"/>
    <cellStyle name="Comma 14 2 8" xfId="36720"/>
    <cellStyle name="Comma 14 2 8 2" xfId="36721"/>
    <cellStyle name="Comma 14 2 8 2 2" xfId="36722"/>
    <cellStyle name="Comma 14 2 8 2 3" xfId="36723"/>
    <cellStyle name="Comma 14 2 8 3" xfId="36724"/>
    <cellStyle name="Comma 14 2 8 3 2" xfId="36725"/>
    <cellStyle name="Comma 14 2 8 3 3" xfId="36726"/>
    <cellStyle name="Comma 14 2 8 4" xfId="36727"/>
    <cellStyle name="Comma 14 2 8 4 2" xfId="36728"/>
    <cellStyle name="Comma 14 2 8 5" xfId="36729"/>
    <cellStyle name="Comma 14 2 8 6" xfId="36730"/>
    <cellStyle name="Comma 14 2 9" xfId="36731"/>
    <cellStyle name="Comma 14 2 9 2" xfId="36732"/>
    <cellStyle name="Comma 14 2 9 2 2" xfId="36733"/>
    <cellStyle name="Comma 14 2 9 2 3" xfId="36734"/>
    <cellStyle name="Comma 14 2 9 3" xfId="36735"/>
    <cellStyle name="Comma 14 2 9 3 2" xfId="36736"/>
    <cellStyle name="Comma 14 2 9 4" xfId="36737"/>
    <cellStyle name="Comma 14 2 9 5" xfId="36738"/>
    <cellStyle name="Comma 14 3" xfId="36739"/>
    <cellStyle name="Comma 14 3 10" xfId="36740"/>
    <cellStyle name="Comma 14 3 10 2" xfId="36741"/>
    <cellStyle name="Comma 14 3 10 3" xfId="36742"/>
    <cellStyle name="Comma 14 3 11" xfId="36743"/>
    <cellStyle name="Comma 14 3 11 2" xfId="36744"/>
    <cellStyle name="Comma 14 3 12" xfId="36745"/>
    <cellStyle name="Comma 14 3 13" xfId="36746"/>
    <cellStyle name="Comma 14 3 2" xfId="36747"/>
    <cellStyle name="Comma 14 3 2 10" xfId="36748"/>
    <cellStyle name="Comma 14 3 2 10 2" xfId="36749"/>
    <cellStyle name="Comma 14 3 2 11" xfId="36750"/>
    <cellStyle name="Comma 14 3 2 12" xfId="36751"/>
    <cellStyle name="Comma 14 3 2 2" xfId="36752"/>
    <cellStyle name="Comma 14 3 2 2 10" xfId="36753"/>
    <cellStyle name="Comma 14 3 2 2 2" xfId="36754"/>
    <cellStyle name="Comma 14 3 2 2 2 2" xfId="36755"/>
    <cellStyle name="Comma 14 3 2 2 2 2 2" xfId="36756"/>
    <cellStyle name="Comma 14 3 2 2 2 2 2 2" xfId="36757"/>
    <cellStyle name="Comma 14 3 2 2 2 2 2 3" xfId="36758"/>
    <cellStyle name="Comma 14 3 2 2 2 2 3" xfId="36759"/>
    <cellStyle name="Comma 14 3 2 2 2 2 3 2" xfId="36760"/>
    <cellStyle name="Comma 14 3 2 2 2 2 3 3" xfId="36761"/>
    <cellStyle name="Comma 14 3 2 2 2 2 4" xfId="36762"/>
    <cellStyle name="Comma 14 3 2 2 2 2 4 2" xfId="36763"/>
    <cellStyle name="Comma 14 3 2 2 2 2 5" xfId="36764"/>
    <cellStyle name="Comma 14 3 2 2 2 2 6" xfId="36765"/>
    <cellStyle name="Comma 14 3 2 2 2 3" xfId="36766"/>
    <cellStyle name="Comma 14 3 2 2 2 3 2" xfId="36767"/>
    <cellStyle name="Comma 14 3 2 2 2 3 2 2" xfId="36768"/>
    <cellStyle name="Comma 14 3 2 2 2 3 2 3" xfId="36769"/>
    <cellStyle name="Comma 14 3 2 2 2 3 3" xfId="36770"/>
    <cellStyle name="Comma 14 3 2 2 2 3 3 2" xfId="36771"/>
    <cellStyle name="Comma 14 3 2 2 2 3 3 3" xfId="36772"/>
    <cellStyle name="Comma 14 3 2 2 2 3 4" xfId="36773"/>
    <cellStyle name="Comma 14 3 2 2 2 3 4 2" xfId="36774"/>
    <cellStyle name="Comma 14 3 2 2 2 3 5" xfId="36775"/>
    <cellStyle name="Comma 14 3 2 2 2 3 6" xfId="36776"/>
    <cellStyle name="Comma 14 3 2 2 2 4" xfId="36777"/>
    <cellStyle name="Comma 14 3 2 2 2 4 2" xfId="36778"/>
    <cellStyle name="Comma 14 3 2 2 2 4 2 2" xfId="36779"/>
    <cellStyle name="Comma 14 3 2 2 2 4 2 3" xfId="36780"/>
    <cellStyle name="Comma 14 3 2 2 2 4 3" xfId="36781"/>
    <cellStyle name="Comma 14 3 2 2 2 4 3 2" xfId="36782"/>
    <cellStyle name="Comma 14 3 2 2 2 4 4" xfId="36783"/>
    <cellStyle name="Comma 14 3 2 2 2 4 5" xfId="36784"/>
    <cellStyle name="Comma 14 3 2 2 2 5" xfId="36785"/>
    <cellStyle name="Comma 14 3 2 2 2 5 2" xfId="36786"/>
    <cellStyle name="Comma 14 3 2 2 2 5 3" xfId="36787"/>
    <cellStyle name="Comma 14 3 2 2 2 6" xfId="36788"/>
    <cellStyle name="Comma 14 3 2 2 2 6 2" xfId="36789"/>
    <cellStyle name="Comma 14 3 2 2 2 6 3" xfId="36790"/>
    <cellStyle name="Comma 14 3 2 2 2 7" xfId="36791"/>
    <cellStyle name="Comma 14 3 2 2 2 7 2" xfId="36792"/>
    <cellStyle name="Comma 14 3 2 2 2 8" xfId="36793"/>
    <cellStyle name="Comma 14 3 2 2 2 9" xfId="36794"/>
    <cellStyle name="Comma 14 3 2 2 3" xfId="36795"/>
    <cellStyle name="Comma 14 3 2 2 3 2" xfId="36796"/>
    <cellStyle name="Comma 14 3 2 2 3 2 2" xfId="36797"/>
    <cellStyle name="Comma 14 3 2 2 3 2 3" xfId="36798"/>
    <cellStyle name="Comma 14 3 2 2 3 3" xfId="36799"/>
    <cellStyle name="Comma 14 3 2 2 3 3 2" xfId="36800"/>
    <cellStyle name="Comma 14 3 2 2 3 3 3" xfId="36801"/>
    <cellStyle name="Comma 14 3 2 2 3 4" xfId="36802"/>
    <cellStyle name="Comma 14 3 2 2 3 4 2" xfId="36803"/>
    <cellStyle name="Comma 14 3 2 2 3 5" xfId="36804"/>
    <cellStyle name="Comma 14 3 2 2 3 6" xfId="36805"/>
    <cellStyle name="Comma 14 3 2 2 4" xfId="36806"/>
    <cellStyle name="Comma 14 3 2 2 4 2" xfId="36807"/>
    <cellStyle name="Comma 14 3 2 2 4 2 2" xfId="36808"/>
    <cellStyle name="Comma 14 3 2 2 4 2 3" xfId="36809"/>
    <cellStyle name="Comma 14 3 2 2 4 3" xfId="36810"/>
    <cellStyle name="Comma 14 3 2 2 4 3 2" xfId="36811"/>
    <cellStyle name="Comma 14 3 2 2 4 3 3" xfId="36812"/>
    <cellStyle name="Comma 14 3 2 2 4 4" xfId="36813"/>
    <cellStyle name="Comma 14 3 2 2 4 4 2" xfId="36814"/>
    <cellStyle name="Comma 14 3 2 2 4 5" xfId="36815"/>
    <cellStyle name="Comma 14 3 2 2 4 6" xfId="36816"/>
    <cellStyle name="Comma 14 3 2 2 5" xfId="36817"/>
    <cellStyle name="Comma 14 3 2 2 5 2" xfId="36818"/>
    <cellStyle name="Comma 14 3 2 2 5 2 2" xfId="36819"/>
    <cellStyle name="Comma 14 3 2 2 5 2 3" xfId="36820"/>
    <cellStyle name="Comma 14 3 2 2 5 3" xfId="36821"/>
    <cellStyle name="Comma 14 3 2 2 5 3 2" xfId="36822"/>
    <cellStyle name="Comma 14 3 2 2 5 4" xfId="36823"/>
    <cellStyle name="Comma 14 3 2 2 5 5" xfId="36824"/>
    <cellStyle name="Comma 14 3 2 2 6" xfId="36825"/>
    <cellStyle name="Comma 14 3 2 2 6 2" xfId="36826"/>
    <cellStyle name="Comma 14 3 2 2 6 3" xfId="36827"/>
    <cellStyle name="Comma 14 3 2 2 7" xfId="36828"/>
    <cellStyle name="Comma 14 3 2 2 7 2" xfId="36829"/>
    <cellStyle name="Comma 14 3 2 2 7 3" xfId="36830"/>
    <cellStyle name="Comma 14 3 2 2 8" xfId="36831"/>
    <cellStyle name="Comma 14 3 2 2 8 2" xfId="36832"/>
    <cellStyle name="Comma 14 3 2 2 9" xfId="36833"/>
    <cellStyle name="Comma 14 3 2 3" xfId="36834"/>
    <cellStyle name="Comma 14 3 2 3 2" xfId="36835"/>
    <cellStyle name="Comma 14 3 2 3 2 2" xfId="36836"/>
    <cellStyle name="Comma 14 3 2 3 2 2 2" xfId="36837"/>
    <cellStyle name="Comma 14 3 2 3 2 2 3" xfId="36838"/>
    <cellStyle name="Comma 14 3 2 3 2 3" xfId="36839"/>
    <cellStyle name="Comma 14 3 2 3 2 3 2" xfId="36840"/>
    <cellStyle name="Comma 14 3 2 3 2 3 3" xfId="36841"/>
    <cellStyle name="Comma 14 3 2 3 2 4" xfId="36842"/>
    <cellStyle name="Comma 14 3 2 3 2 4 2" xfId="36843"/>
    <cellStyle name="Comma 14 3 2 3 2 5" xfId="36844"/>
    <cellStyle name="Comma 14 3 2 3 2 6" xfId="36845"/>
    <cellStyle name="Comma 14 3 2 3 3" xfId="36846"/>
    <cellStyle name="Comma 14 3 2 3 3 2" xfId="36847"/>
    <cellStyle name="Comma 14 3 2 3 3 2 2" xfId="36848"/>
    <cellStyle name="Comma 14 3 2 3 3 2 3" xfId="36849"/>
    <cellStyle name="Comma 14 3 2 3 3 3" xfId="36850"/>
    <cellStyle name="Comma 14 3 2 3 3 3 2" xfId="36851"/>
    <cellStyle name="Comma 14 3 2 3 3 3 3" xfId="36852"/>
    <cellStyle name="Comma 14 3 2 3 3 4" xfId="36853"/>
    <cellStyle name="Comma 14 3 2 3 3 4 2" xfId="36854"/>
    <cellStyle name="Comma 14 3 2 3 3 5" xfId="36855"/>
    <cellStyle name="Comma 14 3 2 3 3 6" xfId="36856"/>
    <cellStyle name="Comma 14 3 2 3 4" xfId="36857"/>
    <cellStyle name="Comma 14 3 2 3 4 2" xfId="36858"/>
    <cellStyle name="Comma 14 3 2 3 4 2 2" xfId="36859"/>
    <cellStyle name="Comma 14 3 2 3 4 2 3" xfId="36860"/>
    <cellStyle name="Comma 14 3 2 3 4 3" xfId="36861"/>
    <cellStyle name="Comma 14 3 2 3 4 3 2" xfId="36862"/>
    <cellStyle name="Comma 14 3 2 3 4 4" xfId="36863"/>
    <cellStyle name="Comma 14 3 2 3 4 5" xfId="36864"/>
    <cellStyle name="Comma 14 3 2 3 5" xfId="36865"/>
    <cellStyle name="Comma 14 3 2 3 5 2" xfId="36866"/>
    <cellStyle name="Comma 14 3 2 3 5 3" xfId="36867"/>
    <cellStyle name="Comma 14 3 2 3 6" xfId="36868"/>
    <cellStyle name="Comma 14 3 2 3 6 2" xfId="36869"/>
    <cellStyle name="Comma 14 3 2 3 6 3" xfId="36870"/>
    <cellStyle name="Comma 14 3 2 3 7" xfId="36871"/>
    <cellStyle name="Comma 14 3 2 3 7 2" xfId="36872"/>
    <cellStyle name="Comma 14 3 2 3 8" xfId="36873"/>
    <cellStyle name="Comma 14 3 2 3 9" xfId="36874"/>
    <cellStyle name="Comma 14 3 2 4" xfId="36875"/>
    <cellStyle name="Comma 14 3 2 4 2" xfId="36876"/>
    <cellStyle name="Comma 14 3 2 4 2 2" xfId="36877"/>
    <cellStyle name="Comma 14 3 2 4 2 2 2" xfId="36878"/>
    <cellStyle name="Comma 14 3 2 4 2 2 3" xfId="36879"/>
    <cellStyle name="Comma 14 3 2 4 2 3" xfId="36880"/>
    <cellStyle name="Comma 14 3 2 4 2 3 2" xfId="36881"/>
    <cellStyle name="Comma 14 3 2 4 2 3 3" xfId="36882"/>
    <cellStyle name="Comma 14 3 2 4 2 4" xfId="36883"/>
    <cellStyle name="Comma 14 3 2 4 2 4 2" xfId="36884"/>
    <cellStyle name="Comma 14 3 2 4 2 5" xfId="36885"/>
    <cellStyle name="Comma 14 3 2 4 2 6" xfId="36886"/>
    <cellStyle name="Comma 14 3 2 4 3" xfId="36887"/>
    <cellStyle name="Comma 14 3 2 4 3 2" xfId="36888"/>
    <cellStyle name="Comma 14 3 2 4 3 2 2" xfId="36889"/>
    <cellStyle name="Comma 14 3 2 4 3 2 3" xfId="36890"/>
    <cellStyle name="Comma 14 3 2 4 3 3" xfId="36891"/>
    <cellStyle name="Comma 14 3 2 4 3 3 2" xfId="36892"/>
    <cellStyle name="Comma 14 3 2 4 3 3 3" xfId="36893"/>
    <cellStyle name="Comma 14 3 2 4 3 4" xfId="36894"/>
    <cellStyle name="Comma 14 3 2 4 3 4 2" xfId="36895"/>
    <cellStyle name="Comma 14 3 2 4 3 5" xfId="36896"/>
    <cellStyle name="Comma 14 3 2 4 3 6" xfId="36897"/>
    <cellStyle name="Comma 14 3 2 4 4" xfId="36898"/>
    <cellStyle name="Comma 14 3 2 4 4 2" xfId="36899"/>
    <cellStyle name="Comma 14 3 2 4 4 2 2" xfId="36900"/>
    <cellStyle name="Comma 14 3 2 4 4 2 3" xfId="36901"/>
    <cellStyle name="Comma 14 3 2 4 4 3" xfId="36902"/>
    <cellStyle name="Comma 14 3 2 4 4 3 2" xfId="36903"/>
    <cellStyle name="Comma 14 3 2 4 4 4" xfId="36904"/>
    <cellStyle name="Comma 14 3 2 4 4 5" xfId="36905"/>
    <cellStyle name="Comma 14 3 2 4 5" xfId="36906"/>
    <cellStyle name="Comma 14 3 2 4 5 2" xfId="36907"/>
    <cellStyle name="Comma 14 3 2 4 5 3" xfId="36908"/>
    <cellStyle name="Comma 14 3 2 4 6" xfId="36909"/>
    <cellStyle name="Comma 14 3 2 4 6 2" xfId="36910"/>
    <cellStyle name="Comma 14 3 2 4 6 3" xfId="36911"/>
    <cellStyle name="Comma 14 3 2 4 7" xfId="36912"/>
    <cellStyle name="Comma 14 3 2 4 7 2" xfId="36913"/>
    <cellStyle name="Comma 14 3 2 4 8" xfId="36914"/>
    <cellStyle name="Comma 14 3 2 4 9" xfId="36915"/>
    <cellStyle name="Comma 14 3 2 5" xfId="36916"/>
    <cellStyle name="Comma 14 3 2 5 2" xfId="36917"/>
    <cellStyle name="Comma 14 3 2 5 2 2" xfId="36918"/>
    <cellStyle name="Comma 14 3 2 5 2 3" xfId="36919"/>
    <cellStyle name="Comma 14 3 2 5 3" xfId="36920"/>
    <cellStyle name="Comma 14 3 2 5 3 2" xfId="36921"/>
    <cellStyle name="Comma 14 3 2 5 3 3" xfId="36922"/>
    <cellStyle name="Comma 14 3 2 5 4" xfId="36923"/>
    <cellStyle name="Comma 14 3 2 5 4 2" xfId="36924"/>
    <cellStyle name="Comma 14 3 2 5 5" xfId="36925"/>
    <cellStyle name="Comma 14 3 2 5 6" xfId="36926"/>
    <cellStyle name="Comma 14 3 2 6" xfId="36927"/>
    <cellStyle name="Comma 14 3 2 6 2" xfId="36928"/>
    <cellStyle name="Comma 14 3 2 6 2 2" xfId="36929"/>
    <cellStyle name="Comma 14 3 2 6 2 3" xfId="36930"/>
    <cellStyle name="Comma 14 3 2 6 3" xfId="36931"/>
    <cellStyle name="Comma 14 3 2 6 3 2" xfId="36932"/>
    <cellStyle name="Comma 14 3 2 6 3 3" xfId="36933"/>
    <cellStyle name="Comma 14 3 2 6 4" xfId="36934"/>
    <cellStyle name="Comma 14 3 2 6 4 2" xfId="36935"/>
    <cellStyle name="Comma 14 3 2 6 5" xfId="36936"/>
    <cellStyle name="Comma 14 3 2 6 6" xfId="36937"/>
    <cellStyle name="Comma 14 3 2 7" xfId="36938"/>
    <cellStyle name="Comma 14 3 2 7 2" xfId="36939"/>
    <cellStyle name="Comma 14 3 2 7 2 2" xfId="36940"/>
    <cellStyle name="Comma 14 3 2 7 2 3" xfId="36941"/>
    <cellStyle name="Comma 14 3 2 7 3" xfId="36942"/>
    <cellStyle name="Comma 14 3 2 7 3 2" xfId="36943"/>
    <cellStyle name="Comma 14 3 2 7 4" xfId="36944"/>
    <cellStyle name="Comma 14 3 2 7 5" xfId="36945"/>
    <cellStyle name="Comma 14 3 2 8" xfId="36946"/>
    <cellStyle name="Comma 14 3 2 8 2" xfId="36947"/>
    <cellStyle name="Comma 14 3 2 8 3" xfId="36948"/>
    <cellStyle name="Comma 14 3 2 9" xfId="36949"/>
    <cellStyle name="Comma 14 3 2 9 2" xfId="36950"/>
    <cellStyle name="Comma 14 3 2 9 3" xfId="36951"/>
    <cellStyle name="Comma 14 3 3" xfId="36952"/>
    <cellStyle name="Comma 14 3 3 10" xfId="36953"/>
    <cellStyle name="Comma 14 3 3 2" xfId="36954"/>
    <cellStyle name="Comma 14 3 3 2 2" xfId="36955"/>
    <cellStyle name="Comma 14 3 3 2 2 2" xfId="36956"/>
    <cellStyle name="Comma 14 3 3 2 2 2 2" xfId="36957"/>
    <cellStyle name="Comma 14 3 3 2 2 2 3" xfId="36958"/>
    <cellStyle name="Comma 14 3 3 2 2 3" xfId="36959"/>
    <cellStyle name="Comma 14 3 3 2 2 3 2" xfId="36960"/>
    <cellStyle name="Comma 14 3 3 2 2 3 3" xfId="36961"/>
    <cellStyle name="Comma 14 3 3 2 2 4" xfId="36962"/>
    <cellStyle name="Comma 14 3 3 2 2 4 2" xfId="36963"/>
    <cellStyle name="Comma 14 3 3 2 2 5" xfId="36964"/>
    <cellStyle name="Comma 14 3 3 2 2 6" xfId="36965"/>
    <cellStyle name="Comma 14 3 3 2 3" xfId="36966"/>
    <cellStyle name="Comma 14 3 3 2 3 2" xfId="36967"/>
    <cellStyle name="Comma 14 3 3 2 3 2 2" xfId="36968"/>
    <cellStyle name="Comma 14 3 3 2 3 2 3" xfId="36969"/>
    <cellStyle name="Comma 14 3 3 2 3 3" xfId="36970"/>
    <cellStyle name="Comma 14 3 3 2 3 3 2" xfId="36971"/>
    <cellStyle name="Comma 14 3 3 2 3 3 3" xfId="36972"/>
    <cellStyle name="Comma 14 3 3 2 3 4" xfId="36973"/>
    <cellStyle name="Comma 14 3 3 2 3 4 2" xfId="36974"/>
    <cellStyle name="Comma 14 3 3 2 3 5" xfId="36975"/>
    <cellStyle name="Comma 14 3 3 2 3 6" xfId="36976"/>
    <cellStyle name="Comma 14 3 3 2 4" xfId="36977"/>
    <cellStyle name="Comma 14 3 3 2 4 2" xfId="36978"/>
    <cellStyle name="Comma 14 3 3 2 4 2 2" xfId="36979"/>
    <cellStyle name="Comma 14 3 3 2 4 2 3" xfId="36980"/>
    <cellStyle name="Comma 14 3 3 2 4 3" xfId="36981"/>
    <cellStyle name="Comma 14 3 3 2 4 3 2" xfId="36982"/>
    <cellStyle name="Comma 14 3 3 2 4 4" xfId="36983"/>
    <cellStyle name="Comma 14 3 3 2 4 5" xfId="36984"/>
    <cellStyle name="Comma 14 3 3 2 5" xfId="36985"/>
    <cellStyle name="Comma 14 3 3 2 5 2" xfId="36986"/>
    <cellStyle name="Comma 14 3 3 2 5 3" xfId="36987"/>
    <cellStyle name="Comma 14 3 3 2 6" xfId="36988"/>
    <cellStyle name="Comma 14 3 3 2 6 2" xfId="36989"/>
    <cellStyle name="Comma 14 3 3 2 6 3" xfId="36990"/>
    <cellStyle name="Comma 14 3 3 2 7" xfId="36991"/>
    <cellStyle name="Comma 14 3 3 2 7 2" xfId="36992"/>
    <cellStyle name="Comma 14 3 3 2 8" xfId="36993"/>
    <cellStyle name="Comma 14 3 3 2 9" xfId="36994"/>
    <cellStyle name="Comma 14 3 3 3" xfId="36995"/>
    <cellStyle name="Comma 14 3 3 3 2" xfId="36996"/>
    <cellStyle name="Comma 14 3 3 3 2 2" xfId="36997"/>
    <cellStyle name="Comma 14 3 3 3 2 3" xfId="36998"/>
    <cellStyle name="Comma 14 3 3 3 3" xfId="36999"/>
    <cellStyle name="Comma 14 3 3 3 3 2" xfId="37000"/>
    <cellStyle name="Comma 14 3 3 3 3 3" xfId="37001"/>
    <cellStyle name="Comma 14 3 3 3 4" xfId="37002"/>
    <cellStyle name="Comma 14 3 3 3 4 2" xfId="37003"/>
    <cellStyle name="Comma 14 3 3 3 5" xfId="37004"/>
    <cellStyle name="Comma 14 3 3 3 6" xfId="37005"/>
    <cellStyle name="Comma 14 3 3 4" xfId="37006"/>
    <cellStyle name="Comma 14 3 3 4 2" xfId="37007"/>
    <cellStyle name="Comma 14 3 3 4 2 2" xfId="37008"/>
    <cellStyle name="Comma 14 3 3 4 2 3" xfId="37009"/>
    <cellStyle name="Comma 14 3 3 4 3" xfId="37010"/>
    <cellStyle name="Comma 14 3 3 4 3 2" xfId="37011"/>
    <cellStyle name="Comma 14 3 3 4 3 3" xfId="37012"/>
    <cellStyle name="Comma 14 3 3 4 4" xfId="37013"/>
    <cellStyle name="Comma 14 3 3 4 4 2" xfId="37014"/>
    <cellStyle name="Comma 14 3 3 4 5" xfId="37015"/>
    <cellStyle name="Comma 14 3 3 4 6" xfId="37016"/>
    <cellStyle name="Comma 14 3 3 5" xfId="37017"/>
    <cellStyle name="Comma 14 3 3 5 2" xfId="37018"/>
    <cellStyle name="Comma 14 3 3 5 2 2" xfId="37019"/>
    <cellStyle name="Comma 14 3 3 5 2 3" xfId="37020"/>
    <cellStyle name="Comma 14 3 3 5 3" xfId="37021"/>
    <cellStyle name="Comma 14 3 3 5 3 2" xfId="37022"/>
    <cellStyle name="Comma 14 3 3 5 4" xfId="37023"/>
    <cellStyle name="Comma 14 3 3 5 5" xfId="37024"/>
    <cellStyle name="Comma 14 3 3 6" xfId="37025"/>
    <cellStyle name="Comma 14 3 3 6 2" xfId="37026"/>
    <cellStyle name="Comma 14 3 3 6 3" xfId="37027"/>
    <cellStyle name="Comma 14 3 3 7" xfId="37028"/>
    <cellStyle name="Comma 14 3 3 7 2" xfId="37029"/>
    <cellStyle name="Comma 14 3 3 7 3" xfId="37030"/>
    <cellStyle name="Comma 14 3 3 8" xfId="37031"/>
    <cellStyle name="Comma 14 3 3 8 2" xfId="37032"/>
    <cellStyle name="Comma 14 3 3 9" xfId="37033"/>
    <cellStyle name="Comma 14 3 4" xfId="37034"/>
    <cellStyle name="Comma 14 3 4 2" xfId="37035"/>
    <cellStyle name="Comma 14 3 4 2 2" xfId="37036"/>
    <cellStyle name="Comma 14 3 4 2 2 2" xfId="37037"/>
    <cellStyle name="Comma 14 3 4 2 2 3" xfId="37038"/>
    <cellStyle name="Comma 14 3 4 2 3" xfId="37039"/>
    <cellStyle name="Comma 14 3 4 2 3 2" xfId="37040"/>
    <cellStyle name="Comma 14 3 4 2 3 3" xfId="37041"/>
    <cellStyle name="Comma 14 3 4 2 4" xfId="37042"/>
    <cellStyle name="Comma 14 3 4 2 4 2" xfId="37043"/>
    <cellStyle name="Comma 14 3 4 2 5" xfId="37044"/>
    <cellStyle name="Comma 14 3 4 2 6" xfId="37045"/>
    <cellStyle name="Comma 14 3 4 3" xfId="37046"/>
    <cellStyle name="Comma 14 3 4 3 2" xfId="37047"/>
    <cellStyle name="Comma 14 3 4 3 2 2" xfId="37048"/>
    <cellStyle name="Comma 14 3 4 3 2 3" xfId="37049"/>
    <cellStyle name="Comma 14 3 4 3 3" xfId="37050"/>
    <cellStyle name="Comma 14 3 4 3 3 2" xfId="37051"/>
    <cellStyle name="Comma 14 3 4 3 3 3" xfId="37052"/>
    <cellStyle name="Comma 14 3 4 3 4" xfId="37053"/>
    <cellStyle name="Comma 14 3 4 3 4 2" xfId="37054"/>
    <cellStyle name="Comma 14 3 4 3 5" xfId="37055"/>
    <cellStyle name="Comma 14 3 4 3 6" xfId="37056"/>
    <cellStyle name="Comma 14 3 4 4" xfId="37057"/>
    <cellStyle name="Comma 14 3 4 4 2" xfId="37058"/>
    <cellStyle name="Comma 14 3 4 4 2 2" xfId="37059"/>
    <cellStyle name="Comma 14 3 4 4 2 3" xfId="37060"/>
    <cellStyle name="Comma 14 3 4 4 3" xfId="37061"/>
    <cellStyle name="Comma 14 3 4 4 3 2" xfId="37062"/>
    <cellStyle name="Comma 14 3 4 4 4" xfId="37063"/>
    <cellStyle name="Comma 14 3 4 4 5" xfId="37064"/>
    <cellStyle name="Comma 14 3 4 5" xfId="37065"/>
    <cellStyle name="Comma 14 3 4 5 2" xfId="37066"/>
    <cellStyle name="Comma 14 3 4 5 3" xfId="37067"/>
    <cellStyle name="Comma 14 3 4 6" xfId="37068"/>
    <cellStyle name="Comma 14 3 4 6 2" xfId="37069"/>
    <cellStyle name="Comma 14 3 4 6 3" xfId="37070"/>
    <cellStyle name="Comma 14 3 4 7" xfId="37071"/>
    <cellStyle name="Comma 14 3 4 7 2" xfId="37072"/>
    <cellStyle name="Comma 14 3 4 8" xfId="37073"/>
    <cellStyle name="Comma 14 3 4 9" xfId="37074"/>
    <cellStyle name="Comma 14 3 5" xfId="37075"/>
    <cellStyle name="Comma 14 3 5 2" xfId="37076"/>
    <cellStyle name="Comma 14 3 5 2 2" xfId="37077"/>
    <cellStyle name="Comma 14 3 5 2 2 2" xfId="37078"/>
    <cellStyle name="Comma 14 3 5 2 2 3" xfId="37079"/>
    <cellStyle name="Comma 14 3 5 2 3" xfId="37080"/>
    <cellStyle name="Comma 14 3 5 2 3 2" xfId="37081"/>
    <cellStyle name="Comma 14 3 5 2 3 3" xfId="37082"/>
    <cellStyle name="Comma 14 3 5 2 4" xfId="37083"/>
    <cellStyle name="Comma 14 3 5 2 4 2" xfId="37084"/>
    <cellStyle name="Comma 14 3 5 2 5" xfId="37085"/>
    <cellStyle name="Comma 14 3 5 2 6" xfId="37086"/>
    <cellStyle name="Comma 14 3 5 3" xfId="37087"/>
    <cellStyle name="Comma 14 3 5 3 2" xfId="37088"/>
    <cellStyle name="Comma 14 3 5 3 2 2" xfId="37089"/>
    <cellStyle name="Comma 14 3 5 3 2 3" xfId="37090"/>
    <cellStyle name="Comma 14 3 5 3 3" xfId="37091"/>
    <cellStyle name="Comma 14 3 5 3 3 2" xfId="37092"/>
    <cellStyle name="Comma 14 3 5 3 3 3" xfId="37093"/>
    <cellStyle name="Comma 14 3 5 3 4" xfId="37094"/>
    <cellStyle name="Comma 14 3 5 3 4 2" xfId="37095"/>
    <cellStyle name="Comma 14 3 5 3 5" xfId="37096"/>
    <cellStyle name="Comma 14 3 5 3 6" xfId="37097"/>
    <cellStyle name="Comma 14 3 5 4" xfId="37098"/>
    <cellStyle name="Comma 14 3 5 4 2" xfId="37099"/>
    <cellStyle name="Comma 14 3 5 4 2 2" xfId="37100"/>
    <cellStyle name="Comma 14 3 5 4 2 3" xfId="37101"/>
    <cellStyle name="Comma 14 3 5 4 3" xfId="37102"/>
    <cellStyle name="Comma 14 3 5 4 3 2" xfId="37103"/>
    <cellStyle name="Comma 14 3 5 4 4" xfId="37104"/>
    <cellStyle name="Comma 14 3 5 4 5" xfId="37105"/>
    <cellStyle name="Comma 14 3 5 5" xfId="37106"/>
    <cellStyle name="Comma 14 3 5 5 2" xfId="37107"/>
    <cellStyle name="Comma 14 3 5 5 3" xfId="37108"/>
    <cellStyle name="Comma 14 3 5 6" xfId="37109"/>
    <cellStyle name="Comma 14 3 5 6 2" xfId="37110"/>
    <cellStyle name="Comma 14 3 5 6 3" xfId="37111"/>
    <cellStyle name="Comma 14 3 5 7" xfId="37112"/>
    <cellStyle name="Comma 14 3 5 7 2" xfId="37113"/>
    <cellStyle name="Comma 14 3 5 8" xfId="37114"/>
    <cellStyle name="Comma 14 3 5 9" xfId="37115"/>
    <cellStyle name="Comma 14 3 6" xfId="37116"/>
    <cellStyle name="Comma 14 3 6 2" xfId="37117"/>
    <cellStyle name="Comma 14 3 6 2 2" xfId="37118"/>
    <cellStyle name="Comma 14 3 6 2 3" xfId="37119"/>
    <cellStyle name="Comma 14 3 6 3" xfId="37120"/>
    <cellStyle name="Comma 14 3 6 3 2" xfId="37121"/>
    <cellStyle name="Comma 14 3 6 3 3" xfId="37122"/>
    <cellStyle name="Comma 14 3 6 4" xfId="37123"/>
    <cellStyle name="Comma 14 3 6 4 2" xfId="37124"/>
    <cellStyle name="Comma 14 3 6 5" xfId="37125"/>
    <cellStyle name="Comma 14 3 6 6" xfId="37126"/>
    <cellStyle name="Comma 14 3 7" xfId="37127"/>
    <cellStyle name="Comma 14 3 7 2" xfId="37128"/>
    <cellStyle name="Comma 14 3 7 2 2" xfId="37129"/>
    <cellStyle name="Comma 14 3 7 2 3" xfId="37130"/>
    <cellStyle name="Comma 14 3 7 3" xfId="37131"/>
    <cellStyle name="Comma 14 3 7 3 2" xfId="37132"/>
    <cellStyle name="Comma 14 3 7 3 3" xfId="37133"/>
    <cellStyle name="Comma 14 3 7 4" xfId="37134"/>
    <cellStyle name="Comma 14 3 7 4 2" xfId="37135"/>
    <cellStyle name="Comma 14 3 7 5" xfId="37136"/>
    <cellStyle name="Comma 14 3 7 6" xfId="37137"/>
    <cellStyle name="Comma 14 3 8" xfId="37138"/>
    <cellStyle name="Comma 14 3 8 2" xfId="37139"/>
    <cellStyle name="Comma 14 3 8 2 2" xfId="37140"/>
    <cellStyle name="Comma 14 3 8 2 3" xfId="37141"/>
    <cellStyle name="Comma 14 3 8 3" xfId="37142"/>
    <cellStyle name="Comma 14 3 8 3 2" xfId="37143"/>
    <cellStyle name="Comma 14 3 8 4" xfId="37144"/>
    <cellStyle name="Comma 14 3 8 5" xfId="37145"/>
    <cellStyle name="Comma 14 3 9" xfId="37146"/>
    <cellStyle name="Comma 14 3 9 2" xfId="37147"/>
    <cellStyle name="Comma 14 3 9 3" xfId="37148"/>
    <cellStyle name="Comma 14 4" xfId="37149"/>
    <cellStyle name="Comma 14 4 10" xfId="37150"/>
    <cellStyle name="Comma 14 4 10 2" xfId="37151"/>
    <cellStyle name="Comma 14 4 11" xfId="37152"/>
    <cellStyle name="Comma 14 4 12" xfId="37153"/>
    <cellStyle name="Comma 14 4 2" xfId="37154"/>
    <cellStyle name="Comma 14 4 2 10" xfId="37155"/>
    <cellStyle name="Comma 14 4 2 2" xfId="37156"/>
    <cellStyle name="Comma 14 4 2 2 2" xfId="37157"/>
    <cellStyle name="Comma 14 4 2 2 2 2" xfId="37158"/>
    <cellStyle name="Comma 14 4 2 2 2 2 2" xfId="37159"/>
    <cellStyle name="Comma 14 4 2 2 2 2 3" xfId="37160"/>
    <cellStyle name="Comma 14 4 2 2 2 3" xfId="37161"/>
    <cellStyle name="Comma 14 4 2 2 2 3 2" xfId="37162"/>
    <cellStyle name="Comma 14 4 2 2 2 3 3" xfId="37163"/>
    <cellStyle name="Comma 14 4 2 2 2 4" xfId="37164"/>
    <cellStyle name="Comma 14 4 2 2 2 4 2" xfId="37165"/>
    <cellStyle name="Comma 14 4 2 2 2 5" xfId="37166"/>
    <cellStyle name="Comma 14 4 2 2 2 6" xfId="37167"/>
    <cellStyle name="Comma 14 4 2 2 3" xfId="37168"/>
    <cellStyle name="Comma 14 4 2 2 3 2" xfId="37169"/>
    <cellStyle name="Comma 14 4 2 2 3 2 2" xfId="37170"/>
    <cellStyle name="Comma 14 4 2 2 3 2 3" xfId="37171"/>
    <cellStyle name="Comma 14 4 2 2 3 3" xfId="37172"/>
    <cellStyle name="Comma 14 4 2 2 3 3 2" xfId="37173"/>
    <cellStyle name="Comma 14 4 2 2 3 3 3" xfId="37174"/>
    <cellStyle name="Comma 14 4 2 2 3 4" xfId="37175"/>
    <cellStyle name="Comma 14 4 2 2 3 4 2" xfId="37176"/>
    <cellStyle name="Comma 14 4 2 2 3 5" xfId="37177"/>
    <cellStyle name="Comma 14 4 2 2 3 6" xfId="37178"/>
    <cellStyle name="Comma 14 4 2 2 4" xfId="37179"/>
    <cellStyle name="Comma 14 4 2 2 4 2" xfId="37180"/>
    <cellStyle name="Comma 14 4 2 2 4 2 2" xfId="37181"/>
    <cellStyle name="Comma 14 4 2 2 4 2 3" xfId="37182"/>
    <cellStyle name="Comma 14 4 2 2 4 3" xfId="37183"/>
    <cellStyle name="Comma 14 4 2 2 4 3 2" xfId="37184"/>
    <cellStyle name="Comma 14 4 2 2 4 4" xfId="37185"/>
    <cellStyle name="Comma 14 4 2 2 4 5" xfId="37186"/>
    <cellStyle name="Comma 14 4 2 2 5" xfId="37187"/>
    <cellStyle name="Comma 14 4 2 2 5 2" xfId="37188"/>
    <cellStyle name="Comma 14 4 2 2 5 3" xfId="37189"/>
    <cellStyle name="Comma 14 4 2 2 6" xfId="37190"/>
    <cellStyle name="Comma 14 4 2 2 6 2" xfId="37191"/>
    <cellStyle name="Comma 14 4 2 2 6 3" xfId="37192"/>
    <cellStyle name="Comma 14 4 2 2 7" xfId="37193"/>
    <cellStyle name="Comma 14 4 2 2 7 2" xfId="37194"/>
    <cellStyle name="Comma 14 4 2 2 8" xfId="37195"/>
    <cellStyle name="Comma 14 4 2 2 9" xfId="37196"/>
    <cellStyle name="Comma 14 4 2 3" xfId="37197"/>
    <cellStyle name="Comma 14 4 2 3 2" xfId="37198"/>
    <cellStyle name="Comma 14 4 2 3 2 2" xfId="37199"/>
    <cellStyle name="Comma 14 4 2 3 2 3" xfId="37200"/>
    <cellStyle name="Comma 14 4 2 3 3" xfId="37201"/>
    <cellStyle name="Comma 14 4 2 3 3 2" xfId="37202"/>
    <cellStyle name="Comma 14 4 2 3 3 3" xfId="37203"/>
    <cellStyle name="Comma 14 4 2 3 4" xfId="37204"/>
    <cellStyle name="Comma 14 4 2 3 4 2" xfId="37205"/>
    <cellStyle name="Comma 14 4 2 3 5" xfId="37206"/>
    <cellStyle name="Comma 14 4 2 3 6" xfId="37207"/>
    <cellStyle name="Comma 14 4 2 4" xfId="37208"/>
    <cellStyle name="Comma 14 4 2 4 2" xfId="37209"/>
    <cellStyle name="Comma 14 4 2 4 2 2" xfId="37210"/>
    <cellStyle name="Comma 14 4 2 4 2 3" xfId="37211"/>
    <cellStyle name="Comma 14 4 2 4 3" xfId="37212"/>
    <cellStyle name="Comma 14 4 2 4 3 2" xfId="37213"/>
    <cellStyle name="Comma 14 4 2 4 3 3" xfId="37214"/>
    <cellStyle name="Comma 14 4 2 4 4" xfId="37215"/>
    <cellStyle name="Comma 14 4 2 4 4 2" xfId="37216"/>
    <cellStyle name="Comma 14 4 2 4 5" xfId="37217"/>
    <cellStyle name="Comma 14 4 2 4 6" xfId="37218"/>
    <cellStyle name="Comma 14 4 2 5" xfId="37219"/>
    <cellStyle name="Comma 14 4 2 5 2" xfId="37220"/>
    <cellStyle name="Comma 14 4 2 5 2 2" xfId="37221"/>
    <cellStyle name="Comma 14 4 2 5 2 3" xfId="37222"/>
    <cellStyle name="Comma 14 4 2 5 3" xfId="37223"/>
    <cellStyle name="Comma 14 4 2 5 3 2" xfId="37224"/>
    <cellStyle name="Comma 14 4 2 5 4" xfId="37225"/>
    <cellStyle name="Comma 14 4 2 5 5" xfId="37226"/>
    <cellStyle name="Comma 14 4 2 6" xfId="37227"/>
    <cellStyle name="Comma 14 4 2 6 2" xfId="37228"/>
    <cellStyle name="Comma 14 4 2 6 3" xfId="37229"/>
    <cellStyle name="Comma 14 4 2 7" xfId="37230"/>
    <cellStyle name="Comma 14 4 2 7 2" xfId="37231"/>
    <cellStyle name="Comma 14 4 2 7 3" xfId="37232"/>
    <cellStyle name="Comma 14 4 2 8" xfId="37233"/>
    <cellStyle name="Comma 14 4 2 8 2" xfId="37234"/>
    <cellStyle name="Comma 14 4 2 9" xfId="37235"/>
    <cellStyle name="Comma 14 4 3" xfId="37236"/>
    <cellStyle name="Comma 14 4 3 2" xfId="37237"/>
    <cellStyle name="Comma 14 4 3 2 2" xfId="37238"/>
    <cellStyle name="Comma 14 4 3 2 2 2" xfId="37239"/>
    <cellStyle name="Comma 14 4 3 2 2 3" xfId="37240"/>
    <cellStyle name="Comma 14 4 3 2 3" xfId="37241"/>
    <cellStyle name="Comma 14 4 3 2 3 2" xfId="37242"/>
    <cellStyle name="Comma 14 4 3 2 3 3" xfId="37243"/>
    <cellStyle name="Comma 14 4 3 2 4" xfId="37244"/>
    <cellStyle name="Comma 14 4 3 2 4 2" xfId="37245"/>
    <cellStyle name="Comma 14 4 3 2 5" xfId="37246"/>
    <cellStyle name="Comma 14 4 3 2 6" xfId="37247"/>
    <cellStyle name="Comma 14 4 3 3" xfId="37248"/>
    <cellStyle name="Comma 14 4 3 3 2" xfId="37249"/>
    <cellStyle name="Comma 14 4 3 3 2 2" xfId="37250"/>
    <cellStyle name="Comma 14 4 3 3 2 3" xfId="37251"/>
    <cellStyle name="Comma 14 4 3 3 3" xfId="37252"/>
    <cellStyle name="Comma 14 4 3 3 3 2" xfId="37253"/>
    <cellStyle name="Comma 14 4 3 3 3 3" xfId="37254"/>
    <cellStyle name="Comma 14 4 3 3 4" xfId="37255"/>
    <cellStyle name="Comma 14 4 3 3 4 2" xfId="37256"/>
    <cellStyle name="Comma 14 4 3 3 5" xfId="37257"/>
    <cellStyle name="Comma 14 4 3 3 6" xfId="37258"/>
    <cellStyle name="Comma 14 4 3 4" xfId="37259"/>
    <cellStyle name="Comma 14 4 3 4 2" xfId="37260"/>
    <cellStyle name="Comma 14 4 3 4 2 2" xfId="37261"/>
    <cellStyle name="Comma 14 4 3 4 2 3" xfId="37262"/>
    <cellStyle name="Comma 14 4 3 4 3" xfId="37263"/>
    <cellStyle name="Comma 14 4 3 4 3 2" xfId="37264"/>
    <cellStyle name="Comma 14 4 3 4 4" xfId="37265"/>
    <cellStyle name="Comma 14 4 3 4 5" xfId="37266"/>
    <cellStyle name="Comma 14 4 3 5" xfId="37267"/>
    <cellStyle name="Comma 14 4 3 5 2" xfId="37268"/>
    <cellStyle name="Comma 14 4 3 5 3" xfId="37269"/>
    <cellStyle name="Comma 14 4 3 6" xfId="37270"/>
    <cellStyle name="Comma 14 4 3 6 2" xfId="37271"/>
    <cellStyle name="Comma 14 4 3 6 3" xfId="37272"/>
    <cellStyle name="Comma 14 4 3 7" xfId="37273"/>
    <cellStyle name="Comma 14 4 3 7 2" xfId="37274"/>
    <cellStyle name="Comma 14 4 3 8" xfId="37275"/>
    <cellStyle name="Comma 14 4 3 9" xfId="37276"/>
    <cellStyle name="Comma 14 4 4" xfId="37277"/>
    <cellStyle name="Comma 14 4 4 2" xfId="37278"/>
    <cellStyle name="Comma 14 4 4 2 2" xfId="37279"/>
    <cellStyle name="Comma 14 4 4 2 2 2" xfId="37280"/>
    <cellStyle name="Comma 14 4 4 2 2 3" xfId="37281"/>
    <cellStyle name="Comma 14 4 4 2 3" xfId="37282"/>
    <cellStyle name="Comma 14 4 4 2 3 2" xfId="37283"/>
    <cellStyle name="Comma 14 4 4 2 3 3" xfId="37284"/>
    <cellStyle name="Comma 14 4 4 2 4" xfId="37285"/>
    <cellStyle name="Comma 14 4 4 2 4 2" xfId="37286"/>
    <cellStyle name="Comma 14 4 4 2 5" xfId="37287"/>
    <cellStyle name="Comma 14 4 4 2 6" xfId="37288"/>
    <cellStyle name="Comma 14 4 4 3" xfId="37289"/>
    <cellStyle name="Comma 14 4 4 3 2" xfId="37290"/>
    <cellStyle name="Comma 14 4 4 3 2 2" xfId="37291"/>
    <cellStyle name="Comma 14 4 4 3 2 3" xfId="37292"/>
    <cellStyle name="Comma 14 4 4 3 3" xfId="37293"/>
    <cellStyle name="Comma 14 4 4 3 3 2" xfId="37294"/>
    <cellStyle name="Comma 14 4 4 3 3 3" xfId="37295"/>
    <cellStyle name="Comma 14 4 4 3 4" xfId="37296"/>
    <cellStyle name="Comma 14 4 4 3 4 2" xfId="37297"/>
    <cellStyle name="Comma 14 4 4 3 5" xfId="37298"/>
    <cellStyle name="Comma 14 4 4 3 6" xfId="37299"/>
    <cellStyle name="Comma 14 4 4 4" xfId="37300"/>
    <cellStyle name="Comma 14 4 4 4 2" xfId="37301"/>
    <cellStyle name="Comma 14 4 4 4 2 2" xfId="37302"/>
    <cellStyle name="Comma 14 4 4 4 2 3" xfId="37303"/>
    <cellStyle name="Comma 14 4 4 4 3" xfId="37304"/>
    <cellStyle name="Comma 14 4 4 4 3 2" xfId="37305"/>
    <cellStyle name="Comma 14 4 4 4 4" xfId="37306"/>
    <cellStyle name="Comma 14 4 4 4 5" xfId="37307"/>
    <cellStyle name="Comma 14 4 4 5" xfId="37308"/>
    <cellStyle name="Comma 14 4 4 5 2" xfId="37309"/>
    <cellStyle name="Comma 14 4 4 5 3" xfId="37310"/>
    <cellStyle name="Comma 14 4 4 6" xfId="37311"/>
    <cellStyle name="Comma 14 4 4 6 2" xfId="37312"/>
    <cellStyle name="Comma 14 4 4 6 3" xfId="37313"/>
    <cellStyle name="Comma 14 4 4 7" xfId="37314"/>
    <cellStyle name="Comma 14 4 4 7 2" xfId="37315"/>
    <cellStyle name="Comma 14 4 4 8" xfId="37316"/>
    <cellStyle name="Comma 14 4 4 9" xfId="37317"/>
    <cellStyle name="Comma 14 4 5" xfId="37318"/>
    <cellStyle name="Comma 14 4 5 2" xfId="37319"/>
    <cellStyle name="Comma 14 4 5 2 2" xfId="37320"/>
    <cellStyle name="Comma 14 4 5 2 3" xfId="37321"/>
    <cellStyle name="Comma 14 4 5 3" xfId="37322"/>
    <cellStyle name="Comma 14 4 5 3 2" xfId="37323"/>
    <cellStyle name="Comma 14 4 5 3 3" xfId="37324"/>
    <cellStyle name="Comma 14 4 5 4" xfId="37325"/>
    <cellStyle name="Comma 14 4 5 4 2" xfId="37326"/>
    <cellStyle name="Comma 14 4 5 5" xfId="37327"/>
    <cellStyle name="Comma 14 4 5 6" xfId="37328"/>
    <cellStyle name="Comma 14 4 6" xfId="37329"/>
    <cellStyle name="Comma 14 4 6 2" xfId="37330"/>
    <cellStyle name="Comma 14 4 6 2 2" xfId="37331"/>
    <cellStyle name="Comma 14 4 6 2 3" xfId="37332"/>
    <cellStyle name="Comma 14 4 6 3" xfId="37333"/>
    <cellStyle name="Comma 14 4 6 3 2" xfId="37334"/>
    <cellStyle name="Comma 14 4 6 3 3" xfId="37335"/>
    <cellStyle name="Comma 14 4 6 4" xfId="37336"/>
    <cellStyle name="Comma 14 4 6 4 2" xfId="37337"/>
    <cellStyle name="Comma 14 4 6 5" xfId="37338"/>
    <cellStyle name="Comma 14 4 6 6" xfId="37339"/>
    <cellStyle name="Comma 14 4 7" xfId="37340"/>
    <cellStyle name="Comma 14 4 7 2" xfId="37341"/>
    <cellStyle name="Comma 14 4 7 2 2" xfId="37342"/>
    <cellStyle name="Comma 14 4 7 2 3" xfId="37343"/>
    <cellStyle name="Comma 14 4 7 3" xfId="37344"/>
    <cellStyle name="Comma 14 4 7 3 2" xfId="37345"/>
    <cellStyle name="Comma 14 4 7 4" xfId="37346"/>
    <cellStyle name="Comma 14 4 7 5" xfId="37347"/>
    <cellStyle name="Comma 14 4 8" xfId="37348"/>
    <cellStyle name="Comma 14 4 8 2" xfId="37349"/>
    <cellStyle name="Comma 14 4 8 3" xfId="37350"/>
    <cellStyle name="Comma 14 4 9" xfId="37351"/>
    <cellStyle name="Comma 14 4 9 2" xfId="37352"/>
    <cellStyle name="Comma 14 4 9 3" xfId="37353"/>
    <cellStyle name="Comma 14 5" xfId="37354"/>
    <cellStyle name="Comma 14 5 10" xfId="37355"/>
    <cellStyle name="Comma 14 5 2" xfId="37356"/>
    <cellStyle name="Comma 14 5 2 2" xfId="37357"/>
    <cellStyle name="Comma 14 5 2 2 2" xfId="37358"/>
    <cellStyle name="Comma 14 5 2 2 2 2" xfId="37359"/>
    <cellStyle name="Comma 14 5 2 2 2 3" xfId="37360"/>
    <cellStyle name="Comma 14 5 2 2 3" xfId="37361"/>
    <cellStyle name="Comma 14 5 2 2 3 2" xfId="37362"/>
    <cellStyle name="Comma 14 5 2 2 3 3" xfId="37363"/>
    <cellStyle name="Comma 14 5 2 2 4" xfId="37364"/>
    <cellStyle name="Comma 14 5 2 2 4 2" xfId="37365"/>
    <cellStyle name="Comma 14 5 2 2 5" xfId="37366"/>
    <cellStyle name="Comma 14 5 2 2 6" xfId="37367"/>
    <cellStyle name="Comma 14 5 2 3" xfId="37368"/>
    <cellStyle name="Comma 14 5 2 3 2" xfId="37369"/>
    <cellStyle name="Comma 14 5 2 3 2 2" xfId="37370"/>
    <cellStyle name="Comma 14 5 2 3 2 3" xfId="37371"/>
    <cellStyle name="Comma 14 5 2 3 3" xfId="37372"/>
    <cellStyle name="Comma 14 5 2 3 3 2" xfId="37373"/>
    <cellStyle name="Comma 14 5 2 3 3 3" xfId="37374"/>
    <cellStyle name="Comma 14 5 2 3 4" xfId="37375"/>
    <cellStyle name="Comma 14 5 2 3 4 2" xfId="37376"/>
    <cellStyle name="Comma 14 5 2 3 5" xfId="37377"/>
    <cellStyle name="Comma 14 5 2 3 6" xfId="37378"/>
    <cellStyle name="Comma 14 5 2 4" xfId="37379"/>
    <cellStyle name="Comma 14 5 2 4 2" xfId="37380"/>
    <cellStyle name="Comma 14 5 2 4 2 2" xfId="37381"/>
    <cellStyle name="Comma 14 5 2 4 2 3" xfId="37382"/>
    <cellStyle name="Comma 14 5 2 4 3" xfId="37383"/>
    <cellStyle name="Comma 14 5 2 4 3 2" xfId="37384"/>
    <cellStyle name="Comma 14 5 2 4 4" xfId="37385"/>
    <cellStyle name="Comma 14 5 2 4 5" xfId="37386"/>
    <cellStyle name="Comma 14 5 2 5" xfId="37387"/>
    <cellStyle name="Comma 14 5 2 5 2" xfId="37388"/>
    <cellStyle name="Comma 14 5 2 5 3" xfId="37389"/>
    <cellStyle name="Comma 14 5 2 6" xfId="37390"/>
    <cellStyle name="Comma 14 5 2 6 2" xfId="37391"/>
    <cellStyle name="Comma 14 5 2 6 3" xfId="37392"/>
    <cellStyle name="Comma 14 5 2 7" xfId="37393"/>
    <cellStyle name="Comma 14 5 2 7 2" xfId="37394"/>
    <cellStyle name="Comma 14 5 2 8" xfId="37395"/>
    <cellStyle name="Comma 14 5 2 9" xfId="37396"/>
    <cellStyle name="Comma 14 5 3" xfId="37397"/>
    <cellStyle name="Comma 14 5 3 2" xfId="37398"/>
    <cellStyle name="Comma 14 5 3 2 2" xfId="37399"/>
    <cellStyle name="Comma 14 5 3 2 3" xfId="37400"/>
    <cellStyle name="Comma 14 5 3 3" xfId="37401"/>
    <cellStyle name="Comma 14 5 3 3 2" xfId="37402"/>
    <cellStyle name="Comma 14 5 3 3 3" xfId="37403"/>
    <cellStyle name="Comma 14 5 3 4" xfId="37404"/>
    <cellStyle name="Comma 14 5 3 4 2" xfId="37405"/>
    <cellStyle name="Comma 14 5 3 5" xfId="37406"/>
    <cellStyle name="Comma 14 5 3 6" xfId="37407"/>
    <cellStyle name="Comma 14 5 4" xfId="37408"/>
    <cellStyle name="Comma 14 5 4 2" xfId="37409"/>
    <cellStyle name="Comma 14 5 4 2 2" xfId="37410"/>
    <cellStyle name="Comma 14 5 4 2 3" xfId="37411"/>
    <cellStyle name="Comma 14 5 4 3" xfId="37412"/>
    <cellStyle name="Comma 14 5 4 3 2" xfId="37413"/>
    <cellStyle name="Comma 14 5 4 3 3" xfId="37414"/>
    <cellStyle name="Comma 14 5 4 4" xfId="37415"/>
    <cellStyle name="Comma 14 5 4 4 2" xfId="37416"/>
    <cellStyle name="Comma 14 5 4 5" xfId="37417"/>
    <cellStyle name="Comma 14 5 4 6" xfId="37418"/>
    <cellStyle name="Comma 14 5 5" xfId="37419"/>
    <cellStyle name="Comma 14 5 5 2" xfId="37420"/>
    <cellStyle name="Comma 14 5 5 2 2" xfId="37421"/>
    <cellStyle name="Comma 14 5 5 2 3" xfId="37422"/>
    <cellStyle name="Comma 14 5 5 3" xfId="37423"/>
    <cellStyle name="Comma 14 5 5 3 2" xfId="37424"/>
    <cellStyle name="Comma 14 5 5 4" xfId="37425"/>
    <cellStyle name="Comma 14 5 5 5" xfId="37426"/>
    <cellStyle name="Comma 14 5 6" xfId="37427"/>
    <cellStyle name="Comma 14 5 6 2" xfId="37428"/>
    <cellStyle name="Comma 14 5 6 3" xfId="37429"/>
    <cellStyle name="Comma 14 5 7" xfId="37430"/>
    <cellStyle name="Comma 14 5 7 2" xfId="37431"/>
    <cellStyle name="Comma 14 5 7 3" xfId="37432"/>
    <cellStyle name="Comma 14 5 8" xfId="37433"/>
    <cellStyle name="Comma 14 5 8 2" xfId="37434"/>
    <cellStyle name="Comma 14 5 9" xfId="37435"/>
    <cellStyle name="Comma 14 6" xfId="37436"/>
    <cellStyle name="Comma 14 6 2" xfId="37437"/>
    <cellStyle name="Comma 14 6 2 2" xfId="37438"/>
    <cellStyle name="Comma 14 6 2 2 2" xfId="37439"/>
    <cellStyle name="Comma 14 6 2 2 3" xfId="37440"/>
    <cellStyle name="Comma 14 6 2 3" xfId="37441"/>
    <cellStyle name="Comma 14 6 2 3 2" xfId="37442"/>
    <cellStyle name="Comma 14 6 2 3 3" xfId="37443"/>
    <cellStyle name="Comma 14 6 2 4" xfId="37444"/>
    <cellStyle name="Comma 14 6 2 4 2" xfId="37445"/>
    <cellStyle name="Comma 14 6 2 5" xfId="37446"/>
    <cellStyle name="Comma 14 6 2 6" xfId="37447"/>
    <cellStyle name="Comma 14 6 3" xfId="37448"/>
    <cellStyle name="Comma 14 6 3 2" xfId="37449"/>
    <cellStyle name="Comma 14 6 3 2 2" xfId="37450"/>
    <cellStyle name="Comma 14 6 3 2 3" xfId="37451"/>
    <cellStyle name="Comma 14 6 3 3" xfId="37452"/>
    <cellStyle name="Comma 14 6 3 3 2" xfId="37453"/>
    <cellStyle name="Comma 14 6 3 3 3" xfId="37454"/>
    <cellStyle name="Comma 14 6 3 4" xfId="37455"/>
    <cellStyle name="Comma 14 6 3 4 2" xfId="37456"/>
    <cellStyle name="Comma 14 6 3 5" xfId="37457"/>
    <cellStyle name="Comma 14 6 3 6" xfId="37458"/>
    <cellStyle name="Comma 14 6 4" xfId="37459"/>
    <cellStyle name="Comma 14 6 4 2" xfId="37460"/>
    <cellStyle name="Comma 14 6 4 2 2" xfId="37461"/>
    <cellStyle name="Comma 14 6 4 2 3" xfId="37462"/>
    <cellStyle name="Comma 14 6 4 3" xfId="37463"/>
    <cellStyle name="Comma 14 6 4 3 2" xfId="37464"/>
    <cellStyle name="Comma 14 6 4 4" xfId="37465"/>
    <cellStyle name="Comma 14 6 4 5" xfId="37466"/>
    <cellStyle name="Comma 14 6 5" xfId="37467"/>
    <cellStyle name="Comma 14 6 5 2" xfId="37468"/>
    <cellStyle name="Comma 14 6 5 3" xfId="37469"/>
    <cellStyle name="Comma 14 6 6" xfId="37470"/>
    <cellStyle name="Comma 14 6 6 2" xfId="37471"/>
    <cellStyle name="Comma 14 6 6 3" xfId="37472"/>
    <cellStyle name="Comma 14 6 7" xfId="37473"/>
    <cellStyle name="Comma 14 6 7 2" xfId="37474"/>
    <cellStyle name="Comma 14 6 8" xfId="37475"/>
    <cellStyle name="Comma 14 6 9" xfId="37476"/>
    <cellStyle name="Comma 14 7" xfId="37477"/>
    <cellStyle name="Comma 14 7 2" xfId="37478"/>
    <cellStyle name="Comma 14 7 2 2" xfId="37479"/>
    <cellStyle name="Comma 14 7 2 2 2" xfId="37480"/>
    <cellStyle name="Comma 14 7 2 2 3" xfId="37481"/>
    <cellStyle name="Comma 14 7 2 3" xfId="37482"/>
    <cellStyle name="Comma 14 7 2 3 2" xfId="37483"/>
    <cellStyle name="Comma 14 7 2 3 3" xfId="37484"/>
    <cellStyle name="Comma 14 7 2 4" xfId="37485"/>
    <cellStyle name="Comma 14 7 2 4 2" xfId="37486"/>
    <cellStyle name="Comma 14 7 2 5" xfId="37487"/>
    <cellStyle name="Comma 14 7 2 6" xfId="37488"/>
    <cellStyle name="Comma 14 7 3" xfId="37489"/>
    <cellStyle name="Comma 14 7 3 2" xfId="37490"/>
    <cellStyle name="Comma 14 7 3 2 2" xfId="37491"/>
    <cellStyle name="Comma 14 7 3 2 3" xfId="37492"/>
    <cellStyle name="Comma 14 7 3 3" xfId="37493"/>
    <cellStyle name="Comma 14 7 3 3 2" xfId="37494"/>
    <cellStyle name="Comma 14 7 3 3 3" xfId="37495"/>
    <cellStyle name="Comma 14 7 3 4" xfId="37496"/>
    <cellStyle name="Comma 14 7 3 4 2" xfId="37497"/>
    <cellStyle name="Comma 14 7 3 5" xfId="37498"/>
    <cellStyle name="Comma 14 7 3 6" xfId="37499"/>
    <cellStyle name="Comma 14 7 4" xfId="37500"/>
    <cellStyle name="Comma 14 7 4 2" xfId="37501"/>
    <cellStyle name="Comma 14 7 4 2 2" xfId="37502"/>
    <cellStyle name="Comma 14 7 4 2 3" xfId="37503"/>
    <cellStyle name="Comma 14 7 4 3" xfId="37504"/>
    <cellStyle name="Comma 14 7 4 3 2" xfId="37505"/>
    <cellStyle name="Comma 14 7 4 4" xfId="37506"/>
    <cellStyle name="Comma 14 7 4 5" xfId="37507"/>
    <cellStyle name="Comma 14 7 5" xfId="37508"/>
    <cellStyle name="Comma 14 7 5 2" xfId="37509"/>
    <cellStyle name="Comma 14 7 5 3" xfId="37510"/>
    <cellStyle name="Comma 14 7 6" xfId="37511"/>
    <cellStyle name="Comma 14 7 6 2" xfId="37512"/>
    <cellStyle name="Comma 14 7 6 3" xfId="37513"/>
    <cellStyle name="Comma 14 7 7" xfId="37514"/>
    <cellStyle name="Comma 14 7 7 2" xfId="37515"/>
    <cellStyle name="Comma 14 7 8" xfId="37516"/>
    <cellStyle name="Comma 14 7 9" xfId="37517"/>
    <cellStyle name="Comma 14 8" xfId="37518"/>
    <cellStyle name="Comma 14 8 2" xfId="37519"/>
    <cellStyle name="Comma 14 8 2 2" xfId="37520"/>
    <cellStyle name="Comma 14 8 2 3" xfId="37521"/>
    <cellStyle name="Comma 14 8 3" xfId="37522"/>
    <cellStyle name="Comma 14 8 3 2" xfId="37523"/>
    <cellStyle name="Comma 14 8 3 3" xfId="37524"/>
    <cellStyle name="Comma 14 8 4" xfId="37525"/>
    <cellStyle name="Comma 14 8 4 2" xfId="37526"/>
    <cellStyle name="Comma 14 8 5" xfId="37527"/>
    <cellStyle name="Comma 14 8 6" xfId="37528"/>
    <cellStyle name="Comma 14 9" xfId="37529"/>
    <cellStyle name="Comma 14 9 2" xfId="37530"/>
    <cellStyle name="Comma 14 9 2 2" xfId="37531"/>
    <cellStyle name="Comma 14 9 2 3" xfId="37532"/>
    <cellStyle name="Comma 14 9 3" xfId="37533"/>
    <cellStyle name="Comma 14 9 3 2" xfId="37534"/>
    <cellStyle name="Comma 14 9 3 3" xfId="37535"/>
    <cellStyle name="Comma 14 9 4" xfId="37536"/>
    <cellStyle name="Comma 14 9 4 2" xfId="37537"/>
    <cellStyle name="Comma 14 9 5" xfId="37538"/>
    <cellStyle name="Comma 14 9 6" xfId="37539"/>
    <cellStyle name="Comma 15" xfId="3242"/>
    <cellStyle name="Comma 15 10" xfId="37540"/>
    <cellStyle name="Comma 15 10 2" xfId="37541"/>
    <cellStyle name="Comma 15 10 2 2" xfId="37542"/>
    <cellStyle name="Comma 15 10 2 3" xfId="37543"/>
    <cellStyle name="Comma 15 10 3" xfId="37544"/>
    <cellStyle name="Comma 15 10 3 2" xfId="37545"/>
    <cellStyle name="Comma 15 10 4" xfId="37546"/>
    <cellStyle name="Comma 15 10 5" xfId="37547"/>
    <cellStyle name="Comma 15 11" xfId="37548"/>
    <cellStyle name="Comma 15 11 2" xfId="37549"/>
    <cellStyle name="Comma 15 11 3" xfId="37550"/>
    <cellStyle name="Comma 15 12" xfId="37551"/>
    <cellStyle name="Comma 15 12 2" xfId="37552"/>
    <cellStyle name="Comma 15 12 3" xfId="37553"/>
    <cellStyle name="Comma 15 13" xfId="37554"/>
    <cellStyle name="Comma 15 13 2" xfId="37555"/>
    <cellStyle name="Comma 15 14" xfId="37556"/>
    <cellStyle name="Comma 15 15" xfId="37557"/>
    <cellStyle name="Comma 15 16" xfId="37558"/>
    <cellStyle name="Comma 15 2" xfId="8228"/>
    <cellStyle name="Comma 15 2 10" xfId="37559"/>
    <cellStyle name="Comma 15 2 10 2" xfId="37560"/>
    <cellStyle name="Comma 15 2 10 3" xfId="37561"/>
    <cellStyle name="Comma 15 2 11" xfId="37562"/>
    <cellStyle name="Comma 15 2 11 2" xfId="37563"/>
    <cellStyle name="Comma 15 2 11 3" xfId="37564"/>
    <cellStyle name="Comma 15 2 12" xfId="37565"/>
    <cellStyle name="Comma 15 2 12 2" xfId="37566"/>
    <cellStyle name="Comma 15 2 13" xfId="37567"/>
    <cellStyle name="Comma 15 2 14" xfId="37568"/>
    <cellStyle name="Comma 15 2 15" xfId="37569"/>
    <cellStyle name="Comma 15 2 2" xfId="37570"/>
    <cellStyle name="Comma 15 2 2 10" xfId="37571"/>
    <cellStyle name="Comma 15 2 2 10 2" xfId="37572"/>
    <cellStyle name="Comma 15 2 2 10 3" xfId="37573"/>
    <cellStyle name="Comma 15 2 2 11" xfId="37574"/>
    <cellStyle name="Comma 15 2 2 11 2" xfId="37575"/>
    <cellStyle name="Comma 15 2 2 12" xfId="37576"/>
    <cellStyle name="Comma 15 2 2 13" xfId="37577"/>
    <cellStyle name="Comma 15 2 2 2" xfId="37578"/>
    <cellStyle name="Comma 15 2 2 2 10" xfId="37579"/>
    <cellStyle name="Comma 15 2 2 2 10 2" xfId="37580"/>
    <cellStyle name="Comma 15 2 2 2 11" xfId="37581"/>
    <cellStyle name="Comma 15 2 2 2 12" xfId="37582"/>
    <cellStyle name="Comma 15 2 2 2 2" xfId="37583"/>
    <cellStyle name="Comma 15 2 2 2 2 10" xfId="37584"/>
    <cellStyle name="Comma 15 2 2 2 2 2" xfId="37585"/>
    <cellStyle name="Comma 15 2 2 2 2 2 2" xfId="37586"/>
    <cellStyle name="Comma 15 2 2 2 2 2 2 2" xfId="37587"/>
    <cellStyle name="Comma 15 2 2 2 2 2 2 2 2" xfId="37588"/>
    <cellStyle name="Comma 15 2 2 2 2 2 2 2 3" xfId="37589"/>
    <cellStyle name="Comma 15 2 2 2 2 2 2 3" xfId="37590"/>
    <cellStyle name="Comma 15 2 2 2 2 2 2 3 2" xfId="37591"/>
    <cellStyle name="Comma 15 2 2 2 2 2 2 3 3" xfId="37592"/>
    <cellStyle name="Comma 15 2 2 2 2 2 2 4" xfId="37593"/>
    <cellStyle name="Comma 15 2 2 2 2 2 2 4 2" xfId="37594"/>
    <cellStyle name="Comma 15 2 2 2 2 2 2 5" xfId="37595"/>
    <cellStyle name="Comma 15 2 2 2 2 2 2 6" xfId="37596"/>
    <cellStyle name="Comma 15 2 2 2 2 2 3" xfId="37597"/>
    <cellStyle name="Comma 15 2 2 2 2 2 3 2" xfId="37598"/>
    <cellStyle name="Comma 15 2 2 2 2 2 3 2 2" xfId="37599"/>
    <cellStyle name="Comma 15 2 2 2 2 2 3 2 3" xfId="37600"/>
    <cellStyle name="Comma 15 2 2 2 2 2 3 3" xfId="37601"/>
    <cellStyle name="Comma 15 2 2 2 2 2 3 3 2" xfId="37602"/>
    <cellStyle name="Comma 15 2 2 2 2 2 3 3 3" xfId="37603"/>
    <cellStyle name="Comma 15 2 2 2 2 2 3 4" xfId="37604"/>
    <cellStyle name="Comma 15 2 2 2 2 2 3 4 2" xfId="37605"/>
    <cellStyle name="Comma 15 2 2 2 2 2 3 5" xfId="37606"/>
    <cellStyle name="Comma 15 2 2 2 2 2 3 6" xfId="37607"/>
    <cellStyle name="Comma 15 2 2 2 2 2 4" xfId="37608"/>
    <cellStyle name="Comma 15 2 2 2 2 2 4 2" xfId="37609"/>
    <cellStyle name="Comma 15 2 2 2 2 2 4 2 2" xfId="37610"/>
    <cellStyle name="Comma 15 2 2 2 2 2 4 2 3" xfId="37611"/>
    <cellStyle name="Comma 15 2 2 2 2 2 4 3" xfId="37612"/>
    <cellStyle name="Comma 15 2 2 2 2 2 4 3 2" xfId="37613"/>
    <cellStyle name="Comma 15 2 2 2 2 2 4 4" xfId="37614"/>
    <cellStyle name="Comma 15 2 2 2 2 2 4 5" xfId="37615"/>
    <cellStyle name="Comma 15 2 2 2 2 2 5" xfId="37616"/>
    <cellStyle name="Comma 15 2 2 2 2 2 5 2" xfId="37617"/>
    <cellStyle name="Comma 15 2 2 2 2 2 5 3" xfId="37618"/>
    <cellStyle name="Comma 15 2 2 2 2 2 6" xfId="37619"/>
    <cellStyle name="Comma 15 2 2 2 2 2 6 2" xfId="37620"/>
    <cellStyle name="Comma 15 2 2 2 2 2 6 3" xfId="37621"/>
    <cellStyle name="Comma 15 2 2 2 2 2 7" xfId="37622"/>
    <cellStyle name="Comma 15 2 2 2 2 2 7 2" xfId="37623"/>
    <cellStyle name="Comma 15 2 2 2 2 2 8" xfId="37624"/>
    <cellStyle name="Comma 15 2 2 2 2 2 9" xfId="37625"/>
    <cellStyle name="Comma 15 2 2 2 2 3" xfId="37626"/>
    <cellStyle name="Comma 15 2 2 2 2 3 2" xfId="37627"/>
    <cellStyle name="Comma 15 2 2 2 2 3 2 2" xfId="37628"/>
    <cellStyle name="Comma 15 2 2 2 2 3 2 3" xfId="37629"/>
    <cellStyle name="Comma 15 2 2 2 2 3 3" xfId="37630"/>
    <cellStyle name="Comma 15 2 2 2 2 3 3 2" xfId="37631"/>
    <cellStyle name="Comma 15 2 2 2 2 3 3 3" xfId="37632"/>
    <cellStyle name="Comma 15 2 2 2 2 3 4" xfId="37633"/>
    <cellStyle name="Comma 15 2 2 2 2 3 4 2" xfId="37634"/>
    <cellStyle name="Comma 15 2 2 2 2 3 5" xfId="37635"/>
    <cellStyle name="Comma 15 2 2 2 2 3 6" xfId="37636"/>
    <cellStyle name="Comma 15 2 2 2 2 4" xfId="37637"/>
    <cellStyle name="Comma 15 2 2 2 2 4 2" xfId="37638"/>
    <cellStyle name="Comma 15 2 2 2 2 4 2 2" xfId="37639"/>
    <cellStyle name="Comma 15 2 2 2 2 4 2 3" xfId="37640"/>
    <cellStyle name="Comma 15 2 2 2 2 4 3" xfId="37641"/>
    <cellStyle name="Comma 15 2 2 2 2 4 3 2" xfId="37642"/>
    <cellStyle name="Comma 15 2 2 2 2 4 3 3" xfId="37643"/>
    <cellStyle name="Comma 15 2 2 2 2 4 4" xfId="37644"/>
    <cellStyle name="Comma 15 2 2 2 2 4 4 2" xfId="37645"/>
    <cellStyle name="Comma 15 2 2 2 2 4 5" xfId="37646"/>
    <cellStyle name="Comma 15 2 2 2 2 4 6" xfId="37647"/>
    <cellStyle name="Comma 15 2 2 2 2 5" xfId="37648"/>
    <cellStyle name="Comma 15 2 2 2 2 5 2" xfId="37649"/>
    <cellStyle name="Comma 15 2 2 2 2 5 2 2" xfId="37650"/>
    <cellStyle name="Comma 15 2 2 2 2 5 2 3" xfId="37651"/>
    <cellStyle name="Comma 15 2 2 2 2 5 3" xfId="37652"/>
    <cellStyle name="Comma 15 2 2 2 2 5 3 2" xfId="37653"/>
    <cellStyle name="Comma 15 2 2 2 2 5 4" xfId="37654"/>
    <cellStyle name="Comma 15 2 2 2 2 5 5" xfId="37655"/>
    <cellStyle name="Comma 15 2 2 2 2 6" xfId="37656"/>
    <cellStyle name="Comma 15 2 2 2 2 6 2" xfId="37657"/>
    <cellStyle name="Comma 15 2 2 2 2 6 3" xfId="37658"/>
    <cellStyle name="Comma 15 2 2 2 2 7" xfId="37659"/>
    <cellStyle name="Comma 15 2 2 2 2 7 2" xfId="37660"/>
    <cellStyle name="Comma 15 2 2 2 2 7 3" xfId="37661"/>
    <cellStyle name="Comma 15 2 2 2 2 8" xfId="37662"/>
    <cellStyle name="Comma 15 2 2 2 2 8 2" xfId="37663"/>
    <cellStyle name="Comma 15 2 2 2 2 9" xfId="37664"/>
    <cellStyle name="Comma 15 2 2 2 3" xfId="37665"/>
    <cellStyle name="Comma 15 2 2 2 3 2" xfId="37666"/>
    <cellStyle name="Comma 15 2 2 2 3 2 2" xfId="37667"/>
    <cellStyle name="Comma 15 2 2 2 3 2 2 2" xfId="37668"/>
    <cellStyle name="Comma 15 2 2 2 3 2 2 3" xfId="37669"/>
    <cellStyle name="Comma 15 2 2 2 3 2 3" xfId="37670"/>
    <cellStyle name="Comma 15 2 2 2 3 2 3 2" xfId="37671"/>
    <cellStyle name="Comma 15 2 2 2 3 2 3 3" xfId="37672"/>
    <cellStyle name="Comma 15 2 2 2 3 2 4" xfId="37673"/>
    <cellStyle name="Comma 15 2 2 2 3 2 4 2" xfId="37674"/>
    <cellStyle name="Comma 15 2 2 2 3 2 5" xfId="37675"/>
    <cellStyle name="Comma 15 2 2 2 3 2 6" xfId="37676"/>
    <cellStyle name="Comma 15 2 2 2 3 3" xfId="37677"/>
    <cellStyle name="Comma 15 2 2 2 3 3 2" xfId="37678"/>
    <cellStyle name="Comma 15 2 2 2 3 3 2 2" xfId="37679"/>
    <cellStyle name="Comma 15 2 2 2 3 3 2 3" xfId="37680"/>
    <cellStyle name="Comma 15 2 2 2 3 3 3" xfId="37681"/>
    <cellStyle name="Comma 15 2 2 2 3 3 3 2" xfId="37682"/>
    <cellStyle name="Comma 15 2 2 2 3 3 3 3" xfId="37683"/>
    <cellStyle name="Comma 15 2 2 2 3 3 4" xfId="37684"/>
    <cellStyle name="Comma 15 2 2 2 3 3 4 2" xfId="37685"/>
    <cellStyle name="Comma 15 2 2 2 3 3 5" xfId="37686"/>
    <cellStyle name="Comma 15 2 2 2 3 3 6" xfId="37687"/>
    <cellStyle name="Comma 15 2 2 2 3 4" xfId="37688"/>
    <cellStyle name="Comma 15 2 2 2 3 4 2" xfId="37689"/>
    <cellStyle name="Comma 15 2 2 2 3 4 2 2" xfId="37690"/>
    <cellStyle name="Comma 15 2 2 2 3 4 2 3" xfId="37691"/>
    <cellStyle name="Comma 15 2 2 2 3 4 3" xfId="37692"/>
    <cellStyle name="Comma 15 2 2 2 3 4 3 2" xfId="37693"/>
    <cellStyle name="Comma 15 2 2 2 3 4 4" xfId="37694"/>
    <cellStyle name="Comma 15 2 2 2 3 4 5" xfId="37695"/>
    <cellStyle name="Comma 15 2 2 2 3 5" xfId="37696"/>
    <cellStyle name="Comma 15 2 2 2 3 5 2" xfId="37697"/>
    <cellStyle name="Comma 15 2 2 2 3 5 3" xfId="37698"/>
    <cellStyle name="Comma 15 2 2 2 3 6" xfId="37699"/>
    <cellStyle name="Comma 15 2 2 2 3 6 2" xfId="37700"/>
    <cellStyle name="Comma 15 2 2 2 3 6 3" xfId="37701"/>
    <cellStyle name="Comma 15 2 2 2 3 7" xfId="37702"/>
    <cellStyle name="Comma 15 2 2 2 3 7 2" xfId="37703"/>
    <cellStyle name="Comma 15 2 2 2 3 8" xfId="37704"/>
    <cellStyle name="Comma 15 2 2 2 3 9" xfId="37705"/>
    <cellStyle name="Comma 15 2 2 2 4" xfId="37706"/>
    <cellStyle name="Comma 15 2 2 2 4 2" xfId="37707"/>
    <cellStyle name="Comma 15 2 2 2 4 2 2" xfId="37708"/>
    <cellStyle name="Comma 15 2 2 2 4 2 2 2" xfId="37709"/>
    <cellStyle name="Comma 15 2 2 2 4 2 2 3" xfId="37710"/>
    <cellStyle name="Comma 15 2 2 2 4 2 3" xfId="37711"/>
    <cellStyle name="Comma 15 2 2 2 4 2 3 2" xfId="37712"/>
    <cellStyle name="Comma 15 2 2 2 4 2 3 3" xfId="37713"/>
    <cellStyle name="Comma 15 2 2 2 4 2 4" xfId="37714"/>
    <cellStyle name="Comma 15 2 2 2 4 2 4 2" xfId="37715"/>
    <cellStyle name="Comma 15 2 2 2 4 2 5" xfId="37716"/>
    <cellStyle name="Comma 15 2 2 2 4 2 6" xfId="37717"/>
    <cellStyle name="Comma 15 2 2 2 4 3" xfId="37718"/>
    <cellStyle name="Comma 15 2 2 2 4 3 2" xfId="37719"/>
    <cellStyle name="Comma 15 2 2 2 4 3 2 2" xfId="37720"/>
    <cellStyle name="Comma 15 2 2 2 4 3 2 3" xfId="37721"/>
    <cellStyle name="Comma 15 2 2 2 4 3 3" xfId="37722"/>
    <cellStyle name="Comma 15 2 2 2 4 3 3 2" xfId="37723"/>
    <cellStyle name="Comma 15 2 2 2 4 3 3 3" xfId="37724"/>
    <cellStyle name="Comma 15 2 2 2 4 3 4" xfId="37725"/>
    <cellStyle name="Comma 15 2 2 2 4 3 4 2" xfId="37726"/>
    <cellStyle name="Comma 15 2 2 2 4 3 5" xfId="37727"/>
    <cellStyle name="Comma 15 2 2 2 4 3 6" xfId="37728"/>
    <cellStyle name="Comma 15 2 2 2 4 4" xfId="37729"/>
    <cellStyle name="Comma 15 2 2 2 4 4 2" xfId="37730"/>
    <cellStyle name="Comma 15 2 2 2 4 4 2 2" xfId="37731"/>
    <cellStyle name="Comma 15 2 2 2 4 4 2 3" xfId="37732"/>
    <cellStyle name="Comma 15 2 2 2 4 4 3" xfId="37733"/>
    <cellStyle name="Comma 15 2 2 2 4 4 3 2" xfId="37734"/>
    <cellStyle name="Comma 15 2 2 2 4 4 4" xfId="37735"/>
    <cellStyle name="Comma 15 2 2 2 4 4 5" xfId="37736"/>
    <cellStyle name="Comma 15 2 2 2 4 5" xfId="37737"/>
    <cellStyle name="Comma 15 2 2 2 4 5 2" xfId="37738"/>
    <cellStyle name="Comma 15 2 2 2 4 5 3" xfId="37739"/>
    <cellStyle name="Comma 15 2 2 2 4 6" xfId="37740"/>
    <cellStyle name="Comma 15 2 2 2 4 6 2" xfId="37741"/>
    <cellStyle name="Comma 15 2 2 2 4 6 3" xfId="37742"/>
    <cellStyle name="Comma 15 2 2 2 4 7" xfId="37743"/>
    <cellStyle name="Comma 15 2 2 2 4 7 2" xfId="37744"/>
    <cellStyle name="Comma 15 2 2 2 4 8" xfId="37745"/>
    <cellStyle name="Comma 15 2 2 2 4 9" xfId="37746"/>
    <cellStyle name="Comma 15 2 2 2 5" xfId="37747"/>
    <cellStyle name="Comma 15 2 2 2 5 2" xfId="37748"/>
    <cellStyle name="Comma 15 2 2 2 5 2 2" xfId="37749"/>
    <cellStyle name="Comma 15 2 2 2 5 2 3" xfId="37750"/>
    <cellStyle name="Comma 15 2 2 2 5 3" xfId="37751"/>
    <cellStyle name="Comma 15 2 2 2 5 3 2" xfId="37752"/>
    <cellStyle name="Comma 15 2 2 2 5 3 3" xfId="37753"/>
    <cellStyle name="Comma 15 2 2 2 5 4" xfId="37754"/>
    <cellStyle name="Comma 15 2 2 2 5 4 2" xfId="37755"/>
    <cellStyle name="Comma 15 2 2 2 5 5" xfId="37756"/>
    <cellStyle name="Comma 15 2 2 2 5 6" xfId="37757"/>
    <cellStyle name="Comma 15 2 2 2 6" xfId="37758"/>
    <cellStyle name="Comma 15 2 2 2 6 2" xfId="37759"/>
    <cellStyle name="Comma 15 2 2 2 6 2 2" xfId="37760"/>
    <cellStyle name="Comma 15 2 2 2 6 2 3" xfId="37761"/>
    <cellStyle name="Comma 15 2 2 2 6 3" xfId="37762"/>
    <cellStyle name="Comma 15 2 2 2 6 3 2" xfId="37763"/>
    <cellStyle name="Comma 15 2 2 2 6 3 3" xfId="37764"/>
    <cellStyle name="Comma 15 2 2 2 6 4" xfId="37765"/>
    <cellStyle name="Comma 15 2 2 2 6 4 2" xfId="37766"/>
    <cellStyle name="Comma 15 2 2 2 6 5" xfId="37767"/>
    <cellStyle name="Comma 15 2 2 2 6 6" xfId="37768"/>
    <cellStyle name="Comma 15 2 2 2 7" xfId="37769"/>
    <cellStyle name="Comma 15 2 2 2 7 2" xfId="37770"/>
    <cellStyle name="Comma 15 2 2 2 7 2 2" xfId="37771"/>
    <cellStyle name="Comma 15 2 2 2 7 2 3" xfId="37772"/>
    <cellStyle name="Comma 15 2 2 2 7 3" xfId="37773"/>
    <cellStyle name="Comma 15 2 2 2 7 3 2" xfId="37774"/>
    <cellStyle name="Comma 15 2 2 2 7 4" xfId="37775"/>
    <cellStyle name="Comma 15 2 2 2 7 5" xfId="37776"/>
    <cellStyle name="Comma 15 2 2 2 8" xfId="37777"/>
    <cellStyle name="Comma 15 2 2 2 8 2" xfId="37778"/>
    <cellStyle name="Comma 15 2 2 2 8 3" xfId="37779"/>
    <cellStyle name="Comma 15 2 2 2 9" xfId="37780"/>
    <cellStyle name="Comma 15 2 2 2 9 2" xfId="37781"/>
    <cellStyle name="Comma 15 2 2 2 9 3" xfId="37782"/>
    <cellStyle name="Comma 15 2 2 3" xfId="37783"/>
    <cellStyle name="Comma 15 2 2 3 10" xfId="37784"/>
    <cellStyle name="Comma 15 2 2 3 2" xfId="37785"/>
    <cellStyle name="Comma 15 2 2 3 2 2" xfId="37786"/>
    <cellStyle name="Comma 15 2 2 3 2 2 2" xfId="37787"/>
    <cellStyle name="Comma 15 2 2 3 2 2 2 2" xfId="37788"/>
    <cellStyle name="Comma 15 2 2 3 2 2 2 3" xfId="37789"/>
    <cellStyle name="Comma 15 2 2 3 2 2 3" xfId="37790"/>
    <cellStyle name="Comma 15 2 2 3 2 2 3 2" xfId="37791"/>
    <cellStyle name="Comma 15 2 2 3 2 2 3 3" xfId="37792"/>
    <cellStyle name="Comma 15 2 2 3 2 2 4" xfId="37793"/>
    <cellStyle name="Comma 15 2 2 3 2 2 4 2" xfId="37794"/>
    <cellStyle name="Comma 15 2 2 3 2 2 5" xfId="37795"/>
    <cellStyle name="Comma 15 2 2 3 2 2 6" xfId="37796"/>
    <cellStyle name="Comma 15 2 2 3 2 3" xfId="37797"/>
    <cellStyle name="Comma 15 2 2 3 2 3 2" xfId="37798"/>
    <cellStyle name="Comma 15 2 2 3 2 3 2 2" xfId="37799"/>
    <cellStyle name="Comma 15 2 2 3 2 3 2 3" xfId="37800"/>
    <cellStyle name="Comma 15 2 2 3 2 3 3" xfId="37801"/>
    <cellStyle name="Comma 15 2 2 3 2 3 3 2" xfId="37802"/>
    <cellStyle name="Comma 15 2 2 3 2 3 3 3" xfId="37803"/>
    <cellStyle name="Comma 15 2 2 3 2 3 4" xfId="37804"/>
    <cellStyle name="Comma 15 2 2 3 2 3 4 2" xfId="37805"/>
    <cellStyle name="Comma 15 2 2 3 2 3 5" xfId="37806"/>
    <cellStyle name="Comma 15 2 2 3 2 3 6" xfId="37807"/>
    <cellStyle name="Comma 15 2 2 3 2 4" xfId="37808"/>
    <cellStyle name="Comma 15 2 2 3 2 4 2" xfId="37809"/>
    <cellStyle name="Comma 15 2 2 3 2 4 2 2" xfId="37810"/>
    <cellStyle name="Comma 15 2 2 3 2 4 2 3" xfId="37811"/>
    <cellStyle name="Comma 15 2 2 3 2 4 3" xfId="37812"/>
    <cellStyle name="Comma 15 2 2 3 2 4 3 2" xfId="37813"/>
    <cellStyle name="Comma 15 2 2 3 2 4 4" xfId="37814"/>
    <cellStyle name="Comma 15 2 2 3 2 4 5" xfId="37815"/>
    <cellStyle name="Comma 15 2 2 3 2 5" xfId="37816"/>
    <cellStyle name="Comma 15 2 2 3 2 5 2" xfId="37817"/>
    <cellStyle name="Comma 15 2 2 3 2 5 3" xfId="37818"/>
    <cellStyle name="Comma 15 2 2 3 2 6" xfId="37819"/>
    <cellStyle name="Comma 15 2 2 3 2 6 2" xfId="37820"/>
    <cellStyle name="Comma 15 2 2 3 2 6 3" xfId="37821"/>
    <cellStyle name="Comma 15 2 2 3 2 7" xfId="37822"/>
    <cellStyle name="Comma 15 2 2 3 2 7 2" xfId="37823"/>
    <cellStyle name="Comma 15 2 2 3 2 8" xfId="37824"/>
    <cellStyle name="Comma 15 2 2 3 2 9" xfId="37825"/>
    <cellStyle name="Comma 15 2 2 3 3" xfId="37826"/>
    <cellStyle name="Comma 15 2 2 3 3 2" xfId="37827"/>
    <cellStyle name="Comma 15 2 2 3 3 2 2" xfId="37828"/>
    <cellStyle name="Comma 15 2 2 3 3 2 3" xfId="37829"/>
    <cellStyle name="Comma 15 2 2 3 3 3" xfId="37830"/>
    <cellStyle name="Comma 15 2 2 3 3 3 2" xfId="37831"/>
    <cellStyle name="Comma 15 2 2 3 3 3 3" xfId="37832"/>
    <cellStyle name="Comma 15 2 2 3 3 4" xfId="37833"/>
    <cellStyle name="Comma 15 2 2 3 3 4 2" xfId="37834"/>
    <cellStyle name="Comma 15 2 2 3 3 5" xfId="37835"/>
    <cellStyle name="Comma 15 2 2 3 3 6" xfId="37836"/>
    <cellStyle name="Comma 15 2 2 3 4" xfId="37837"/>
    <cellStyle name="Comma 15 2 2 3 4 2" xfId="37838"/>
    <cellStyle name="Comma 15 2 2 3 4 2 2" xfId="37839"/>
    <cellStyle name="Comma 15 2 2 3 4 2 3" xfId="37840"/>
    <cellStyle name="Comma 15 2 2 3 4 3" xfId="37841"/>
    <cellStyle name="Comma 15 2 2 3 4 3 2" xfId="37842"/>
    <cellStyle name="Comma 15 2 2 3 4 3 3" xfId="37843"/>
    <cellStyle name="Comma 15 2 2 3 4 4" xfId="37844"/>
    <cellStyle name="Comma 15 2 2 3 4 4 2" xfId="37845"/>
    <cellStyle name="Comma 15 2 2 3 4 5" xfId="37846"/>
    <cellStyle name="Comma 15 2 2 3 4 6" xfId="37847"/>
    <cellStyle name="Comma 15 2 2 3 5" xfId="37848"/>
    <cellStyle name="Comma 15 2 2 3 5 2" xfId="37849"/>
    <cellStyle name="Comma 15 2 2 3 5 2 2" xfId="37850"/>
    <cellStyle name="Comma 15 2 2 3 5 2 3" xfId="37851"/>
    <cellStyle name="Comma 15 2 2 3 5 3" xfId="37852"/>
    <cellStyle name="Comma 15 2 2 3 5 3 2" xfId="37853"/>
    <cellStyle name="Comma 15 2 2 3 5 4" xfId="37854"/>
    <cellStyle name="Comma 15 2 2 3 5 5" xfId="37855"/>
    <cellStyle name="Comma 15 2 2 3 6" xfId="37856"/>
    <cellStyle name="Comma 15 2 2 3 6 2" xfId="37857"/>
    <cellStyle name="Comma 15 2 2 3 6 3" xfId="37858"/>
    <cellStyle name="Comma 15 2 2 3 7" xfId="37859"/>
    <cellStyle name="Comma 15 2 2 3 7 2" xfId="37860"/>
    <cellStyle name="Comma 15 2 2 3 7 3" xfId="37861"/>
    <cellStyle name="Comma 15 2 2 3 8" xfId="37862"/>
    <cellStyle name="Comma 15 2 2 3 8 2" xfId="37863"/>
    <cellStyle name="Comma 15 2 2 3 9" xfId="37864"/>
    <cellStyle name="Comma 15 2 2 4" xfId="37865"/>
    <cellStyle name="Comma 15 2 2 4 2" xfId="37866"/>
    <cellStyle name="Comma 15 2 2 4 2 2" xfId="37867"/>
    <cellStyle name="Comma 15 2 2 4 2 2 2" xfId="37868"/>
    <cellStyle name="Comma 15 2 2 4 2 2 3" xfId="37869"/>
    <cellStyle name="Comma 15 2 2 4 2 3" xfId="37870"/>
    <cellStyle name="Comma 15 2 2 4 2 3 2" xfId="37871"/>
    <cellStyle name="Comma 15 2 2 4 2 3 3" xfId="37872"/>
    <cellStyle name="Comma 15 2 2 4 2 4" xfId="37873"/>
    <cellStyle name="Comma 15 2 2 4 2 4 2" xfId="37874"/>
    <cellStyle name="Comma 15 2 2 4 2 5" xfId="37875"/>
    <cellStyle name="Comma 15 2 2 4 2 6" xfId="37876"/>
    <cellStyle name="Comma 15 2 2 4 3" xfId="37877"/>
    <cellStyle name="Comma 15 2 2 4 3 2" xfId="37878"/>
    <cellStyle name="Comma 15 2 2 4 3 2 2" xfId="37879"/>
    <cellStyle name="Comma 15 2 2 4 3 2 3" xfId="37880"/>
    <cellStyle name="Comma 15 2 2 4 3 3" xfId="37881"/>
    <cellStyle name="Comma 15 2 2 4 3 3 2" xfId="37882"/>
    <cellStyle name="Comma 15 2 2 4 3 3 3" xfId="37883"/>
    <cellStyle name="Comma 15 2 2 4 3 4" xfId="37884"/>
    <cellStyle name="Comma 15 2 2 4 3 4 2" xfId="37885"/>
    <cellStyle name="Comma 15 2 2 4 3 5" xfId="37886"/>
    <cellStyle name="Comma 15 2 2 4 3 6" xfId="37887"/>
    <cellStyle name="Comma 15 2 2 4 4" xfId="37888"/>
    <cellStyle name="Comma 15 2 2 4 4 2" xfId="37889"/>
    <cellStyle name="Comma 15 2 2 4 4 2 2" xfId="37890"/>
    <cellStyle name="Comma 15 2 2 4 4 2 3" xfId="37891"/>
    <cellStyle name="Comma 15 2 2 4 4 3" xfId="37892"/>
    <cellStyle name="Comma 15 2 2 4 4 3 2" xfId="37893"/>
    <cellStyle name="Comma 15 2 2 4 4 4" xfId="37894"/>
    <cellStyle name="Comma 15 2 2 4 4 5" xfId="37895"/>
    <cellStyle name="Comma 15 2 2 4 5" xfId="37896"/>
    <cellStyle name="Comma 15 2 2 4 5 2" xfId="37897"/>
    <cellStyle name="Comma 15 2 2 4 5 3" xfId="37898"/>
    <cellStyle name="Comma 15 2 2 4 6" xfId="37899"/>
    <cellStyle name="Comma 15 2 2 4 6 2" xfId="37900"/>
    <cellStyle name="Comma 15 2 2 4 6 3" xfId="37901"/>
    <cellStyle name="Comma 15 2 2 4 7" xfId="37902"/>
    <cellStyle name="Comma 15 2 2 4 7 2" xfId="37903"/>
    <cellStyle name="Comma 15 2 2 4 8" xfId="37904"/>
    <cellStyle name="Comma 15 2 2 4 9" xfId="37905"/>
    <cellStyle name="Comma 15 2 2 5" xfId="37906"/>
    <cellStyle name="Comma 15 2 2 5 2" xfId="37907"/>
    <cellStyle name="Comma 15 2 2 5 2 2" xfId="37908"/>
    <cellStyle name="Comma 15 2 2 5 2 2 2" xfId="37909"/>
    <cellStyle name="Comma 15 2 2 5 2 2 3" xfId="37910"/>
    <cellStyle name="Comma 15 2 2 5 2 3" xfId="37911"/>
    <cellStyle name="Comma 15 2 2 5 2 3 2" xfId="37912"/>
    <cellStyle name="Comma 15 2 2 5 2 3 3" xfId="37913"/>
    <cellStyle name="Comma 15 2 2 5 2 4" xfId="37914"/>
    <cellStyle name="Comma 15 2 2 5 2 4 2" xfId="37915"/>
    <cellStyle name="Comma 15 2 2 5 2 5" xfId="37916"/>
    <cellStyle name="Comma 15 2 2 5 2 6" xfId="37917"/>
    <cellStyle name="Comma 15 2 2 5 3" xfId="37918"/>
    <cellStyle name="Comma 15 2 2 5 3 2" xfId="37919"/>
    <cellStyle name="Comma 15 2 2 5 3 2 2" xfId="37920"/>
    <cellStyle name="Comma 15 2 2 5 3 2 3" xfId="37921"/>
    <cellStyle name="Comma 15 2 2 5 3 3" xfId="37922"/>
    <cellStyle name="Comma 15 2 2 5 3 3 2" xfId="37923"/>
    <cellStyle name="Comma 15 2 2 5 3 3 3" xfId="37924"/>
    <cellStyle name="Comma 15 2 2 5 3 4" xfId="37925"/>
    <cellStyle name="Comma 15 2 2 5 3 4 2" xfId="37926"/>
    <cellStyle name="Comma 15 2 2 5 3 5" xfId="37927"/>
    <cellStyle name="Comma 15 2 2 5 3 6" xfId="37928"/>
    <cellStyle name="Comma 15 2 2 5 4" xfId="37929"/>
    <cellStyle name="Comma 15 2 2 5 4 2" xfId="37930"/>
    <cellStyle name="Comma 15 2 2 5 4 2 2" xfId="37931"/>
    <cellStyle name="Comma 15 2 2 5 4 2 3" xfId="37932"/>
    <cellStyle name="Comma 15 2 2 5 4 3" xfId="37933"/>
    <cellStyle name="Comma 15 2 2 5 4 3 2" xfId="37934"/>
    <cellStyle name="Comma 15 2 2 5 4 4" xfId="37935"/>
    <cellStyle name="Comma 15 2 2 5 4 5" xfId="37936"/>
    <cellStyle name="Comma 15 2 2 5 5" xfId="37937"/>
    <cellStyle name="Comma 15 2 2 5 5 2" xfId="37938"/>
    <cellStyle name="Comma 15 2 2 5 5 3" xfId="37939"/>
    <cellStyle name="Comma 15 2 2 5 6" xfId="37940"/>
    <cellStyle name="Comma 15 2 2 5 6 2" xfId="37941"/>
    <cellStyle name="Comma 15 2 2 5 6 3" xfId="37942"/>
    <cellStyle name="Comma 15 2 2 5 7" xfId="37943"/>
    <cellStyle name="Comma 15 2 2 5 7 2" xfId="37944"/>
    <cellStyle name="Comma 15 2 2 5 8" xfId="37945"/>
    <cellStyle name="Comma 15 2 2 5 9" xfId="37946"/>
    <cellStyle name="Comma 15 2 2 6" xfId="37947"/>
    <cellStyle name="Comma 15 2 2 6 2" xfId="37948"/>
    <cellStyle name="Comma 15 2 2 6 2 2" xfId="37949"/>
    <cellStyle name="Comma 15 2 2 6 2 3" xfId="37950"/>
    <cellStyle name="Comma 15 2 2 6 3" xfId="37951"/>
    <cellStyle name="Comma 15 2 2 6 3 2" xfId="37952"/>
    <cellStyle name="Comma 15 2 2 6 3 3" xfId="37953"/>
    <cellStyle name="Comma 15 2 2 6 4" xfId="37954"/>
    <cellStyle name="Comma 15 2 2 6 4 2" xfId="37955"/>
    <cellStyle name="Comma 15 2 2 6 5" xfId="37956"/>
    <cellStyle name="Comma 15 2 2 6 6" xfId="37957"/>
    <cellStyle name="Comma 15 2 2 7" xfId="37958"/>
    <cellStyle name="Comma 15 2 2 7 2" xfId="37959"/>
    <cellStyle name="Comma 15 2 2 7 2 2" xfId="37960"/>
    <cellStyle name="Comma 15 2 2 7 2 3" xfId="37961"/>
    <cellStyle name="Comma 15 2 2 7 3" xfId="37962"/>
    <cellStyle name="Comma 15 2 2 7 3 2" xfId="37963"/>
    <cellStyle name="Comma 15 2 2 7 3 3" xfId="37964"/>
    <cellStyle name="Comma 15 2 2 7 4" xfId="37965"/>
    <cellStyle name="Comma 15 2 2 7 4 2" xfId="37966"/>
    <cellStyle name="Comma 15 2 2 7 5" xfId="37967"/>
    <cellStyle name="Comma 15 2 2 7 6" xfId="37968"/>
    <cellStyle name="Comma 15 2 2 8" xfId="37969"/>
    <cellStyle name="Comma 15 2 2 8 2" xfId="37970"/>
    <cellStyle name="Comma 15 2 2 8 2 2" xfId="37971"/>
    <cellStyle name="Comma 15 2 2 8 2 3" xfId="37972"/>
    <cellStyle name="Comma 15 2 2 8 3" xfId="37973"/>
    <cellStyle name="Comma 15 2 2 8 3 2" xfId="37974"/>
    <cellStyle name="Comma 15 2 2 8 4" xfId="37975"/>
    <cellStyle name="Comma 15 2 2 8 5" xfId="37976"/>
    <cellStyle name="Comma 15 2 2 9" xfId="37977"/>
    <cellStyle name="Comma 15 2 2 9 2" xfId="37978"/>
    <cellStyle name="Comma 15 2 2 9 3" xfId="37979"/>
    <cellStyle name="Comma 15 2 3" xfId="37980"/>
    <cellStyle name="Comma 15 2 3 10" xfId="37981"/>
    <cellStyle name="Comma 15 2 3 10 2" xfId="37982"/>
    <cellStyle name="Comma 15 2 3 11" xfId="37983"/>
    <cellStyle name="Comma 15 2 3 12" xfId="37984"/>
    <cellStyle name="Comma 15 2 3 2" xfId="37985"/>
    <cellStyle name="Comma 15 2 3 2 10" xfId="37986"/>
    <cellStyle name="Comma 15 2 3 2 2" xfId="37987"/>
    <cellStyle name="Comma 15 2 3 2 2 2" xfId="37988"/>
    <cellStyle name="Comma 15 2 3 2 2 2 2" xfId="37989"/>
    <cellStyle name="Comma 15 2 3 2 2 2 2 2" xfId="37990"/>
    <cellStyle name="Comma 15 2 3 2 2 2 2 3" xfId="37991"/>
    <cellStyle name="Comma 15 2 3 2 2 2 3" xfId="37992"/>
    <cellStyle name="Comma 15 2 3 2 2 2 3 2" xfId="37993"/>
    <cellStyle name="Comma 15 2 3 2 2 2 3 3" xfId="37994"/>
    <cellStyle name="Comma 15 2 3 2 2 2 4" xfId="37995"/>
    <cellStyle name="Comma 15 2 3 2 2 2 4 2" xfId="37996"/>
    <cellStyle name="Comma 15 2 3 2 2 2 5" xfId="37997"/>
    <cellStyle name="Comma 15 2 3 2 2 2 6" xfId="37998"/>
    <cellStyle name="Comma 15 2 3 2 2 3" xfId="37999"/>
    <cellStyle name="Comma 15 2 3 2 2 3 2" xfId="38000"/>
    <cellStyle name="Comma 15 2 3 2 2 3 2 2" xfId="38001"/>
    <cellStyle name="Comma 15 2 3 2 2 3 2 3" xfId="38002"/>
    <cellStyle name="Comma 15 2 3 2 2 3 3" xfId="38003"/>
    <cellStyle name="Comma 15 2 3 2 2 3 3 2" xfId="38004"/>
    <cellStyle name="Comma 15 2 3 2 2 3 3 3" xfId="38005"/>
    <cellStyle name="Comma 15 2 3 2 2 3 4" xfId="38006"/>
    <cellStyle name="Comma 15 2 3 2 2 3 4 2" xfId="38007"/>
    <cellStyle name="Comma 15 2 3 2 2 3 5" xfId="38008"/>
    <cellStyle name="Comma 15 2 3 2 2 3 6" xfId="38009"/>
    <cellStyle name="Comma 15 2 3 2 2 4" xfId="38010"/>
    <cellStyle name="Comma 15 2 3 2 2 4 2" xfId="38011"/>
    <cellStyle name="Comma 15 2 3 2 2 4 2 2" xfId="38012"/>
    <cellStyle name="Comma 15 2 3 2 2 4 2 3" xfId="38013"/>
    <cellStyle name="Comma 15 2 3 2 2 4 3" xfId="38014"/>
    <cellStyle name="Comma 15 2 3 2 2 4 3 2" xfId="38015"/>
    <cellStyle name="Comma 15 2 3 2 2 4 4" xfId="38016"/>
    <cellStyle name="Comma 15 2 3 2 2 4 5" xfId="38017"/>
    <cellStyle name="Comma 15 2 3 2 2 5" xfId="38018"/>
    <cellStyle name="Comma 15 2 3 2 2 5 2" xfId="38019"/>
    <cellStyle name="Comma 15 2 3 2 2 5 3" xfId="38020"/>
    <cellStyle name="Comma 15 2 3 2 2 6" xfId="38021"/>
    <cellStyle name="Comma 15 2 3 2 2 6 2" xfId="38022"/>
    <cellStyle name="Comma 15 2 3 2 2 6 3" xfId="38023"/>
    <cellStyle name="Comma 15 2 3 2 2 7" xfId="38024"/>
    <cellStyle name="Comma 15 2 3 2 2 7 2" xfId="38025"/>
    <cellStyle name="Comma 15 2 3 2 2 8" xfId="38026"/>
    <cellStyle name="Comma 15 2 3 2 2 9" xfId="38027"/>
    <cellStyle name="Comma 15 2 3 2 3" xfId="38028"/>
    <cellStyle name="Comma 15 2 3 2 3 2" xfId="38029"/>
    <cellStyle name="Comma 15 2 3 2 3 2 2" xfId="38030"/>
    <cellStyle name="Comma 15 2 3 2 3 2 3" xfId="38031"/>
    <cellStyle name="Comma 15 2 3 2 3 3" xfId="38032"/>
    <cellStyle name="Comma 15 2 3 2 3 3 2" xfId="38033"/>
    <cellStyle name="Comma 15 2 3 2 3 3 3" xfId="38034"/>
    <cellStyle name="Comma 15 2 3 2 3 4" xfId="38035"/>
    <cellStyle name="Comma 15 2 3 2 3 4 2" xfId="38036"/>
    <cellStyle name="Comma 15 2 3 2 3 5" xfId="38037"/>
    <cellStyle name="Comma 15 2 3 2 3 6" xfId="38038"/>
    <cellStyle name="Comma 15 2 3 2 4" xfId="38039"/>
    <cellStyle name="Comma 15 2 3 2 4 2" xfId="38040"/>
    <cellStyle name="Comma 15 2 3 2 4 2 2" xfId="38041"/>
    <cellStyle name="Comma 15 2 3 2 4 2 3" xfId="38042"/>
    <cellStyle name="Comma 15 2 3 2 4 3" xfId="38043"/>
    <cellStyle name="Comma 15 2 3 2 4 3 2" xfId="38044"/>
    <cellStyle name="Comma 15 2 3 2 4 3 3" xfId="38045"/>
    <cellStyle name="Comma 15 2 3 2 4 4" xfId="38046"/>
    <cellStyle name="Comma 15 2 3 2 4 4 2" xfId="38047"/>
    <cellStyle name="Comma 15 2 3 2 4 5" xfId="38048"/>
    <cellStyle name="Comma 15 2 3 2 4 6" xfId="38049"/>
    <cellStyle name="Comma 15 2 3 2 5" xfId="38050"/>
    <cellStyle name="Comma 15 2 3 2 5 2" xfId="38051"/>
    <cellStyle name="Comma 15 2 3 2 5 2 2" xfId="38052"/>
    <cellStyle name="Comma 15 2 3 2 5 2 3" xfId="38053"/>
    <cellStyle name="Comma 15 2 3 2 5 3" xfId="38054"/>
    <cellStyle name="Comma 15 2 3 2 5 3 2" xfId="38055"/>
    <cellStyle name="Comma 15 2 3 2 5 4" xfId="38056"/>
    <cellStyle name="Comma 15 2 3 2 5 5" xfId="38057"/>
    <cellStyle name="Comma 15 2 3 2 6" xfId="38058"/>
    <cellStyle name="Comma 15 2 3 2 6 2" xfId="38059"/>
    <cellStyle name="Comma 15 2 3 2 6 3" xfId="38060"/>
    <cellStyle name="Comma 15 2 3 2 7" xfId="38061"/>
    <cellStyle name="Comma 15 2 3 2 7 2" xfId="38062"/>
    <cellStyle name="Comma 15 2 3 2 7 3" xfId="38063"/>
    <cellStyle name="Comma 15 2 3 2 8" xfId="38064"/>
    <cellStyle name="Comma 15 2 3 2 8 2" xfId="38065"/>
    <cellStyle name="Comma 15 2 3 2 9" xfId="38066"/>
    <cellStyle name="Comma 15 2 3 3" xfId="38067"/>
    <cellStyle name="Comma 15 2 3 3 2" xfId="38068"/>
    <cellStyle name="Comma 15 2 3 3 2 2" xfId="38069"/>
    <cellStyle name="Comma 15 2 3 3 2 2 2" xfId="38070"/>
    <cellStyle name="Comma 15 2 3 3 2 2 3" xfId="38071"/>
    <cellStyle name="Comma 15 2 3 3 2 3" xfId="38072"/>
    <cellStyle name="Comma 15 2 3 3 2 3 2" xfId="38073"/>
    <cellStyle name="Comma 15 2 3 3 2 3 3" xfId="38074"/>
    <cellStyle name="Comma 15 2 3 3 2 4" xfId="38075"/>
    <cellStyle name="Comma 15 2 3 3 2 4 2" xfId="38076"/>
    <cellStyle name="Comma 15 2 3 3 2 5" xfId="38077"/>
    <cellStyle name="Comma 15 2 3 3 2 6" xfId="38078"/>
    <cellStyle name="Comma 15 2 3 3 3" xfId="38079"/>
    <cellStyle name="Comma 15 2 3 3 3 2" xfId="38080"/>
    <cellStyle name="Comma 15 2 3 3 3 2 2" xfId="38081"/>
    <cellStyle name="Comma 15 2 3 3 3 2 3" xfId="38082"/>
    <cellStyle name="Comma 15 2 3 3 3 3" xfId="38083"/>
    <cellStyle name="Comma 15 2 3 3 3 3 2" xfId="38084"/>
    <cellStyle name="Comma 15 2 3 3 3 3 3" xfId="38085"/>
    <cellStyle name="Comma 15 2 3 3 3 4" xfId="38086"/>
    <cellStyle name="Comma 15 2 3 3 3 4 2" xfId="38087"/>
    <cellStyle name="Comma 15 2 3 3 3 5" xfId="38088"/>
    <cellStyle name="Comma 15 2 3 3 3 6" xfId="38089"/>
    <cellStyle name="Comma 15 2 3 3 4" xfId="38090"/>
    <cellStyle name="Comma 15 2 3 3 4 2" xfId="38091"/>
    <cellStyle name="Comma 15 2 3 3 4 2 2" xfId="38092"/>
    <cellStyle name="Comma 15 2 3 3 4 2 3" xfId="38093"/>
    <cellStyle name="Comma 15 2 3 3 4 3" xfId="38094"/>
    <cellStyle name="Comma 15 2 3 3 4 3 2" xfId="38095"/>
    <cellStyle name="Comma 15 2 3 3 4 4" xfId="38096"/>
    <cellStyle name="Comma 15 2 3 3 4 5" xfId="38097"/>
    <cellStyle name="Comma 15 2 3 3 5" xfId="38098"/>
    <cellStyle name="Comma 15 2 3 3 5 2" xfId="38099"/>
    <cellStyle name="Comma 15 2 3 3 5 3" xfId="38100"/>
    <cellStyle name="Comma 15 2 3 3 6" xfId="38101"/>
    <cellStyle name="Comma 15 2 3 3 6 2" xfId="38102"/>
    <cellStyle name="Comma 15 2 3 3 6 3" xfId="38103"/>
    <cellStyle name="Comma 15 2 3 3 7" xfId="38104"/>
    <cellStyle name="Comma 15 2 3 3 7 2" xfId="38105"/>
    <cellStyle name="Comma 15 2 3 3 8" xfId="38106"/>
    <cellStyle name="Comma 15 2 3 3 9" xfId="38107"/>
    <cellStyle name="Comma 15 2 3 4" xfId="38108"/>
    <cellStyle name="Comma 15 2 3 4 2" xfId="38109"/>
    <cellStyle name="Comma 15 2 3 4 2 2" xfId="38110"/>
    <cellStyle name="Comma 15 2 3 4 2 2 2" xfId="38111"/>
    <cellStyle name="Comma 15 2 3 4 2 2 3" xfId="38112"/>
    <cellStyle name="Comma 15 2 3 4 2 3" xfId="38113"/>
    <cellStyle name="Comma 15 2 3 4 2 3 2" xfId="38114"/>
    <cellStyle name="Comma 15 2 3 4 2 3 3" xfId="38115"/>
    <cellStyle name="Comma 15 2 3 4 2 4" xfId="38116"/>
    <cellStyle name="Comma 15 2 3 4 2 4 2" xfId="38117"/>
    <cellStyle name="Comma 15 2 3 4 2 5" xfId="38118"/>
    <cellStyle name="Comma 15 2 3 4 2 6" xfId="38119"/>
    <cellStyle name="Comma 15 2 3 4 3" xfId="38120"/>
    <cellStyle name="Comma 15 2 3 4 3 2" xfId="38121"/>
    <cellStyle name="Comma 15 2 3 4 3 2 2" xfId="38122"/>
    <cellStyle name="Comma 15 2 3 4 3 2 3" xfId="38123"/>
    <cellStyle name="Comma 15 2 3 4 3 3" xfId="38124"/>
    <cellStyle name="Comma 15 2 3 4 3 3 2" xfId="38125"/>
    <cellStyle name="Comma 15 2 3 4 3 3 3" xfId="38126"/>
    <cellStyle name="Comma 15 2 3 4 3 4" xfId="38127"/>
    <cellStyle name="Comma 15 2 3 4 3 4 2" xfId="38128"/>
    <cellStyle name="Comma 15 2 3 4 3 5" xfId="38129"/>
    <cellStyle name="Comma 15 2 3 4 3 6" xfId="38130"/>
    <cellStyle name="Comma 15 2 3 4 4" xfId="38131"/>
    <cellStyle name="Comma 15 2 3 4 4 2" xfId="38132"/>
    <cellStyle name="Comma 15 2 3 4 4 2 2" xfId="38133"/>
    <cellStyle name="Comma 15 2 3 4 4 2 3" xfId="38134"/>
    <cellStyle name="Comma 15 2 3 4 4 3" xfId="38135"/>
    <cellStyle name="Comma 15 2 3 4 4 3 2" xfId="38136"/>
    <cellStyle name="Comma 15 2 3 4 4 4" xfId="38137"/>
    <cellStyle name="Comma 15 2 3 4 4 5" xfId="38138"/>
    <cellStyle name="Comma 15 2 3 4 5" xfId="38139"/>
    <cellStyle name="Comma 15 2 3 4 5 2" xfId="38140"/>
    <cellStyle name="Comma 15 2 3 4 5 3" xfId="38141"/>
    <cellStyle name="Comma 15 2 3 4 6" xfId="38142"/>
    <cellStyle name="Comma 15 2 3 4 6 2" xfId="38143"/>
    <cellStyle name="Comma 15 2 3 4 6 3" xfId="38144"/>
    <cellStyle name="Comma 15 2 3 4 7" xfId="38145"/>
    <cellStyle name="Comma 15 2 3 4 7 2" xfId="38146"/>
    <cellStyle name="Comma 15 2 3 4 8" xfId="38147"/>
    <cellStyle name="Comma 15 2 3 4 9" xfId="38148"/>
    <cellStyle name="Comma 15 2 3 5" xfId="38149"/>
    <cellStyle name="Comma 15 2 3 5 2" xfId="38150"/>
    <cellStyle name="Comma 15 2 3 5 2 2" xfId="38151"/>
    <cellStyle name="Comma 15 2 3 5 2 3" xfId="38152"/>
    <cellStyle name="Comma 15 2 3 5 3" xfId="38153"/>
    <cellStyle name="Comma 15 2 3 5 3 2" xfId="38154"/>
    <cellStyle name="Comma 15 2 3 5 3 3" xfId="38155"/>
    <cellStyle name="Comma 15 2 3 5 4" xfId="38156"/>
    <cellStyle name="Comma 15 2 3 5 4 2" xfId="38157"/>
    <cellStyle name="Comma 15 2 3 5 5" xfId="38158"/>
    <cellStyle name="Comma 15 2 3 5 6" xfId="38159"/>
    <cellStyle name="Comma 15 2 3 6" xfId="38160"/>
    <cellStyle name="Comma 15 2 3 6 2" xfId="38161"/>
    <cellStyle name="Comma 15 2 3 6 2 2" xfId="38162"/>
    <cellStyle name="Comma 15 2 3 6 2 3" xfId="38163"/>
    <cellStyle name="Comma 15 2 3 6 3" xfId="38164"/>
    <cellStyle name="Comma 15 2 3 6 3 2" xfId="38165"/>
    <cellStyle name="Comma 15 2 3 6 3 3" xfId="38166"/>
    <cellStyle name="Comma 15 2 3 6 4" xfId="38167"/>
    <cellStyle name="Comma 15 2 3 6 4 2" xfId="38168"/>
    <cellStyle name="Comma 15 2 3 6 5" xfId="38169"/>
    <cellStyle name="Comma 15 2 3 6 6" xfId="38170"/>
    <cellStyle name="Comma 15 2 3 7" xfId="38171"/>
    <cellStyle name="Comma 15 2 3 7 2" xfId="38172"/>
    <cellStyle name="Comma 15 2 3 7 2 2" xfId="38173"/>
    <cellStyle name="Comma 15 2 3 7 2 3" xfId="38174"/>
    <cellStyle name="Comma 15 2 3 7 3" xfId="38175"/>
    <cellStyle name="Comma 15 2 3 7 3 2" xfId="38176"/>
    <cellStyle name="Comma 15 2 3 7 4" xfId="38177"/>
    <cellStyle name="Comma 15 2 3 7 5" xfId="38178"/>
    <cellStyle name="Comma 15 2 3 8" xfId="38179"/>
    <cellStyle name="Comma 15 2 3 8 2" xfId="38180"/>
    <cellStyle name="Comma 15 2 3 8 3" xfId="38181"/>
    <cellStyle name="Comma 15 2 3 9" xfId="38182"/>
    <cellStyle name="Comma 15 2 3 9 2" xfId="38183"/>
    <cellStyle name="Comma 15 2 3 9 3" xfId="38184"/>
    <cellStyle name="Comma 15 2 4" xfId="38185"/>
    <cellStyle name="Comma 15 2 4 10" xfId="38186"/>
    <cellStyle name="Comma 15 2 4 2" xfId="38187"/>
    <cellStyle name="Comma 15 2 4 2 2" xfId="38188"/>
    <cellStyle name="Comma 15 2 4 2 2 2" xfId="38189"/>
    <cellStyle name="Comma 15 2 4 2 2 2 2" xfId="38190"/>
    <cellStyle name="Comma 15 2 4 2 2 2 3" xfId="38191"/>
    <cellStyle name="Comma 15 2 4 2 2 3" xfId="38192"/>
    <cellStyle name="Comma 15 2 4 2 2 3 2" xfId="38193"/>
    <cellStyle name="Comma 15 2 4 2 2 3 3" xfId="38194"/>
    <cellStyle name="Comma 15 2 4 2 2 4" xfId="38195"/>
    <cellStyle name="Comma 15 2 4 2 2 4 2" xfId="38196"/>
    <cellStyle name="Comma 15 2 4 2 2 5" xfId="38197"/>
    <cellStyle name="Comma 15 2 4 2 2 6" xfId="38198"/>
    <cellStyle name="Comma 15 2 4 2 3" xfId="38199"/>
    <cellStyle name="Comma 15 2 4 2 3 2" xfId="38200"/>
    <cellStyle name="Comma 15 2 4 2 3 2 2" xfId="38201"/>
    <cellStyle name="Comma 15 2 4 2 3 2 3" xfId="38202"/>
    <cellStyle name="Comma 15 2 4 2 3 3" xfId="38203"/>
    <cellStyle name="Comma 15 2 4 2 3 3 2" xfId="38204"/>
    <cellStyle name="Comma 15 2 4 2 3 3 3" xfId="38205"/>
    <cellStyle name="Comma 15 2 4 2 3 4" xfId="38206"/>
    <cellStyle name="Comma 15 2 4 2 3 4 2" xfId="38207"/>
    <cellStyle name="Comma 15 2 4 2 3 5" xfId="38208"/>
    <cellStyle name="Comma 15 2 4 2 3 6" xfId="38209"/>
    <cellStyle name="Comma 15 2 4 2 4" xfId="38210"/>
    <cellStyle name="Comma 15 2 4 2 4 2" xfId="38211"/>
    <cellStyle name="Comma 15 2 4 2 4 2 2" xfId="38212"/>
    <cellStyle name="Comma 15 2 4 2 4 2 3" xfId="38213"/>
    <cellStyle name="Comma 15 2 4 2 4 3" xfId="38214"/>
    <cellStyle name="Comma 15 2 4 2 4 3 2" xfId="38215"/>
    <cellStyle name="Comma 15 2 4 2 4 4" xfId="38216"/>
    <cellStyle name="Comma 15 2 4 2 4 5" xfId="38217"/>
    <cellStyle name="Comma 15 2 4 2 5" xfId="38218"/>
    <cellStyle name="Comma 15 2 4 2 5 2" xfId="38219"/>
    <cellStyle name="Comma 15 2 4 2 5 3" xfId="38220"/>
    <cellStyle name="Comma 15 2 4 2 6" xfId="38221"/>
    <cellStyle name="Comma 15 2 4 2 6 2" xfId="38222"/>
    <cellStyle name="Comma 15 2 4 2 6 3" xfId="38223"/>
    <cellStyle name="Comma 15 2 4 2 7" xfId="38224"/>
    <cellStyle name="Comma 15 2 4 2 7 2" xfId="38225"/>
    <cellStyle name="Comma 15 2 4 2 8" xfId="38226"/>
    <cellStyle name="Comma 15 2 4 2 9" xfId="38227"/>
    <cellStyle name="Comma 15 2 4 3" xfId="38228"/>
    <cellStyle name="Comma 15 2 4 3 2" xfId="38229"/>
    <cellStyle name="Comma 15 2 4 3 2 2" xfId="38230"/>
    <cellStyle name="Comma 15 2 4 3 2 3" xfId="38231"/>
    <cellStyle name="Comma 15 2 4 3 3" xfId="38232"/>
    <cellStyle name="Comma 15 2 4 3 3 2" xfId="38233"/>
    <cellStyle name="Comma 15 2 4 3 3 3" xfId="38234"/>
    <cellStyle name="Comma 15 2 4 3 4" xfId="38235"/>
    <cellStyle name="Comma 15 2 4 3 4 2" xfId="38236"/>
    <cellStyle name="Comma 15 2 4 3 5" xfId="38237"/>
    <cellStyle name="Comma 15 2 4 3 6" xfId="38238"/>
    <cellStyle name="Comma 15 2 4 4" xfId="38239"/>
    <cellStyle name="Comma 15 2 4 4 2" xfId="38240"/>
    <cellStyle name="Comma 15 2 4 4 2 2" xfId="38241"/>
    <cellStyle name="Comma 15 2 4 4 2 3" xfId="38242"/>
    <cellStyle name="Comma 15 2 4 4 3" xfId="38243"/>
    <cellStyle name="Comma 15 2 4 4 3 2" xfId="38244"/>
    <cellStyle name="Comma 15 2 4 4 3 3" xfId="38245"/>
    <cellStyle name="Comma 15 2 4 4 4" xfId="38246"/>
    <cellStyle name="Comma 15 2 4 4 4 2" xfId="38247"/>
    <cellStyle name="Comma 15 2 4 4 5" xfId="38248"/>
    <cellStyle name="Comma 15 2 4 4 6" xfId="38249"/>
    <cellStyle name="Comma 15 2 4 5" xfId="38250"/>
    <cellStyle name="Comma 15 2 4 5 2" xfId="38251"/>
    <cellStyle name="Comma 15 2 4 5 2 2" xfId="38252"/>
    <cellStyle name="Comma 15 2 4 5 2 3" xfId="38253"/>
    <cellStyle name="Comma 15 2 4 5 3" xfId="38254"/>
    <cellStyle name="Comma 15 2 4 5 3 2" xfId="38255"/>
    <cellStyle name="Comma 15 2 4 5 4" xfId="38256"/>
    <cellStyle name="Comma 15 2 4 5 5" xfId="38257"/>
    <cellStyle name="Comma 15 2 4 6" xfId="38258"/>
    <cellStyle name="Comma 15 2 4 6 2" xfId="38259"/>
    <cellStyle name="Comma 15 2 4 6 3" xfId="38260"/>
    <cellStyle name="Comma 15 2 4 7" xfId="38261"/>
    <cellStyle name="Comma 15 2 4 7 2" xfId="38262"/>
    <cellStyle name="Comma 15 2 4 7 3" xfId="38263"/>
    <cellStyle name="Comma 15 2 4 8" xfId="38264"/>
    <cellStyle name="Comma 15 2 4 8 2" xfId="38265"/>
    <cellStyle name="Comma 15 2 4 9" xfId="38266"/>
    <cellStyle name="Comma 15 2 5" xfId="38267"/>
    <cellStyle name="Comma 15 2 5 2" xfId="38268"/>
    <cellStyle name="Comma 15 2 5 2 2" xfId="38269"/>
    <cellStyle name="Comma 15 2 5 2 2 2" xfId="38270"/>
    <cellStyle name="Comma 15 2 5 2 2 3" xfId="38271"/>
    <cellStyle name="Comma 15 2 5 2 3" xfId="38272"/>
    <cellStyle name="Comma 15 2 5 2 3 2" xfId="38273"/>
    <cellStyle name="Comma 15 2 5 2 3 3" xfId="38274"/>
    <cellStyle name="Comma 15 2 5 2 4" xfId="38275"/>
    <cellStyle name="Comma 15 2 5 2 4 2" xfId="38276"/>
    <cellStyle name="Comma 15 2 5 2 5" xfId="38277"/>
    <cellStyle name="Comma 15 2 5 2 6" xfId="38278"/>
    <cellStyle name="Comma 15 2 5 3" xfId="38279"/>
    <cellStyle name="Comma 15 2 5 3 2" xfId="38280"/>
    <cellStyle name="Comma 15 2 5 3 2 2" xfId="38281"/>
    <cellStyle name="Comma 15 2 5 3 2 3" xfId="38282"/>
    <cellStyle name="Comma 15 2 5 3 3" xfId="38283"/>
    <cellStyle name="Comma 15 2 5 3 3 2" xfId="38284"/>
    <cellStyle name="Comma 15 2 5 3 3 3" xfId="38285"/>
    <cellStyle name="Comma 15 2 5 3 4" xfId="38286"/>
    <cellStyle name="Comma 15 2 5 3 4 2" xfId="38287"/>
    <cellStyle name="Comma 15 2 5 3 5" xfId="38288"/>
    <cellStyle name="Comma 15 2 5 3 6" xfId="38289"/>
    <cellStyle name="Comma 15 2 5 4" xfId="38290"/>
    <cellStyle name="Comma 15 2 5 4 2" xfId="38291"/>
    <cellStyle name="Comma 15 2 5 4 2 2" xfId="38292"/>
    <cellStyle name="Comma 15 2 5 4 2 3" xfId="38293"/>
    <cellStyle name="Comma 15 2 5 4 3" xfId="38294"/>
    <cellStyle name="Comma 15 2 5 4 3 2" xfId="38295"/>
    <cellStyle name="Comma 15 2 5 4 4" xfId="38296"/>
    <cellStyle name="Comma 15 2 5 4 5" xfId="38297"/>
    <cellStyle name="Comma 15 2 5 5" xfId="38298"/>
    <cellStyle name="Comma 15 2 5 5 2" xfId="38299"/>
    <cellStyle name="Comma 15 2 5 5 3" xfId="38300"/>
    <cellStyle name="Comma 15 2 5 6" xfId="38301"/>
    <cellStyle name="Comma 15 2 5 6 2" xfId="38302"/>
    <cellStyle name="Comma 15 2 5 6 3" xfId="38303"/>
    <cellStyle name="Comma 15 2 5 7" xfId="38304"/>
    <cellStyle name="Comma 15 2 5 7 2" xfId="38305"/>
    <cellStyle name="Comma 15 2 5 8" xfId="38306"/>
    <cellStyle name="Comma 15 2 5 9" xfId="38307"/>
    <cellStyle name="Comma 15 2 6" xfId="38308"/>
    <cellStyle name="Comma 15 2 6 2" xfId="38309"/>
    <cellStyle name="Comma 15 2 6 2 2" xfId="38310"/>
    <cellStyle name="Comma 15 2 6 2 2 2" xfId="38311"/>
    <cellStyle name="Comma 15 2 6 2 2 3" xfId="38312"/>
    <cellStyle name="Comma 15 2 6 2 3" xfId="38313"/>
    <cellStyle name="Comma 15 2 6 2 3 2" xfId="38314"/>
    <cellStyle name="Comma 15 2 6 2 3 3" xfId="38315"/>
    <cellStyle name="Comma 15 2 6 2 4" xfId="38316"/>
    <cellStyle name="Comma 15 2 6 2 4 2" xfId="38317"/>
    <cellStyle name="Comma 15 2 6 2 5" xfId="38318"/>
    <cellStyle name="Comma 15 2 6 2 6" xfId="38319"/>
    <cellStyle name="Comma 15 2 6 3" xfId="38320"/>
    <cellStyle name="Comma 15 2 6 3 2" xfId="38321"/>
    <cellStyle name="Comma 15 2 6 3 2 2" xfId="38322"/>
    <cellStyle name="Comma 15 2 6 3 2 3" xfId="38323"/>
    <cellStyle name="Comma 15 2 6 3 3" xfId="38324"/>
    <cellStyle name="Comma 15 2 6 3 3 2" xfId="38325"/>
    <cellStyle name="Comma 15 2 6 3 3 3" xfId="38326"/>
    <cellStyle name="Comma 15 2 6 3 4" xfId="38327"/>
    <cellStyle name="Comma 15 2 6 3 4 2" xfId="38328"/>
    <cellStyle name="Comma 15 2 6 3 5" xfId="38329"/>
    <cellStyle name="Comma 15 2 6 3 6" xfId="38330"/>
    <cellStyle name="Comma 15 2 6 4" xfId="38331"/>
    <cellStyle name="Comma 15 2 6 4 2" xfId="38332"/>
    <cellStyle name="Comma 15 2 6 4 2 2" xfId="38333"/>
    <cellStyle name="Comma 15 2 6 4 2 3" xfId="38334"/>
    <cellStyle name="Comma 15 2 6 4 3" xfId="38335"/>
    <cellStyle name="Comma 15 2 6 4 3 2" xfId="38336"/>
    <cellStyle name="Comma 15 2 6 4 4" xfId="38337"/>
    <cellStyle name="Comma 15 2 6 4 5" xfId="38338"/>
    <cellStyle name="Comma 15 2 6 5" xfId="38339"/>
    <cellStyle name="Comma 15 2 6 5 2" xfId="38340"/>
    <cellStyle name="Comma 15 2 6 5 3" xfId="38341"/>
    <cellStyle name="Comma 15 2 6 6" xfId="38342"/>
    <cellStyle name="Comma 15 2 6 6 2" xfId="38343"/>
    <cellStyle name="Comma 15 2 6 6 3" xfId="38344"/>
    <cellStyle name="Comma 15 2 6 7" xfId="38345"/>
    <cellStyle name="Comma 15 2 6 7 2" xfId="38346"/>
    <cellStyle name="Comma 15 2 6 8" xfId="38347"/>
    <cellStyle name="Comma 15 2 6 9" xfId="38348"/>
    <cellStyle name="Comma 15 2 7" xfId="38349"/>
    <cellStyle name="Comma 15 2 7 2" xfId="38350"/>
    <cellStyle name="Comma 15 2 7 2 2" xfId="38351"/>
    <cellStyle name="Comma 15 2 7 2 3" xfId="38352"/>
    <cellStyle name="Comma 15 2 7 3" xfId="38353"/>
    <cellStyle name="Comma 15 2 7 3 2" xfId="38354"/>
    <cellStyle name="Comma 15 2 7 3 3" xfId="38355"/>
    <cellStyle name="Comma 15 2 7 4" xfId="38356"/>
    <cellStyle name="Comma 15 2 7 4 2" xfId="38357"/>
    <cellStyle name="Comma 15 2 7 5" xfId="38358"/>
    <cellStyle name="Comma 15 2 7 6" xfId="38359"/>
    <cellStyle name="Comma 15 2 8" xfId="38360"/>
    <cellStyle name="Comma 15 2 8 2" xfId="38361"/>
    <cellStyle name="Comma 15 2 8 2 2" xfId="38362"/>
    <cellStyle name="Comma 15 2 8 2 3" xfId="38363"/>
    <cellStyle name="Comma 15 2 8 3" xfId="38364"/>
    <cellStyle name="Comma 15 2 8 3 2" xfId="38365"/>
    <cellStyle name="Comma 15 2 8 3 3" xfId="38366"/>
    <cellStyle name="Comma 15 2 8 4" xfId="38367"/>
    <cellStyle name="Comma 15 2 8 4 2" xfId="38368"/>
    <cellStyle name="Comma 15 2 8 5" xfId="38369"/>
    <cellStyle name="Comma 15 2 8 6" xfId="38370"/>
    <cellStyle name="Comma 15 2 9" xfId="38371"/>
    <cellStyle name="Comma 15 2 9 2" xfId="38372"/>
    <cellStyle name="Comma 15 2 9 2 2" xfId="38373"/>
    <cellStyle name="Comma 15 2 9 2 3" xfId="38374"/>
    <cellStyle name="Comma 15 2 9 3" xfId="38375"/>
    <cellStyle name="Comma 15 2 9 3 2" xfId="38376"/>
    <cellStyle name="Comma 15 2 9 4" xfId="38377"/>
    <cellStyle name="Comma 15 2 9 5" xfId="38378"/>
    <cellStyle name="Comma 15 3" xfId="38379"/>
    <cellStyle name="Comma 15 3 10" xfId="38380"/>
    <cellStyle name="Comma 15 3 10 2" xfId="38381"/>
    <cellStyle name="Comma 15 3 10 3" xfId="38382"/>
    <cellStyle name="Comma 15 3 11" xfId="38383"/>
    <cellStyle name="Comma 15 3 11 2" xfId="38384"/>
    <cellStyle name="Comma 15 3 12" xfId="38385"/>
    <cellStyle name="Comma 15 3 13" xfId="38386"/>
    <cellStyle name="Comma 15 3 2" xfId="38387"/>
    <cellStyle name="Comma 15 3 2 10" xfId="38388"/>
    <cellStyle name="Comma 15 3 2 10 2" xfId="38389"/>
    <cellStyle name="Comma 15 3 2 11" xfId="38390"/>
    <cellStyle name="Comma 15 3 2 12" xfId="38391"/>
    <cellStyle name="Comma 15 3 2 2" xfId="38392"/>
    <cellStyle name="Comma 15 3 2 2 10" xfId="38393"/>
    <cellStyle name="Comma 15 3 2 2 2" xfId="38394"/>
    <cellStyle name="Comma 15 3 2 2 2 2" xfId="38395"/>
    <cellStyle name="Comma 15 3 2 2 2 2 2" xfId="38396"/>
    <cellStyle name="Comma 15 3 2 2 2 2 2 2" xfId="38397"/>
    <cellStyle name="Comma 15 3 2 2 2 2 2 3" xfId="38398"/>
    <cellStyle name="Comma 15 3 2 2 2 2 3" xfId="38399"/>
    <cellStyle name="Comma 15 3 2 2 2 2 3 2" xfId="38400"/>
    <cellStyle name="Comma 15 3 2 2 2 2 3 3" xfId="38401"/>
    <cellStyle name="Comma 15 3 2 2 2 2 4" xfId="38402"/>
    <cellStyle name="Comma 15 3 2 2 2 2 4 2" xfId="38403"/>
    <cellStyle name="Comma 15 3 2 2 2 2 5" xfId="38404"/>
    <cellStyle name="Comma 15 3 2 2 2 2 6" xfId="38405"/>
    <cellStyle name="Comma 15 3 2 2 2 3" xfId="38406"/>
    <cellStyle name="Comma 15 3 2 2 2 3 2" xfId="38407"/>
    <cellStyle name="Comma 15 3 2 2 2 3 2 2" xfId="38408"/>
    <cellStyle name="Comma 15 3 2 2 2 3 2 3" xfId="38409"/>
    <cellStyle name="Comma 15 3 2 2 2 3 3" xfId="38410"/>
    <cellStyle name="Comma 15 3 2 2 2 3 3 2" xfId="38411"/>
    <cellStyle name="Comma 15 3 2 2 2 3 3 3" xfId="38412"/>
    <cellStyle name="Comma 15 3 2 2 2 3 4" xfId="38413"/>
    <cellStyle name="Comma 15 3 2 2 2 3 4 2" xfId="38414"/>
    <cellStyle name="Comma 15 3 2 2 2 3 5" xfId="38415"/>
    <cellStyle name="Comma 15 3 2 2 2 3 6" xfId="38416"/>
    <cellStyle name="Comma 15 3 2 2 2 4" xfId="38417"/>
    <cellStyle name="Comma 15 3 2 2 2 4 2" xfId="38418"/>
    <cellStyle name="Comma 15 3 2 2 2 4 2 2" xfId="38419"/>
    <cellStyle name="Comma 15 3 2 2 2 4 2 3" xfId="38420"/>
    <cellStyle name="Comma 15 3 2 2 2 4 3" xfId="38421"/>
    <cellStyle name="Comma 15 3 2 2 2 4 3 2" xfId="38422"/>
    <cellStyle name="Comma 15 3 2 2 2 4 4" xfId="38423"/>
    <cellStyle name="Comma 15 3 2 2 2 4 5" xfId="38424"/>
    <cellStyle name="Comma 15 3 2 2 2 5" xfId="38425"/>
    <cellStyle name="Comma 15 3 2 2 2 5 2" xfId="38426"/>
    <cellStyle name="Comma 15 3 2 2 2 5 3" xfId="38427"/>
    <cellStyle name="Comma 15 3 2 2 2 6" xfId="38428"/>
    <cellStyle name="Comma 15 3 2 2 2 6 2" xfId="38429"/>
    <cellStyle name="Comma 15 3 2 2 2 6 3" xfId="38430"/>
    <cellStyle name="Comma 15 3 2 2 2 7" xfId="38431"/>
    <cellStyle name="Comma 15 3 2 2 2 7 2" xfId="38432"/>
    <cellStyle name="Comma 15 3 2 2 2 8" xfId="38433"/>
    <cellStyle name="Comma 15 3 2 2 2 9" xfId="38434"/>
    <cellStyle name="Comma 15 3 2 2 3" xfId="38435"/>
    <cellStyle name="Comma 15 3 2 2 3 2" xfId="38436"/>
    <cellStyle name="Comma 15 3 2 2 3 2 2" xfId="38437"/>
    <cellStyle name="Comma 15 3 2 2 3 2 3" xfId="38438"/>
    <cellStyle name="Comma 15 3 2 2 3 3" xfId="38439"/>
    <cellStyle name="Comma 15 3 2 2 3 3 2" xfId="38440"/>
    <cellStyle name="Comma 15 3 2 2 3 3 3" xfId="38441"/>
    <cellStyle name="Comma 15 3 2 2 3 4" xfId="38442"/>
    <cellStyle name="Comma 15 3 2 2 3 4 2" xfId="38443"/>
    <cellStyle name="Comma 15 3 2 2 3 5" xfId="38444"/>
    <cellStyle name="Comma 15 3 2 2 3 6" xfId="38445"/>
    <cellStyle name="Comma 15 3 2 2 4" xfId="38446"/>
    <cellStyle name="Comma 15 3 2 2 4 2" xfId="38447"/>
    <cellStyle name="Comma 15 3 2 2 4 2 2" xfId="38448"/>
    <cellStyle name="Comma 15 3 2 2 4 2 3" xfId="38449"/>
    <cellStyle name="Comma 15 3 2 2 4 3" xfId="38450"/>
    <cellStyle name="Comma 15 3 2 2 4 3 2" xfId="38451"/>
    <cellStyle name="Comma 15 3 2 2 4 3 3" xfId="38452"/>
    <cellStyle name="Comma 15 3 2 2 4 4" xfId="38453"/>
    <cellStyle name="Comma 15 3 2 2 4 4 2" xfId="38454"/>
    <cellStyle name="Comma 15 3 2 2 4 5" xfId="38455"/>
    <cellStyle name="Comma 15 3 2 2 4 6" xfId="38456"/>
    <cellStyle name="Comma 15 3 2 2 5" xfId="38457"/>
    <cellStyle name="Comma 15 3 2 2 5 2" xfId="38458"/>
    <cellStyle name="Comma 15 3 2 2 5 2 2" xfId="38459"/>
    <cellStyle name="Comma 15 3 2 2 5 2 3" xfId="38460"/>
    <cellStyle name="Comma 15 3 2 2 5 3" xfId="38461"/>
    <cellStyle name="Comma 15 3 2 2 5 3 2" xfId="38462"/>
    <cellStyle name="Comma 15 3 2 2 5 4" xfId="38463"/>
    <cellStyle name="Comma 15 3 2 2 5 5" xfId="38464"/>
    <cellStyle name="Comma 15 3 2 2 6" xfId="38465"/>
    <cellStyle name="Comma 15 3 2 2 6 2" xfId="38466"/>
    <cellStyle name="Comma 15 3 2 2 6 3" xfId="38467"/>
    <cellStyle name="Comma 15 3 2 2 7" xfId="38468"/>
    <cellStyle name="Comma 15 3 2 2 7 2" xfId="38469"/>
    <cellStyle name="Comma 15 3 2 2 7 3" xfId="38470"/>
    <cellStyle name="Comma 15 3 2 2 8" xfId="38471"/>
    <cellStyle name="Comma 15 3 2 2 8 2" xfId="38472"/>
    <cellStyle name="Comma 15 3 2 2 9" xfId="38473"/>
    <cellStyle name="Comma 15 3 2 3" xfId="38474"/>
    <cellStyle name="Comma 15 3 2 3 2" xfId="38475"/>
    <cellStyle name="Comma 15 3 2 3 2 2" xfId="38476"/>
    <cellStyle name="Comma 15 3 2 3 2 2 2" xfId="38477"/>
    <cellStyle name="Comma 15 3 2 3 2 2 3" xfId="38478"/>
    <cellStyle name="Comma 15 3 2 3 2 3" xfId="38479"/>
    <cellStyle name="Comma 15 3 2 3 2 3 2" xfId="38480"/>
    <cellStyle name="Comma 15 3 2 3 2 3 3" xfId="38481"/>
    <cellStyle name="Comma 15 3 2 3 2 4" xfId="38482"/>
    <cellStyle name="Comma 15 3 2 3 2 4 2" xfId="38483"/>
    <cellStyle name="Comma 15 3 2 3 2 5" xfId="38484"/>
    <cellStyle name="Comma 15 3 2 3 2 6" xfId="38485"/>
    <cellStyle name="Comma 15 3 2 3 3" xfId="38486"/>
    <cellStyle name="Comma 15 3 2 3 3 2" xfId="38487"/>
    <cellStyle name="Comma 15 3 2 3 3 2 2" xfId="38488"/>
    <cellStyle name="Comma 15 3 2 3 3 2 3" xfId="38489"/>
    <cellStyle name="Comma 15 3 2 3 3 3" xfId="38490"/>
    <cellStyle name="Comma 15 3 2 3 3 3 2" xfId="38491"/>
    <cellStyle name="Comma 15 3 2 3 3 3 3" xfId="38492"/>
    <cellStyle name="Comma 15 3 2 3 3 4" xfId="38493"/>
    <cellStyle name="Comma 15 3 2 3 3 4 2" xfId="38494"/>
    <cellStyle name="Comma 15 3 2 3 3 5" xfId="38495"/>
    <cellStyle name="Comma 15 3 2 3 3 6" xfId="38496"/>
    <cellStyle name="Comma 15 3 2 3 4" xfId="38497"/>
    <cellStyle name="Comma 15 3 2 3 4 2" xfId="38498"/>
    <cellStyle name="Comma 15 3 2 3 4 2 2" xfId="38499"/>
    <cellStyle name="Comma 15 3 2 3 4 2 3" xfId="38500"/>
    <cellStyle name="Comma 15 3 2 3 4 3" xfId="38501"/>
    <cellStyle name="Comma 15 3 2 3 4 3 2" xfId="38502"/>
    <cellStyle name="Comma 15 3 2 3 4 4" xfId="38503"/>
    <cellStyle name="Comma 15 3 2 3 4 5" xfId="38504"/>
    <cellStyle name="Comma 15 3 2 3 5" xfId="38505"/>
    <cellStyle name="Comma 15 3 2 3 5 2" xfId="38506"/>
    <cellStyle name="Comma 15 3 2 3 5 3" xfId="38507"/>
    <cellStyle name="Comma 15 3 2 3 6" xfId="38508"/>
    <cellStyle name="Comma 15 3 2 3 6 2" xfId="38509"/>
    <cellStyle name="Comma 15 3 2 3 6 3" xfId="38510"/>
    <cellStyle name="Comma 15 3 2 3 7" xfId="38511"/>
    <cellStyle name="Comma 15 3 2 3 7 2" xfId="38512"/>
    <cellStyle name="Comma 15 3 2 3 8" xfId="38513"/>
    <cellStyle name="Comma 15 3 2 3 9" xfId="38514"/>
    <cellStyle name="Comma 15 3 2 4" xfId="38515"/>
    <cellStyle name="Comma 15 3 2 4 2" xfId="38516"/>
    <cellStyle name="Comma 15 3 2 4 2 2" xfId="38517"/>
    <cellStyle name="Comma 15 3 2 4 2 2 2" xfId="38518"/>
    <cellStyle name="Comma 15 3 2 4 2 2 3" xfId="38519"/>
    <cellStyle name="Comma 15 3 2 4 2 3" xfId="38520"/>
    <cellStyle name="Comma 15 3 2 4 2 3 2" xfId="38521"/>
    <cellStyle name="Comma 15 3 2 4 2 3 3" xfId="38522"/>
    <cellStyle name="Comma 15 3 2 4 2 4" xfId="38523"/>
    <cellStyle name="Comma 15 3 2 4 2 4 2" xfId="38524"/>
    <cellStyle name="Comma 15 3 2 4 2 5" xfId="38525"/>
    <cellStyle name="Comma 15 3 2 4 2 6" xfId="38526"/>
    <cellStyle name="Comma 15 3 2 4 3" xfId="38527"/>
    <cellStyle name="Comma 15 3 2 4 3 2" xfId="38528"/>
    <cellStyle name="Comma 15 3 2 4 3 2 2" xfId="38529"/>
    <cellStyle name="Comma 15 3 2 4 3 2 3" xfId="38530"/>
    <cellStyle name="Comma 15 3 2 4 3 3" xfId="38531"/>
    <cellStyle name="Comma 15 3 2 4 3 3 2" xfId="38532"/>
    <cellStyle name="Comma 15 3 2 4 3 3 3" xfId="38533"/>
    <cellStyle name="Comma 15 3 2 4 3 4" xfId="38534"/>
    <cellStyle name="Comma 15 3 2 4 3 4 2" xfId="38535"/>
    <cellStyle name="Comma 15 3 2 4 3 5" xfId="38536"/>
    <cellStyle name="Comma 15 3 2 4 3 6" xfId="38537"/>
    <cellStyle name="Comma 15 3 2 4 4" xfId="38538"/>
    <cellStyle name="Comma 15 3 2 4 4 2" xfId="38539"/>
    <cellStyle name="Comma 15 3 2 4 4 2 2" xfId="38540"/>
    <cellStyle name="Comma 15 3 2 4 4 2 3" xfId="38541"/>
    <cellStyle name="Comma 15 3 2 4 4 3" xfId="38542"/>
    <cellStyle name="Comma 15 3 2 4 4 3 2" xfId="38543"/>
    <cellStyle name="Comma 15 3 2 4 4 4" xfId="38544"/>
    <cellStyle name="Comma 15 3 2 4 4 5" xfId="38545"/>
    <cellStyle name="Comma 15 3 2 4 5" xfId="38546"/>
    <cellStyle name="Comma 15 3 2 4 5 2" xfId="38547"/>
    <cellStyle name="Comma 15 3 2 4 5 3" xfId="38548"/>
    <cellStyle name="Comma 15 3 2 4 6" xfId="38549"/>
    <cellStyle name="Comma 15 3 2 4 6 2" xfId="38550"/>
    <cellStyle name="Comma 15 3 2 4 6 3" xfId="38551"/>
    <cellStyle name="Comma 15 3 2 4 7" xfId="38552"/>
    <cellStyle name="Comma 15 3 2 4 7 2" xfId="38553"/>
    <cellStyle name="Comma 15 3 2 4 8" xfId="38554"/>
    <cellStyle name="Comma 15 3 2 4 9" xfId="38555"/>
    <cellStyle name="Comma 15 3 2 5" xfId="38556"/>
    <cellStyle name="Comma 15 3 2 5 2" xfId="38557"/>
    <cellStyle name="Comma 15 3 2 5 2 2" xfId="38558"/>
    <cellStyle name="Comma 15 3 2 5 2 3" xfId="38559"/>
    <cellStyle name="Comma 15 3 2 5 3" xfId="38560"/>
    <cellStyle name="Comma 15 3 2 5 3 2" xfId="38561"/>
    <cellStyle name="Comma 15 3 2 5 3 3" xfId="38562"/>
    <cellStyle name="Comma 15 3 2 5 4" xfId="38563"/>
    <cellStyle name="Comma 15 3 2 5 4 2" xfId="38564"/>
    <cellStyle name="Comma 15 3 2 5 5" xfId="38565"/>
    <cellStyle name="Comma 15 3 2 5 6" xfId="38566"/>
    <cellStyle name="Comma 15 3 2 6" xfId="38567"/>
    <cellStyle name="Comma 15 3 2 6 2" xfId="38568"/>
    <cellStyle name="Comma 15 3 2 6 2 2" xfId="38569"/>
    <cellStyle name="Comma 15 3 2 6 2 3" xfId="38570"/>
    <cellStyle name="Comma 15 3 2 6 3" xfId="38571"/>
    <cellStyle name="Comma 15 3 2 6 3 2" xfId="38572"/>
    <cellStyle name="Comma 15 3 2 6 3 3" xfId="38573"/>
    <cellStyle name="Comma 15 3 2 6 4" xfId="38574"/>
    <cellStyle name="Comma 15 3 2 6 4 2" xfId="38575"/>
    <cellStyle name="Comma 15 3 2 6 5" xfId="38576"/>
    <cellStyle name="Comma 15 3 2 6 6" xfId="38577"/>
    <cellStyle name="Comma 15 3 2 7" xfId="38578"/>
    <cellStyle name="Comma 15 3 2 7 2" xfId="38579"/>
    <cellStyle name="Comma 15 3 2 7 2 2" xfId="38580"/>
    <cellStyle name="Comma 15 3 2 7 2 3" xfId="38581"/>
    <cellStyle name="Comma 15 3 2 7 3" xfId="38582"/>
    <cellStyle name="Comma 15 3 2 7 3 2" xfId="38583"/>
    <cellStyle name="Comma 15 3 2 7 4" xfId="38584"/>
    <cellStyle name="Comma 15 3 2 7 5" xfId="38585"/>
    <cellStyle name="Comma 15 3 2 8" xfId="38586"/>
    <cellStyle name="Comma 15 3 2 8 2" xfId="38587"/>
    <cellStyle name="Comma 15 3 2 8 3" xfId="38588"/>
    <cellStyle name="Comma 15 3 2 9" xfId="38589"/>
    <cellStyle name="Comma 15 3 2 9 2" xfId="38590"/>
    <cellStyle name="Comma 15 3 2 9 3" xfId="38591"/>
    <cellStyle name="Comma 15 3 3" xfId="38592"/>
    <cellStyle name="Comma 15 3 3 10" xfId="38593"/>
    <cellStyle name="Comma 15 3 3 2" xfId="38594"/>
    <cellStyle name="Comma 15 3 3 2 2" xfId="38595"/>
    <cellStyle name="Comma 15 3 3 2 2 2" xfId="38596"/>
    <cellStyle name="Comma 15 3 3 2 2 2 2" xfId="38597"/>
    <cellStyle name="Comma 15 3 3 2 2 2 3" xfId="38598"/>
    <cellStyle name="Comma 15 3 3 2 2 3" xfId="38599"/>
    <cellStyle name="Comma 15 3 3 2 2 3 2" xfId="38600"/>
    <cellStyle name="Comma 15 3 3 2 2 3 3" xfId="38601"/>
    <cellStyle name="Comma 15 3 3 2 2 4" xfId="38602"/>
    <cellStyle name="Comma 15 3 3 2 2 4 2" xfId="38603"/>
    <cellStyle name="Comma 15 3 3 2 2 5" xfId="38604"/>
    <cellStyle name="Comma 15 3 3 2 2 6" xfId="38605"/>
    <cellStyle name="Comma 15 3 3 2 3" xfId="38606"/>
    <cellStyle name="Comma 15 3 3 2 3 2" xfId="38607"/>
    <cellStyle name="Comma 15 3 3 2 3 2 2" xfId="38608"/>
    <cellStyle name="Comma 15 3 3 2 3 2 3" xfId="38609"/>
    <cellStyle name="Comma 15 3 3 2 3 3" xfId="38610"/>
    <cellStyle name="Comma 15 3 3 2 3 3 2" xfId="38611"/>
    <cellStyle name="Comma 15 3 3 2 3 3 3" xfId="38612"/>
    <cellStyle name="Comma 15 3 3 2 3 4" xfId="38613"/>
    <cellStyle name="Comma 15 3 3 2 3 4 2" xfId="38614"/>
    <cellStyle name="Comma 15 3 3 2 3 5" xfId="38615"/>
    <cellStyle name="Comma 15 3 3 2 3 6" xfId="38616"/>
    <cellStyle name="Comma 15 3 3 2 4" xfId="38617"/>
    <cellStyle name="Comma 15 3 3 2 4 2" xfId="38618"/>
    <cellStyle name="Comma 15 3 3 2 4 2 2" xfId="38619"/>
    <cellStyle name="Comma 15 3 3 2 4 2 3" xfId="38620"/>
    <cellStyle name="Comma 15 3 3 2 4 3" xfId="38621"/>
    <cellStyle name="Comma 15 3 3 2 4 3 2" xfId="38622"/>
    <cellStyle name="Comma 15 3 3 2 4 4" xfId="38623"/>
    <cellStyle name="Comma 15 3 3 2 4 5" xfId="38624"/>
    <cellStyle name="Comma 15 3 3 2 5" xfId="38625"/>
    <cellStyle name="Comma 15 3 3 2 5 2" xfId="38626"/>
    <cellStyle name="Comma 15 3 3 2 5 3" xfId="38627"/>
    <cellStyle name="Comma 15 3 3 2 6" xfId="38628"/>
    <cellStyle name="Comma 15 3 3 2 6 2" xfId="38629"/>
    <cellStyle name="Comma 15 3 3 2 6 3" xfId="38630"/>
    <cellStyle name="Comma 15 3 3 2 7" xfId="38631"/>
    <cellStyle name="Comma 15 3 3 2 7 2" xfId="38632"/>
    <cellStyle name="Comma 15 3 3 2 8" xfId="38633"/>
    <cellStyle name="Comma 15 3 3 2 9" xfId="38634"/>
    <cellStyle name="Comma 15 3 3 3" xfId="38635"/>
    <cellStyle name="Comma 15 3 3 3 2" xfId="38636"/>
    <cellStyle name="Comma 15 3 3 3 2 2" xfId="38637"/>
    <cellStyle name="Comma 15 3 3 3 2 3" xfId="38638"/>
    <cellStyle name="Comma 15 3 3 3 3" xfId="38639"/>
    <cellStyle name="Comma 15 3 3 3 3 2" xfId="38640"/>
    <cellStyle name="Comma 15 3 3 3 3 3" xfId="38641"/>
    <cellStyle name="Comma 15 3 3 3 4" xfId="38642"/>
    <cellStyle name="Comma 15 3 3 3 4 2" xfId="38643"/>
    <cellStyle name="Comma 15 3 3 3 5" xfId="38644"/>
    <cellStyle name="Comma 15 3 3 3 6" xfId="38645"/>
    <cellStyle name="Comma 15 3 3 4" xfId="38646"/>
    <cellStyle name="Comma 15 3 3 4 2" xfId="38647"/>
    <cellStyle name="Comma 15 3 3 4 2 2" xfId="38648"/>
    <cellStyle name="Comma 15 3 3 4 2 3" xfId="38649"/>
    <cellStyle name="Comma 15 3 3 4 3" xfId="38650"/>
    <cellStyle name="Comma 15 3 3 4 3 2" xfId="38651"/>
    <cellStyle name="Comma 15 3 3 4 3 3" xfId="38652"/>
    <cellStyle name="Comma 15 3 3 4 4" xfId="38653"/>
    <cellStyle name="Comma 15 3 3 4 4 2" xfId="38654"/>
    <cellStyle name="Comma 15 3 3 4 5" xfId="38655"/>
    <cellStyle name="Comma 15 3 3 4 6" xfId="38656"/>
    <cellStyle name="Comma 15 3 3 5" xfId="38657"/>
    <cellStyle name="Comma 15 3 3 5 2" xfId="38658"/>
    <cellStyle name="Comma 15 3 3 5 2 2" xfId="38659"/>
    <cellStyle name="Comma 15 3 3 5 2 3" xfId="38660"/>
    <cellStyle name="Comma 15 3 3 5 3" xfId="38661"/>
    <cellStyle name="Comma 15 3 3 5 3 2" xfId="38662"/>
    <cellStyle name="Comma 15 3 3 5 4" xfId="38663"/>
    <cellStyle name="Comma 15 3 3 5 5" xfId="38664"/>
    <cellStyle name="Comma 15 3 3 6" xfId="38665"/>
    <cellStyle name="Comma 15 3 3 6 2" xfId="38666"/>
    <cellStyle name="Comma 15 3 3 6 3" xfId="38667"/>
    <cellStyle name="Comma 15 3 3 7" xfId="38668"/>
    <cellStyle name="Comma 15 3 3 7 2" xfId="38669"/>
    <cellStyle name="Comma 15 3 3 7 3" xfId="38670"/>
    <cellStyle name="Comma 15 3 3 8" xfId="38671"/>
    <cellStyle name="Comma 15 3 3 8 2" xfId="38672"/>
    <cellStyle name="Comma 15 3 3 9" xfId="38673"/>
    <cellStyle name="Comma 15 3 4" xfId="38674"/>
    <cellStyle name="Comma 15 3 4 2" xfId="38675"/>
    <cellStyle name="Comma 15 3 4 2 2" xfId="38676"/>
    <cellStyle name="Comma 15 3 4 2 2 2" xfId="38677"/>
    <cellStyle name="Comma 15 3 4 2 2 3" xfId="38678"/>
    <cellStyle name="Comma 15 3 4 2 3" xfId="38679"/>
    <cellStyle name="Comma 15 3 4 2 3 2" xfId="38680"/>
    <cellStyle name="Comma 15 3 4 2 3 3" xfId="38681"/>
    <cellStyle name="Comma 15 3 4 2 4" xfId="38682"/>
    <cellStyle name="Comma 15 3 4 2 4 2" xfId="38683"/>
    <cellStyle name="Comma 15 3 4 2 5" xfId="38684"/>
    <cellStyle name="Comma 15 3 4 2 6" xfId="38685"/>
    <cellStyle name="Comma 15 3 4 3" xfId="38686"/>
    <cellStyle name="Comma 15 3 4 3 2" xfId="38687"/>
    <cellStyle name="Comma 15 3 4 3 2 2" xfId="38688"/>
    <cellStyle name="Comma 15 3 4 3 2 3" xfId="38689"/>
    <cellStyle name="Comma 15 3 4 3 3" xfId="38690"/>
    <cellStyle name="Comma 15 3 4 3 3 2" xfId="38691"/>
    <cellStyle name="Comma 15 3 4 3 3 3" xfId="38692"/>
    <cellStyle name="Comma 15 3 4 3 4" xfId="38693"/>
    <cellStyle name="Comma 15 3 4 3 4 2" xfId="38694"/>
    <cellStyle name="Comma 15 3 4 3 5" xfId="38695"/>
    <cellStyle name="Comma 15 3 4 3 6" xfId="38696"/>
    <cellStyle name="Comma 15 3 4 4" xfId="38697"/>
    <cellStyle name="Comma 15 3 4 4 2" xfId="38698"/>
    <cellStyle name="Comma 15 3 4 4 2 2" xfId="38699"/>
    <cellStyle name="Comma 15 3 4 4 2 3" xfId="38700"/>
    <cellStyle name="Comma 15 3 4 4 3" xfId="38701"/>
    <cellStyle name="Comma 15 3 4 4 3 2" xfId="38702"/>
    <cellStyle name="Comma 15 3 4 4 4" xfId="38703"/>
    <cellStyle name="Comma 15 3 4 4 5" xfId="38704"/>
    <cellStyle name="Comma 15 3 4 5" xfId="38705"/>
    <cellStyle name="Comma 15 3 4 5 2" xfId="38706"/>
    <cellStyle name="Comma 15 3 4 5 3" xfId="38707"/>
    <cellStyle name="Comma 15 3 4 6" xfId="38708"/>
    <cellStyle name="Comma 15 3 4 6 2" xfId="38709"/>
    <cellStyle name="Comma 15 3 4 6 3" xfId="38710"/>
    <cellStyle name="Comma 15 3 4 7" xfId="38711"/>
    <cellStyle name="Comma 15 3 4 7 2" xfId="38712"/>
    <cellStyle name="Comma 15 3 4 8" xfId="38713"/>
    <cellStyle name="Comma 15 3 4 9" xfId="38714"/>
    <cellStyle name="Comma 15 3 5" xfId="38715"/>
    <cellStyle name="Comma 15 3 5 2" xfId="38716"/>
    <cellStyle name="Comma 15 3 5 2 2" xfId="38717"/>
    <cellStyle name="Comma 15 3 5 2 2 2" xfId="38718"/>
    <cellStyle name="Comma 15 3 5 2 2 3" xfId="38719"/>
    <cellStyle name="Comma 15 3 5 2 3" xfId="38720"/>
    <cellStyle name="Comma 15 3 5 2 3 2" xfId="38721"/>
    <cellStyle name="Comma 15 3 5 2 3 3" xfId="38722"/>
    <cellStyle name="Comma 15 3 5 2 4" xfId="38723"/>
    <cellStyle name="Comma 15 3 5 2 4 2" xfId="38724"/>
    <cellStyle name="Comma 15 3 5 2 5" xfId="38725"/>
    <cellStyle name="Comma 15 3 5 2 6" xfId="38726"/>
    <cellStyle name="Comma 15 3 5 3" xfId="38727"/>
    <cellStyle name="Comma 15 3 5 3 2" xfId="38728"/>
    <cellStyle name="Comma 15 3 5 3 2 2" xfId="38729"/>
    <cellStyle name="Comma 15 3 5 3 2 3" xfId="38730"/>
    <cellStyle name="Comma 15 3 5 3 3" xfId="38731"/>
    <cellStyle name="Comma 15 3 5 3 3 2" xfId="38732"/>
    <cellStyle name="Comma 15 3 5 3 3 3" xfId="38733"/>
    <cellStyle name="Comma 15 3 5 3 4" xfId="38734"/>
    <cellStyle name="Comma 15 3 5 3 4 2" xfId="38735"/>
    <cellStyle name="Comma 15 3 5 3 5" xfId="38736"/>
    <cellStyle name="Comma 15 3 5 3 6" xfId="38737"/>
    <cellStyle name="Comma 15 3 5 4" xfId="38738"/>
    <cellStyle name="Comma 15 3 5 4 2" xfId="38739"/>
    <cellStyle name="Comma 15 3 5 4 2 2" xfId="38740"/>
    <cellStyle name="Comma 15 3 5 4 2 3" xfId="38741"/>
    <cellStyle name="Comma 15 3 5 4 3" xfId="38742"/>
    <cellStyle name="Comma 15 3 5 4 3 2" xfId="38743"/>
    <cellStyle name="Comma 15 3 5 4 4" xfId="38744"/>
    <cellStyle name="Comma 15 3 5 4 5" xfId="38745"/>
    <cellStyle name="Comma 15 3 5 5" xfId="38746"/>
    <cellStyle name="Comma 15 3 5 5 2" xfId="38747"/>
    <cellStyle name="Comma 15 3 5 5 3" xfId="38748"/>
    <cellStyle name="Comma 15 3 5 6" xfId="38749"/>
    <cellStyle name="Comma 15 3 5 6 2" xfId="38750"/>
    <cellStyle name="Comma 15 3 5 6 3" xfId="38751"/>
    <cellStyle name="Comma 15 3 5 7" xfId="38752"/>
    <cellStyle name="Comma 15 3 5 7 2" xfId="38753"/>
    <cellStyle name="Comma 15 3 5 8" xfId="38754"/>
    <cellStyle name="Comma 15 3 5 9" xfId="38755"/>
    <cellStyle name="Comma 15 3 6" xfId="38756"/>
    <cellStyle name="Comma 15 3 6 2" xfId="38757"/>
    <cellStyle name="Comma 15 3 6 2 2" xfId="38758"/>
    <cellStyle name="Comma 15 3 6 2 3" xfId="38759"/>
    <cellStyle name="Comma 15 3 6 3" xfId="38760"/>
    <cellStyle name="Comma 15 3 6 3 2" xfId="38761"/>
    <cellStyle name="Comma 15 3 6 3 3" xfId="38762"/>
    <cellStyle name="Comma 15 3 6 4" xfId="38763"/>
    <cellStyle name="Comma 15 3 6 4 2" xfId="38764"/>
    <cellStyle name="Comma 15 3 6 5" xfId="38765"/>
    <cellStyle name="Comma 15 3 6 6" xfId="38766"/>
    <cellStyle name="Comma 15 3 7" xfId="38767"/>
    <cellStyle name="Comma 15 3 7 2" xfId="38768"/>
    <cellStyle name="Comma 15 3 7 2 2" xfId="38769"/>
    <cellStyle name="Comma 15 3 7 2 3" xfId="38770"/>
    <cellStyle name="Comma 15 3 7 3" xfId="38771"/>
    <cellStyle name="Comma 15 3 7 3 2" xfId="38772"/>
    <cellStyle name="Comma 15 3 7 3 3" xfId="38773"/>
    <cellStyle name="Comma 15 3 7 4" xfId="38774"/>
    <cellStyle name="Comma 15 3 7 4 2" xfId="38775"/>
    <cellStyle name="Comma 15 3 7 5" xfId="38776"/>
    <cellStyle name="Comma 15 3 7 6" xfId="38777"/>
    <cellStyle name="Comma 15 3 8" xfId="38778"/>
    <cellStyle name="Comma 15 3 8 2" xfId="38779"/>
    <cellStyle name="Comma 15 3 8 2 2" xfId="38780"/>
    <cellStyle name="Comma 15 3 8 2 3" xfId="38781"/>
    <cellStyle name="Comma 15 3 8 3" xfId="38782"/>
    <cellStyle name="Comma 15 3 8 3 2" xfId="38783"/>
    <cellStyle name="Comma 15 3 8 4" xfId="38784"/>
    <cellStyle name="Comma 15 3 8 5" xfId="38785"/>
    <cellStyle name="Comma 15 3 9" xfId="38786"/>
    <cellStyle name="Comma 15 3 9 2" xfId="38787"/>
    <cellStyle name="Comma 15 3 9 3" xfId="38788"/>
    <cellStyle name="Comma 15 4" xfId="38789"/>
    <cellStyle name="Comma 15 4 10" xfId="38790"/>
    <cellStyle name="Comma 15 4 10 2" xfId="38791"/>
    <cellStyle name="Comma 15 4 11" xfId="38792"/>
    <cellStyle name="Comma 15 4 12" xfId="38793"/>
    <cellStyle name="Comma 15 4 2" xfId="38794"/>
    <cellStyle name="Comma 15 4 2 10" xfId="38795"/>
    <cellStyle name="Comma 15 4 2 2" xfId="38796"/>
    <cellStyle name="Comma 15 4 2 2 2" xfId="38797"/>
    <cellStyle name="Comma 15 4 2 2 2 2" xfId="38798"/>
    <cellStyle name="Comma 15 4 2 2 2 2 2" xfId="38799"/>
    <cellStyle name="Comma 15 4 2 2 2 2 3" xfId="38800"/>
    <cellStyle name="Comma 15 4 2 2 2 3" xfId="38801"/>
    <cellStyle name="Comma 15 4 2 2 2 3 2" xfId="38802"/>
    <cellStyle name="Comma 15 4 2 2 2 3 3" xfId="38803"/>
    <cellStyle name="Comma 15 4 2 2 2 4" xfId="38804"/>
    <cellStyle name="Comma 15 4 2 2 2 4 2" xfId="38805"/>
    <cellStyle name="Comma 15 4 2 2 2 5" xfId="38806"/>
    <cellStyle name="Comma 15 4 2 2 2 6" xfId="38807"/>
    <cellStyle name="Comma 15 4 2 2 3" xfId="38808"/>
    <cellStyle name="Comma 15 4 2 2 3 2" xfId="38809"/>
    <cellStyle name="Comma 15 4 2 2 3 2 2" xfId="38810"/>
    <cellStyle name="Comma 15 4 2 2 3 2 3" xfId="38811"/>
    <cellStyle name="Comma 15 4 2 2 3 3" xfId="38812"/>
    <cellStyle name="Comma 15 4 2 2 3 3 2" xfId="38813"/>
    <cellStyle name="Comma 15 4 2 2 3 3 3" xfId="38814"/>
    <cellStyle name="Comma 15 4 2 2 3 4" xfId="38815"/>
    <cellStyle name="Comma 15 4 2 2 3 4 2" xfId="38816"/>
    <cellStyle name="Comma 15 4 2 2 3 5" xfId="38817"/>
    <cellStyle name="Comma 15 4 2 2 3 6" xfId="38818"/>
    <cellStyle name="Comma 15 4 2 2 4" xfId="38819"/>
    <cellStyle name="Comma 15 4 2 2 4 2" xfId="38820"/>
    <cellStyle name="Comma 15 4 2 2 4 2 2" xfId="38821"/>
    <cellStyle name="Comma 15 4 2 2 4 2 3" xfId="38822"/>
    <cellStyle name="Comma 15 4 2 2 4 3" xfId="38823"/>
    <cellStyle name="Comma 15 4 2 2 4 3 2" xfId="38824"/>
    <cellStyle name="Comma 15 4 2 2 4 4" xfId="38825"/>
    <cellStyle name="Comma 15 4 2 2 4 5" xfId="38826"/>
    <cellStyle name="Comma 15 4 2 2 5" xfId="38827"/>
    <cellStyle name="Comma 15 4 2 2 5 2" xfId="38828"/>
    <cellStyle name="Comma 15 4 2 2 5 3" xfId="38829"/>
    <cellStyle name="Comma 15 4 2 2 6" xfId="38830"/>
    <cellStyle name="Comma 15 4 2 2 6 2" xfId="38831"/>
    <cellStyle name="Comma 15 4 2 2 6 3" xfId="38832"/>
    <cellStyle name="Comma 15 4 2 2 7" xfId="38833"/>
    <cellStyle name="Comma 15 4 2 2 7 2" xfId="38834"/>
    <cellStyle name="Comma 15 4 2 2 8" xfId="38835"/>
    <cellStyle name="Comma 15 4 2 2 9" xfId="38836"/>
    <cellStyle name="Comma 15 4 2 3" xfId="38837"/>
    <cellStyle name="Comma 15 4 2 3 2" xfId="38838"/>
    <cellStyle name="Comma 15 4 2 3 2 2" xfId="38839"/>
    <cellStyle name="Comma 15 4 2 3 2 3" xfId="38840"/>
    <cellStyle name="Comma 15 4 2 3 3" xfId="38841"/>
    <cellStyle name="Comma 15 4 2 3 3 2" xfId="38842"/>
    <cellStyle name="Comma 15 4 2 3 3 3" xfId="38843"/>
    <cellStyle name="Comma 15 4 2 3 4" xfId="38844"/>
    <cellStyle name="Comma 15 4 2 3 4 2" xfId="38845"/>
    <cellStyle name="Comma 15 4 2 3 5" xfId="38846"/>
    <cellStyle name="Comma 15 4 2 3 6" xfId="38847"/>
    <cellStyle name="Comma 15 4 2 4" xfId="38848"/>
    <cellStyle name="Comma 15 4 2 4 2" xfId="38849"/>
    <cellStyle name="Comma 15 4 2 4 2 2" xfId="38850"/>
    <cellStyle name="Comma 15 4 2 4 2 3" xfId="38851"/>
    <cellStyle name="Comma 15 4 2 4 3" xfId="38852"/>
    <cellStyle name="Comma 15 4 2 4 3 2" xfId="38853"/>
    <cellStyle name="Comma 15 4 2 4 3 3" xfId="38854"/>
    <cellStyle name="Comma 15 4 2 4 4" xfId="38855"/>
    <cellStyle name="Comma 15 4 2 4 4 2" xfId="38856"/>
    <cellStyle name="Comma 15 4 2 4 5" xfId="38857"/>
    <cellStyle name="Comma 15 4 2 4 6" xfId="38858"/>
    <cellStyle name="Comma 15 4 2 5" xfId="38859"/>
    <cellStyle name="Comma 15 4 2 5 2" xfId="38860"/>
    <cellStyle name="Comma 15 4 2 5 2 2" xfId="38861"/>
    <cellStyle name="Comma 15 4 2 5 2 3" xfId="38862"/>
    <cellStyle name="Comma 15 4 2 5 3" xfId="38863"/>
    <cellStyle name="Comma 15 4 2 5 3 2" xfId="38864"/>
    <cellStyle name="Comma 15 4 2 5 4" xfId="38865"/>
    <cellStyle name="Comma 15 4 2 5 5" xfId="38866"/>
    <cellStyle name="Comma 15 4 2 6" xfId="38867"/>
    <cellStyle name="Comma 15 4 2 6 2" xfId="38868"/>
    <cellStyle name="Comma 15 4 2 6 3" xfId="38869"/>
    <cellStyle name="Comma 15 4 2 7" xfId="38870"/>
    <cellStyle name="Comma 15 4 2 7 2" xfId="38871"/>
    <cellStyle name="Comma 15 4 2 7 3" xfId="38872"/>
    <cellStyle name="Comma 15 4 2 8" xfId="38873"/>
    <cellStyle name="Comma 15 4 2 8 2" xfId="38874"/>
    <cellStyle name="Comma 15 4 2 9" xfId="38875"/>
    <cellStyle name="Comma 15 4 3" xfId="38876"/>
    <cellStyle name="Comma 15 4 3 2" xfId="38877"/>
    <cellStyle name="Comma 15 4 3 2 2" xfId="38878"/>
    <cellStyle name="Comma 15 4 3 2 2 2" xfId="38879"/>
    <cellStyle name="Comma 15 4 3 2 2 3" xfId="38880"/>
    <cellStyle name="Comma 15 4 3 2 3" xfId="38881"/>
    <cellStyle name="Comma 15 4 3 2 3 2" xfId="38882"/>
    <cellStyle name="Comma 15 4 3 2 3 3" xfId="38883"/>
    <cellStyle name="Comma 15 4 3 2 4" xfId="38884"/>
    <cellStyle name="Comma 15 4 3 2 4 2" xfId="38885"/>
    <cellStyle name="Comma 15 4 3 2 5" xfId="38886"/>
    <cellStyle name="Comma 15 4 3 2 6" xfId="38887"/>
    <cellStyle name="Comma 15 4 3 3" xfId="38888"/>
    <cellStyle name="Comma 15 4 3 3 2" xfId="38889"/>
    <cellStyle name="Comma 15 4 3 3 2 2" xfId="38890"/>
    <cellStyle name="Comma 15 4 3 3 2 3" xfId="38891"/>
    <cellStyle name="Comma 15 4 3 3 3" xfId="38892"/>
    <cellStyle name="Comma 15 4 3 3 3 2" xfId="38893"/>
    <cellStyle name="Comma 15 4 3 3 3 3" xfId="38894"/>
    <cellStyle name="Comma 15 4 3 3 4" xfId="38895"/>
    <cellStyle name="Comma 15 4 3 3 4 2" xfId="38896"/>
    <cellStyle name="Comma 15 4 3 3 5" xfId="38897"/>
    <cellStyle name="Comma 15 4 3 3 6" xfId="38898"/>
    <cellStyle name="Comma 15 4 3 4" xfId="38899"/>
    <cellStyle name="Comma 15 4 3 4 2" xfId="38900"/>
    <cellStyle name="Comma 15 4 3 4 2 2" xfId="38901"/>
    <cellStyle name="Comma 15 4 3 4 2 3" xfId="38902"/>
    <cellStyle name="Comma 15 4 3 4 3" xfId="38903"/>
    <cellStyle name="Comma 15 4 3 4 3 2" xfId="38904"/>
    <cellStyle name="Comma 15 4 3 4 4" xfId="38905"/>
    <cellStyle name="Comma 15 4 3 4 5" xfId="38906"/>
    <cellStyle name="Comma 15 4 3 5" xfId="38907"/>
    <cellStyle name="Comma 15 4 3 5 2" xfId="38908"/>
    <cellStyle name="Comma 15 4 3 5 3" xfId="38909"/>
    <cellStyle name="Comma 15 4 3 6" xfId="38910"/>
    <cellStyle name="Comma 15 4 3 6 2" xfId="38911"/>
    <cellStyle name="Comma 15 4 3 6 3" xfId="38912"/>
    <cellStyle name="Comma 15 4 3 7" xfId="38913"/>
    <cellStyle name="Comma 15 4 3 7 2" xfId="38914"/>
    <cellStyle name="Comma 15 4 3 8" xfId="38915"/>
    <cellStyle name="Comma 15 4 3 9" xfId="38916"/>
    <cellStyle name="Comma 15 4 4" xfId="38917"/>
    <cellStyle name="Comma 15 4 4 2" xfId="38918"/>
    <cellStyle name="Comma 15 4 4 2 2" xfId="38919"/>
    <cellStyle name="Comma 15 4 4 2 2 2" xfId="38920"/>
    <cellStyle name="Comma 15 4 4 2 2 3" xfId="38921"/>
    <cellStyle name="Comma 15 4 4 2 3" xfId="38922"/>
    <cellStyle name="Comma 15 4 4 2 3 2" xfId="38923"/>
    <cellStyle name="Comma 15 4 4 2 3 3" xfId="38924"/>
    <cellStyle name="Comma 15 4 4 2 4" xfId="38925"/>
    <cellStyle name="Comma 15 4 4 2 4 2" xfId="38926"/>
    <cellStyle name="Comma 15 4 4 2 5" xfId="38927"/>
    <cellStyle name="Comma 15 4 4 2 6" xfId="38928"/>
    <cellStyle name="Comma 15 4 4 3" xfId="38929"/>
    <cellStyle name="Comma 15 4 4 3 2" xfId="38930"/>
    <cellStyle name="Comma 15 4 4 3 2 2" xfId="38931"/>
    <cellStyle name="Comma 15 4 4 3 2 3" xfId="38932"/>
    <cellStyle name="Comma 15 4 4 3 3" xfId="38933"/>
    <cellStyle name="Comma 15 4 4 3 3 2" xfId="38934"/>
    <cellStyle name="Comma 15 4 4 3 3 3" xfId="38935"/>
    <cellStyle name="Comma 15 4 4 3 4" xfId="38936"/>
    <cellStyle name="Comma 15 4 4 3 4 2" xfId="38937"/>
    <cellStyle name="Comma 15 4 4 3 5" xfId="38938"/>
    <cellStyle name="Comma 15 4 4 3 6" xfId="38939"/>
    <cellStyle name="Comma 15 4 4 4" xfId="38940"/>
    <cellStyle name="Comma 15 4 4 4 2" xfId="38941"/>
    <cellStyle name="Comma 15 4 4 4 2 2" xfId="38942"/>
    <cellStyle name="Comma 15 4 4 4 2 3" xfId="38943"/>
    <cellStyle name="Comma 15 4 4 4 3" xfId="38944"/>
    <cellStyle name="Comma 15 4 4 4 3 2" xfId="38945"/>
    <cellStyle name="Comma 15 4 4 4 4" xfId="38946"/>
    <cellStyle name="Comma 15 4 4 4 5" xfId="38947"/>
    <cellStyle name="Comma 15 4 4 5" xfId="38948"/>
    <cellStyle name="Comma 15 4 4 5 2" xfId="38949"/>
    <cellStyle name="Comma 15 4 4 5 3" xfId="38950"/>
    <cellStyle name="Comma 15 4 4 6" xfId="38951"/>
    <cellStyle name="Comma 15 4 4 6 2" xfId="38952"/>
    <cellStyle name="Comma 15 4 4 6 3" xfId="38953"/>
    <cellStyle name="Comma 15 4 4 7" xfId="38954"/>
    <cellStyle name="Comma 15 4 4 7 2" xfId="38955"/>
    <cellStyle name="Comma 15 4 4 8" xfId="38956"/>
    <cellStyle name="Comma 15 4 4 9" xfId="38957"/>
    <cellStyle name="Comma 15 4 5" xfId="38958"/>
    <cellStyle name="Comma 15 4 5 2" xfId="38959"/>
    <cellStyle name="Comma 15 4 5 2 2" xfId="38960"/>
    <cellStyle name="Comma 15 4 5 2 3" xfId="38961"/>
    <cellStyle name="Comma 15 4 5 3" xfId="38962"/>
    <cellStyle name="Comma 15 4 5 3 2" xfId="38963"/>
    <cellStyle name="Comma 15 4 5 3 3" xfId="38964"/>
    <cellStyle name="Comma 15 4 5 4" xfId="38965"/>
    <cellStyle name="Comma 15 4 5 4 2" xfId="38966"/>
    <cellStyle name="Comma 15 4 5 5" xfId="38967"/>
    <cellStyle name="Comma 15 4 5 6" xfId="38968"/>
    <cellStyle name="Comma 15 4 6" xfId="38969"/>
    <cellStyle name="Comma 15 4 6 2" xfId="38970"/>
    <cellStyle name="Comma 15 4 6 2 2" xfId="38971"/>
    <cellStyle name="Comma 15 4 6 2 3" xfId="38972"/>
    <cellStyle name="Comma 15 4 6 3" xfId="38973"/>
    <cellStyle name="Comma 15 4 6 3 2" xfId="38974"/>
    <cellStyle name="Comma 15 4 6 3 3" xfId="38975"/>
    <cellStyle name="Comma 15 4 6 4" xfId="38976"/>
    <cellStyle name="Comma 15 4 6 4 2" xfId="38977"/>
    <cellStyle name="Comma 15 4 6 5" xfId="38978"/>
    <cellStyle name="Comma 15 4 6 6" xfId="38979"/>
    <cellStyle name="Comma 15 4 7" xfId="38980"/>
    <cellStyle name="Comma 15 4 7 2" xfId="38981"/>
    <cellStyle name="Comma 15 4 7 2 2" xfId="38982"/>
    <cellStyle name="Comma 15 4 7 2 3" xfId="38983"/>
    <cellStyle name="Comma 15 4 7 3" xfId="38984"/>
    <cellStyle name="Comma 15 4 7 3 2" xfId="38985"/>
    <cellStyle name="Comma 15 4 7 4" xfId="38986"/>
    <cellStyle name="Comma 15 4 7 5" xfId="38987"/>
    <cellStyle name="Comma 15 4 8" xfId="38988"/>
    <cellStyle name="Comma 15 4 8 2" xfId="38989"/>
    <cellStyle name="Comma 15 4 8 3" xfId="38990"/>
    <cellStyle name="Comma 15 4 9" xfId="38991"/>
    <cellStyle name="Comma 15 4 9 2" xfId="38992"/>
    <cellStyle name="Comma 15 4 9 3" xfId="38993"/>
    <cellStyle name="Comma 15 5" xfId="38994"/>
    <cellStyle name="Comma 15 5 10" xfId="38995"/>
    <cellStyle name="Comma 15 5 2" xfId="38996"/>
    <cellStyle name="Comma 15 5 2 2" xfId="38997"/>
    <cellStyle name="Comma 15 5 2 2 2" xfId="38998"/>
    <cellStyle name="Comma 15 5 2 2 2 2" xfId="38999"/>
    <cellStyle name="Comma 15 5 2 2 2 3" xfId="39000"/>
    <cellStyle name="Comma 15 5 2 2 3" xfId="39001"/>
    <cellStyle name="Comma 15 5 2 2 3 2" xfId="39002"/>
    <cellStyle name="Comma 15 5 2 2 3 3" xfId="39003"/>
    <cellStyle name="Comma 15 5 2 2 4" xfId="39004"/>
    <cellStyle name="Comma 15 5 2 2 4 2" xfId="39005"/>
    <cellStyle name="Comma 15 5 2 2 5" xfId="39006"/>
    <cellStyle name="Comma 15 5 2 2 6" xfId="39007"/>
    <cellStyle name="Comma 15 5 2 3" xfId="39008"/>
    <cellStyle name="Comma 15 5 2 3 2" xfId="39009"/>
    <cellStyle name="Comma 15 5 2 3 2 2" xfId="39010"/>
    <cellStyle name="Comma 15 5 2 3 2 3" xfId="39011"/>
    <cellStyle name="Comma 15 5 2 3 3" xfId="39012"/>
    <cellStyle name="Comma 15 5 2 3 3 2" xfId="39013"/>
    <cellStyle name="Comma 15 5 2 3 3 3" xfId="39014"/>
    <cellStyle name="Comma 15 5 2 3 4" xfId="39015"/>
    <cellStyle name="Comma 15 5 2 3 4 2" xfId="39016"/>
    <cellStyle name="Comma 15 5 2 3 5" xfId="39017"/>
    <cellStyle name="Comma 15 5 2 3 6" xfId="39018"/>
    <cellStyle name="Comma 15 5 2 4" xfId="39019"/>
    <cellStyle name="Comma 15 5 2 4 2" xfId="39020"/>
    <cellStyle name="Comma 15 5 2 4 2 2" xfId="39021"/>
    <cellStyle name="Comma 15 5 2 4 2 3" xfId="39022"/>
    <cellStyle name="Comma 15 5 2 4 3" xfId="39023"/>
    <cellStyle name="Comma 15 5 2 4 3 2" xfId="39024"/>
    <cellStyle name="Comma 15 5 2 4 4" xfId="39025"/>
    <cellStyle name="Comma 15 5 2 4 5" xfId="39026"/>
    <cellStyle name="Comma 15 5 2 5" xfId="39027"/>
    <cellStyle name="Comma 15 5 2 5 2" xfId="39028"/>
    <cellStyle name="Comma 15 5 2 5 3" xfId="39029"/>
    <cellStyle name="Comma 15 5 2 6" xfId="39030"/>
    <cellStyle name="Comma 15 5 2 6 2" xfId="39031"/>
    <cellStyle name="Comma 15 5 2 6 3" xfId="39032"/>
    <cellStyle name="Comma 15 5 2 7" xfId="39033"/>
    <cellStyle name="Comma 15 5 2 7 2" xfId="39034"/>
    <cellStyle name="Comma 15 5 2 8" xfId="39035"/>
    <cellStyle name="Comma 15 5 2 9" xfId="39036"/>
    <cellStyle name="Comma 15 5 3" xfId="39037"/>
    <cellStyle name="Comma 15 5 3 2" xfId="39038"/>
    <cellStyle name="Comma 15 5 3 2 2" xfId="39039"/>
    <cellStyle name="Comma 15 5 3 2 3" xfId="39040"/>
    <cellStyle name="Comma 15 5 3 3" xfId="39041"/>
    <cellStyle name="Comma 15 5 3 3 2" xfId="39042"/>
    <cellStyle name="Comma 15 5 3 3 3" xfId="39043"/>
    <cellStyle name="Comma 15 5 3 4" xfId="39044"/>
    <cellStyle name="Comma 15 5 3 4 2" xfId="39045"/>
    <cellStyle name="Comma 15 5 3 5" xfId="39046"/>
    <cellStyle name="Comma 15 5 3 6" xfId="39047"/>
    <cellStyle name="Comma 15 5 4" xfId="39048"/>
    <cellStyle name="Comma 15 5 4 2" xfId="39049"/>
    <cellStyle name="Comma 15 5 4 2 2" xfId="39050"/>
    <cellStyle name="Comma 15 5 4 2 3" xfId="39051"/>
    <cellStyle name="Comma 15 5 4 3" xfId="39052"/>
    <cellStyle name="Comma 15 5 4 3 2" xfId="39053"/>
    <cellStyle name="Comma 15 5 4 3 3" xfId="39054"/>
    <cellStyle name="Comma 15 5 4 4" xfId="39055"/>
    <cellStyle name="Comma 15 5 4 4 2" xfId="39056"/>
    <cellStyle name="Comma 15 5 4 5" xfId="39057"/>
    <cellStyle name="Comma 15 5 4 6" xfId="39058"/>
    <cellStyle name="Comma 15 5 5" xfId="39059"/>
    <cellStyle name="Comma 15 5 5 2" xfId="39060"/>
    <cellStyle name="Comma 15 5 5 2 2" xfId="39061"/>
    <cellStyle name="Comma 15 5 5 2 3" xfId="39062"/>
    <cellStyle name="Comma 15 5 5 3" xfId="39063"/>
    <cellStyle name="Comma 15 5 5 3 2" xfId="39064"/>
    <cellStyle name="Comma 15 5 5 4" xfId="39065"/>
    <cellStyle name="Comma 15 5 5 5" xfId="39066"/>
    <cellStyle name="Comma 15 5 6" xfId="39067"/>
    <cellStyle name="Comma 15 5 6 2" xfId="39068"/>
    <cellStyle name="Comma 15 5 6 3" xfId="39069"/>
    <cellStyle name="Comma 15 5 7" xfId="39070"/>
    <cellStyle name="Comma 15 5 7 2" xfId="39071"/>
    <cellStyle name="Comma 15 5 7 3" xfId="39072"/>
    <cellStyle name="Comma 15 5 8" xfId="39073"/>
    <cellStyle name="Comma 15 5 8 2" xfId="39074"/>
    <cellStyle name="Comma 15 5 9" xfId="39075"/>
    <cellStyle name="Comma 15 6" xfId="39076"/>
    <cellStyle name="Comma 15 6 2" xfId="39077"/>
    <cellStyle name="Comma 15 6 2 2" xfId="39078"/>
    <cellStyle name="Comma 15 6 2 2 2" xfId="39079"/>
    <cellStyle name="Comma 15 6 2 2 3" xfId="39080"/>
    <cellStyle name="Comma 15 6 2 3" xfId="39081"/>
    <cellStyle name="Comma 15 6 2 3 2" xfId="39082"/>
    <cellStyle name="Comma 15 6 2 3 3" xfId="39083"/>
    <cellStyle name="Comma 15 6 2 4" xfId="39084"/>
    <cellStyle name="Comma 15 6 2 4 2" xfId="39085"/>
    <cellStyle name="Comma 15 6 2 5" xfId="39086"/>
    <cellStyle name="Comma 15 6 2 6" xfId="39087"/>
    <cellStyle name="Comma 15 6 3" xfId="39088"/>
    <cellStyle name="Comma 15 6 3 2" xfId="39089"/>
    <cellStyle name="Comma 15 6 3 2 2" xfId="39090"/>
    <cellStyle name="Comma 15 6 3 2 3" xfId="39091"/>
    <cellStyle name="Comma 15 6 3 3" xfId="39092"/>
    <cellStyle name="Comma 15 6 3 3 2" xfId="39093"/>
    <cellStyle name="Comma 15 6 3 3 3" xfId="39094"/>
    <cellStyle name="Comma 15 6 3 4" xfId="39095"/>
    <cellStyle name="Comma 15 6 3 4 2" xfId="39096"/>
    <cellStyle name="Comma 15 6 3 5" xfId="39097"/>
    <cellStyle name="Comma 15 6 3 6" xfId="39098"/>
    <cellStyle name="Comma 15 6 4" xfId="39099"/>
    <cellStyle name="Comma 15 6 4 2" xfId="39100"/>
    <cellStyle name="Comma 15 6 4 2 2" xfId="39101"/>
    <cellStyle name="Comma 15 6 4 2 3" xfId="39102"/>
    <cellStyle name="Comma 15 6 4 3" xfId="39103"/>
    <cellStyle name="Comma 15 6 4 3 2" xfId="39104"/>
    <cellStyle name="Comma 15 6 4 4" xfId="39105"/>
    <cellStyle name="Comma 15 6 4 5" xfId="39106"/>
    <cellStyle name="Comma 15 6 5" xfId="39107"/>
    <cellStyle name="Comma 15 6 5 2" xfId="39108"/>
    <cellStyle name="Comma 15 6 5 3" xfId="39109"/>
    <cellStyle name="Comma 15 6 6" xfId="39110"/>
    <cellStyle name="Comma 15 6 6 2" xfId="39111"/>
    <cellStyle name="Comma 15 6 6 3" xfId="39112"/>
    <cellStyle name="Comma 15 6 7" xfId="39113"/>
    <cellStyle name="Comma 15 6 7 2" xfId="39114"/>
    <cellStyle name="Comma 15 6 8" xfId="39115"/>
    <cellStyle name="Comma 15 6 9" xfId="39116"/>
    <cellStyle name="Comma 15 7" xfId="39117"/>
    <cellStyle name="Comma 15 7 2" xfId="39118"/>
    <cellStyle name="Comma 15 7 2 2" xfId="39119"/>
    <cellStyle name="Comma 15 7 2 2 2" xfId="39120"/>
    <cellStyle name="Comma 15 7 2 2 3" xfId="39121"/>
    <cellStyle name="Comma 15 7 2 3" xfId="39122"/>
    <cellStyle name="Comma 15 7 2 3 2" xfId="39123"/>
    <cellStyle name="Comma 15 7 2 3 3" xfId="39124"/>
    <cellStyle name="Comma 15 7 2 4" xfId="39125"/>
    <cellStyle name="Comma 15 7 2 4 2" xfId="39126"/>
    <cellStyle name="Comma 15 7 2 5" xfId="39127"/>
    <cellStyle name="Comma 15 7 2 6" xfId="39128"/>
    <cellStyle name="Comma 15 7 3" xfId="39129"/>
    <cellStyle name="Comma 15 7 3 2" xfId="39130"/>
    <cellStyle name="Comma 15 7 3 2 2" xfId="39131"/>
    <cellStyle name="Comma 15 7 3 2 3" xfId="39132"/>
    <cellStyle name="Comma 15 7 3 3" xfId="39133"/>
    <cellStyle name="Comma 15 7 3 3 2" xfId="39134"/>
    <cellStyle name="Comma 15 7 3 3 3" xfId="39135"/>
    <cellStyle name="Comma 15 7 3 4" xfId="39136"/>
    <cellStyle name="Comma 15 7 3 4 2" xfId="39137"/>
    <cellStyle name="Comma 15 7 3 5" xfId="39138"/>
    <cellStyle name="Comma 15 7 3 6" xfId="39139"/>
    <cellStyle name="Comma 15 7 4" xfId="39140"/>
    <cellStyle name="Comma 15 7 4 2" xfId="39141"/>
    <cellStyle name="Comma 15 7 4 2 2" xfId="39142"/>
    <cellStyle name="Comma 15 7 4 2 3" xfId="39143"/>
    <cellStyle name="Comma 15 7 4 3" xfId="39144"/>
    <cellStyle name="Comma 15 7 4 3 2" xfId="39145"/>
    <cellStyle name="Comma 15 7 4 4" xfId="39146"/>
    <cellStyle name="Comma 15 7 4 5" xfId="39147"/>
    <cellStyle name="Comma 15 7 5" xfId="39148"/>
    <cellStyle name="Comma 15 7 5 2" xfId="39149"/>
    <cellStyle name="Comma 15 7 5 3" xfId="39150"/>
    <cellStyle name="Comma 15 7 6" xfId="39151"/>
    <cellStyle name="Comma 15 7 6 2" xfId="39152"/>
    <cellStyle name="Comma 15 7 6 3" xfId="39153"/>
    <cellStyle name="Comma 15 7 7" xfId="39154"/>
    <cellStyle name="Comma 15 7 7 2" xfId="39155"/>
    <cellStyle name="Comma 15 7 8" xfId="39156"/>
    <cellStyle name="Comma 15 7 9" xfId="39157"/>
    <cellStyle name="Comma 15 8" xfId="39158"/>
    <cellStyle name="Comma 15 8 2" xfId="39159"/>
    <cellStyle name="Comma 15 8 2 2" xfId="39160"/>
    <cellStyle name="Comma 15 8 2 3" xfId="39161"/>
    <cellStyle name="Comma 15 8 3" xfId="39162"/>
    <cellStyle name="Comma 15 8 3 2" xfId="39163"/>
    <cellStyle name="Comma 15 8 3 3" xfId="39164"/>
    <cellStyle name="Comma 15 8 4" xfId="39165"/>
    <cellStyle name="Comma 15 8 4 2" xfId="39166"/>
    <cellStyle name="Comma 15 8 5" xfId="39167"/>
    <cellStyle name="Comma 15 8 6" xfId="39168"/>
    <cellStyle name="Comma 15 9" xfId="39169"/>
    <cellStyle name="Comma 15 9 2" xfId="39170"/>
    <cellStyle name="Comma 15 9 2 2" xfId="39171"/>
    <cellStyle name="Comma 15 9 2 3" xfId="39172"/>
    <cellStyle name="Comma 15 9 3" xfId="39173"/>
    <cellStyle name="Comma 15 9 3 2" xfId="39174"/>
    <cellStyle name="Comma 15 9 3 3" xfId="39175"/>
    <cellStyle name="Comma 15 9 4" xfId="39176"/>
    <cellStyle name="Comma 15 9 4 2" xfId="39177"/>
    <cellStyle name="Comma 15 9 5" xfId="39178"/>
    <cellStyle name="Comma 15 9 6" xfId="39179"/>
    <cellStyle name="Comma 16" xfId="3243"/>
    <cellStyle name="Comma 16 10" xfId="39180"/>
    <cellStyle name="Comma 16 10 2" xfId="39181"/>
    <cellStyle name="Comma 16 10 2 2" xfId="39182"/>
    <cellStyle name="Comma 16 10 2 3" xfId="39183"/>
    <cellStyle name="Comma 16 10 3" xfId="39184"/>
    <cellStyle name="Comma 16 10 3 2" xfId="39185"/>
    <cellStyle name="Comma 16 10 4" xfId="39186"/>
    <cellStyle name="Comma 16 10 5" xfId="39187"/>
    <cellStyle name="Comma 16 11" xfId="39188"/>
    <cellStyle name="Comma 16 11 2" xfId="39189"/>
    <cellStyle name="Comma 16 11 3" xfId="39190"/>
    <cellStyle name="Comma 16 12" xfId="39191"/>
    <cellStyle name="Comma 16 12 2" xfId="39192"/>
    <cellStyle name="Comma 16 12 3" xfId="39193"/>
    <cellStyle name="Comma 16 13" xfId="39194"/>
    <cellStyle name="Comma 16 13 2" xfId="39195"/>
    <cellStyle name="Comma 16 14" xfId="39196"/>
    <cellStyle name="Comma 16 15" xfId="39197"/>
    <cellStyle name="Comma 16 16" xfId="39198"/>
    <cellStyle name="Comma 16 2" xfId="3244"/>
    <cellStyle name="Comma 16 2 10" xfId="39199"/>
    <cellStyle name="Comma 16 2 10 2" xfId="39200"/>
    <cellStyle name="Comma 16 2 10 3" xfId="39201"/>
    <cellStyle name="Comma 16 2 11" xfId="39202"/>
    <cellStyle name="Comma 16 2 11 2" xfId="39203"/>
    <cellStyle name="Comma 16 2 11 3" xfId="39204"/>
    <cellStyle name="Comma 16 2 12" xfId="39205"/>
    <cellStyle name="Comma 16 2 12 2" xfId="39206"/>
    <cellStyle name="Comma 16 2 13" xfId="39207"/>
    <cellStyle name="Comma 16 2 14" xfId="39208"/>
    <cellStyle name="Comma 16 2 2" xfId="39209"/>
    <cellStyle name="Comma 16 2 2 10" xfId="39210"/>
    <cellStyle name="Comma 16 2 2 10 2" xfId="39211"/>
    <cellStyle name="Comma 16 2 2 10 3" xfId="39212"/>
    <cellStyle name="Comma 16 2 2 11" xfId="39213"/>
    <cellStyle name="Comma 16 2 2 11 2" xfId="39214"/>
    <cellStyle name="Comma 16 2 2 12" xfId="39215"/>
    <cellStyle name="Comma 16 2 2 13" xfId="39216"/>
    <cellStyle name="Comma 16 2 2 2" xfId="39217"/>
    <cellStyle name="Comma 16 2 2 2 10" xfId="39218"/>
    <cellStyle name="Comma 16 2 2 2 10 2" xfId="39219"/>
    <cellStyle name="Comma 16 2 2 2 11" xfId="39220"/>
    <cellStyle name="Comma 16 2 2 2 12" xfId="39221"/>
    <cellStyle name="Comma 16 2 2 2 2" xfId="39222"/>
    <cellStyle name="Comma 16 2 2 2 2 10" xfId="39223"/>
    <cellStyle name="Comma 16 2 2 2 2 2" xfId="39224"/>
    <cellStyle name="Comma 16 2 2 2 2 2 2" xfId="39225"/>
    <cellStyle name="Comma 16 2 2 2 2 2 2 2" xfId="39226"/>
    <cellStyle name="Comma 16 2 2 2 2 2 2 2 2" xfId="39227"/>
    <cellStyle name="Comma 16 2 2 2 2 2 2 2 3" xfId="39228"/>
    <cellStyle name="Comma 16 2 2 2 2 2 2 3" xfId="39229"/>
    <cellStyle name="Comma 16 2 2 2 2 2 2 3 2" xfId="39230"/>
    <cellStyle name="Comma 16 2 2 2 2 2 2 3 3" xfId="39231"/>
    <cellStyle name="Comma 16 2 2 2 2 2 2 4" xfId="39232"/>
    <cellStyle name="Comma 16 2 2 2 2 2 2 4 2" xfId="39233"/>
    <cellStyle name="Comma 16 2 2 2 2 2 2 5" xfId="39234"/>
    <cellStyle name="Comma 16 2 2 2 2 2 2 6" xfId="39235"/>
    <cellStyle name="Comma 16 2 2 2 2 2 3" xfId="39236"/>
    <cellStyle name="Comma 16 2 2 2 2 2 3 2" xfId="39237"/>
    <cellStyle name="Comma 16 2 2 2 2 2 3 2 2" xfId="39238"/>
    <cellStyle name="Comma 16 2 2 2 2 2 3 2 3" xfId="39239"/>
    <cellStyle name="Comma 16 2 2 2 2 2 3 3" xfId="39240"/>
    <cellStyle name="Comma 16 2 2 2 2 2 3 3 2" xfId="39241"/>
    <cellStyle name="Comma 16 2 2 2 2 2 3 3 3" xfId="39242"/>
    <cellStyle name="Comma 16 2 2 2 2 2 3 4" xfId="39243"/>
    <cellStyle name="Comma 16 2 2 2 2 2 3 4 2" xfId="39244"/>
    <cellStyle name="Comma 16 2 2 2 2 2 3 5" xfId="39245"/>
    <cellStyle name="Comma 16 2 2 2 2 2 3 6" xfId="39246"/>
    <cellStyle name="Comma 16 2 2 2 2 2 4" xfId="39247"/>
    <cellStyle name="Comma 16 2 2 2 2 2 4 2" xfId="39248"/>
    <cellStyle name="Comma 16 2 2 2 2 2 4 2 2" xfId="39249"/>
    <cellStyle name="Comma 16 2 2 2 2 2 4 2 3" xfId="39250"/>
    <cellStyle name="Comma 16 2 2 2 2 2 4 3" xfId="39251"/>
    <cellStyle name="Comma 16 2 2 2 2 2 4 3 2" xfId="39252"/>
    <cellStyle name="Comma 16 2 2 2 2 2 4 4" xfId="39253"/>
    <cellStyle name="Comma 16 2 2 2 2 2 4 5" xfId="39254"/>
    <cellStyle name="Comma 16 2 2 2 2 2 5" xfId="39255"/>
    <cellStyle name="Comma 16 2 2 2 2 2 5 2" xfId="39256"/>
    <cellStyle name="Comma 16 2 2 2 2 2 5 3" xfId="39257"/>
    <cellStyle name="Comma 16 2 2 2 2 2 6" xfId="39258"/>
    <cellStyle name="Comma 16 2 2 2 2 2 6 2" xfId="39259"/>
    <cellStyle name="Comma 16 2 2 2 2 2 6 3" xfId="39260"/>
    <cellStyle name="Comma 16 2 2 2 2 2 7" xfId="39261"/>
    <cellStyle name="Comma 16 2 2 2 2 2 7 2" xfId="39262"/>
    <cellStyle name="Comma 16 2 2 2 2 2 8" xfId="39263"/>
    <cellStyle name="Comma 16 2 2 2 2 2 9" xfId="39264"/>
    <cellStyle name="Comma 16 2 2 2 2 3" xfId="39265"/>
    <cellStyle name="Comma 16 2 2 2 2 3 2" xfId="39266"/>
    <cellStyle name="Comma 16 2 2 2 2 3 2 2" xfId="39267"/>
    <cellStyle name="Comma 16 2 2 2 2 3 2 3" xfId="39268"/>
    <cellStyle name="Comma 16 2 2 2 2 3 3" xfId="39269"/>
    <cellStyle name="Comma 16 2 2 2 2 3 3 2" xfId="39270"/>
    <cellStyle name="Comma 16 2 2 2 2 3 3 3" xfId="39271"/>
    <cellStyle name="Comma 16 2 2 2 2 3 4" xfId="39272"/>
    <cellStyle name="Comma 16 2 2 2 2 3 4 2" xfId="39273"/>
    <cellStyle name="Comma 16 2 2 2 2 3 5" xfId="39274"/>
    <cellStyle name="Comma 16 2 2 2 2 3 6" xfId="39275"/>
    <cellStyle name="Comma 16 2 2 2 2 4" xfId="39276"/>
    <cellStyle name="Comma 16 2 2 2 2 4 2" xfId="39277"/>
    <cellStyle name="Comma 16 2 2 2 2 4 2 2" xfId="39278"/>
    <cellStyle name="Comma 16 2 2 2 2 4 2 3" xfId="39279"/>
    <cellStyle name="Comma 16 2 2 2 2 4 3" xfId="39280"/>
    <cellStyle name="Comma 16 2 2 2 2 4 3 2" xfId="39281"/>
    <cellStyle name="Comma 16 2 2 2 2 4 3 3" xfId="39282"/>
    <cellStyle name="Comma 16 2 2 2 2 4 4" xfId="39283"/>
    <cellStyle name="Comma 16 2 2 2 2 4 4 2" xfId="39284"/>
    <cellStyle name="Comma 16 2 2 2 2 4 5" xfId="39285"/>
    <cellStyle name="Comma 16 2 2 2 2 4 6" xfId="39286"/>
    <cellStyle name="Comma 16 2 2 2 2 5" xfId="39287"/>
    <cellStyle name="Comma 16 2 2 2 2 5 2" xfId="39288"/>
    <cellStyle name="Comma 16 2 2 2 2 5 2 2" xfId="39289"/>
    <cellStyle name="Comma 16 2 2 2 2 5 2 3" xfId="39290"/>
    <cellStyle name="Comma 16 2 2 2 2 5 3" xfId="39291"/>
    <cellStyle name="Comma 16 2 2 2 2 5 3 2" xfId="39292"/>
    <cellStyle name="Comma 16 2 2 2 2 5 4" xfId="39293"/>
    <cellStyle name="Comma 16 2 2 2 2 5 5" xfId="39294"/>
    <cellStyle name="Comma 16 2 2 2 2 6" xfId="39295"/>
    <cellStyle name="Comma 16 2 2 2 2 6 2" xfId="39296"/>
    <cellStyle name="Comma 16 2 2 2 2 6 3" xfId="39297"/>
    <cellStyle name="Comma 16 2 2 2 2 7" xfId="39298"/>
    <cellStyle name="Comma 16 2 2 2 2 7 2" xfId="39299"/>
    <cellStyle name="Comma 16 2 2 2 2 7 3" xfId="39300"/>
    <cellStyle name="Comma 16 2 2 2 2 8" xfId="39301"/>
    <cellStyle name="Comma 16 2 2 2 2 8 2" xfId="39302"/>
    <cellStyle name="Comma 16 2 2 2 2 9" xfId="39303"/>
    <cellStyle name="Comma 16 2 2 2 3" xfId="39304"/>
    <cellStyle name="Comma 16 2 2 2 3 2" xfId="39305"/>
    <cellStyle name="Comma 16 2 2 2 3 2 2" xfId="39306"/>
    <cellStyle name="Comma 16 2 2 2 3 2 2 2" xfId="39307"/>
    <cellStyle name="Comma 16 2 2 2 3 2 2 3" xfId="39308"/>
    <cellStyle name="Comma 16 2 2 2 3 2 3" xfId="39309"/>
    <cellStyle name="Comma 16 2 2 2 3 2 3 2" xfId="39310"/>
    <cellStyle name="Comma 16 2 2 2 3 2 3 3" xfId="39311"/>
    <cellStyle name="Comma 16 2 2 2 3 2 4" xfId="39312"/>
    <cellStyle name="Comma 16 2 2 2 3 2 4 2" xfId="39313"/>
    <cellStyle name="Comma 16 2 2 2 3 2 5" xfId="39314"/>
    <cellStyle name="Comma 16 2 2 2 3 2 6" xfId="39315"/>
    <cellStyle name="Comma 16 2 2 2 3 3" xfId="39316"/>
    <cellStyle name="Comma 16 2 2 2 3 3 2" xfId="39317"/>
    <cellStyle name="Comma 16 2 2 2 3 3 2 2" xfId="39318"/>
    <cellStyle name="Comma 16 2 2 2 3 3 2 3" xfId="39319"/>
    <cellStyle name="Comma 16 2 2 2 3 3 3" xfId="39320"/>
    <cellStyle name="Comma 16 2 2 2 3 3 3 2" xfId="39321"/>
    <cellStyle name="Comma 16 2 2 2 3 3 3 3" xfId="39322"/>
    <cellStyle name="Comma 16 2 2 2 3 3 4" xfId="39323"/>
    <cellStyle name="Comma 16 2 2 2 3 3 4 2" xfId="39324"/>
    <cellStyle name="Comma 16 2 2 2 3 3 5" xfId="39325"/>
    <cellStyle name="Comma 16 2 2 2 3 3 6" xfId="39326"/>
    <cellStyle name="Comma 16 2 2 2 3 4" xfId="39327"/>
    <cellStyle name="Comma 16 2 2 2 3 4 2" xfId="39328"/>
    <cellStyle name="Comma 16 2 2 2 3 4 2 2" xfId="39329"/>
    <cellStyle name="Comma 16 2 2 2 3 4 2 3" xfId="39330"/>
    <cellStyle name="Comma 16 2 2 2 3 4 3" xfId="39331"/>
    <cellStyle name="Comma 16 2 2 2 3 4 3 2" xfId="39332"/>
    <cellStyle name="Comma 16 2 2 2 3 4 4" xfId="39333"/>
    <cellStyle name="Comma 16 2 2 2 3 4 5" xfId="39334"/>
    <cellStyle name="Comma 16 2 2 2 3 5" xfId="39335"/>
    <cellStyle name="Comma 16 2 2 2 3 5 2" xfId="39336"/>
    <cellStyle name="Comma 16 2 2 2 3 5 3" xfId="39337"/>
    <cellStyle name="Comma 16 2 2 2 3 6" xfId="39338"/>
    <cellStyle name="Comma 16 2 2 2 3 6 2" xfId="39339"/>
    <cellStyle name="Comma 16 2 2 2 3 6 3" xfId="39340"/>
    <cellStyle name="Comma 16 2 2 2 3 7" xfId="39341"/>
    <cellStyle name="Comma 16 2 2 2 3 7 2" xfId="39342"/>
    <cellStyle name="Comma 16 2 2 2 3 8" xfId="39343"/>
    <cellStyle name="Comma 16 2 2 2 3 9" xfId="39344"/>
    <cellStyle name="Comma 16 2 2 2 4" xfId="39345"/>
    <cellStyle name="Comma 16 2 2 2 4 2" xfId="39346"/>
    <cellStyle name="Comma 16 2 2 2 4 2 2" xfId="39347"/>
    <cellStyle name="Comma 16 2 2 2 4 2 2 2" xfId="39348"/>
    <cellStyle name="Comma 16 2 2 2 4 2 2 3" xfId="39349"/>
    <cellStyle name="Comma 16 2 2 2 4 2 3" xfId="39350"/>
    <cellStyle name="Comma 16 2 2 2 4 2 3 2" xfId="39351"/>
    <cellStyle name="Comma 16 2 2 2 4 2 3 3" xfId="39352"/>
    <cellStyle name="Comma 16 2 2 2 4 2 4" xfId="39353"/>
    <cellStyle name="Comma 16 2 2 2 4 2 4 2" xfId="39354"/>
    <cellStyle name="Comma 16 2 2 2 4 2 5" xfId="39355"/>
    <cellStyle name="Comma 16 2 2 2 4 2 6" xfId="39356"/>
    <cellStyle name="Comma 16 2 2 2 4 3" xfId="39357"/>
    <cellStyle name="Comma 16 2 2 2 4 3 2" xfId="39358"/>
    <cellStyle name="Comma 16 2 2 2 4 3 2 2" xfId="39359"/>
    <cellStyle name="Comma 16 2 2 2 4 3 2 3" xfId="39360"/>
    <cellStyle name="Comma 16 2 2 2 4 3 3" xfId="39361"/>
    <cellStyle name="Comma 16 2 2 2 4 3 3 2" xfId="39362"/>
    <cellStyle name="Comma 16 2 2 2 4 3 3 3" xfId="39363"/>
    <cellStyle name="Comma 16 2 2 2 4 3 4" xfId="39364"/>
    <cellStyle name="Comma 16 2 2 2 4 3 4 2" xfId="39365"/>
    <cellStyle name="Comma 16 2 2 2 4 3 5" xfId="39366"/>
    <cellStyle name="Comma 16 2 2 2 4 3 6" xfId="39367"/>
    <cellStyle name="Comma 16 2 2 2 4 4" xfId="39368"/>
    <cellStyle name="Comma 16 2 2 2 4 4 2" xfId="39369"/>
    <cellStyle name="Comma 16 2 2 2 4 4 2 2" xfId="39370"/>
    <cellStyle name="Comma 16 2 2 2 4 4 2 3" xfId="39371"/>
    <cellStyle name="Comma 16 2 2 2 4 4 3" xfId="39372"/>
    <cellStyle name="Comma 16 2 2 2 4 4 3 2" xfId="39373"/>
    <cellStyle name="Comma 16 2 2 2 4 4 4" xfId="39374"/>
    <cellStyle name="Comma 16 2 2 2 4 4 5" xfId="39375"/>
    <cellStyle name="Comma 16 2 2 2 4 5" xfId="39376"/>
    <cellStyle name="Comma 16 2 2 2 4 5 2" xfId="39377"/>
    <cellStyle name="Comma 16 2 2 2 4 5 3" xfId="39378"/>
    <cellStyle name="Comma 16 2 2 2 4 6" xfId="39379"/>
    <cellStyle name="Comma 16 2 2 2 4 6 2" xfId="39380"/>
    <cellStyle name="Comma 16 2 2 2 4 6 3" xfId="39381"/>
    <cellStyle name="Comma 16 2 2 2 4 7" xfId="39382"/>
    <cellStyle name="Comma 16 2 2 2 4 7 2" xfId="39383"/>
    <cellStyle name="Comma 16 2 2 2 4 8" xfId="39384"/>
    <cellStyle name="Comma 16 2 2 2 4 9" xfId="39385"/>
    <cellStyle name="Comma 16 2 2 2 5" xfId="39386"/>
    <cellStyle name="Comma 16 2 2 2 5 2" xfId="39387"/>
    <cellStyle name="Comma 16 2 2 2 5 2 2" xfId="39388"/>
    <cellStyle name="Comma 16 2 2 2 5 2 3" xfId="39389"/>
    <cellStyle name="Comma 16 2 2 2 5 3" xfId="39390"/>
    <cellStyle name="Comma 16 2 2 2 5 3 2" xfId="39391"/>
    <cellStyle name="Comma 16 2 2 2 5 3 3" xfId="39392"/>
    <cellStyle name="Comma 16 2 2 2 5 4" xfId="39393"/>
    <cellStyle name="Comma 16 2 2 2 5 4 2" xfId="39394"/>
    <cellStyle name="Comma 16 2 2 2 5 5" xfId="39395"/>
    <cellStyle name="Comma 16 2 2 2 5 6" xfId="39396"/>
    <cellStyle name="Comma 16 2 2 2 6" xfId="39397"/>
    <cellStyle name="Comma 16 2 2 2 6 2" xfId="39398"/>
    <cellStyle name="Comma 16 2 2 2 6 2 2" xfId="39399"/>
    <cellStyle name="Comma 16 2 2 2 6 2 3" xfId="39400"/>
    <cellStyle name="Comma 16 2 2 2 6 3" xfId="39401"/>
    <cellStyle name="Comma 16 2 2 2 6 3 2" xfId="39402"/>
    <cellStyle name="Comma 16 2 2 2 6 3 3" xfId="39403"/>
    <cellStyle name="Comma 16 2 2 2 6 4" xfId="39404"/>
    <cellStyle name="Comma 16 2 2 2 6 4 2" xfId="39405"/>
    <cellStyle name="Comma 16 2 2 2 6 5" xfId="39406"/>
    <cellStyle name="Comma 16 2 2 2 6 6" xfId="39407"/>
    <cellStyle name="Comma 16 2 2 2 7" xfId="39408"/>
    <cellStyle name="Comma 16 2 2 2 7 2" xfId="39409"/>
    <cellStyle name="Comma 16 2 2 2 7 2 2" xfId="39410"/>
    <cellStyle name="Comma 16 2 2 2 7 2 3" xfId="39411"/>
    <cellStyle name="Comma 16 2 2 2 7 3" xfId="39412"/>
    <cellStyle name="Comma 16 2 2 2 7 3 2" xfId="39413"/>
    <cellStyle name="Comma 16 2 2 2 7 4" xfId="39414"/>
    <cellStyle name="Comma 16 2 2 2 7 5" xfId="39415"/>
    <cellStyle name="Comma 16 2 2 2 8" xfId="39416"/>
    <cellStyle name="Comma 16 2 2 2 8 2" xfId="39417"/>
    <cellStyle name="Comma 16 2 2 2 8 3" xfId="39418"/>
    <cellStyle name="Comma 16 2 2 2 9" xfId="39419"/>
    <cellStyle name="Comma 16 2 2 2 9 2" xfId="39420"/>
    <cellStyle name="Comma 16 2 2 2 9 3" xfId="39421"/>
    <cellStyle name="Comma 16 2 2 3" xfId="39422"/>
    <cellStyle name="Comma 16 2 2 3 10" xfId="39423"/>
    <cellStyle name="Comma 16 2 2 3 2" xfId="39424"/>
    <cellStyle name="Comma 16 2 2 3 2 2" xfId="39425"/>
    <cellStyle name="Comma 16 2 2 3 2 2 2" xfId="39426"/>
    <cellStyle name="Comma 16 2 2 3 2 2 2 2" xfId="39427"/>
    <cellStyle name="Comma 16 2 2 3 2 2 2 3" xfId="39428"/>
    <cellStyle name="Comma 16 2 2 3 2 2 3" xfId="39429"/>
    <cellStyle name="Comma 16 2 2 3 2 2 3 2" xfId="39430"/>
    <cellStyle name="Comma 16 2 2 3 2 2 3 3" xfId="39431"/>
    <cellStyle name="Comma 16 2 2 3 2 2 4" xfId="39432"/>
    <cellStyle name="Comma 16 2 2 3 2 2 4 2" xfId="39433"/>
    <cellStyle name="Comma 16 2 2 3 2 2 5" xfId="39434"/>
    <cellStyle name="Comma 16 2 2 3 2 2 6" xfId="39435"/>
    <cellStyle name="Comma 16 2 2 3 2 3" xfId="39436"/>
    <cellStyle name="Comma 16 2 2 3 2 3 2" xfId="39437"/>
    <cellStyle name="Comma 16 2 2 3 2 3 2 2" xfId="39438"/>
    <cellStyle name="Comma 16 2 2 3 2 3 2 3" xfId="39439"/>
    <cellStyle name="Comma 16 2 2 3 2 3 3" xfId="39440"/>
    <cellStyle name="Comma 16 2 2 3 2 3 3 2" xfId="39441"/>
    <cellStyle name="Comma 16 2 2 3 2 3 3 3" xfId="39442"/>
    <cellStyle name="Comma 16 2 2 3 2 3 4" xfId="39443"/>
    <cellStyle name="Comma 16 2 2 3 2 3 4 2" xfId="39444"/>
    <cellStyle name="Comma 16 2 2 3 2 3 5" xfId="39445"/>
    <cellStyle name="Comma 16 2 2 3 2 3 6" xfId="39446"/>
    <cellStyle name="Comma 16 2 2 3 2 4" xfId="39447"/>
    <cellStyle name="Comma 16 2 2 3 2 4 2" xfId="39448"/>
    <cellStyle name="Comma 16 2 2 3 2 4 2 2" xfId="39449"/>
    <cellStyle name="Comma 16 2 2 3 2 4 2 3" xfId="39450"/>
    <cellStyle name="Comma 16 2 2 3 2 4 3" xfId="39451"/>
    <cellStyle name="Comma 16 2 2 3 2 4 3 2" xfId="39452"/>
    <cellStyle name="Comma 16 2 2 3 2 4 4" xfId="39453"/>
    <cellStyle name="Comma 16 2 2 3 2 4 5" xfId="39454"/>
    <cellStyle name="Comma 16 2 2 3 2 5" xfId="39455"/>
    <cellStyle name="Comma 16 2 2 3 2 5 2" xfId="39456"/>
    <cellStyle name="Comma 16 2 2 3 2 5 3" xfId="39457"/>
    <cellStyle name="Comma 16 2 2 3 2 6" xfId="39458"/>
    <cellStyle name="Comma 16 2 2 3 2 6 2" xfId="39459"/>
    <cellStyle name="Comma 16 2 2 3 2 6 3" xfId="39460"/>
    <cellStyle name="Comma 16 2 2 3 2 7" xfId="39461"/>
    <cellStyle name="Comma 16 2 2 3 2 7 2" xfId="39462"/>
    <cellStyle name="Comma 16 2 2 3 2 8" xfId="39463"/>
    <cellStyle name="Comma 16 2 2 3 2 9" xfId="39464"/>
    <cellStyle name="Comma 16 2 2 3 3" xfId="39465"/>
    <cellStyle name="Comma 16 2 2 3 3 2" xfId="39466"/>
    <cellStyle name="Comma 16 2 2 3 3 2 2" xfId="39467"/>
    <cellStyle name="Comma 16 2 2 3 3 2 3" xfId="39468"/>
    <cellStyle name="Comma 16 2 2 3 3 3" xfId="39469"/>
    <cellStyle name="Comma 16 2 2 3 3 3 2" xfId="39470"/>
    <cellStyle name="Comma 16 2 2 3 3 3 3" xfId="39471"/>
    <cellStyle name="Comma 16 2 2 3 3 4" xfId="39472"/>
    <cellStyle name="Comma 16 2 2 3 3 4 2" xfId="39473"/>
    <cellStyle name="Comma 16 2 2 3 3 5" xfId="39474"/>
    <cellStyle name="Comma 16 2 2 3 3 6" xfId="39475"/>
    <cellStyle name="Comma 16 2 2 3 4" xfId="39476"/>
    <cellStyle name="Comma 16 2 2 3 4 2" xfId="39477"/>
    <cellStyle name="Comma 16 2 2 3 4 2 2" xfId="39478"/>
    <cellStyle name="Comma 16 2 2 3 4 2 3" xfId="39479"/>
    <cellStyle name="Comma 16 2 2 3 4 3" xfId="39480"/>
    <cellStyle name="Comma 16 2 2 3 4 3 2" xfId="39481"/>
    <cellStyle name="Comma 16 2 2 3 4 3 3" xfId="39482"/>
    <cellStyle name="Comma 16 2 2 3 4 4" xfId="39483"/>
    <cellStyle name="Comma 16 2 2 3 4 4 2" xfId="39484"/>
    <cellStyle name="Comma 16 2 2 3 4 5" xfId="39485"/>
    <cellStyle name="Comma 16 2 2 3 4 6" xfId="39486"/>
    <cellStyle name="Comma 16 2 2 3 5" xfId="39487"/>
    <cellStyle name="Comma 16 2 2 3 5 2" xfId="39488"/>
    <cellStyle name="Comma 16 2 2 3 5 2 2" xfId="39489"/>
    <cellStyle name="Comma 16 2 2 3 5 2 3" xfId="39490"/>
    <cellStyle name="Comma 16 2 2 3 5 3" xfId="39491"/>
    <cellStyle name="Comma 16 2 2 3 5 3 2" xfId="39492"/>
    <cellStyle name="Comma 16 2 2 3 5 4" xfId="39493"/>
    <cellStyle name="Comma 16 2 2 3 5 5" xfId="39494"/>
    <cellStyle name="Comma 16 2 2 3 6" xfId="39495"/>
    <cellStyle name="Comma 16 2 2 3 6 2" xfId="39496"/>
    <cellStyle name="Comma 16 2 2 3 6 3" xfId="39497"/>
    <cellStyle name="Comma 16 2 2 3 7" xfId="39498"/>
    <cellStyle name="Comma 16 2 2 3 7 2" xfId="39499"/>
    <cellStyle name="Comma 16 2 2 3 7 3" xfId="39500"/>
    <cellStyle name="Comma 16 2 2 3 8" xfId="39501"/>
    <cellStyle name="Comma 16 2 2 3 8 2" xfId="39502"/>
    <cellStyle name="Comma 16 2 2 3 9" xfId="39503"/>
    <cellStyle name="Comma 16 2 2 4" xfId="39504"/>
    <cellStyle name="Comma 16 2 2 4 2" xfId="39505"/>
    <cellStyle name="Comma 16 2 2 4 2 2" xfId="39506"/>
    <cellStyle name="Comma 16 2 2 4 2 2 2" xfId="39507"/>
    <cellStyle name="Comma 16 2 2 4 2 2 3" xfId="39508"/>
    <cellStyle name="Comma 16 2 2 4 2 3" xfId="39509"/>
    <cellStyle name="Comma 16 2 2 4 2 3 2" xfId="39510"/>
    <cellStyle name="Comma 16 2 2 4 2 3 3" xfId="39511"/>
    <cellStyle name="Comma 16 2 2 4 2 4" xfId="39512"/>
    <cellStyle name="Comma 16 2 2 4 2 4 2" xfId="39513"/>
    <cellStyle name="Comma 16 2 2 4 2 5" xfId="39514"/>
    <cellStyle name="Comma 16 2 2 4 2 6" xfId="39515"/>
    <cellStyle name="Comma 16 2 2 4 3" xfId="39516"/>
    <cellStyle name="Comma 16 2 2 4 3 2" xfId="39517"/>
    <cellStyle name="Comma 16 2 2 4 3 2 2" xfId="39518"/>
    <cellStyle name="Comma 16 2 2 4 3 2 3" xfId="39519"/>
    <cellStyle name="Comma 16 2 2 4 3 3" xfId="39520"/>
    <cellStyle name="Comma 16 2 2 4 3 3 2" xfId="39521"/>
    <cellStyle name="Comma 16 2 2 4 3 3 3" xfId="39522"/>
    <cellStyle name="Comma 16 2 2 4 3 4" xfId="39523"/>
    <cellStyle name="Comma 16 2 2 4 3 4 2" xfId="39524"/>
    <cellStyle name="Comma 16 2 2 4 3 5" xfId="39525"/>
    <cellStyle name="Comma 16 2 2 4 3 6" xfId="39526"/>
    <cellStyle name="Comma 16 2 2 4 4" xfId="39527"/>
    <cellStyle name="Comma 16 2 2 4 4 2" xfId="39528"/>
    <cellStyle name="Comma 16 2 2 4 4 2 2" xfId="39529"/>
    <cellStyle name="Comma 16 2 2 4 4 2 3" xfId="39530"/>
    <cellStyle name="Comma 16 2 2 4 4 3" xfId="39531"/>
    <cellStyle name="Comma 16 2 2 4 4 3 2" xfId="39532"/>
    <cellStyle name="Comma 16 2 2 4 4 4" xfId="39533"/>
    <cellStyle name="Comma 16 2 2 4 4 5" xfId="39534"/>
    <cellStyle name="Comma 16 2 2 4 5" xfId="39535"/>
    <cellStyle name="Comma 16 2 2 4 5 2" xfId="39536"/>
    <cellStyle name="Comma 16 2 2 4 5 3" xfId="39537"/>
    <cellStyle name="Comma 16 2 2 4 6" xfId="39538"/>
    <cellStyle name="Comma 16 2 2 4 6 2" xfId="39539"/>
    <cellStyle name="Comma 16 2 2 4 6 3" xfId="39540"/>
    <cellStyle name="Comma 16 2 2 4 7" xfId="39541"/>
    <cellStyle name="Comma 16 2 2 4 7 2" xfId="39542"/>
    <cellStyle name="Comma 16 2 2 4 8" xfId="39543"/>
    <cellStyle name="Comma 16 2 2 4 9" xfId="39544"/>
    <cellStyle name="Comma 16 2 2 5" xfId="39545"/>
    <cellStyle name="Comma 16 2 2 5 2" xfId="39546"/>
    <cellStyle name="Comma 16 2 2 5 2 2" xfId="39547"/>
    <cellStyle name="Comma 16 2 2 5 2 2 2" xfId="39548"/>
    <cellStyle name="Comma 16 2 2 5 2 2 3" xfId="39549"/>
    <cellStyle name="Comma 16 2 2 5 2 3" xfId="39550"/>
    <cellStyle name="Comma 16 2 2 5 2 3 2" xfId="39551"/>
    <cellStyle name="Comma 16 2 2 5 2 3 3" xfId="39552"/>
    <cellStyle name="Comma 16 2 2 5 2 4" xfId="39553"/>
    <cellStyle name="Comma 16 2 2 5 2 4 2" xfId="39554"/>
    <cellStyle name="Comma 16 2 2 5 2 5" xfId="39555"/>
    <cellStyle name="Comma 16 2 2 5 2 6" xfId="39556"/>
    <cellStyle name="Comma 16 2 2 5 3" xfId="39557"/>
    <cellStyle name="Comma 16 2 2 5 3 2" xfId="39558"/>
    <cellStyle name="Comma 16 2 2 5 3 2 2" xfId="39559"/>
    <cellStyle name="Comma 16 2 2 5 3 2 3" xfId="39560"/>
    <cellStyle name="Comma 16 2 2 5 3 3" xfId="39561"/>
    <cellStyle name="Comma 16 2 2 5 3 3 2" xfId="39562"/>
    <cellStyle name="Comma 16 2 2 5 3 3 3" xfId="39563"/>
    <cellStyle name="Comma 16 2 2 5 3 4" xfId="39564"/>
    <cellStyle name="Comma 16 2 2 5 3 4 2" xfId="39565"/>
    <cellStyle name="Comma 16 2 2 5 3 5" xfId="39566"/>
    <cellStyle name="Comma 16 2 2 5 3 6" xfId="39567"/>
    <cellStyle name="Comma 16 2 2 5 4" xfId="39568"/>
    <cellStyle name="Comma 16 2 2 5 4 2" xfId="39569"/>
    <cellStyle name="Comma 16 2 2 5 4 2 2" xfId="39570"/>
    <cellStyle name="Comma 16 2 2 5 4 2 3" xfId="39571"/>
    <cellStyle name="Comma 16 2 2 5 4 3" xfId="39572"/>
    <cellStyle name="Comma 16 2 2 5 4 3 2" xfId="39573"/>
    <cellStyle name="Comma 16 2 2 5 4 4" xfId="39574"/>
    <cellStyle name="Comma 16 2 2 5 4 5" xfId="39575"/>
    <cellStyle name="Comma 16 2 2 5 5" xfId="39576"/>
    <cellStyle name="Comma 16 2 2 5 5 2" xfId="39577"/>
    <cellStyle name="Comma 16 2 2 5 5 3" xfId="39578"/>
    <cellStyle name="Comma 16 2 2 5 6" xfId="39579"/>
    <cellStyle name="Comma 16 2 2 5 6 2" xfId="39580"/>
    <cellStyle name="Comma 16 2 2 5 6 3" xfId="39581"/>
    <cellStyle name="Comma 16 2 2 5 7" xfId="39582"/>
    <cellStyle name="Comma 16 2 2 5 7 2" xfId="39583"/>
    <cellStyle name="Comma 16 2 2 5 8" xfId="39584"/>
    <cellStyle name="Comma 16 2 2 5 9" xfId="39585"/>
    <cellStyle name="Comma 16 2 2 6" xfId="39586"/>
    <cellStyle name="Comma 16 2 2 6 2" xfId="39587"/>
    <cellStyle name="Comma 16 2 2 6 2 2" xfId="39588"/>
    <cellStyle name="Comma 16 2 2 6 2 3" xfId="39589"/>
    <cellStyle name="Comma 16 2 2 6 3" xfId="39590"/>
    <cellStyle name="Comma 16 2 2 6 3 2" xfId="39591"/>
    <cellStyle name="Comma 16 2 2 6 3 3" xfId="39592"/>
    <cellStyle name="Comma 16 2 2 6 4" xfId="39593"/>
    <cellStyle name="Comma 16 2 2 6 4 2" xfId="39594"/>
    <cellStyle name="Comma 16 2 2 6 5" xfId="39595"/>
    <cellStyle name="Comma 16 2 2 6 6" xfId="39596"/>
    <cellStyle name="Comma 16 2 2 7" xfId="39597"/>
    <cellStyle name="Comma 16 2 2 7 2" xfId="39598"/>
    <cellStyle name="Comma 16 2 2 7 2 2" xfId="39599"/>
    <cellStyle name="Comma 16 2 2 7 2 3" xfId="39600"/>
    <cellStyle name="Comma 16 2 2 7 3" xfId="39601"/>
    <cellStyle name="Comma 16 2 2 7 3 2" xfId="39602"/>
    <cellStyle name="Comma 16 2 2 7 3 3" xfId="39603"/>
    <cellStyle name="Comma 16 2 2 7 4" xfId="39604"/>
    <cellStyle name="Comma 16 2 2 7 4 2" xfId="39605"/>
    <cellStyle name="Comma 16 2 2 7 5" xfId="39606"/>
    <cellStyle name="Comma 16 2 2 7 6" xfId="39607"/>
    <cellStyle name="Comma 16 2 2 8" xfId="39608"/>
    <cellStyle name="Comma 16 2 2 8 2" xfId="39609"/>
    <cellStyle name="Comma 16 2 2 8 2 2" xfId="39610"/>
    <cellStyle name="Comma 16 2 2 8 2 3" xfId="39611"/>
    <cellStyle name="Comma 16 2 2 8 3" xfId="39612"/>
    <cellStyle name="Comma 16 2 2 8 3 2" xfId="39613"/>
    <cellStyle name="Comma 16 2 2 8 4" xfId="39614"/>
    <cellStyle name="Comma 16 2 2 8 5" xfId="39615"/>
    <cellStyle name="Comma 16 2 2 9" xfId="39616"/>
    <cellStyle name="Comma 16 2 2 9 2" xfId="39617"/>
    <cellStyle name="Comma 16 2 2 9 3" xfId="39618"/>
    <cellStyle name="Comma 16 2 3" xfId="39619"/>
    <cellStyle name="Comma 16 2 3 10" xfId="39620"/>
    <cellStyle name="Comma 16 2 3 10 2" xfId="39621"/>
    <cellStyle name="Comma 16 2 3 11" xfId="39622"/>
    <cellStyle name="Comma 16 2 3 12" xfId="39623"/>
    <cellStyle name="Comma 16 2 3 2" xfId="39624"/>
    <cellStyle name="Comma 16 2 3 2 10" xfId="39625"/>
    <cellStyle name="Comma 16 2 3 2 2" xfId="39626"/>
    <cellStyle name="Comma 16 2 3 2 2 2" xfId="39627"/>
    <cellStyle name="Comma 16 2 3 2 2 2 2" xfId="39628"/>
    <cellStyle name="Comma 16 2 3 2 2 2 2 2" xfId="39629"/>
    <cellStyle name="Comma 16 2 3 2 2 2 2 3" xfId="39630"/>
    <cellStyle name="Comma 16 2 3 2 2 2 3" xfId="39631"/>
    <cellStyle name="Comma 16 2 3 2 2 2 3 2" xfId="39632"/>
    <cellStyle name="Comma 16 2 3 2 2 2 3 3" xfId="39633"/>
    <cellStyle name="Comma 16 2 3 2 2 2 4" xfId="39634"/>
    <cellStyle name="Comma 16 2 3 2 2 2 4 2" xfId="39635"/>
    <cellStyle name="Comma 16 2 3 2 2 2 5" xfId="39636"/>
    <cellStyle name="Comma 16 2 3 2 2 2 6" xfId="39637"/>
    <cellStyle name="Comma 16 2 3 2 2 3" xfId="39638"/>
    <cellStyle name="Comma 16 2 3 2 2 3 2" xfId="39639"/>
    <cellStyle name="Comma 16 2 3 2 2 3 2 2" xfId="39640"/>
    <cellStyle name="Comma 16 2 3 2 2 3 2 3" xfId="39641"/>
    <cellStyle name="Comma 16 2 3 2 2 3 3" xfId="39642"/>
    <cellStyle name="Comma 16 2 3 2 2 3 3 2" xfId="39643"/>
    <cellStyle name="Comma 16 2 3 2 2 3 3 3" xfId="39644"/>
    <cellStyle name="Comma 16 2 3 2 2 3 4" xfId="39645"/>
    <cellStyle name="Comma 16 2 3 2 2 3 4 2" xfId="39646"/>
    <cellStyle name="Comma 16 2 3 2 2 3 5" xfId="39647"/>
    <cellStyle name="Comma 16 2 3 2 2 3 6" xfId="39648"/>
    <cellStyle name="Comma 16 2 3 2 2 4" xfId="39649"/>
    <cellStyle name="Comma 16 2 3 2 2 4 2" xfId="39650"/>
    <cellStyle name="Comma 16 2 3 2 2 4 2 2" xfId="39651"/>
    <cellStyle name="Comma 16 2 3 2 2 4 2 3" xfId="39652"/>
    <cellStyle name="Comma 16 2 3 2 2 4 3" xfId="39653"/>
    <cellStyle name="Comma 16 2 3 2 2 4 3 2" xfId="39654"/>
    <cellStyle name="Comma 16 2 3 2 2 4 4" xfId="39655"/>
    <cellStyle name="Comma 16 2 3 2 2 4 5" xfId="39656"/>
    <cellStyle name="Comma 16 2 3 2 2 5" xfId="39657"/>
    <cellStyle name="Comma 16 2 3 2 2 5 2" xfId="39658"/>
    <cellStyle name="Comma 16 2 3 2 2 5 3" xfId="39659"/>
    <cellStyle name="Comma 16 2 3 2 2 6" xfId="39660"/>
    <cellStyle name="Comma 16 2 3 2 2 6 2" xfId="39661"/>
    <cellStyle name="Comma 16 2 3 2 2 6 3" xfId="39662"/>
    <cellStyle name="Comma 16 2 3 2 2 7" xfId="39663"/>
    <cellStyle name="Comma 16 2 3 2 2 7 2" xfId="39664"/>
    <cellStyle name="Comma 16 2 3 2 2 8" xfId="39665"/>
    <cellStyle name="Comma 16 2 3 2 2 9" xfId="39666"/>
    <cellStyle name="Comma 16 2 3 2 3" xfId="39667"/>
    <cellStyle name="Comma 16 2 3 2 3 2" xfId="39668"/>
    <cellStyle name="Comma 16 2 3 2 3 2 2" xfId="39669"/>
    <cellStyle name="Comma 16 2 3 2 3 2 3" xfId="39670"/>
    <cellStyle name="Comma 16 2 3 2 3 3" xfId="39671"/>
    <cellStyle name="Comma 16 2 3 2 3 3 2" xfId="39672"/>
    <cellStyle name="Comma 16 2 3 2 3 3 3" xfId="39673"/>
    <cellStyle name="Comma 16 2 3 2 3 4" xfId="39674"/>
    <cellStyle name="Comma 16 2 3 2 3 4 2" xfId="39675"/>
    <cellStyle name="Comma 16 2 3 2 3 5" xfId="39676"/>
    <cellStyle name="Comma 16 2 3 2 3 6" xfId="39677"/>
    <cellStyle name="Comma 16 2 3 2 4" xfId="39678"/>
    <cellStyle name="Comma 16 2 3 2 4 2" xfId="39679"/>
    <cellStyle name="Comma 16 2 3 2 4 2 2" xfId="39680"/>
    <cellStyle name="Comma 16 2 3 2 4 2 3" xfId="39681"/>
    <cellStyle name="Comma 16 2 3 2 4 3" xfId="39682"/>
    <cellStyle name="Comma 16 2 3 2 4 3 2" xfId="39683"/>
    <cellStyle name="Comma 16 2 3 2 4 3 3" xfId="39684"/>
    <cellStyle name="Comma 16 2 3 2 4 4" xfId="39685"/>
    <cellStyle name="Comma 16 2 3 2 4 4 2" xfId="39686"/>
    <cellStyle name="Comma 16 2 3 2 4 5" xfId="39687"/>
    <cellStyle name="Comma 16 2 3 2 4 6" xfId="39688"/>
    <cellStyle name="Comma 16 2 3 2 5" xfId="39689"/>
    <cellStyle name="Comma 16 2 3 2 5 2" xfId="39690"/>
    <cellStyle name="Comma 16 2 3 2 5 2 2" xfId="39691"/>
    <cellStyle name="Comma 16 2 3 2 5 2 3" xfId="39692"/>
    <cellStyle name="Comma 16 2 3 2 5 3" xfId="39693"/>
    <cellStyle name="Comma 16 2 3 2 5 3 2" xfId="39694"/>
    <cellStyle name="Comma 16 2 3 2 5 4" xfId="39695"/>
    <cellStyle name="Comma 16 2 3 2 5 5" xfId="39696"/>
    <cellStyle name="Comma 16 2 3 2 6" xfId="39697"/>
    <cellStyle name="Comma 16 2 3 2 6 2" xfId="39698"/>
    <cellStyle name="Comma 16 2 3 2 6 3" xfId="39699"/>
    <cellStyle name="Comma 16 2 3 2 7" xfId="39700"/>
    <cellStyle name="Comma 16 2 3 2 7 2" xfId="39701"/>
    <cellStyle name="Comma 16 2 3 2 7 3" xfId="39702"/>
    <cellStyle name="Comma 16 2 3 2 8" xfId="39703"/>
    <cellStyle name="Comma 16 2 3 2 8 2" xfId="39704"/>
    <cellStyle name="Comma 16 2 3 2 9" xfId="39705"/>
    <cellStyle name="Comma 16 2 3 3" xfId="39706"/>
    <cellStyle name="Comma 16 2 3 3 2" xfId="39707"/>
    <cellStyle name="Comma 16 2 3 3 2 2" xfId="39708"/>
    <cellStyle name="Comma 16 2 3 3 2 2 2" xfId="39709"/>
    <cellStyle name="Comma 16 2 3 3 2 2 3" xfId="39710"/>
    <cellStyle name="Comma 16 2 3 3 2 3" xfId="39711"/>
    <cellStyle name="Comma 16 2 3 3 2 3 2" xfId="39712"/>
    <cellStyle name="Comma 16 2 3 3 2 3 3" xfId="39713"/>
    <cellStyle name="Comma 16 2 3 3 2 4" xfId="39714"/>
    <cellStyle name="Comma 16 2 3 3 2 4 2" xfId="39715"/>
    <cellStyle name="Comma 16 2 3 3 2 5" xfId="39716"/>
    <cellStyle name="Comma 16 2 3 3 2 6" xfId="39717"/>
    <cellStyle name="Comma 16 2 3 3 3" xfId="39718"/>
    <cellStyle name="Comma 16 2 3 3 3 2" xfId="39719"/>
    <cellStyle name="Comma 16 2 3 3 3 2 2" xfId="39720"/>
    <cellStyle name="Comma 16 2 3 3 3 2 3" xfId="39721"/>
    <cellStyle name="Comma 16 2 3 3 3 3" xfId="39722"/>
    <cellStyle name="Comma 16 2 3 3 3 3 2" xfId="39723"/>
    <cellStyle name="Comma 16 2 3 3 3 3 3" xfId="39724"/>
    <cellStyle name="Comma 16 2 3 3 3 4" xfId="39725"/>
    <cellStyle name="Comma 16 2 3 3 3 4 2" xfId="39726"/>
    <cellStyle name="Comma 16 2 3 3 3 5" xfId="39727"/>
    <cellStyle name="Comma 16 2 3 3 3 6" xfId="39728"/>
    <cellStyle name="Comma 16 2 3 3 4" xfId="39729"/>
    <cellStyle name="Comma 16 2 3 3 4 2" xfId="39730"/>
    <cellStyle name="Comma 16 2 3 3 4 2 2" xfId="39731"/>
    <cellStyle name="Comma 16 2 3 3 4 2 3" xfId="39732"/>
    <cellStyle name="Comma 16 2 3 3 4 3" xfId="39733"/>
    <cellStyle name="Comma 16 2 3 3 4 3 2" xfId="39734"/>
    <cellStyle name="Comma 16 2 3 3 4 4" xfId="39735"/>
    <cellStyle name="Comma 16 2 3 3 4 5" xfId="39736"/>
    <cellStyle name="Comma 16 2 3 3 5" xfId="39737"/>
    <cellStyle name="Comma 16 2 3 3 5 2" xfId="39738"/>
    <cellStyle name="Comma 16 2 3 3 5 3" xfId="39739"/>
    <cellStyle name="Comma 16 2 3 3 6" xfId="39740"/>
    <cellStyle name="Comma 16 2 3 3 6 2" xfId="39741"/>
    <cellStyle name="Comma 16 2 3 3 6 3" xfId="39742"/>
    <cellStyle name="Comma 16 2 3 3 7" xfId="39743"/>
    <cellStyle name="Comma 16 2 3 3 7 2" xfId="39744"/>
    <cellStyle name="Comma 16 2 3 3 8" xfId="39745"/>
    <cellStyle name="Comma 16 2 3 3 9" xfId="39746"/>
    <cellStyle name="Comma 16 2 3 4" xfId="39747"/>
    <cellStyle name="Comma 16 2 3 4 2" xfId="39748"/>
    <cellStyle name="Comma 16 2 3 4 2 2" xfId="39749"/>
    <cellStyle name="Comma 16 2 3 4 2 2 2" xfId="39750"/>
    <cellStyle name="Comma 16 2 3 4 2 2 3" xfId="39751"/>
    <cellStyle name="Comma 16 2 3 4 2 3" xfId="39752"/>
    <cellStyle name="Comma 16 2 3 4 2 3 2" xfId="39753"/>
    <cellStyle name="Comma 16 2 3 4 2 3 3" xfId="39754"/>
    <cellStyle name="Comma 16 2 3 4 2 4" xfId="39755"/>
    <cellStyle name="Comma 16 2 3 4 2 4 2" xfId="39756"/>
    <cellStyle name="Comma 16 2 3 4 2 5" xfId="39757"/>
    <cellStyle name="Comma 16 2 3 4 2 6" xfId="39758"/>
    <cellStyle name="Comma 16 2 3 4 3" xfId="39759"/>
    <cellStyle name="Comma 16 2 3 4 3 2" xfId="39760"/>
    <cellStyle name="Comma 16 2 3 4 3 2 2" xfId="39761"/>
    <cellStyle name="Comma 16 2 3 4 3 2 3" xfId="39762"/>
    <cellStyle name="Comma 16 2 3 4 3 3" xfId="39763"/>
    <cellStyle name="Comma 16 2 3 4 3 3 2" xfId="39764"/>
    <cellStyle name="Comma 16 2 3 4 3 3 3" xfId="39765"/>
    <cellStyle name="Comma 16 2 3 4 3 4" xfId="39766"/>
    <cellStyle name="Comma 16 2 3 4 3 4 2" xfId="39767"/>
    <cellStyle name="Comma 16 2 3 4 3 5" xfId="39768"/>
    <cellStyle name="Comma 16 2 3 4 3 6" xfId="39769"/>
    <cellStyle name="Comma 16 2 3 4 4" xfId="39770"/>
    <cellStyle name="Comma 16 2 3 4 4 2" xfId="39771"/>
    <cellStyle name="Comma 16 2 3 4 4 2 2" xfId="39772"/>
    <cellStyle name="Comma 16 2 3 4 4 2 3" xfId="39773"/>
    <cellStyle name="Comma 16 2 3 4 4 3" xfId="39774"/>
    <cellStyle name="Comma 16 2 3 4 4 3 2" xfId="39775"/>
    <cellStyle name="Comma 16 2 3 4 4 4" xfId="39776"/>
    <cellStyle name="Comma 16 2 3 4 4 5" xfId="39777"/>
    <cellStyle name="Comma 16 2 3 4 5" xfId="39778"/>
    <cellStyle name="Comma 16 2 3 4 5 2" xfId="39779"/>
    <cellStyle name="Comma 16 2 3 4 5 3" xfId="39780"/>
    <cellStyle name="Comma 16 2 3 4 6" xfId="39781"/>
    <cellStyle name="Comma 16 2 3 4 6 2" xfId="39782"/>
    <cellStyle name="Comma 16 2 3 4 6 3" xfId="39783"/>
    <cellStyle name="Comma 16 2 3 4 7" xfId="39784"/>
    <cellStyle name="Comma 16 2 3 4 7 2" xfId="39785"/>
    <cellStyle name="Comma 16 2 3 4 8" xfId="39786"/>
    <cellStyle name="Comma 16 2 3 4 9" xfId="39787"/>
    <cellStyle name="Comma 16 2 3 5" xfId="39788"/>
    <cellStyle name="Comma 16 2 3 5 2" xfId="39789"/>
    <cellStyle name="Comma 16 2 3 5 2 2" xfId="39790"/>
    <cellStyle name="Comma 16 2 3 5 2 3" xfId="39791"/>
    <cellStyle name="Comma 16 2 3 5 3" xfId="39792"/>
    <cellStyle name="Comma 16 2 3 5 3 2" xfId="39793"/>
    <cellStyle name="Comma 16 2 3 5 3 3" xfId="39794"/>
    <cellStyle name="Comma 16 2 3 5 4" xfId="39795"/>
    <cellStyle name="Comma 16 2 3 5 4 2" xfId="39796"/>
    <cellStyle name="Comma 16 2 3 5 5" xfId="39797"/>
    <cellStyle name="Comma 16 2 3 5 6" xfId="39798"/>
    <cellStyle name="Comma 16 2 3 6" xfId="39799"/>
    <cellStyle name="Comma 16 2 3 6 2" xfId="39800"/>
    <cellStyle name="Comma 16 2 3 6 2 2" xfId="39801"/>
    <cellStyle name="Comma 16 2 3 6 2 3" xfId="39802"/>
    <cellStyle name="Comma 16 2 3 6 3" xfId="39803"/>
    <cellStyle name="Comma 16 2 3 6 3 2" xfId="39804"/>
    <cellStyle name="Comma 16 2 3 6 3 3" xfId="39805"/>
    <cellStyle name="Comma 16 2 3 6 4" xfId="39806"/>
    <cellStyle name="Comma 16 2 3 6 4 2" xfId="39807"/>
    <cellStyle name="Comma 16 2 3 6 5" xfId="39808"/>
    <cellStyle name="Comma 16 2 3 6 6" xfId="39809"/>
    <cellStyle name="Comma 16 2 3 7" xfId="39810"/>
    <cellStyle name="Comma 16 2 3 7 2" xfId="39811"/>
    <cellStyle name="Comma 16 2 3 7 2 2" xfId="39812"/>
    <cellStyle name="Comma 16 2 3 7 2 3" xfId="39813"/>
    <cellStyle name="Comma 16 2 3 7 3" xfId="39814"/>
    <cellStyle name="Comma 16 2 3 7 3 2" xfId="39815"/>
    <cellStyle name="Comma 16 2 3 7 4" xfId="39816"/>
    <cellStyle name="Comma 16 2 3 7 5" xfId="39817"/>
    <cellStyle name="Comma 16 2 3 8" xfId="39818"/>
    <cellStyle name="Comma 16 2 3 8 2" xfId="39819"/>
    <cellStyle name="Comma 16 2 3 8 3" xfId="39820"/>
    <cellStyle name="Comma 16 2 3 9" xfId="39821"/>
    <cellStyle name="Comma 16 2 3 9 2" xfId="39822"/>
    <cellStyle name="Comma 16 2 3 9 3" xfId="39823"/>
    <cellStyle name="Comma 16 2 4" xfId="39824"/>
    <cellStyle name="Comma 16 2 4 10" xfId="39825"/>
    <cellStyle name="Comma 16 2 4 2" xfId="39826"/>
    <cellStyle name="Comma 16 2 4 2 2" xfId="39827"/>
    <cellStyle name="Comma 16 2 4 2 2 2" xfId="39828"/>
    <cellStyle name="Comma 16 2 4 2 2 2 2" xfId="39829"/>
    <cellStyle name="Comma 16 2 4 2 2 2 3" xfId="39830"/>
    <cellStyle name="Comma 16 2 4 2 2 3" xfId="39831"/>
    <cellStyle name="Comma 16 2 4 2 2 3 2" xfId="39832"/>
    <cellStyle name="Comma 16 2 4 2 2 3 3" xfId="39833"/>
    <cellStyle name="Comma 16 2 4 2 2 4" xfId="39834"/>
    <cellStyle name="Comma 16 2 4 2 2 4 2" xfId="39835"/>
    <cellStyle name="Comma 16 2 4 2 2 5" xfId="39836"/>
    <cellStyle name="Comma 16 2 4 2 2 6" xfId="39837"/>
    <cellStyle name="Comma 16 2 4 2 3" xfId="39838"/>
    <cellStyle name="Comma 16 2 4 2 3 2" xfId="39839"/>
    <cellStyle name="Comma 16 2 4 2 3 2 2" xfId="39840"/>
    <cellStyle name="Comma 16 2 4 2 3 2 3" xfId="39841"/>
    <cellStyle name="Comma 16 2 4 2 3 3" xfId="39842"/>
    <cellStyle name="Comma 16 2 4 2 3 3 2" xfId="39843"/>
    <cellStyle name="Comma 16 2 4 2 3 3 3" xfId="39844"/>
    <cellStyle name="Comma 16 2 4 2 3 4" xfId="39845"/>
    <cellStyle name="Comma 16 2 4 2 3 4 2" xfId="39846"/>
    <cellStyle name="Comma 16 2 4 2 3 5" xfId="39847"/>
    <cellStyle name="Comma 16 2 4 2 3 6" xfId="39848"/>
    <cellStyle name="Comma 16 2 4 2 4" xfId="39849"/>
    <cellStyle name="Comma 16 2 4 2 4 2" xfId="39850"/>
    <cellStyle name="Comma 16 2 4 2 4 2 2" xfId="39851"/>
    <cellStyle name="Comma 16 2 4 2 4 2 3" xfId="39852"/>
    <cellStyle name="Comma 16 2 4 2 4 3" xfId="39853"/>
    <cellStyle name="Comma 16 2 4 2 4 3 2" xfId="39854"/>
    <cellStyle name="Comma 16 2 4 2 4 4" xfId="39855"/>
    <cellStyle name="Comma 16 2 4 2 4 5" xfId="39856"/>
    <cellStyle name="Comma 16 2 4 2 5" xfId="39857"/>
    <cellStyle name="Comma 16 2 4 2 5 2" xfId="39858"/>
    <cellStyle name="Comma 16 2 4 2 5 3" xfId="39859"/>
    <cellStyle name="Comma 16 2 4 2 6" xfId="39860"/>
    <cellStyle name="Comma 16 2 4 2 6 2" xfId="39861"/>
    <cellStyle name="Comma 16 2 4 2 6 3" xfId="39862"/>
    <cellStyle name="Comma 16 2 4 2 7" xfId="39863"/>
    <cellStyle name="Comma 16 2 4 2 7 2" xfId="39864"/>
    <cellStyle name="Comma 16 2 4 2 8" xfId="39865"/>
    <cellStyle name="Comma 16 2 4 2 9" xfId="39866"/>
    <cellStyle name="Comma 16 2 4 3" xfId="39867"/>
    <cellStyle name="Comma 16 2 4 3 2" xfId="39868"/>
    <cellStyle name="Comma 16 2 4 3 2 2" xfId="39869"/>
    <cellStyle name="Comma 16 2 4 3 2 3" xfId="39870"/>
    <cellStyle name="Comma 16 2 4 3 3" xfId="39871"/>
    <cellStyle name="Comma 16 2 4 3 3 2" xfId="39872"/>
    <cellStyle name="Comma 16 2 4 3 3 3" xfId="39873"/>
    <cellStyle name="Comma 16 2 4 3 4" xfId="39874"/>
    <cellStyle name="Comma 16 2 4 3 4 2" xfId="39875"/>
    <cellStyle name="Comma 16 2 4 3 5" xfId="39876"/>
    <cellStyle name="Comma 16 2 4 3 6" xfId="39877"/>
    <cellStyle name="Comma 16 2 4 4" xfId="39878"/>
    <cellStyle name="Comma 16 2 4 4 2" xfId="39879"/>
    <cellStyle name="Comma 16 2 4 4 2 2" xfId="39880"/>
    <cellStyle name="Comma 16 2 4 4 2 3" xfId="39881"/>
    <cellStyle name="Comma 16 2 4 4 3" xfId="39882"/>
    <cellStyle name="Comma 16 2 4 4 3 2" xfId="39883"/>
    <cellStyle name="Comma 16 2 4 4 3 3" xfId="39884"/>
    <cellStyle name="Comma 16 2 4 4 4" xfId="39885"/>
    <cellStyle name="Comma 16 2 4 4 4 2" xfId="39886"/>
    <cellStyle name="Comma 16 2 4 4 5" xfId="39887"/>
    <cellStyle name="Comma 16 2 4 4 6" xfId="39888"/>
    <cellStyle name="Comma 16 2 4 5" xfId="39889"/>
    <cellStyle name="Comma 16 2 4 5 2" xfId="39890"/>
    <cellStyle name="Comma 16 2 4 5 2 2" xfId="39891"/>
    <cellStyle name="Comma 16 2 4 5 2 3" xfId="39892"/>
    <cellStyle name="Comma 16 2 4 5 3" xfId="39893"/>
    <cellStyle name="Comma 16 2 4 5 3 2" xfId="39894"/>
    <cellStyle name="Comma 16 2 4 5 4" xfId="39895"/>
    <cellStyle name="Comma 16 2 4 5 5" xfId="39896"/>
    <cellStyle name="Comma 16 2 4 6" xfId="39897"/>
    <cellStyle name="Comma 16 2 4 6 2" xfId="39898"/>
    <cellStyle name="Comma 16 2 4 6 3" xfId="39899"/>
    <cellStyle name="Comma 16 2 4 7" xfId="39900"/>
    <cellStyle name="Comma 16 2 4 7 2" xfId="39901"/>
    <cellStyle name="Comma 16 2 4 7 3" xfId="39902"/>
    <cellStyle name="Comma 16 2 4 8" xfId="39903"/>
    <cellStyle name="Comma 16 2 4 8 2" xfId="39904"/>
    <cellStyle name="Comma 16 2 4 9" xfId="39905"/>
    <cellStyle name="Comma 16 2 5" xfId="39906"/>
    <cellStyle name="Comma 16 2 5 2" xfId="39907"/>
    <cellStyle name="Comma 16 2 5 2 2" xfId="39908"/>
    <cellStyle name="Comma 16 2 5 2 2 2" xfId="39909"/>
    <cellStyle name="Comma 16 2 5 2 2 3" xfId="39910"/>
    <cellStyle name="Comma 16 2 5 2 3" xfId="39911"/>
    <cellStyle name="Comma 16 2 5 2 3 2" xfId="39912"/>
    <cellStyle name="Comma 16 2 5 2 3 3" xfId="39913"/>
    <cellStyle name="Comma 16 2 5 2 4" xfId="39914"/>
    <cellStyle name="Comma 16 2 5 2 4 2" xfId="39915"/>
    <cellStyle name="Comma 16 2 5 2 5" xfId="39916"/>
    <cellStyle name="Comma 16 2 5 2 6" xfId="39917"/>
    <cellStyle name="Comma 16 2 5 3" xfId="39918"/>
    <cellStyle name="Comma 16 2 5 3 2" xfId="39919"/>
    <cellStyle name="Comma 16 2 5 3 2 2" xfId="39920"/>
    <cellStyle name="Comma 16 2 5 3 2 3" xfId="39921"/>
    <cellStyle name="Comma 16 2 5 3 3" xfId="39922"/>
    <cellStyle name="Comma 16 2 5 3 3 2" xfId="39923"/>
    <cellStyle name="Comma 16 2 5 3 3 3" xfId="39924"/>
    <cellStyle name="Comma 16 2 5 3 4" xfId="39925"/>
    <cellStyle name="Comma 16 2 5 3 4 2" xfId="39926"/>
    <cellStyle name="Comma 16 2 5 3 5" xfId="39927"/>
    <cellStyle name="Comma 16 2 5 3 6" xfId="39928"/>
    <cellStyle name="Comma 16 2 5 4" xfId="39929"/>
    <cellStyle name="Comma 16 2 5 4 2" xfId="39930"/>
    <cellStyle name="Comma 16 2 5 4 2 2" xfId="39931"/>
    <cellStyle name="Comma 16 2 5 4 2 3" xfId="39932"/>
    <cellStyle name="Comma 16 2 5 4 3" xfId="39933"/>
    <cellStyle name="Comma 16 2 5 4 3 2" xfId="39934"/>
    <cellStyle name="Comma 16 2 5 4 4" xfId="39935"/>
    <cellStyle name="Comma 16 2 5 4 5" xfId="39936"/>
    <cellStyle name="Comma 16 2 5 5" xfId="39937"/>
    <cellStyle name="Comma 16 2 5 5 2" xfId="39938"/>
    <cellStyle name="Comma 16 2 5 5 3" xfId="39939"/>
    <cellStyle name="Comma 16 2 5 6" xfId="39940"/>
    <cellStyle name="Comma 16 2 5 6 2" xfId="39941"/>
    <cellStyle name="Comma 16 2 5 6 3" xfId="39942"/>
    <cellStyle name="Comma 16 2 5 7" xfId="39943"/>
    <cellStyle name="Comma 16 2 5 7 2" xfId="39944"/>
    <cellStyle name="Comma 16 2 5 8" xfId="39945"/>
    <cellStyle name="Comma 16 2 5 9" xfId="39946"/>
    <cellStyle name="Comma 16 2 6" xfId="39947"/>
    <cellStyle name="Comma 16 2 6 2" xfId="39948"/>
    <cellStyle name="Comma 16 2 6 2 2" xfId="39949"/>
    <cellStyle name="Comma 16 2 6 2 2 2" xfId="39950"/>
    <cellStyle name="Comma 16 2 6 2 2 3" xfId="39951"/>
    <cellStyle name="Comma 16 2 6 2 3" xfId="39952"/>
    <cellStyle name="Comma 16 2 6 2 3 2" xfId="39953"/>
    <cellStyle name="Comma 16 2 6 2 3 3" xfId="39954"/>
    <cellStyle name="Comma 16 2 6 2 4" xfId="39955"/>
    <cellStyle name="Comma 16 2 6 2 4 2" xfId="39956"/>
    <cellStyle name="Comma 16 2 6 2 5" xfId="39957"/>
    <cellStyle name="Comma 16 2 6 2 6" xfId="39958"/>
    <cellStyle name="Comma 16 2 6 3" xfId="39959"/>
    <cellStyle name="Comma 16 2 6 3 2" xfId="39960"/>
    <cellStyle name="Comma 16 2 6 3 2 2" xfId="39961"/>
    <cellStyle name="Comma 16 2 6 3 2 3" xfId="39962"/>
    <cellStyle name="Comma 16 2 6 3 3" xfId="39963"/>
    <cellStyle name="Comma 16 2 6 3 3 2" xfId="39964"/>
    <cellStyle name="Comma 16 2 6 3 3 3" xfId="39965"/>
    <cellStyle name="Comma 16 2 6 3 4" xfId="39966"/>
    <cellStyle name="Comma 16 2 6 3 4 2" xfId="39967"/>
    <cellStyle name="Comma 16 2 6 3 5" xfId="39968"/>
    <cellStyle name="Comma 16 2 6 3 6" xfId="39969"/>
    <cellStyle name="Comma 16 2 6 4" xfId="39970"/>
    <cellStyle name="Comma 16 2 6 4 2" xfId="39971"/>
    <cellStyle name="Comma 16 2 6 4 2 2" xfId="39972"/>
    <cellStyle name="Comma 16 2 6 4 2 3" xfId="39973"/>
    <cellStyle name="Comma 16 2 6 4 3" xfId="39974"/>
    <cellStyle name="Comma 16 2 6 4 3 2" xfId="39975"/>
    <cellStyle name="Comma 16 2 6 4 4" xfId="39976"/>
    <cellStyle name="Comma 16 2 6 4 5" xfId="39977"/>
    <cellStyle name="Comma 16 2 6 5" xfId="39978"/>
    <cellStyle name="Comma 16 2 6 5 2" xfId="39979"/>
    <cellStyle name="Comma 16 2 6 5 3" xfId="39980"/>
    <cellStyle name="Comma 16 2 6 6" xfId="39981"/>
    <cellStyle name="Comma 16 2 6 6 2" xfId="39982"/>
    <cellStyle name="Comma 16 2 6 6 3" xfId="39983"/>
    <cellStyle name="Comma 16 2 6 7" xfId="39984"/>
    <cellStyle name="Comma 16 2 6 7 2" xfId="39985"/>
    <cellStyle name="Comma 16 2 6 8" xfId="39986"/>
    <cellStyle name="Comma 16 2 6 9" xfId="39987"/>
    <cellStyle name="Comma 16 2 7" xfId="39988"/>
    <cellStyle name="Comma 16 2 7 2" xfId="39989"/>
    <cellStyle name="Comma 16 2 7 2 2" xfId="39990"/>
    <cellStyle name="Comma 16 2 7 2 3" xfId="39991"/>
    <cellStyle name="Comma 16 2 7 3" xfId="39992"/>
    <cellStyle name="Comma 16 2 7 3 2" xfId="39993"/>
    <cellStyle name="Comma 16 2 7 3 3" xfId="39994"/>
    <cellStyle name="Comma 16 2 7 4" xfId="39995"/>
    <cellStyle name="Comma 16 2 7 4 2" xfId="39996"/>
    <cellStyle name="Comma 16 2 7 5" xfId="39997"/>
    <cellStyle name="Comma 16 2 7 6" xfId="39998"/>
    <cellStyle name="Comma 16 2 8" xfId="39999"/>
    <cellStyle name="Comma 16 2 8 2" xfId="40000"/>
    <cellStyle name="Comma 16 2 8 2 2" xfId="40001"/>
    <cellStyle name="Comma 16 2 8 2 3" xfId="40002"/>
    <cellStyle name="Comma 16 2 8 3" xfId="40003"/>
    <cellStyle name="Comma 16 2 8 3 2" xfId="40004"/>
    <cellStyle name="Comma 16 2 8 3 3" xfId="40005"/>
    <cellStyle name="Comma 16 2 8 4" xfId="40006"/>
    <cellStyle name="Comma 16 2 8 4 2" xfId="40007"/>
    <cellStyle name="Comma 16 2 8 5" xfId="40008"/>
    <cellStyle name="Comma 16 2 8 6" xfId="40009"/>
    <cellStyle name="Comma 16 2 9" xfId="40010"/>
    <cellStyle name="Comma 16 2 9 2" xfId="40011"/>
    <cellStyle name="Comma 16 2 9 2 2" xfId="40012"/>
    <cellStyle name="Comma 16 2 9 2 3" xfId="40013"/>
    <cellStyle name="Comma 16 2 9 3" xfId="40014"/>
    <cellStyle name="Comma 16 2 9 3 2" xfId="40015"/>
    <cellStyle name="Comma 16 2 9 4" xfId="40016"/>
    <cellStyle name="Comma 16 2 9 5" xfId="40017"/>
    <cellStyle name="Comma 16 3" xfId="40018"/>
    <cellStyle name="Comma 16 3 10" xfId="40019"/>
    <cellStyle name="Comma 16 3 10 2" xfId="40020"/>
    <cellStyle name="Comma 16 3 10 3" xfId="40021"/>
    <cellStyle name="Comma 16 3 11" xfId="40022"/>
    <cellStyle name="Comma 16 3 11 2" xfId="40023"/>
    <cellStyle name="Comma 16 3 12" xfId="40024"/>
    <cellStyle name="Comma 16 3 13" xfId="40025"/>
    <cellStyle name="Comma 16 3 2" xfId="40026"/>
    <cellStyle name="Comma 16 3 2 10" xfId="40027"/>
    <cellStyle name="Comma 16 3 2 10 2" xfId="40028"/>
    <cellStyle name="Comma 16 3 2 11" xfId="40029"/>
    <cellStyle name="Comma 16 3 2 12" xfId="40030"/>
    <cellStyle name="Comma 16 3 2 2" xfId="40031"/>
    <cellStyle name="Comma 16 3 2 2 10" xfId="40032"/>
    <cellStyle name="Comma 16 3 2 2 2" xfId="40033"/>
    <cellStyle name="Comma 16 3 2 2 2 2" xfId="40034"/>
    <cellStyle name="Comma 16 3 2 2 2 2 2" xfId="40035"/>
    <cellStyle name="Comma 16 3 2 2 2 2 2 2" xfId="40036"/>
    <cellStyle name="Comma 16 3 2 2 2 2 2 3" xfId="40037"/>
    <cellStyle name="Comma 16 3 2 2 2 2 3" xfId="40038"/>
    <cellStyle name="Comma 16 3 2 2 2 2 3 2" xfId="40039"/>
    <cellStyle name="Comma 16 3 2 2 2 2 3 3" xfId="40040"/>
    <cellStyle name="Comma 16 3 2 2 2 2 4" xfId="40041"/>
    <cellStyle name="Comma 16 3 2 2 2 2 4 2" xfId="40042"/>
    <cellStyle name="Comma 16 3 2 2 2 2 5" xfId="40043"/>
    <cellStyle name="Comma 16 3 2 2 2 2 6" xfId="40044"/>
    <cellStyle name="Comma 16 3 2 2 2 3" xfId="40045"/>
    <cellStyle name="Comma 16 3 2 2 2 3 2" xfId="40046"/>
    <cellStyle name="Comma 16 3 2 2 2 3 2 2" xfId="40047"/>
    <cellStyle name="Comma 16 3 2 2 2 3 2 3" xfId="40048"/>
    <cellStyle name="Comma 16 3 2 2 2 3 3" xfId="40049"/>
    <cellStyle name="Comma 16 3 2 2 2 3 3 2" xfId="40050"/>
    <cellStyle name="Comma 16 3 2 2 2 3 3 3" xfId="40051"/>
    <cellStyle name="Comma 16 3 2 2 2 3 4" xfId="40052"/>
    <cellStyle name="Comma 16 3 2 2 2 3 4 2" xfId="40053"/>
    <cellStyle name="Comma 16 3 2 2 2 3 5" xfId="40054"/>
    <cellStyle name="Comma 16 3 2 2 2 3 6" xfId="40055"/>
    <cellStyle name="Comma 16 3 2 2 2 4" xfId="40056"/>
    <cellStyle name="Comma 16 3 2 2 2 4 2" xfId="40057"/>
    <cellStyle name="Comma 16 3 2 2 2 4 2 2" xfId="40058"/>
    <cellStyle name="Comma 16 3 2 2 2 4 2 3" xfId="40059"/>
    <cellStyle name="Comma 16 3 2 2 2 4 3" xfId="40060"/>
    <cellStyle name="Comma 16 3 2 2 2 4 3 2" xfId="40061"/>
    <cellStyle name="Comma 16 3 2 2 2 4 4" xfId="40062"/>
    <cellStyle name="Comma 16 3 2 2 2 4 5" xfId="40063"/>
    <cellStyle name="Comma 16 3 2 2 2 5" xfId="40064"/>
    <cellStyle name="Comma 16 3 2 2 2 5 2" xfId="40065"/>
    <cellStyle name="Comma 16 3 2 2 2 5 3" xfId="40066"/>
    <cellStyle name="Comma 16 3 2 2 2 6" xfId="40067"/>
    <cellStyle name="Comma 16 3 2 2 2 6 2" xfId="40068"/>
    <cellStyle name="Comma 16 3 2 2 2 6 3" xfId="40069"/>
    <cellStyle name="Comma 16 3 2 2 2 7" xfId="40070"/>
    <cellStyle name="Comma 16 3 2 2 2 7 2" xfId="40071"/>
    <cellStyle name="Comma 16 3 2 2 2 8" xfId="40072"/>
    <cellStyle name="Comma 16 3 2 2 2 9" xfId="40073"/>
    <cellStyle name="Comma 16 3 2 2 3" xfId="40074"/>
    <cellStyle name="Comma 16 3 2 2 3 2" xfId="40075"/>
    <cellStyle name="Comma 16 3 2 2 3 2 2" xfId="40076"/>
    <cellStyle name="Comma 16 3 2 2 3 2 3" xfId="40077"/>
    <cellStyle name="Comma 16 3 2 2 3 3" xfId="40078"/>
    <cellStyle name="Comma 16 3 2 2 3 3 2" xfId="40079"/>
    <cellStyle name="Comma 16 3 2 2 3 3 3" xfId="40080"/>
    <cellStyle name="Comma 16 3 2 2 3 4" xfId="40081"/>
    <cellStyle name="Comma 16 3 2 2 3 4 2" xfId="40082"/>
    <cellStyle name="Comma 16 3 2 2 3 5" xfId="40083"/>
    <cellStyle name="Comma 16 3 2 2 3 6" xfId="40084"/>
    <cellStyle name="Comma 16 3 2 2 4" xfId="40085"/>
    <cellStyle name="Comma 16 3 2 2 4 2" xfId="40086"/>
    <cellStyle name="Comma 16 3 2 2 4 2 2" xfId="40087"/>
    <cellStyle name="Comma 16 3 2 2 4 2 3" xfId="40088"/>
    <cellStyle name="Comma 16 3 2 2 4 3" xfId="40089"/>
    <cellStyle name="Comma 16 3 2 2 4 3 2" xfId="40090"/>
    <cellStyle name="Comma 16 3 2 2 4 3 3" xfId="40091"/>
    <cellStyle name="Comma 16 3 2 2 4 4" xfId="40092"/>
    <cellStyle name="Comma 16 3 2 2 4 4 2" xfId="40093"/>
    <cellStyle name="Comma 16 3 2 2 4 5" xfId="40094"/>
    <cellStyle name="Comma 16 3 2 2 4 6" xfId="40095"/>
    <cellStyle name="Comma 16 3 2 2 5" xfId="40096"/>
    <cellStyle name="Comma 16 3 2 2 5 2" xfId="40097"/>
    <cellStyle name="Comma 16 3 2 2 5 2 2" xfId="40098"/>
    <cellStyle name="Comma 16 3 2 2 5 2 3" xfId="40099"/>
    <cellStyle name="Comma 16 3 2 2 5 3" xfId="40100"/>
    <cellStyle name="Comma 16 3 2 2 5 3 2" xfId="40101"/>
    <cellStyle name="Comma 16 3 2 2 5 4" xfId="40102"/>
    <cellStyle name="Comma 16 3 2 2 5 5" xfId="40103"/>
    <cellStyle name="Comma 16 3 2 2 6" xfId="40104"/>
    <cellStyle name="Comma 16 3 2 2 6 2" xfId="40105"/>
    <cellStyle name="Comma 16 3 2 2 6 3" xfId="40106"/>
    <cellStyle name="Comma 16 3 2 2 7" xfId="40107"/>
    <cellStyle name="Comma 16 3 2 2 7 2" xfId="40108"/>
    <cellStyle name="Comma 16 3 2 2 7 3" xfId="40109"/>
    <cellStyle name="Comma 16 3 2 2 8" xfId="40110"/>
    <cellStyle name="Comma 16 3 2 2 8 2" xfId="40111"/>
    <cellStyle name="Comma 16 3 2 2 9" xfId="40112"/>
    <cellStyle name="Comma 16 3 2 3" xfId="40113"/>
    <cellStyle name="Comma 16 3 2 3 2" xfId="40114"/>
    <cellStyle name="Comma 16 3 2 3 2 2" xfId="40115"/>
    <cellStyle name="Comma 16 3 2 3 2 2 2" xfId="40116"/>
    <cellStyle name="Comma 16 3 2 3 2 2 3" xfId="40117"/>
    <cellStyle name="Comma 16 3 2 3 2 3" xfId="40118"/>
    <cellStyle name="Comma 16 3 2 3 2 3 2" xfId="40119"/>
    <cellStyle name="Comma 16 3 2 3 2 3 3" xfId="40120"/>
    <cellStyle name="Comma 16 3 2 3 2 4" xfId="40121"/>
    <cellStyle name="Comma 16 3 2 3 2 4 2" xfId="40122"/>
    <cellStyle name="Comma 16 3 2 3 2 5" xfId="40123"/>
    <cellStyle name="Comma 16 3 2 3 2 6" xfId="40124"/>
    <cellStyle name="Comma 16 3 2 3 3" xfId="40125"/>
    <cellStyle name="Comma 16 3 2 3 3 2" xfId="40126"/>
    <cellStyle name="Comma 16 3 2 3 3 2 2" xfId="40127"/>
    <cellStyle name="Comma 16 3 2 3 3 2 3" xfId="40128"/>
    <cellStyle name="Comma 16 3 2 3 3 3" xfId="40129"/>
    <cellStyle name="Comma 16 3 2 3 3 3 2" xfId="40130"/>
    <cellStyle name="Comma 16 3 2 3 3 3 3" xfId="40131"/>
    <cellStyle name="Comma 16 3 2 3 3 4" xfId="40132"/>
    <cellStyle name="Comma 16 3 2 3 3 4 2" xfId="40133"/>
    <cellStyle name="Comma 16 3 2 3 3 5" xfId="40134"/>
    <cellStyle name="Comma 16 3 2 3 3 6" xfId="40135"/>
    <cellStyle name="Comma 16 3 2 3 4" xfId="40136"/>
    <cellStyle name="Comma 16 3 2 3 4 2" xfId="40137"/>
    <cellStyle name="Comma 16 3 2 3 4 2 2" xfId="40138"/>
    <cellStyle name="Comma 16 3 2 3 4 2 3" xfId="40139"/>
    <cellStyle name="Comma 16 3 2 3 4 3" xfId="40140"/>
    <cellStyle name="Comma 16 3 2 3 4 3 2" xfId="40141"/>
    <cellStyle name="Comma 16 3 2 3 4 4" xfId="40142"/>
    <cellStyle name="Comma 16 3 2 3 4 5" xfId="40143"/>
    <cellStyle name="Comma 16 3 2 3 5" xfId="40144"/>
    <cellStyle name="Comma 16 3 2 3 5 2" xfId="40145"/>
    <cellStyle name="Comma 16 3 2 3 5 3" xfId="40146"/>
    <cellStyle name="Comma 16 3 2 3 6" xfId="40147"/>
    <cellStyle name="Comma 16 3 2 3 6 2" xfId="40148"/>
    <cellStyle name="Comma 16 3 2 3 6 3" xfId="40149"/>
    <cellStyle name="Comma 16 3 2 3 7" xfId="40150"/>
    <cellStyle name="Comma 16 3 2 3 7 2" xfId="40151"/>
    <cellStyle name="Comma 16 3 2 3 8" xfId="40152"/>
    <cellStyle name="Comma 16 3 2 3 9" xfId="40153"/>
    <cellStyle name="Comma 16 3 2 4" xfId="40154"/>
    <cellStyle name="Comma 16 3 2 4 2" xfId="40155"/>
    <cellStyle name="Comma 16 3 2 4 2 2" xfId="40156"/>
    <cellStyle name="Comma 16 3 2 4 2 2 2" xfId="40157"/>
    <cellStyle name="Comma 16 3 2 4 2 2 3" xfId="40158"/>
    <cellStyle name="Comma 16 3 2 4 2 3" xfId="40159"/>
    <cellStyle name="Comma 16 3 2 4 2 3 2" xfId="40160"/>
    <cellStyle name="Comma 16 3 2 4 2 3 3" xfId="40161"/>
    <cellStyle name="Comma 16 3 2 4 2 4" xfId="40162"/>
    <cellStyle name="Comma 16 3 2 4 2 4 2" xfId="40163"/>
    <cellStyle name="Comma 16 3 2 4 2 5" xfId="40164"/>
    <cellStyle name="Comma 16 3 2 4 2 6" xfId="40165"/>
    <cellStyle name="Comma 16 3 2 4 3" xfId="40166"/>
    <cellStyle name="Comma 16 3 2 4 3 2" xfId="40167"/>
    <cellStyle name="Comma 16 3 2 4 3 2 2" xfId="40168"/>
    <cellStyle name="Comma 16 3 2 4 3 2 3" xfId="40169"/>
    <cellStyle name="Comma 16 3 2 4 3 3" xfId="40170"/>
    <cellStyle name="Comma 16 3 2 4 3 3 2" xfId="40171"/>
    <cellStyle name="Comma 16 3 2 4 3 3 3" xfId="40172"/>
    <cellStyle name="Comma 16 3 2 4 3 4" xfId="40173"/>
    <cellStyle name="Comma 16 3 2 4 3 4 2" xfId="40174"/>
    <cellStyle name="Comma 16 3 2 4 3 5" xfId="40175"/>
    <cellStyle name="Comma 16 3 2 4 3 6" xfId="40176"/>
    <cellStyle name="Comma 16 3 2 4 4" xfId="40177"/>
    <cellStyle name="Comma 16 3 2 4 4 2" xfId="40178"/>
    <cellStyle name="Comma 16 3 2 4 4 2 2" xfId="40179"/>
    <cellStyle name="Comma 16 3 2 4 4 2 3" xfId="40180"/>
    <cellStyle name="Comma 16 3 2 4 4 3" xfId="40181"/>
    <cellStyle name="Comma 16 3 2 4 4 3 2" xfId="40182"/>
    <cellStyle name="Comma 16 3 2 4 4 4" xfId="40183"/>
    <cellStyle name="Comma 16 3 2 4 4 5" xfId="40184"/>
    <cellStyle name="Comma 16 3 2 4 5" xfId="40185"/>
    <cellStyle name="Comma 16 3 2 4 5 2" xfId="40186"/>
    <cellStyle name="Comma 16 3 2 4 5 3" xfId="40187"/>
    <cellStyle name="Comma 16 3 2 4 6" xfId="40188"/>
    <cellStyle name="Comma 16 3 2 4 6 2" xfId="40189"/>
    <cellStyle name="Comma 16 3 2 4 6 3" xfId="40190"/>
    <cellStyle name="Comma 16 3 2 4 7" xfId="40191"/>
    <cellStyle name="Comma 16 3 2 4 7 2" xfId="40192"/>
    <cellStyle name="Comma 16 3 2 4 8" xfId="40193"/>
    <cellStyle name="Comma 16 3 2 4 9" xfId="40194"/>
    <cellStyle name="Comma 16 3 2 5" xfId="40195"/>
    <cellStyle name="Comma 16 3 2 5 2" xfId="40196"/>
    <cellStyle name="Comma 16 3 2 5 2 2" xfId="40197"/>
    <cellStyle name="Comma 16 3 2 5 2 3" xfId="40198"/>
    <cellStyle name="Comma 16 3 2 5 3" xfId="40199"/>
    <cellStyle name="Comma 16 3 2 5 3 2" xfId="40200"/>
    <cellStyle name="Comma 16 3 2 5 3 3" xfId="40201"/>
    <cellStyle name="Comma 16 3 2 5 4" xfId="40202"/>
    <cellStyle name="Comma 16 3 2 5 4 2" xfId="40203"/>
    <cellStyle name="Comma 16 3 2 5 5" xfId="40204"/>
    <cellStyle name="Comma 16 3 2 5 6" xfId="40205"/>
    <cellStyle name="Comma 16 3 2 6" xfId="40206"/>
    <cellStyle name="Comma 16 3 2 6 2" xfId="40207"/>
    <cellStyle name="Comma 16 3 2 6 2 2" xfId="40208"/>
    <cellStyle name="Comma 16 3 2 6 2 3" xfId="40209"/>
    <cellStyle name="Comma 16 3 2 6 3" xfId="40210"/>
    <cellStyle name="Comma 16 3 2 6 3 2" xfId="40211"/>
    <cellStyle name="Comma 16 3 2 6 3 3" xfId="40212"/>
    <cellStyle name="Comma 16 3 2 6 4" xfId="40213"/>
    <cellStyle name="Comma 16 3 2 6 4 2" xfId="40214"/>
    <cellStyle name="Comma 16 3 2 6 5" xfId="40215"/>
    <cellStyle name="Comma 16 3 2 6 6" xfId="40216"/>
    <cellStyle name="Comma 16 3 2 7" xfId="40217"/>
    <cellStyle name="Comma 16 3 2 7 2" xfId="40218"/>
    <cellStyle name="Comma 16 3 2 7 2 2" xfId="40219"/>
    <cellStyle name="Comma 16 3 2 7 2 3" xfId="40220"/>
    <cellStyle name="Comma 16 3 2 7 3" xfId="40221"/>
    <cellStyle name="Comma 16 3 2 7 3 2" xfId="40222"/>
    <cellStyle name="Comma 16 3 2 7 4" xfId="40223"/>
    <cellStyle name="Comma 16 3 2 7 5" xfId="40224"/>
    <cellStyle name="Comma 16 3 2 8" xfId="40225"/>
    <cellStyle name="Comma 16 3 2 8 2" xfId="40226"/>
    <cellStyle name="Comma 16 3 2 8 3" xfId="40227"/>
    <cellStyle name="Comma 16 3 2 9" xfId="40228"/>
    <cellStyle name="Comma 16 3 2 9 2" xfId="40229"/>
    <cellStyle name="Comma 16 3 2 9 3" xfId="40230"/>
    <cellStyle name="Comma 16 3 3" xfId="40231"/>
    <cellStyle name="Comma 16 3 3 10" xfId="40232"/>
    <cellStyle name="Comma 16 3 3 2" xfId="40233"/>
    <cellStyle name="Comma 16 3 3 2 2" xfId="40234"/>
    <cellStyle name="Comma 16 3 3 2 2 2" xfId="40235"/>
    <cellStyle name="Comma 16 3 3 2 2 2 2" xfId="40236"/>
    <cellStyle name="Comma 16 3 3 2 2 2 3" xfId="40237"/>
    <cellStyle name="Comma 16 3 3 2 2 3" xfId="40238"/>
    <cellStyle name="Comma 16 3 3 2 2 3 2" xfId="40239"/>
    <cellStyle name="Comma 16 3 3 2 2 3 3" xfId="40240"/>
    <cellStyle name="Comma 16 3 3 2 2 4" xfId="40241"/>
    <cellStyle name="Comma 16 3 3 2 2 4 2" xfId="40242"/>
    <cellStyle name="Comma 16 3 3 2 2 5" xfId="40243"/>
    <cellStyle name="Comma 16 3 3 2 2 6" xfId="40244"/>
    <cellStyle name="Comma 16 3 3 2 3" xfId="40245"/>
    <cellStyle name="Comma 16 3 3 2 3 2" xfId="40246"/>
    <cellStyle name="Comma 16 3 3 2 3 2 2" xfId="40247"/>
    <cellStyle name="Comma 16 3 3 2 3 2 3" xfId="40248"/>
    <cellStyle name="Comma 16 3 3 2 3 3" xfId="40249"/>
    <cellStyle name="Comma 16 3 3 2 3 3 2" xfId="40250"/>
    <cellStyle name="Comma 16 3 3 2 3 3 3" xfId="40251"/>
    <cellStyle name="Comma 16 3 3 2 3 4" xfId="40252"/>
    <cellStyle name="Comma 16 3 3 2 3 4 2" xfId="40253"/>
    <cellStyle name="Comma 16 3 3 2 3 5" xfId="40254"/>
    <cellStyle name="Comma 16 3 3 2 3 6" xfId="40255"/>
    <cellStyle name="Comma 16 3 3 2 4" xfId="40256"/>
    <cellStyle name="Comma 16 3 3 2 4 2" xfId="40257"/>
    <cellStyle name="Comma 16 3 3 2 4 2 2" xfId="40258"/>
    <cellStyle name="Comma 16 3 3 2 4 2 3" xfId="40259"/>
    <cellStyle name="Comma 16 3 3 2 4 3" xfId="40260"/>
    <cellStyle name="Comma 16 3 3 2 4 3 2" xfId="40261"/>
    <cellStyle name="Comma 16 3 3 2 4 4" xfId="40262"/>
    <cellStyle name="Comma 16 3 3 2 4 5" xfId="40263"/>
    <cellStyle name="Comma 16 3 3 2 5" xfId="40264"/>
    <cellStyle name="Comma 16 3 3 2 5 2" xfId="40265"/>
    <cellStyle name="Comma 16 3 3 2 5 3" xfId="40266"/>
    <cellStyle name="Comma 16 3 3 2 6" xfId="40267"/>
    <cellStyle name="Comma 16 3 3 2 6 2" xfId="40268"/>
    <cellStyle name="Comma 16 3 3 2 6 3" xfId="40269"/>
    <cellStyle name="Comma 16 3 3 2 7" xfId="40270"/>
    <cellStyle name="Comma 16 3 3 2 7 2" xfId="40271"/>
    <cellStyle name="Comma 16 3 3 2 8" xfId="40272"/>
    <cellStyle name="Comma 16 3 3 2 9" xfId="40273"/>
    <cellStyle name="Comma 16 3 3 3" xfId="40274"/>
    <cellStyle name="Comma 16 3 3 3 2" xfId="40275"/>
    <cellStyle name="Comma 16 3 3 3 2 2" xfId="40276"/>
    <cellStyle name="Comma 16 3 3 3 2 3" xfId="40277"/>
    <cellStyle name="Comma 16 3 3 3 3" xfId="40278"/>
    <cellStyle name="Comma 16 3 3 3 3 2" xfId="40279"/>
    <cellStyle name="Comma 16 3 3 3 3 3" xfId="40280"/>
    <cellStyle name="Comma 16 3 3 3 4" xfId="40281"/>
    <cellStyle name="Comma 16 3 3 3 4 2" xfId="40282"/>
    <cellStyle name="Comma 16 3 3 3 5" xfId="40283"/>
    <cellStyle name="Comma 16 3 3 3 6" xfId="40284"/>
    <cellStyle name="Comma 16 3 3 4" xfId="40285"/>
    <cellStyle name="Comma 16 3 3 4 2" xfId="40286"/>
    <cellStyle name="Comma 16 3 3 4 2 2" xfId="40287"/>
    <cellStyle name="Comma 16 3 3 4 2 3" xfId="40288"/>
    <cellStyle name="Comma 16 3 3 4 3" xfId="40289"/>
    <cellStyle name="Comma 16 3 3 4 3 2" xfId="40290"/>
    <cellStyle name="Comma 16 3 3 4 3 3" xfId="40291"/>
    <cellStyle name="Comma 16 3 3 4 4" xfId="40292"/>
    <cellStyle name="Comma 16 3 3 4 4 2" xfId="40293"/>
    <cellStyle name="Comma 16 3 3 4 5" xfId="40294"/>
    <cellStyle name="Comma 16 3 3 4 6" xfId="40295"/>
    <cellStyle name="Comma 16 3 3 5" xfId="40296"/>
    <cellStyle name="Comma 16 3 3 5 2" xfId="40297"/>
    <cellStyle name="Comma 16 3 3 5 2 2" xfId="40298"/>
    <cellStyle name="Comma 16 3 3 5 2 3" xfId="40299"/>
    <cellStyle name="Comma 16 3 3 5 3" xfId="40300"/>
    <cellStyle name="Comma 16 3 3 5 3 2" xfId="40301"/>
    <cellStyle name="Comma 16 3 3 5 4" xfId="40302"/>
    <cellStyle name="Comma 16 3 3 5 5" xfId="40303"/>
    <cellStyle name="Comma 16 3 3 6" xfId="40304"/>
    <cellStyle name="Comma 16 3 3 6 2" xfId="40305"/>
    <cellStyle name="Comma 16 3 3 6 3" xfId="40306"/>
    <cellStyle name="Comma 16 3 3 7" xfId="40307"/>
    <cellStyle name="Comma 16 3 3 7 2" xfId="40308"/>
    <cellStyle name="Comma 16 3 3 7 3" xfId="40309"/>
    <cellStyle name="Comma 16 3 3 8" xfId="40310"/>
    <cellStyle name="Comma 16 3 3 8 2" xfId="40311"/>
    <cellStyle name="Comma 16 3 3 9" xfId="40312"/>
    <cellStyle name="Comma 16 3 4" xfId="40313"/>
    <cellStyle name="Comma 16 3 4 2" xfId="40314"/>
    <cellStyle name="Comma 16 3 4 2 2" xfId="40315"/>
    <cellStyle name="Comma 16 3 4 2 2 2" xfId="40316"/>
    <cellStyle name="Comma 16 3 4 2 2 3" xfId="40317"/>
    <cellStyle name="Comma 16 3 4 2 3" xfId="40318"/>
    <cellStyle name="Comma 16 3 4 2 3 2" xfId="40319"/>
    <cellStyle name="Comma 16 3 4 2 3 3" xfId="40320"/>
    <cellStyle name="Comma 16 3 4 2 4" xfId="40321"/>
    <cellStyle name="Comma 16 3 4 2 4 2" xfId="40322"/>
    <cellStyle name="Comma 16 3 4 2 5" xfId="40323"/>
    <cellStyle name="Comma 16 3 4 2 6" xfId="40324"/>
    <cellStyle name="Comma 16 3 4 3" xfId="40325"/>
    <cellStyle name="Comma 16 3 4 3 2" xfId="40326"/>
    <cellStyle name="Comma 16 3 4 3 2 2" xfId="40327"/>
    <cellStyle name="Comma 16 3 4 3 2 3" xfId="40328"/>
    <cellStyle name="Comma 16 3 4 3 3" xfId="40329"/>
    <cellStyle name="Comma 16 3 4 3 3 2" xfId="40330"/>
    <cellStyle name="Comma 16 3 4 3 3 3" xfId="40331"/>
    <cellStyle name="Comma 16 3 4 3 4" xfId="40332"/>
    <cellStyle name="Comma 16 3 4 3 4 2" xfId="40333"/>
    <cellStyle name="Comma 16 3 4 3 5" xfId="40334"/>
    <cellStyle name="Comma 16 3 4 3 6" xfId="40335"/>
    <cellStyle name="Comma 16 3 4 4" xfId="40336"/>
    <cellStyle name="Comma 16 3 4 4 2" xfId="40337"/>
    <cellStyle name="Comma 16 3 4 4 2 2" xfId="40338"/>
    <cellStyle name="Comma 16 3 4 4 2 3" xfId="40339"/>
    <cellStyle name="Comma 16 3 4 4 3" xfId="40340"/>
    <cellStyle name="Comma 16 3 4 4 3 2" xfId="40341"/>
    <cellStyle name="Comma 16 3 4 4 4" xfId="40342"/>
    <cellStyle name="Comma 16 3 4 4 5" xfId="40343"/>
    <cellStyle name="Comma 16 3 4 5" xfId="40344"/>
    <cellStyle name="Comma 16 3 4 5 2" xfId="40345"/>
    <cellStyle name="Comma 16 3 4 5 3" xfId="40346"/>
    <cellStyle name="Comma 16 3 4 6" xfId="40347"/>
    <cellStyle name="Comma 16 3 4 6 2" xfId="40348"/>
    <cellStyle name="Comma 16 3 4 6 3" xfId="40349"/>
    <cellStyle name="Comma 16 3 4 7" xfId="40350"/>
    <cellStyle name="Comma 16 3 4 7 2" xfId="40351"/>
    <cellStyle name="Comma 16 3 4 8" xfId="40352"/>
    <cellStyle name="Comma 16 3 4 9" xfId="40353"/>
    <cellStyle name="Comma 16 3 5" xfId="40354"/>
    <cellStyle name="Comma 16 3 5 2" xfId="40355"/>
    <cellStyle name="Comma 16 3 5 2 2" xfId="40356"/>
    <cellStyle name="Comma 16 3 5 2 2 2" xfId="40357"/>
    <cellStyle name="Comma 16 3 5 2 2 3" xfId="40358"/>
    <cellStyle name="Comma 16 3 5 2 3" xfId="40359"/>
    <cellStyle name="Comma 16 3 5 2 3 2" xfId="40360"/>
    <cellStyle name="Comma 16 3 5 2 3 3" xfId="40361"/>
    <cellStyle name="Comma 16 3 5 2 4" xfId="40362"/>
    <cellStyle name="Comma 16 3 5 2 4 2" xfId="40363"/>
    <cellStyle name="Comma 16 3 5 2 5" xfId="40364"/>
    <cellStyle name="Comma 16 3 5 2 6" xfId="40365"/>
    <cellStyle name="Comma 16 3 5 3" xfId="40366"/>
    <cellStyle name="Comma 16 3 5 3 2" xfId="40367"/>
    <cellStyle name="Comma 16 3 5 3 2 2" xfId="40368"/>
    <cellStyle name="Comma 16 3 5 3 2 3" xfId="40369"/>
    <cellStyle name="Comma 16 3 5 3 3" xfId="40370"/>
    <cellStyle name="Comma 16 3 5 3 3 2" xfId="40371"/>
    <cellStyle name="Comma 16 3 5 3 3 3" xfId="40372"/>
    <cellStyle name="Comma 16 3 5 3 4" xfId="40373"/>
    <cellStyle name="Comma 16 3 5 3 4 2" xfId="40374"/>
    <cellStyle name="Comma 16 3 5 3 5" xfId="40375"/>
    <cellStyle name="Comma 16 3 5 3 6" xfId="40376"/>
    <cellStyle name="Comma 16 3 5 4" xfId="40377"/>
    <cellStyle name="Comma 16 3 5 4 2" xfId="40378"/>
    <cellStyle name="Comma 16 3 5 4 2 2" xfId="40379"/>
    <cellStyle name="Comma 16 3 5 4 2 3" xfId="40380"/>
    <cellStyle name="Comma 16 3 5 4 3" xfId="40381"/>
    <cellStyle name="Comma 16 3 5 4 3 2" xfId="40382"/>
    <cellStyle name="Comma 16 3 5 4 4" xfId="40383"/>
    <cellStyle name="Comma 16 3 5 4 5" xfId="40384"/>
    <cellStyle name="Comma 16 3 5 5" xfId="40385"/>
    <cellStyle name="Comma 16 3 5 5 2" xfId="40386"/>
    <cellStyle name="Comma 16 3 5 5 3" xfId="40387"/>
    <cellStyle name="Comma 16 3 5 6" xfId="40388"/>
    <cellStyle name="Comma 16 3 5 6 2" xfId="40389"/>
    <cellStyle name="Comma 16 3 5 6 3" xfId="40390"/>
    <cellStyle name="Comma 16 3 5 7" xfId="40391"/>
    <cellStyle name="Comma 16 3 5 7 2" xfId="40392"/>
    <cellStyle name="Comma 16 3 5 8" xfId="40393"/>
    <cellStyle name="Comma 16 3 5 9" xfId="40394"/>
    <cellStyle name="Comma 16 3 6" xfId="40395"/>
    <cellStyle name="Comma 16 3 6 2" xfId="40396"/>
    <cellStyle name="Comma 16 3 6 2 2" xfId="40397"/>
    <cellStyle name="Comma 16 3 6 2 3" xfId="40398"/>
    <cellStyle name="Comma 16 3 6 3" xfId="40399"/>
    <cellStyle name="Comma 16 3 6 3 2" xfId="40400"/>
    <cellStyle name="Comma 16 3 6 3 3" xfId="40401"/>
    <cellStyle name="Comma 16 3 6 4" xfId="40402"/>
    <cellStyle name="Comma 16 3 6 4 2" xfId="40403"/>
    <cellStyle name="Comma 16 3 6 5" xfId="40404"/>
    <cellStyle name="Comma 16 3 6 6" xfId="40405"/>
    <cellStyle name="Comma 16 3 7" xfId="40406"/>
    <cellStyle name="Comma 16 3 7 2" xfId="40407"/>
    <cellStyle name="Comma 16 3 7 2 2" xfId="40408"/>
    <cellStyle name="Comma 16 3 7 2 3" xfId="40409"/>
    <cellStyle name="Comma 16 3 7 3" xfId="40410"/>
    <cellStyle name="Comma 16 3 7 3 2" xfId="40411"/>
    <cellStyle name="Comma 16 3 7 3 3" xfId="40412"/>
    <cellStyle name="Comma 16 3 7 4" xfId="40413"/>
    <cellStyle name="Comma 16 3 7 4 2" xfId="40414"/>
    <cellStyle name="Comma 16 3 7 5" xfId="40415"/>
    <cellStyle name="Comma 16 3 7 6" xfId="40416"/>
    <cellStyle name="Comma 16 3 8" xfId="40417"/>
    <cellStyle name="Comma 16 3 8 2" xfId="40418"/>
    <cellStyle name="Comma 16 3 8 2 2" xfId="40419"/>
    <cellStyle name="Comma 16 3 8 2 3" xfId="40420"/>
    <cellStyle name="Comma 16 3 8 3" xfId="40421"/>
    <cellStyle name="Comma 16 3 8 3 2" xfId="40422"/>
    <cellStyle name="Comma 16 3 8 4" xfId="40423"/>
    <cellStyle name="Comma 16 3 8 5" xfId="40424"/>
    <cellStyle name="Comma 16 3 9" xfId="40425"/>
    <cellStyle name="Comma 16 3 9 2" xfId="40426"/>
    <cellStyle name="Comma 16 3 9 3" xfId="40427"/>
    <cellStyle name="Comma 16 4" xfId="40428"/>
    <cellStyle name="Comma 16 4 10" xfId="40429"/>
    <cellStyle name="Comma 16 4 10 2" xfId="40430"/>
    <cellStyle name="Comma 16 4 11" xfId="40431"/>
    <cellStyle name="Comma 16 4 12" xfId="40432"/>
    <cellStyle name="Comma 16 4 2" xfId="40433"/>
    <cellStyle name="Comma 16 4 2 10" xfId="40434"/>
    <cellStyle name="Comma 16 4 2 2" xfId="40435"/>
    <cellStyle name="Comma 16 4 2 2 2" xfId="40436"/>
    <cellStyle name="Comma 16 4 2 2 2 2" xfId="40437"/>
    <cellStyle name="Comma 16 4 2 2 2 2 2" xfId="40438"/>
    <cellStyle name="Comma 16 4 2 2 2 2 3" xfId="40439"/>
    <cellStyle name="Comma 16 4 2 2 2 3" xfId="40440"/>
    <cellStyle name="Comma 16 4 2 2 2 3 2" xfId="40441"/>
    <cellStyle name="Comma 16 4 2 2 2 3 3" xfId="40442"/>
    <cellStyle name="Comma 16 4 2 2 2 4" xfId="40443"/>
    <cellStyle name="Comma 16 4 2 2 2 4 2" xfId="40444"/>
    <cellStyle name="Comma 16 4 2 2 2 5" xfId="40445"/>
    <cellStyle name="Comma 16 4 2 2 2 6" xfId="40446"/>
    <cellStyle name="Comma 16 4 2 2 3" xfId="40447"/>
    <cellStyle name="Comma 16 4 2 2 3 2" xfId="40448"/>
    <cellStyle name="Comma 16 4 2 2 3 2 2" xfId="40449"/>
    <cellStyle name="Comma 16 4 2 2 3 2 3" xfId="40450"/>
    <cellStyle name="Comma 16 4 2 2 3 3" xfId="40451"/>
    <cellStyle name="Comma 16 4 2 2 3 3 2" xfId="40452"/>
    <cellStyle name="Comma 16 4 2 2 3 3 3" xfId="40453"/>
    <cellStyle name="Comma 16 4 2 2 3 4" xfId="40454"/>
    <cellStyle name="Comma 16 4 2 2 3 4 2" xfId="40455"/>
    <cellStyle name="Comma 16 4 2 2 3 5" xfId="40456"/>
    <cellStyle name="Comma 16 4 2 2 3 6" xfId="40457"/>
    <cellStyle name="Comma 16 4 2 2 4" xfId="40458"/>
    <cellStyle name="Comma 16 4 2 2 4 2" xfId="40459"/>
    <cellStyle name="Comma 16 4 2 2 4 2 2" xfId="40460"/>
    <cellStyle name="Comma 16 4 2 2 4 2 3" xfId="40461"/>
    <cellStyle name="Comma 16 4 2 2 4 3" xfId="40462"/>
    <cellStyle name="Comma 16 4 2 2 4 3 2" xfId="40463"/>
    <cellStyle name="Comma 16 4 2 2 4 4" xfId="40464"/>
    <cellStyle name="Comma 16 4 2 2 4 5" xfId="40465"/>
    <cellStyle name="Comma 16 4 2 2 5" xfId="40466"/>
    <cellStyle name="Comma 16 4 2 2 5 2" xfId="40467"/>
    <cellStyle name="Comma 16 4 2 2 5 3" xfId="40468"/>
    <cellStyle name="Comma 16 4 2 2 6" xfId="40469"/>
    <cellStyle name="Comma 16 4 2 2 6 2" xfId="40470"/>
    <cellStyle name="Comma 16 4 2 2 6 3" xfId="40471"/>
    <cellStyle name="Comma 16 4 2 2 7" xfId="40472"/>
    <cellStyle name="Comma 16 4 2 2 7 2" xfId="40473"/>
    <cellStyle name="Comma 16 4 2 2 8" xfId="40474"/>
    <cellStyle name="Comma 16 4 2 2 9" xfId="40475"/>
    <cellStyle name="Comma 16 4 2 3" xfId="40476"/>
    <cellStyle name="Comma 16 4 2 3 2" xfId="40477"/>
    <cellStyle name="Comma 16 4 2 3 2 2" xfId="40478"/>
    <cellStyle name="Comma 16 4 2 3 2 3" xfId="40479"/>
    <cellStyle name="Comma 16 4 2 3 3" xfId="40480"/>
    <cellStyle name="Comma 16 4 2 3 3 2" xfId="40481"/>
    <cellStyle name="Comma 16 4 2 3 3 3" xfId="40482"/>
    <cellStyle name="Comma 16 4 2 3 4" xfId="40483"/>
    <cellStyle name="Comma 16 4 2 3 4 2" xfId="40484"/>
    <cellStyle name="Comma 16 4 2 3 5" xfId="40485"/>
    <cellStyle name="Comma 16 4 2 3 6" xfId="40486"/>
    <cellStyle name="Comma 16 4 2 4" xfId="40487"/>
    <cellStyle name="Comma 16 4 2 4 2" xfId="40488"/>
    <cellStyle name="Comma 16 4 2 4 2 2" xfId="40489"/>
    <cellStyle name="Comma 16 4 2 4 2 3" xfId="40490"/>
    <cellStyle name="Comma 16 4 2 4 3" xfId="40491"/>
    <cellStyle name="Comma 16 4 2 4 3 2" xfId="40492"/>
    <cellStyle name="Comma 16 4 2 4 3 3" xfId="40493"/>
    <cellStyle name="Comma 16 4 2 4 4" xfId="40494"/>
    <cellStyle name="Comma 16 4 2 4 4 2" xfId="40495"/>
    <cellStyle name="Comma 16 4 2 4 5" xfId="40496"/>
    <cellStyle name="Comma 16 4 2 4 6" xfId="40497"/>
    <cellStyle name="Comma 16 4 2 5" xfId="40498"/>
    <cellStyle name="Comma 16 4 2 5 2" xfId="40499"/>
    <cellStyle name="Comma 16 4 2 5 2 2" xfId="40500"/>
    <cellStyle name="Comma 16 4 2 5 2 3" xfId="40501"/>
    <cellStyle name="Comma 16 4 2 5 3" xfId="40502"/>
    <cellStyle name="Comma 16 4 2 5 3 2" xfId="40503"/>
    <cellStyle name="Comma 16 4 2 5 4" xfId="40504"/>
    <cellStyle name="Comma 16 4 2 5 5" xfId="40505"/>
    <cellStyle name="Comma 16 4 2 6" xfId="40506"/>
    <cellStyle name="Comma 16 4 2 6 2" xfId="40507"/>
    <cellStyle name="Comma 16 4 2 6 3" xfId="40508"/>
    <cellStyle name="Comma 16 4 2 7" xfId="40509"/>
    <cellStyle name="Comma 16 4 2 7 2" xfId="40510"/>
    <cellStyle name="Comma 16 4 2 7 3" xfId="40511"/>
    <cellStyle name="Comma 16 4 2 8" xfId="40512"/>
    <cellStyle name="Comma 16 4 2 8 2" xfId="40513"/>
    <cellStyle name="Comma 16 4 2 9" xfId="40514"/>
    <cellStyle name="Comma 16 4 3" xfId="40515"/>
    <cellStyle name="Comma 16 4 3 2" xfId="40516"/>
    <cellStyle name="Comma 16 4 3 2 2" xfId="40517"/>
    <cellStyle name="Comma 16 4 3 2 2 2" xfId="40518"/>
    <cellStyle name="Comma 16 4 3 2 2 3" xfId="40519"/>
    <cellStyle name="Comma 16 4 3 2 3" xfId="40520"/>
    <cellStyle name="Comma 16 4 3 2 3 2" xfId="40521"/>
    <cellStyle name="Comma 16 4 3 2 3 3" xfId="40522"/>
    <cellStyle name="Comma 16 4 3 2 4" xfId="40523"/>
    <cellStyle name="Comma 16 4 3 2 4 2" xfId="40524"/>
    <cellStyle name="Comma 16 4 3 2 5" xfId="40525"/>
    <cellStyle name="Comma 16 4 3 2 6" xfId="40526"/>
    <cellStyle name="Comma 16 4 3 3" xfId="40527"/>
    <cellStyle name="Comma 16 4 3 3 2" xfId="40528"/>
    <cellStyle name="Comma 16 4 3 3 2 2" xfId="40529"/>
    <cellStyle name="Comma 16 4 3 3 2 3" xfId="40530"/>
    <cellStyle name="Comma 16 4 3 3 3" xfId="40531"/>
    <cellStyle name="Comma 16 4 3 3 3 2" xfId="40532"/>
    <cellStyle name="Comma 16 4 3 3 3 3" xfId="40533"/>
    <cellStyle name="Comma 16 4 3 3 4" xfId="40534"/>
    <cellStyle name="Comma 16 4 3 3 4 2" xfId="40535"/>
    <cellStyle name="Comma 16 4 3 3 5" xfId="40536"/>
    <cellStyle name="Comma 16 4 3 3 6" xfId="40537"/>
    <cellStyle name="Comma 16 4 3 4" xfId="40538"/>
    <cellStyle name="Comma 16 4 3 4 2" xfId="40539"/>
    <cellStyle name="Comma 16 4 3 4 2 2" xfId="40540"/>
    <cellStyle name="Comma 16 4 3 4 2 3" xfId="40541"/>
    <cellStyle name="Comma 16 4 3 4 3" xfId="40542"/>
    <cellStyle name="Comma 16 4 3 4 3 2" xfId="40543"/>
    <cellStyle name="Comma 16 4 3 4 4" xfId="40544"/>
    <cellStyle name="Comma 16 4 3 4 5" xfId="40545"/>
    <cellStyle name="Comma 16 4 3 5" xfId="40546"/>
    <cellStyle name="Comma 16 4 3 5 2" xfId="40547"/>
    <cellStyle name="Comma 16 4 3 5 3" xfId="40548"/>
    <cellStyle name="Comma 16 4 3 6" xfId="40549"/>
    <cellStyle name="Comma 16 4 3 6 2" xfId="40550"/>
    <cellStyle name="Comma 16 4 3 6 3" xfId="40551"/>
    <cellStyle name="Comma 16 4 3 7" xfId="40552"/>
    <cellStyle name="Comma 16 4 3 7 2" xfId="40553"/>
    <cellStyle name="Comma 16 4 3 8" xfId="40554"/>
    <cellStyle name="Comma 16 4 3 9" xfId="40555"/>
    <cellStyle name="Comma 16 4 4" xfId="40556"/>
    <cellStyle name="Comma 16 4 4 2" xfId="40557"/>
    <cellStyle name="Comma 16 4 4 2 2" xfId="40558"/>
    <cellStyle name="Comma 16 4 4 2 2 2" xfId="40559"/>
    <cellStyle name="Comma 16 4 4 2 2 3" xfId="40560"/>
    <cellStyle name="Comma 16 4 4 2 3" xfId="40561"/>
    <cellStyle name="Comma 16 4 4 2 3 2" xfId="40562"/>
    <cellStyle name="Comma 16 4 4 2 3 3" xfId="40563"/>
    <cellStyle name="Comma 16 4 4 2 4" xfId="40564"/>
    <cellStyle name="Comma 16 4 4 2 4 2" xfId="40565"/>
    <cellStyle name="Comma 16 4 4 2 5" xfId="40566"/>
    <cellStyle name="Comma 16 4 4 2 6" xfId="40567"/>
    <cellStyle name="Comma 16 4 4 3" xfId="40568"/>
    <cellStyle name="Comma 16 4 4 3 2" xfId="40569"/>
    <cellStyle name="Comma 16 4 4 3 2 2" xfId="40570"/>
    <cellStyle name="Comma 16 4 4 3 2 3" xfId="40571"/>
    <cellStyle name="Comma 16 4 4 3 3" xfId="40572"/>
    <cellStyle name="Comma 16 4 4 3 3 2" xfId="40573"/>
    <cellStyle name="Comma 16 4 4 3 3 3" xfId="40574"/>
    <cellStyle name="Comma 16 4 4 3 4" xfId="40575"/>
    <cellStyle name="Comma 16 4 4 3 4 2" xfId="40576"/>
    <cellStyle name="Comma 16 4 4 3 5" xfId="40577"/>
    <cellStyle name="Comma 16 4 4 3 6" xfId="40578"/>
    <cellStyle name="Comma 16 4 4 4" xfId="40579"/>
    <cellStyle name="Comma 16 4 4 4 2" xfId="40580"/>
    <cellStyle name="Comma 16 4 4 4 2 2" xfId="40581"/>
    <cellStyle name="Comma 16 4 4 4 2 3" xfId="40582"/>
    <cellStyle name="Comma 16 4 4 4 3" xfId="40583"/>
    <cellStyle name="Comma 16 4 4 4 3 2" xfId="40584"/>
    <cellStyle name="Comma 16 4 4 4 4" xfId="40585"/>
    <cellStyle name="Comma 16 4 4 4 5" xfId="40586"/>
    <cellStyle name="Comma 16 4 4 5" xfId="40587"/>
    <cellStyle name="Comma 16 4 4 5 2" xfId="40588"/>
    <cellStyle name="Comma 16 4 4 5 3" xfId="40589"/>
    <cellStyle name="Comma 16 4 4 6" xfId="40590"/>
    <cellStyle name="Comma 16 4 4 6 2" xfId="40591"/>
    <cellStyle name="Comma 16 4 4 6 3" xfId="40592"/>
    <cellStyle name="Comma 16 4 4 7" xfId="40593"/>
    <cellStyle name="Comma 16 4 4 7 2" xfId="40594"/>
    <cellStyle name="Comma 16 4 4 8" xfId="40595"/>
    <cellStyle name="Comma 16 4 4 9" xfId="40596"/>
    <cellStyle name="Comma 16 4 5" xfId="40597"/>
    <cellStyle name="Comma 16 4 5 2" xfId="40598"/>
    <cellStyle name="Comma 16 4 5 2 2" xfId="40599"/>
    <cellStyle name="Comma 16 4 5 2 3" xfId="40600"/>
    <cellStyle name="Comma 16 4 5 3" xfId="40601"/>
    <cellStyle name="Comma 16 4 5 3 2" xfId="40602"/>
    <cellStyle name="Comma 16 4 5 3 3" xfId="40603"/>
    <cellStyle name="Comma 16 4 5 4" xfId="40604"/>
    <cellStyle name="Comma 16 4 5 4 2" xfId="40605"/>
    <cellStyle name="Comma 16 4 5 5" xfId="40606"/>
    <cellStyle name="Comma 16 4 5 6" xfId="40607"/>
    <cellStyle name="Comma 16 4 6" xfId="40608"/>
    <cellStyle name="Comma 16 4 6 2" xfId="40609"/>
    <cellStyle name="Comma 16 4 6 2 2" xfId="40610"/>
    <cellStyle name="Comma 16 4 6 2 3" xfId="40611"/>
    <cellStyle name="Comma 16 4 6 3" xfId="40612"/>
    <cellStyle name="Comma 16 4 6 3 2" xfId="40613"/>
    <cellStyle name="Comma 16 4 6 3 3" xfId="40614"/>
    <cellStyle name="Comma 16 4 6 4" xfId="40615"/>
    <cellStyle name="Comma 16 4 6 4 2" xfId="40616"/>
    <cellStyle name="Comma 16 4 6 5" xfId="40617"/>
    <cellStyle name="Comma 16 4 6 6" xfId="40618"/>
    <cellStyle name="Comma 16 4 7" xfId="40619"/>
    <cellStyle name="Comma 16 4 7 2" xfId="40620"/>
    <cellStyle name="Comma 16 4 7 2 2" xfId="40621"/>
    <cellStyle name="Comma 16 4 7 2 3" xfId="40622"/>
    <cellStyle name="Comma 16 4 7 3" xfId="40623"/>
    <cellStyle name="Comma 16 4 7 3 2" xfId="40624"/>
    <cellStyle name="Comma 16 4 7 4" xfId="40625"/>
    <cellStyle name="Comma 16 4 7 5" xfId="40626"/>
    <cellStyle name="Comma 16 4 8" xfId="40627"/>
    <cellStyle name="Comma 16 4 8 2" xfId="40628"/>
    <cellStyle name="Comma 16 4 8 3" xfId="40629"/>
    <cellStyle name="Comma 16 4 9" xfId="40630"/>
    <cellStyle name="Comma 16 4 9 2" xfId="40631"/>
    <cellStyle name="Comma 16 4 9 3" xfId="40632"/>
    <cellStyle name="Comma 16 5" xfId="40633"/>
    <cellStyle name="Comma 16 5 10" xfId="40634"/>
    <cellStyle name="Comma 16 5 2" xfId="40635"/>
    <cellStyle name="Comma 16 5 2 2" xfId="40636"/>
    <cellStyle name="Comma 16 5 2 2 2" xfId="40637"/>
    <cellStyle name="Comma 16 5 2 2 2 2" xfId="40638"/>
    <cellStyle name="Comma 16 5 2 2 2 3" xfId="40639"/>
    <cellStyle name="Comma 16 5 2 2 3" xfId="40640"/>
    <cellStyle name="Comma 16 5 2 2 3 2" xfId="40641"/>
    <cellStyle name="Comma 16 5 2 2 3 3" xfId="40642"/>
    <cellStyle name="Comma 16 5 2 2 4" xfId="40643"/>
    <cellStyle name="Comma 16 5 2 2 4 2" xfId="40644"/>
    <cellStyle name="Comma 16 5 2 2 5" xfId="40645"/>
    <cellStyle name="Comma 16 5 2 2 6" xfId="40646"/>
    <cellStyle name="Comma 16 5 2 3" xfId="40647"/>
    <cellStyle name="Comma 16 5 2 3 2" xfId="40648"/>
    <cellStyle name="Comma 16 5 2 3 2 2" xfId="40649"/>
    <cellStyle name="Comma 16 5 2 3 2 3" xfId="40650"/>
    <cellStyle name="Comma 16 5 2 3 3" xfId="40651"/>
    <cellStyle name="Comma 16 5 2 3 3 2" xfId="40652"/>
    <cellStyle name="Comma 16 5 2 3 3 3" xfId="40653"/>
    <cellStyle name="Comma 16 5 2 3 4" xfId="40654"/>
    <cellStyle name="Comma 16 5 2 3 4 2" xfId="40655"/>
    <cellStyle name="Comma 16 5 2 3 5" xfId="40656"/>
    <cellStyle name="Comma 16 5 2 3 6" xfId="40657"/>
    <cellStyle name="Comma 16 5 2 4" xfId="40658"/>
    <cellStyle name="Comma 16 5 2 4 2" xfId="40659"/>
    <cellStyle name="Comma 16 5 2 4 2 2" xfId="40660"/>
    <cellStyle name="Comma 16 5 2 4 2 3" xfId="40661"/>
    <cellStyle name="Comma 16 5 2 4 3" xfId="40662"/>
    <cellStyle name="Comma 16 5 2 4 3 2" xfId="40663"/>
    <cellStyle name="Comma 16 5 2 4 4" xfId="40664"/>
    <cellStyle name="Comma 16 5 2 4 5" xfId="40665"/>
    <cellStyle name="Comma 16 5 2 5" xfId="40666"/>
    <cellStyle name="Comma 16 5 2 5 2" xfId="40667"/>
    <cellStyle name="Comma 16 5 2 5 3" xfId="40668"/>
    <cellStyle name="Comma 16 5 2 6" xfId="40669"/>
    <cellStyle name="Comma 16 5 2 6 2" xfId="40670"/>
    <cellStyle name="Comma 16 5 2 6 3" xfId="40671"/>
    <cellStyle name="Comma 16 5 2 7" xfId="40672"/>
    <cellStyle name="Comma 16 5 2 7 2" xfId="40673"/>
    <cellStyle name="Comma 16 5 2 8" xfId="40674"/>
    <cellStyle name="Comma 16 5 2 9" xfId="40675"/>
    <cellStyle name="Comma 16 5 3" xfId="40676"/>
    <cellStyle name="Comma 16 5 3 2" xfId="40677"/>
    <cellStyle name="Comma 16 5 3 2 2" xfId="40678"/>
    <cellStyle name="Comma 16 5 3 2 3" xfId="40679"/>
    <cellStyle name="Comma 16 5 3 3" xfId="40680"/>
    <cellStyle name="Comma 16 5 3 3 2" xfId="40681"/>
    <cellStyle name="Comma 16 5 3 3 3" xfId="40682"/>
    <cellStyle name="Comma 16 5 3 4" xfId="40683"/>
    <cellStyle name="Comma 16 5 3 4 2" xfId="40684"/>
    <cellStyle name="Comma 16 5 3 5" xfId="40685"/>
    <cellStyle name="Comma 16 5 3 6" xfId="40686"/>
    <cellStyle name="Comma 16 5 4" xfId="40687"/>
    <cellStyle name="Comma 16 5 4 2" xfId="40688"/>
    <cellStyle name="Comma 16 5 4 2 2" xfId="40689"/>
    <cellStyle name="Comma 16 5 4 2 3" xfId="40690"/>
    <cellStyle name="Comma 16 5 4 3" xfId="40691"/>
    <cellStyle name="Comma 16 5 4 3 2" xfId="40692"/>
    <cellStyle name="Comma 16 5 4 3 3" xfId="40693"/>
    <cellStyle name="Comma 16 5 4 4" xfId="40694"/>
    <cellStyle name="Comma 16 5 4 4 2" xfId="40695"/>
    <cellStyle name="Comma 16 5 4 5" xfId="40696"/>
    <cellStyle name="Comma 16 5 4 6" xfId="40697"/>
    <cellStyle name="Comma 16 5 5" xfId="40698"/>
    <cellStyle name="Comma 16 5 5 2" xfId="40699"/>
    <cellStyle name="Comma 16 5 5 2 2" xfId="40700"/>
    <cellStyle name="Comma 16 5 5 2 3" xfId="40701"/>
    <cellStyle name="Comma 16 5 5 3" xfId="40702"/>
    <cellStyle name="Comma 16 5 5 3 2" xfId="40703"/>
    <cellStyle name="Comma 16 5 5 4" xfId="40704"/>
    <cellStyle name="Comma 16 5 5 5" xfId="40705"/>
    <cellStyle name="Comma 16 5 6" xfId="40706"/>
    <cellStyle name="Comma 16 5 6 2" xfId="40707"/>
    <cellStyle name="Comma 16 5 6 3" xfId="40708"/>
    <cellStyle name="Comma 16 5 7" xfId="40709"/>
    <cellStyle name="Comma 16 5 7 2" xfId="40710"/>
    <cellStyle name="Comma 16 5 7 3" xfId="40711"/>
    <cellStyle name="Comma 16 5 8" xfId="40712"/>
    <cellStyle name="Comma 16 5 8 2" xfId="40713"/>
    <cellStyle name="Comma 16 5 9" xfId="40714"/>
    <cellStyle name="Comma 16 6" xfId="40715"/>
    <cellStyle name="Comma 16 6 2" xfId="40716"/>
    <cellStyle name="Comma 16 6 2 2" xfId="40717"/>
    <cellStyle name="Comma 16 6 2 2 2" xfId="40718"/>
    <cellStyle name="Comma 16 6 2 2 3" xfId="40719"/>
    <cellStyle name="Comma 16 6 2 3" xfId="40720"/>
    <cellStyle name="Comma 16 6 2 3 2" xfId="40721"/>
    <cellStyle name="Comma 16 6 2 3 3" xfId="40722"/>
    <cellStyle name="Comma 16 6 2 4" xfId="40723"/>
    <cellStyle name="Comma 16 6 2 4 2" xfId="40724"/>
    <cellStyle name="Comma 16 6 2 5" xfId="40725"/>
    <cellStyle name="Comma 16 6 2 6" xfId="40726"/>
    <cellStyle name="Comma 16 6 3" xfId="40727"/>
    <cellStyle name="Comma 16 6 3 2" xfId="40728"/>
    <cellStyle name="Comma 16 6 3 2 2" xfId="40729"/>
    <cellStyle name="Comma 16 6 3 2 3" xfId="40730"/>
    <cellStyle name="Comma 16 6 3 3" xfId="40731"/>
    <cellStyle name="Comma 16 6 3 3 2" xfId="40732"/>
    <cellStyle name="Comma 16 6 3 3 3" xfId="40733"/>
    <cellStyle name="Comma 16 6 3 4" xfId="40734"/>
    <cellStyle name="Comma 16 6 3 4 2" xfId="40735"/>
    <cellStyle name="Comma 16 6 3 5" xfId="40736"/>
    <cellStyle name="Comma 16 6 3 6" xfId="40737"/>
    <cellStyle name="Comma 16 6 4" xfId="40738"/>
    <cellStyle name="Comma 16 6 4 2" xfId="40739"/>
    <cellStyle name="Comma 16 6 4 2 2" xfId="40740"/>
    <cellStyle name="Comma 16 6 4 2 3" xfId="40741"/>
    <cellStyle name="Comma 16 6 4 3" xfId="40742"/>
    <cellStyle name="Comma 16 6 4 3 2" xfId="40743"/>
    <cellStyle name="Comma 16 6 4 4" xfId="40744"/>
    <cellStyle name="Comma 16 6 4 5" xfId="40745"/>
    <cellStyle name="Comma 16 6 5" xfId="40746"/>
    <cellStyle name="Comma 16 6 5 2" xfId="40747"/>
    <cellStyle name="Comma 16 6 5 3" xfId="40748"/>
    <cellStyle name="Comma 16 6 6" xfId="40749"/>
    <cellStyle name="Comma 16 6 6 2" xfId="40750"/>
    <cellStyle name="Comma 16 6 6 3" xfId="40751"/>
    <cellStyle name="Comma 16 6 7" xfId="40752"/>
    <cellStyle name="Comma 16 6 7 2" xfId="40753"/>
    <cellStyle name="Comma 16 6 8" xfId="40754"/>
    <cellStyle name="Comma 16 6 9" xfId="40755"/>
    <cellStyle name="Comma 16 7" xfId="40756"/>
    <cellStyle name="Comma 16 7 2" xfId="40757"/>
    <cellStyle name="Comma 16 7 2 2" xfId="40758"/>
    <cellStyle name="Comma 16 7 2 2 2" xfId="40759"/>
    <cellStyle name="Comma 16 7 2 2 3" xfId="40760"/>
    <cellStyle name="Comma 16 7 2 3" xfId="40761"/>
    <cellStyle name="Comma 16 7 2 3 2" xfId="40762"/>
    <cellStyle name="Comma 16 7 2 3 3" xfId="40763"/>
    <cellStyle name="Comma 16 7 2 4" xfId="40764"/>
    <cellStyle name="Comma 16 7 2 4 2" xfId="40765"/>
    <cellStyle name="Comma 16 7 2 5" xfId="40766"/>
    <cellStyle name="Comma 16 7 2 6" xfId="40767"/>
    <cellStyle name="Comma 16 7 3" xfId="40768"/>
    <cellStyle name="Comma 16 7 3 2" xfId="40769"/>
    <cellStyle name="Comma 16 7 3 2 2" xfId="40770"/>
    <cellStyle name="Comma 16 7 3 2 3" xfId="40771"/>
    <cellStyle name="Comma 16 7 3 3" xfId="40772"/>
    <cellStyle name="Comma 16 7 3 3 2" xfId="40773"/>
    <cellStyle name="Comma 16 7 3 3 3" xfId="40774"/>
    <cellStyle name="Comma 16 7 3 4" xfId="40775"/>
    <cellStyle name="Comma 16 7 3 4 2" xfId="40776"/>
    <cellStyle name="Comma 16 7 3 5" xfId="40777"/>
    <cellStyle name="Comma 16 7 3 6" xfId="40778"/>
    <cellStyle name="Comma 16 7 4" xfId="40779"/>
    <cellStyle name="Comma 16 7 4 2" xfId="40780"/>
    <cellStyle name="Comma 16 7 4 2 2" xfId="40781"/>
    <cellStyle name="Comma 16 7 4 2 3" xfId="40782"/>
    <cellStyle name="Comma 16 7 4 3" xfId="40783"/>
    <cellStyle name="Comma 16 7 4 3 2" xfId="40784"/>
    <cellStyle name="Comma 16 7 4 4" xfId="40785"/>
    <cellStyle name="Comma 16 7 4 5" xfId="40786"/>
    <cellStyle name="Comma 16 7 5" xfId="40787"/>
    <cellStyle name="Comma 16 7 5 2" xfId="40788"/>
    <cellStyle name="Comma 16 7 5 3" xfId="40789"/>
    <cellStyle name="Comma 16 7 6" xfId="40790"/>
    <cellStyle name="Comma 16 7 6 2" xfId="40791"/>
    <cellStyle name="Comma 16 7 6 3" xfId="40792"/>
    <cellStyle name="Comma 16 7 7" xfId="40793"/>
    <cellStyle name="Comma 16 7 7 2" xfId="40794"/>
    <cellStyle name="Comma 16 7 8" xfId="40795"/>
    <cellStyle name="Comma 16 7 9" xfId="40796"/>
    <cellStyle name="Comma 16 8" xfId="40797"/>
    <cellStyle name="Comma 16 8 2" xfId="40798"/>
    <cellStyle name="Comma 16 8 2 2" xfId="40799"/>
    <cellStyle name="Comma 16 8 2 3" xfId="40800"/>
    <cellStyle name="Comma 16 8 3" xfId="40801"/>
    <cellStyle name="Comma 16 8 3 2" xfId="40802"/>
    <cellStyle name="Comma 16 8 3 3" xfId="40803"/>
    <cellStyle name="Comma 16 8 4" xfId="40804"/>
    <cellStyle name="Comma 16 8 4 2" xfId="40805"/>
    <cellStyle name="Comma 16 8 5" xfId="40806"/>
    <cellStyle name="Comma 16 8 6" xfId="40807"/>
    <cellStyle name="Comma 16 9" xfId="40808"/>
    <cellStyle name="Comma 16 9 2" xfId="40809"/>
    <cellStyle name="Comma 16 9 2 2" xfId="40810"/>
    <cellStyle name="Comma 16 9 2 3" xfId="40811"/>
    <cellStyle name="Comma 16 9 3" xfId="40812"/>
    <cellStyle name="Comma 16 9 3 2" xfId="40813"/>
    <cellStyle name="Comma 16 9 3 3" xfId="40814"/>
    <cellStyle name="Comma 16 9 4" xfId="40815"/>
    <cellStyle name="Comma 16 9 4 2" xfId="40816"/>
    <cellStyle name="Comma 16 9 5" xfId="40817"/>
    <cellStyle name="Comma 16 9 6" xfId="40818"/>
    <cellStyle name="Comma 17" xfId="3245"/>
    <cellStyle name="Comma 17 10" xfId="40819"/>
    <cellStyle name="Comma 17 10 2" xfId="40820"/>
    <cellStyle name="Comma 17 10 2 2" xfId="40821"/>
    <cellStyle name="Comma 17 10 2 3" xfId="40822"/>
    <cellStyle name="Comma 17 10 3" xfId="40823"/>
    <cellStyle name="Comma 17 10 3 2" xfId="40824"/>
    <cellStyle name="Comma 17 10 4" xfId="40825"/>
    <cellStyle name="Comma 17 10 5" xfId="40826"/>
    <cellStyle name="Comma 17 11" xfId="40827"/>
    <cellStyle name="Comma 17 11 2" xfId="40828"/>
    <cellStyle name="Comma 17 11 3" xfId="40829"/>
    <cellStyle name="Comma 17 12" xfId="40830"/>
    <cellStyle name="Comma 17 12 2" xfId="40831"/>
    <cellStyle name="Comma 17 12 3" xfId="40832"/>
    <cellStyle name="Comma 17 13" xfId="40833"/>
    <cellStyle name="Comma 17 13 2" xfId="40834"/>
    <cellStyle name="Comma 17 14" xfId="40835"/>
    <cellStyle name="Comma 17 15" xfId="40836"/>
    <cellStyle name="Comma 17 16" xfId="40837"/>
    <cellStyle name="Comma 17 2" xfId="3246"/>
    <cellStyle name="Comma 17 2 10" xfId="40838"/>
    <cellStyle name="Comma 17 2 10 2" xfId="40839"/>
    <cellStyle name="Comma 17 2 10 3" xfId="40840"/>
    <cellStyle name="Comma 17 2 11" xfId="40841"/>
    <cellStyle name="Comma 17 2 11 2" xfId="40842"/>
    <cellStyle name="Comma 17 2 11 3" xfId="40843"/>
    <cellStyle name="Comma 17 2 12" xfId="40844"/>
    <cellStyle name="Comma 17 2 12 2" xfId="40845"/>
    <cellStyle name="Comma 17 2 13" xfId="40846"/>
    <cellStyle name="Comma 17 2 14" xfId="40847"/>
    <cellStyle name="Comma 17 2 2" xfId="40848"/>
    <cellStyle name="Comma 17 2 2 10" xfId="40849"/>
    <cellStyle name="Comma 17 2 2 10 2" xfId="40850"/>
    <cellStyle name="Comma 17 2 2 10 3" xfId="40851"/>
    <cellStyle name="Comma 17 2 2 11" xfId="40852"/>
    <cellStyle name="Comma 17 2 2 11 2" xfId="40853"/>
    <cellStyle name="Comma 17 2 2 12" xfId="40854"/>
    <cellStyle name="Comma 17 2 2 13" xfId="40855"/>
    <cellStyle name="Comma 17 2 2 2" xfId="40856"/>
    <cellStyle name="Comma 17 2 2 2 10" xfId="40857"/>
    <cellStyle name="Comma 17 2 2 2 10 2" xfId="40858"/>
    <cellStyle name="Comma 17 2 2 2 11" xfId="40859"/>
    <cellStyle name="Comma 17 2 2 2 12" xfId="40860"/>
    <cellStyle name="Comma 17 2 2 2 2" xfId="40861"/>
    <cellStyle name="Comma 17 2 2 2 2 10" xfId="40862"/>
    <cellStyle name="Comma 17 2 2 2 2 2" xfId="40863"/>
    <cellStyle name="Comma 17 2 2 2 2 2 2" xfId="40864"/>
    <cellStyle name="Comma 17 2 2 2 2 2 2 2" xfId="40865"/>
    <cellStyle name="Comma 17 2 2 2 2 2 2 2 2" xfId="40866"/>
    <cellStyle name="Comma 17 2 2 2 2 2 2 2 3" xfId="40867"/>
    <cellStyle name="Comma 17 2 2 2 2 2 2 3" xfId="40868"/>
    <cellStyle name="Comma 17 2 2 2 2 2 2 3 2" xfId="40869"/>
    <cellStyle name="Comma 17 2 2 2 2 2 2 3 3" xfId="40870"/>
    <cellStyle name="Comma 17 2 2 2 2 2 2 4" xfId="40871"/>
    <cellStyle name="Comma 17 2 2 2 2 2 2 4 2" xfId="40872"/>
    <cellStyle name="Comma 17 2 2 2 2 2 2 5" xfId="40873"/>
    <cellStyle name="Comma 17 2 2 2 2 2 2 6" xfId="40874"/>
    <cellStyle name="Comma 17 2 2 2 2 2 3" xfId="40875"/>
    <cellStyle name="Comma 17 2 2 2 2 2 3 2" xfId="40876"/>
    <cellStyle name="Comma 17 2 2 2 2 2 3 2 2" xfId="40877"/>
    <cellStyle name="Comma 17 2 2 2 2 2 3 2 3" xfId="40878"/>
    <cellStyle name="Comma 17 2 2 2 2 2 3 3" xfId="40879"/>
    <cellStyle name="Comma 17 2 2 2 2 2 3 3 2" xfId="40880"/>
    <cellStyle name="Comma 17 2 2 2 2 2 3 3 3" xfId="40881"/>
    <cellStyle name="Comma 17 2 2 2 2 2 3 4" xfId="40882"/>
    <cellStyle name="Comma 17 2 2 2 2 2 3 4 2" xfId="40883"/>
    <cellStyle name="Comma 17 2 2 2 2 2 3 5" xfId="40884"/>
    <cellStyle name="Comma 17 2 2 2 2 2 3 6" xfId="40885"/>
    <cellStyle name="Comma 17 2 2 2 2 2 4" xfId="40886"/>
    <cellStyle name="Comma 17 2 2 2 2 2 4 2" xfId="40887"/>
    <cellStyle name="Comma 17 2 2 2 2 2 4 2 2" xfId="40888"/>
    <cellStyle name="Comma 17 2 2 2 2 2 4 2 3" xfId="40889"/>
    <cellStyle name="Comma 17 2 2 2 2 2 4 3" xfId="40890"/>
    <cellStyle name="Comma 17 2 2 2 2 2 4 3 2" xfId="40891"/>
    <cellStyle name="Comma 17 2 2 2 2 2 4 4" xfId="40892"/>
    <cellStyle name="Comma 17 2 2 2 2 2 4 5" xfId="40893"/>
    <cellStyle name="Comma 17 2 2 2 2 2 5" xfId="40894"/>
    <cellStyle name="Comma 17 2 2 2 2 2 5 2" xfId="40895"/>
    <cellStyle name="Comma 17 2 2 2 2 2 5 3" xfId="40896"/>
    <cellStyle name="Comma 17 2 2 2 2 2 6" xfId="40897"/>
    <cellStyle name="Comma 17 2 2 2 2 2 6 2" xfId="40898"/>
    <cellStyle name="Comma 17 2 2 2 2 2 6 3" xfId="40899"/>
    <cellStyle name="Comma 17 2 2 2 2 2 7" xfId="40900"/>
    <cellStyle name="Comma 17 2 2 2 2 2 7 2" xfId="40901"/>
    <cellStyle name="Comma 17 2 2 2 2 2 8" xfId="40902"/>
    <cellStyle name="Comma 17 2 2 2 2 2 9" xfId="40903"/>
    <cellStyle name="Comma 17 2 2 2 2 3" xfId="40904"/>
    <cellStyle name="Comma 17 2 2 2 2 3 2" xfId="40905"/>
    <cellStyle name="Comma 17 2 2 2 2 3 2 2" xfId="40906"/>
    <cellStyle name="Comma 17 2 2 2 2 3 2 3" xfId="40907"/>
    <cellStyle name="Comma 17 2 2 2 2 3 3" xfId="40908"/>
    <cellStyle name="Comma 17 2 2 2 2 3 3 2" xfId="40909"/>
    <cellStyle name="Comma 17 2 2 2 2 3 3 3" xfId="40910"/>
    <cellStyle name="Comma 17 2 2 2 2 3 4" xfId="40911"/>
    <cellStyle name="Comma 17 2 2 2 2 3 4 2" xfId="40912"/>
    <cellStyle name="Comma 17 2 2 2 2 3 5" xfId="40913"/>
    <cellStyle name="Comma 17 2 2 2 2 3 6" xfId="40914"/>
    <cellStyle name="Comma 17 2 2 2 2 4" xfId="40915"/>
    <cellStyle name="Comma 17 2 2 2 2 4 2" xfId="40916"/>
    <cellStyle name="Comma 17 2 2 2 2 4 2 2" xfId="40917"/>
    <cellStyle name="Comma 17 2 2 2 2 4 2 3" xfId="40918"/>
    <cellStyle name="Comma 17 2 2 2 2 4 3" xfId="40919"/>
    <cellStyle name="Comma 17 2 2 2 2 4 3 2" xfId="40920"/>
    <cellStyle name="Comma 17 2 2 2 2 4 3 3" xfId="40921"/>
    <cellStyle name="Comma 17 2 2 2 2 4 4" xfId="40922"/>
    <cellStyle name="Comma 17 2 2 2 2 4 4 2" xfId="40923"/>
    <cellStyle name="Comma 17 2 2 2 2 4 5" xfId="40924"/>
    <cellStyle name="Comma 17 2 2 2 2 4 6" xfId="40925"/>
    <cellStyle name="Comma 17 2 2 2 2 5" xfId="40926"/>
    <cellStyle name="Comma 17 2 2 2 2 5 2" xfId="40927"/>
    <cellStyle name="Comma 17 2 2 2 2 5 2 2" xfId="40928"/>
    <cellStyle name="Comma 17 2 2 2 2 5 2 3" xfId="40929"/>
    <cellStyle name="Comma 17 2 2 2 2 5 3" xfId="40930"/>
    <cellStyle name="Comma 17 2 2 2 2 5 3 2" xfId="40931"/>
    <cellStyle name="Comma 17 2 2 2 2 5 4" xfId="40932"/>
    <cellStyle name="Comma 17 2 2 2 2 5 5" xfId="40933"/>
    <cellStyle name="Comma 17 2 2 2 2 6" xfId="40934"/>
    <cellStyle name="Comma 17 2 2 2 2 6 2" xfId="40935"/>
    <cellStyle name="Comma 17 2 2 2 2 6 3" xfId="40936"/>
    <cellStyle name="Comma 17 2 2 2 2 7" xfId="40937"/>
    <cellStyle name="Comma 17 2 2 2 2 7 2" xfId="40938"/>
    <cellStyle name="Comma 17 2 2 2 2 7 3" xfId="40939"/>
    <cellStyle name="Comma 17 2 2 2 2 8" xfId="40940"/>
    <cellStyle name="Comma 17 2 2 2 2 8 2" xfId="40941"/>
    <cellStyle name="Comma 17 2 2 2 2 9" xfId="40942"/>
    <cellStyle name="Comma 17 2 2 2 3" xfId="40943"/>
    <cellStyle name="Comma 17 2 2 2 3 2" xfId="40944"/>
    <cellStyle name="Comma 17 2 2 2 3 2 2" xfId="40945"/>
    <cellStyle name="Comma 17 2 2 2 3 2 2 2" xfId="40946"/>
    <cellStyle name="Comma 17 2 2 2 3 2 2 3" xfId="40947"/>
    <cellStyle name="Comma 17 2 2 2 3 2 3" xfId="40948"/>
    <cellStyle name="Comma 17 2 2 2 3 2 3 2" xfId="40949"/>
    <cellStyle name="Comma 17 2 2 2 3 2 3 3" xfId="40950"/>
    <cellStyle name="Comma 17 2 2 2 3 2 4" xfId="40951"/>
    <cellStyle name="Comma 17 2 2 2 3 2 4 2" xfId="40952"/>
    <cellStyle name="Comma 17 2 2 2 3 2 5" xfId="40953"/>
    <cellStyle name="Comma 17 2 2 2 3 2 6" xfId="40954"/>
    <cellStyle name="Comma 17 2 2 2 3 3" xfId="40955"/>
    <cellStyle name="Comma 17 2 2 2 3 3 2" xfId="40956"/>
    <cellStyle name="Comma 17 2 2 2 3 3 2 2" xfId="40957"/>
    <cellStyle name="Comma 17 2 2 2 3 3 2 3" xfId="40958"/>
    <cellStyle name="Comma 17 2 2 2 3 3 3" xfId="40959"/>
    <cellStyle name="Comma 17 2 2 2 3 3 3 2" xfId="40960"/>
    <cellStyle name="Comma 17 2 2 2 3 3 3 3" xfId="40961"/>
    <cellStyle name="Comma 17 2 2 2 3 3 4" xfId="40962"/>
    <cellStyle name="Comma 17 2 2 2 3 3 4 2" xfId="40963"/>
    <cellStyle name="Comma 17 2 2 2 3 3 5" xfId="40964"/>
    <cellStyle name="Comma 17 2 2 2 3 3 6" xfId="40965"/>
    <cellStyle name="Comma 17 2 2 2 3 4" xfId="40966"/>
    <cellStyle name="Comma 17 2 2 2 3 4 2" xfId="40967"/>
    <cellStyle name="Comma 17 2 2 2 3 4 2 2" xfId="40968"/>
    <cellStyle name="Comma 17 2 2 2 3 4 2 3" xfId="40969"/>
    <cellStyle name="Comma 17 2 2 2 3 4 3" xfId="40970"/>
    <cellStyle name="Comma 17 2 2 2 3 4 3 2" xfId="40971"/>
    <cellStyle name="Comma 17 2 2 2 3 4 4" xfId="40972"/>
    <cellStyle name="Comma 17 2 2 2 3 4 5" xfId="40973"/>
    <cellStyle name="Comma 17 2 2 2 3 5" xfId="40974"/>
    <cellStyle name="Comma 17 2 2 2 3 5 2" xfId="40975"/>
    <cellStyle name="Comma 17 2 2 2 3 5 3" xfId="40976"/>
    <cellStyle name="Comma 17 2 2 2 3 6" xfId="40977"/>
    <cellStyle name="Comma 17 2 2 2 3 6 2" xfId="40978"/>
    <cellStyle name="Comma 17 2 2 2 3 6 3" xfId="40979"/>
    <cellStyle name="Comma 17 2 2 2 3 7" xfId="40980"/>
    <cellStyle name="Comma 17 2 2 2 3 7 2" xfId="40981"/>
    <cellStyle name="Comma 17 2 2 2 3 8" xfId="40982"/>
    <cellStyle name="Comma 17 2 2 2 3 9" xfId="40983"/>
    <cellStyle name="Comma 17 2 2 2 4" xfId="40984"/>
    <cellStyle name="Comma 17 2 2 2 4 2" xfId="40985"/>
    <cellStyle name="Comma 17 2 2 2 4 2 2" xfId="40986"/>
    <cellStyle name="Comma 17 2 2 2 4 2 2 2" xfId="40987"/>
    <cellStyle name="Comma 17 2 2 2 4 2 2 3" xfId="40988"/>
    <cellStyle name="Comma 17 2 2 2 4 2 3" xfId="40989"/>
    <cellStyle name="Comma 17 2 2 2 4 2 3 2" xfId="40990"/>
    <cellStyle name="Comma 17 2 2 2 4 2 3 3" xfId="40991"/>
    <cellStyle name="Comma 17 2 2 2 4 2 4" xfId="40992"/>
    <cellStyle name="Comma 17 2 2 2 4 2 4 2" xfId="40993"/>
    <cellStyle name="Comma 17 2 2 2 4 2 5" xfId="40994"/>
    <cellStyle name="Comma 17 2 2 2 4 2 6" xfId="40995"/>
    <cellStyle name="Comma 17 2 2 2 4 3" xfId="40996"/>
    <cellStyle name="Comma 17 2 2 2 4 3 2" xfId="40997"/>
    <cellStyle name="Comma 17 2 2 2 4 3 2 2" xfId="40998"/>
    <cellStyle name="Comma 17 2 2 2 4 3 2 3" xfId="40999"/>
    <cellStyle name="Comma 17 2 2 2 4 3 3" xfId="41000"/>
    <cellStyle name="Comma 17 2 2 2 4 3 3 2" xfId="41001"/>
    <cellStyle name="Comma 17 2 2 2 4 3 3 3" xfId="41002"/>
    <cellStyle name="Comma 17 2 2 2 4 3 4" xfId="41003"/>
    <cellStyle name="Comma 17 2 2 2 4 3 4 2" xfId="41004"/>
    <cellStyle name="Comma 17 2 2 2 4 3 5" xfId="41005"/>
    <cellStyle name="Comma 17 2 2 2 4 3 6" xfId="41006"/>
    <cellStyle name="Comma 17 2 2 2 4 4" xfId="41007"/>
    <cellStyle name="Comma 17 2 2 2 4 4 2" xfId="41008"/>
    <cellStyle name="Comma 17 2 2 2 4 4 2 2" xfId="41009"/>
    <cellStyle name="Comma 17 2 2 2 4 4 2 3" xfId="41010"/>
    <cellStyle name="Comma 17 2 2 2 4 4 3" xfId="41011"/>
    <cellStyle name="Comma 17 2 2 2 4 4 3 2" xfId="41012"/>
    <cellStyle name="Comma 17 2 2 2 4 4 4" xfId="41013"/>
    <cellStyle name="Comma 17 2 2 2 4 4 5" xfId="41014"/>
    <cellStyle name="Comma 17 2 2 2 4 5" xfId="41015"/>
    <cellStyle name="Comma 17 2 2 2 4 5 2" xfId="41016"/>
    <cellStyle name="Comma 17 2 2 2 4 5 3" xfId="41017"/>
    <cellStyle name="Comma 17 2 2 2 4 6" xfId="41018"/>
    <cellStyle name="Comma 17 2 2 2 4 6 2" xfId="41019"/>
    <cellStyle name="Comma 17 2 2 2 4 6 3" xfId="41020"/>
    <cellStyle name="Comma 17 2 2 2 4 7" xfId="41021"/>
    <cellStyle name="Comma 17 2 2 2 4 7 2" xfId="41022"/>
    <cellStyle name="Comma 17 2 2 2 4 8" xfId="41023"/>
    <cellStyle name="Comma 17 2 2 2 4 9" xfId="41024"/>
    <cellStyle name="Comma 17 2 2 2 5" xfId="41025"/>
    <cellStyle name="Comma 17 2 2 2 5 2" xfId="41026"/>
    <cellStyle name="Comma 17 2 2 2 5 2 2" xfId="41027"/>
    <cellStyle name="Comma 17 2 2 2 5 2 3" xfId="41028"/>
    <cellStyle name="Comma 17 2 2 2 5 3" xfId="41029"/>
    <cellStyle name="Comma 17 2 2 2 5 3 2" xfId="41030"/>
    <cellStyle name="Comma 17 2 2 2 5 3 3" xfId="41031"/>
    <cellStyle name="Comma 17 2 2 2 5 4" xfId="41032"/>
    <cellStyle name="Comma 17 2 2 2 5 4 2" xfId="41033"/>
    <cellStyle name="Comma 17 2 2 2 5 5" xfId="41034"/>
    <cellStyle name="Comma 17 2 2 2 5 6" xfId="41035"/>
    <cellStyle name="Comma 17 2 2 2 6" xfId="41036"/>
    <cellStyle name="Comma 17 2 2 2 6 2" xfId="41037"/>
    <cellStyle name="Comma 17 2 2 2 6 2 2" xfId="41038"/>
    <cellStyle name="Comma 17 2 2 2 6 2 3" xfId="41039"/>
    <cellStyle name="Comma 17 2 2 2 6 3" xfId="41040"/>
    <cellStyle name="Comma 17 2 2 2 6 3 2" xfId="41041"/>
    <cellStyle name="Comma 17 2 2 2 6 3 3" xfId="41042"/>
    <cellStyle name="Comma 17 2 2 2 6 4" xfId="41043"/>
    <cellStyle name="Comma 17 2 2 2 6 4 2" xfId="41044"/>
    <cellStyle name="Comma 17 2 2 2 6 5" xfId="41045"/>
    <cellStyle name="Comma 17 2 2 2 6 6" xfId="41046"/>
    <cellStyle name="Comma 17 2 2 2 7" xfId="41047"/>
    <cellStyle name="Comma 17 2 2 2 7 2" xfId="41048"/>
    <cellStyle name="Comma 17 2 2 2 7 2 2" xfId="41049"/>
    <cellStyle name="Comma 17 2 2 2 7 2 3" xfId="41050"/>
    <cellStyle name="Comma 17 2 2 2 7 3" xfId="41051"/>
    <cellStyle name="Comma 17 2 2 2 7 3 2" xfId="41052"/>
    <cellStyle name="Comma 17 2 2 2 7 4" xfId="41053"/>
    <cellStyle name="Comma 17 2 2 2 7 5" xfId="41054"/>
    <cellStyle name="Comma 17 2 2 2 8" xfId="41055"/>
    <cellStyle name="Comma 17 2 2 2 8 2" xfId="41056"/>
    <cellStyle name="Comma 17 2 2 2 8 3" xfId="41057"/>
    <cellStyle name="Comma 17 2 2 2 9" xfId="41058"/>
    <cellStyle name="Comma 17 2 2 2 9 2" xfId="41059"/>
    <cellStyle name="Comma 17 2 2 2 9 3" xfId="41060"/>
    <cellStyle name="Comma 17 2 2 3" xfId="41061"/>
    <cellStyle name="Comma 17 2 2 3 10" xfId="41062"/>
    <cellStyle name="Comma 17 2 2 3 2" xfId="41063"/>
    <cellStyle name="Comma 17 2 2 3 2 2" xfId="41064"/>
    <cellStyle name="Comma 17 2 2 3 2 2 2" xfId="41065"/>
    <cellStyle name="Comma 17 2 2 3 2 2 2 2" xfId="41066"/>
    <cellStyle name="Comma 17 2 2 3 2 2 2 3" xfId="41067"/>
    <cellStyle name="Comma 17 2 2 3 2 2 3" xfId="41068"/>
    <cellStyle name="Comma 17 2 2 3 2 2 3 2" xfId="41069"/>
    <cellStyle name="Comma 17 2 2 3 2 2 3 3" xfId="41070"/>
    <cellStyle name="Comma 17 2 2 3 2 2 4" xfId="41071"/>
    <cellStyle name="Comma 17 2 2 3 2 2 4 2" xfId="41072"/>
    <cellStyle name="Comma 17 2 2 3 2 2 5" xfId="41073"/>
    <cellStyle name="Comma 17 2 2 3 2 2 6" xfId="41074"/>
    <cellStyle name="Comma 17 2 2 3 2 3" xfId="41075"/>
    <cellStyle name="Comma 17 2 2 3 2 3 2" xfId="41076"/>
    <cellStyle name="Comma 17 2 2 3 2 3 2 2" xfId="41077"/>
    <cellStyle name="Comma 17 2 2 3 2 3 2 3" xfId="41078"/>
    <cellStyle name="Comma 17 2 2 3 2 3 3" xfId="41079"/>
    <cellStyle name="Comma 17 2 2 3 2 3 3 2" xfId="41080"/>
    <cellStyle name="Comma 17 2 2 3 2 3 3 3" xfId="41081"/>
    <cellStyle name="Comma 17 2 2 3 2 3 4" xfId="41082"/>
    <cellStyle name="Comma 17 2 2 3 2 3 4 2" xfId="41083"/>
    <cellStyle name="Comma 17 2 2 3 2 3 5" xfId="41084"/>
    <cellStyle name="Comma 17 2 2 3 2 3 6" xfId="41085"/>
    <cellStyle name="Comma 17 2 2 3 2 4" xfId="41086"/>
    <cellStyle name="Comma 17 2 2 3 2 4 2" xfId="41087"/>
    <cellStyle name="Comma 17 2 2 3 2 4 2 2" xfId="41088"/>
    <cellStyle name="Comma 17 2 2 3 2 4 2 3" xfId="41089"/>
    <cellStyle name="Comma 17 2 2 3 2 4 3" xfId="41090"/>
    <cellStyle name="Comma 17 2 2 3 2 4 3 2" xfId="41091"/>
    <cellStyle name="Comma 17 2 2 3 2 4 4" xfId="41092"/>
    <cellStyle name="Comma 17 2 2 3 2 4 5" xfId="41093"/>
    <cellStyle name="Comma 17 2 2 3 2 5" xfId="41094"/>
    <cellStyle name="Comma 17 2 2 3 2 5 2" xfId="41095"/>
    <cellStyle name="Comma 17 2 2 3 2 5 3" xfId="41096"/>
    <cellStyle name="Comma 17 2 2 3 2 6" xfId="41097"/>
    <cellStyle name="Comma 17 2 2 3 2 6 2" xfId="41098"/>
    <cellStyle name="Comma 17 2 2 3 2 6 3" xfId="41099"/>
    <cellStyle name="Comma 17 2 2 3 2 7" xfId="41100"/>
    <cellStyle name="Comma 17 2 2 3 2 7 2" xfId="41101"/>
    <cellStyle name="Comma 17 2 2 3 2 8" xfId="41102"/>
    <cellStyle name="Comma 17 2 2 3 2 9" xfId="41103"/>
    <cellStyle name="Comma 17 2 2 3 3" xfId="41104"/>
    <cellStyle name="Comma 17 2 2 3 3 2" xfId="41105"/>
    <cellStyle name="Comma 17 2 2 3 3 2 2" xfId="41106"/>
    <cellStyle name="Comma 17 2 2 3 3 2 3" xfId="41107"/>
    <cellStyle name="Comma 17 2 2 3 3 3" xfId="41108"/>
    <cellStyle name="Comma 17 2 2 3 3 3 2" xfId="41109"/>
    <cellStyle name="Comma 17 2 2 3 3 3 3" xfId="41110"/>
    <cellStyle name="Comma 17 2 2 3 3 4" xfId="41111"/>
    <cellStyle name="Comma 17 2 2 3 3 4 2" xfId="41112"/>
    <cellStyle name="Comma 17 2 2 3 3 5" xfId="41113"/>
    <cellStyle name="Comma 17 2 2 3 3 6" xfId="41114"/>
    <cellStyle name="Comma 17 2 2 3 4" xfId="41115"/>
    <cellStyle name="Comma 17 2 2 3 4 2" xfId="41116"/>
    <cellStyle name="Comma 17 2 2 3 4 2 2" xfId="41117"/>
    <cellStyle name="Comma 17 2 2 3 4 2 3" xfId="41118"/>
    <cellStyle name="Comma 17 2 2 3 4 3" xfId="41119"/>
    <cellStyle name="Comma 17 2 2 3 4 3 2" xfId="41120"/>
    <cellStyle name="Comma 17 2 2 3 4 3 3" xfId="41121"/>
    <cellStyle name="Comma 17 2 2 3 4 4" xfId="41122"/>
    <cellStyle name="Comma 17 2 2 3 4 4 2" xfId="41123"/>
    <cellStyle name="Comma 17 2 2 3 4 5" xfId="41124"/>
    <cellStyle name="Comma 17 2 2 3 4 6" xfId="41125"/>
    <cellStyle name="Comma 17 2 2 3 5" xfId="41126"/>
    <cellStyle name="Comma 17 2 2 3 5 2" xfId="41127"/>
    <cellStyle name="Comma 17 2 2 3 5 2 2" xfId="41128"/>
    <cellStyle name="Comma 17 2 2 3 5 2 3" xfId="41129"/>
    <cellStyle name="Comma 17 2 2 3 5 3" xfId="41130"/>
    <cellStyle name="Comma 17 2 2 3 5 3 2" xfId="41131"/>
    <cellStyle name="Comma 17 2 2 3 5 4" xfId="41132"/>
    <cellStyle name="Comma 17 2 2 3 5 5" xfId="41133"/>
    <cellStyle name="Comma 17 2 2 3 6" xfId="41134"/>
    <cellStyle name="Comma 17 2 2 3 6 2" xfId="41135"/>
    <cellStyle name="Comma 17 2 2 3 6 3" xfId="41136"/>
    <cellStyle name="Comma 17 2 2 3 7" xfId="41137"/>
    <cellStyle name="Comma 17 2 2 3 7 2" xfId="41138"/>
    <cellStyle name="Comma 17 2 2 3 7 3" xfId="41139"/>
    <cellStyle name="Comma 17 2 2 3 8" xfId="41140"/>
    <cellStyle name="Comma 17 2 2 3 8 2" xfId="41141"/>
    <cellStyle name="Comma 17 2 2 3 9" xfId="41142"/>
    <cellStyle name="Comma 17 2 2 4" xfId="41143"/>
    <cellStyle name="Comma 17 2 2 4 2" xfId="41144"/>
    <cellStyle name="Comma 17 2 2 4 2 2" xfId="41145"/>
    <cellStyle name="Comma 17 2 2 4 2 2 2" xfId="41146"/>
    <cellStyle name="Comma 17 2 2 4 2 2 3" xfId="41147"/>
    <cellStyle name="Comma 17 2 2 4 2 3" xfId="41148"/>
    <cellStyle name="Comma 17 2 2 4 2 3 2" xfId="41149"/>
    <cellStyle name="Comma 17 2 2 4 2 3 3" xfId="41150"/>
    <cellStyle name="Comma 17 2 2 4 2 4" xfId="41151"/>
    <cellStyle name="Comma 17 2 2 4 2 4 2" xfId="41152"/>
    <cellStyle name="Comma 17 2 2 4 2 5" xfId="41153"/>
    <cellStyle name="Comma 17 2 2 4 2 6" xfId="41154"/>
    <cellStyle name="Comma 17 2 2 4 3" xfId="41155"/>
    <cellStyle name="Comma 17 2 2 4 3 2" xfId="41156"/>
    <cellStyle name="Comma 17 2 2 4 3 2 2" xfId="41157"/>
    <cellStyle name="Comma 17 2 2 4 3 2 3" xfId="41158"/>
    <cellStyle name="Comma 17 2 2 4 3 3" xfId="41159"/>
    <cellStyle name="Comma 17 2 2 4 3 3 2" xfId="41160"/>
    <cellStyle name="Comma 17 2 2 4 3 3 3" xfId="41161"/>
    <cellStyle name="Comma 17 2 2 4 3 4" xfId="41162"/>
    <cellStyle name="Comma 17 2 2 4 3 4 2" xfId="41163"/>
    <cellStyle name="Comma 17 2 2 4 3 5" xfId="41164"/>
    <cellStyle name="Comma 17 2 2 4 3 6" xfId="41165"/>
    <cellStyle name="Comma 17 2 2 4 4" xfId="41166"/>
    <cellStyle name="Comma 17 2 2 4 4 2" xfId="41167"/>
    <cellStyle name="Comma 17 2 2 4 4 2 2" xfId="41168"/>
    <cellStyle name="Comma 17 2 2 4 4 2 3" xfId="41169"/>
    <cellStyle name="Comma 17 2 2 4 4 3" xfId="41170"/>
    <cellStyle name="Comma 17 2 2 4 4 3 2" xfId="41171"/>
    <cellStyle name="Comma 17 2 2 4 4 4" xfId="41172"/>
    <cellStyle name="Comma 17 2 2 4 4 5" xfId="41173"/>
    <cellStyle name="Comma 17 2 2 4 5" xfId="41174"/>
    <cellStyle name="Comma 17 2 2 4 5 2" xfId="41175"/>
    <cellStyle name="Comma 17 2 2 4 5 3" xfId="41176"/>
    <cellStyle name="Comma 17 2 2 4 6" xfId="41177"/>
    <cellStyle name="Comma 17 2 2 4 6 2" xfId="41178"/>
    <cellStyle name="Comma 17 2 2 4 6 3" xfId="41179"/>
    <cellStyle name="Comma 17 2 2 4 7" xfId="41180"/>
    <cellStyle name="Comma 17 2 2 4 7 2" xfId="41181"/>
    <cellStyle name="Comma 17 2 2 4 8" xfId="41182"/>
    <cellStyle name="Comma 17 2 2 4 9" xfId="41183"/>
    <cellStyle name="Comma 17 2 2 5" xfId="41184"/>
    <cellStyle name="Comma 17 2 2 5 2" xfId="41185"/>
    <cellStyle name="Comma 17 2 2 5 2 2" xfId="41186"/>
    <cellStyle name="Comma 17 2 2 5 2 2 2" xfId="41187"/>
    <cellStyle name="Comma 17 2 2 5 2 2 3" xfId="41188"/>
    <cellStyle name="Comma 17 2 2 5 2 3" xfId="41189"/>
    <cellStyle name="Comma 17 2 2 5 2 3 2" xfId="41190"/>
    <cellStyle name="Comma 17 2 2 5 2 3 3" xfId="41191"/>
    <cellStyle name="Comma 17 2 2 5 2 4" xfId="41192"/>
    <cellStyle name="Comma 17 2 2 5 2 4 2" xfId="41193"/>
    <cellStyle name="Comma 17 2 2 5 2 5" xfId="41194"/>
    <cellStyle name="Comma 17 2 2 5 2 6" xfId="41195"/>
    <cellStyle name="Comma 17 2 2 5 3" xfId="41196"/>
    <cellStyle name="Comma 17 2 2 5 3 2" xfId="41197"/>
    <cellStyle name="Comma 17 2 2 5 3 2 2" xfId="41198"/>
    <cellStyle name="Comma 17 2 2 5 3 2 3" xfId="41199"/>
    <cellStyle name="Comma 17 2 2 5 3 3" xfId="41200"/>
    <cellStyle name="Comma 17 2 2 5 3 3 2" xfId="41201"/>
    <cellStyle name="Comma 17 2 2 5 3 3 3" xfId="41202"/>
    <cellStyle name="Comma 17 2 2 5 3 4" xfId="41203"/>
    <cellStyle name="Comma 17 2 2 5 3 4 2" xfId="41204"/>
    <cellStyle name="Comma 17 2 2 5 3 5" xfId="41205"/>
    <cellStyle name="Comma 17 2 2 5 3 6" xfId="41206"/>
    <cellStyle name="Comma 17 2 2 5 4" xfId="41207"/>
    <cellStyle name="Comma 17 2 2 5 4 2" xfId="41208"/>
    <cellStyle name="Comma 17 2 2 5 4 2 2" xfId="41209"/>
    <cellStyle name="Comma 17 2 2 5 4 2 3" xfId="41210"/>
    <cellStyle name="Comma 17 2 2 5 4 3" xfId="41211"/>
    <cellStyle name="Comma 17 2 2 5 4 3 2" xfId="41212"/>
    <cellStyle name="Comma 17 2 2 5 4 4" xfId="41213"/>
    <cellStyle name="Comma 17 2 2 5 4 5" xfId="41214"/>
    <cellStyle name="Comma 17 2 2 5 5" xfId="41215"/>
    <cellStyle name="Comma 17 2 2 5 5 2" xfId="41216"/>
    <cellStyle name="Comma 17 2 2 5 5 3" xfId="41217"/>
    <cellStyle name="Comma 17 2 2 5 6" xfId="41218"/>
    <cellStyle name="Comma 17 2 2 5 6 2" xfId="41219"/>
    <cellStyle name="Comma 17 2 2 5 6 3" xfId="41220"/>
    <cellStyle name="Comma 17 2 2 5 7" xfId="41221"/>
    <cellStyle name="Comma 17 2 2 5 7 2" xfId="41222"/>
    <cellStyle name="Comma 17 2 2 5 8" xfId="41223"/>
    <cellStyle name="Comma 17 2 2 5 9" xfId="41224"/>
    <cellStyle name="Comma 17 2 2 6" xfId="41225"/>
    <cellStyle name="Comma 17 2 2 6 2" xfId="41226"/>
    <cellStyle name="Comma 17 2 2 6 2 2" xfId="41227"/>
    <cellStyle name="Comma 17 2 2 6 2 3" xfId="41228"/>
    <cellStyle name="Comma 17 2 2 6 3" xfId="41229"/>
    <cellStyle name="Comma 17 2 2 6 3 2" xfId="41230"/>
    <cellStyle name="Comma 17 2 2 6 3 3" xfId="41231"/>
    <cellStyle name="Comma 17 2 2 6 4" xfId="41232"/>
    <cellStyle name="Comma 17 2 2 6 4 2" xfId="41233"/>
    <cellStyle name="Comma 17 2 2 6 5" xfId="41234"/>
    <cellStyle name="Comma 17 2 2 6 6" xfId="41235"/>
    <cellStyle name="Comma 17 2 2 7" xfId="41236"/>
    <cellStyle name="Comma 17 2 2 7 2" xfId="41237"/>
    <cellStyle name="Comma 17 2 2 7 2 2" xfId="41238"/>
    <cellStyle name="Comma 17 2 2 7 2 3" xfId="41239"/>
    <cellStyle name="Comma 17 2 2 7 3" xfId="41240"/>
    <cellStyle name="Comma 17 2 2 7 3 2" xfId="41241"/>
    <cellStyle name="Comma 17 2 2 7 3 3" xfId="41242"/>
    <cellStyle name="Comma 17 2 2 7 4" xfId="41243"/>
    <cellStyle name="Comma 17 2 2 7 4 2" xfId="41244"/>
    <cellStyle name="Comma 17 2 2 7 5" xfId="41245"/>
    <cellStyle name="Comma 17 2 2 7 6" xfId="41246"/>
    <cellStyle name="Comma 17 2 2 8" xfId="41247"/>
    <cellStyle name="Comma 17 2 2 8 2" xfId="41248"/>
    <cellStyle name="Comma 17 2 2 8 2 2" xfId="41249"/>
    <cellStyle name="Comma 17 2 2 8 2 3" xfId="41250"/>
    <cellStyle name="Comma 17 2 2 8 3" xfId="41251"/>
    <cellStyle name="Comma 17 2 2 8 3 2" xfId="41252"/>
    <cellStyle name="Comma 17 2 2 8 4" xfId="41253"/>
    <cellStyle name="Comma 17 2 2 8 5" xfId="41254"/>
    <cellStyle name="Comma 17 2 2 9" xfId="41255"/>
    <cellStyle name="Comma 17 2 2 9 2" xfId="41256"/>
    <cellStyle name="Comma 17 2 2 9 3" xfId="41257"/>
    <cellStyle name="Comma 17 2 3" xfId="41258"/>
    <cellStyle name="Comma 17 2 3 10" xfId="41259"/>
    <cellStyle name="Comma 17 2 3 10 2" xfId="41260"/>
    <cellStyle name="Comma 17 2 3 11" xfId="41261"/>
    <cellStyle name="Comma 17 2 3 12" xfId="41262"/>
    <cellStyle name="Comma 17 2 3 2" xfId="41263"/>
    <cellStyle name="Comma 17 2 3 2 10" xfId="41264"/>
    <cellStyle name="Comma 17 2 3 2 2" xfId="41265"/>
    <cellStyle name="Comma 17 2 3 2 2 2" xfId="41266"/>
    <cellStyle name="Comma 17 2 3 2 2 2 2" xfId="41267"/>
    <cellStyle name="Comma 17 2 3 2 2 2 2 2" xfId="41268"/>
    <cellStyle name="Comma 17 2 3 2 2 2 2 3" xfId="41269"/>
    <cellStyle name="Comma 17 2 3 2 2 2 3" xfId="41270"/>
    <cellStyle name="Comma 17 2 3 2 2 2 3 2" xfId="41271"/>
    <cellStyle name="Comma 17 2 3 2 2 2 3 3" xfId="41272"/>
    <cellStyle name="Comma 17 2 3 2 2 2 4" xfId="41273"/>
    <cellStyle name="Comma 17 2 3 2 2 2 4 2" xfId="41274"/>
    <cellStyle name="Comma 17 2 3 2 2 2 5" xfId="41275"/>
    <cellStyle name="Comma 17 2 3 2 2 2 6" xfId="41276"/>
    <cellStyle name="Comma 17 2 3 2 2 3" xfId="41277"/>
    <cellStyle name="Comma 17 2 3 2 2 3 2" xfId="41278"/>
    <cellStyle name="Comma 17 2 3 2 2 3 2 2" xfId="41279"/>
    <cellStyle name="Comma 17 2 3 2 2 3 2 3" xfId="41280"/>
    <cellStyle name="Comma 17 2 3 2 2 3 3" xfId="41281"/>
    <cellStyle name="Comma 17 2 3 2 2 3 3 2" xfId="41282"/>
    <cellStyle name="Comma 17 2 3 2 2 3 3 3" xfId="41283"/>
    <cellStyle name="Comma 17 2 3 2 2 3 4" xfId="41284"/>
    <cellStyle name="Comma 17 2 3 2 2 3 4 2" xfId="41285"/>
    <cellStyle name="Comma 17 2 3 2 2 3 5" xfId="41286"/>
    <cellStyle name="Comma 17 2 3 2 2 3 6" xfId="41287"/>
    <cellStyle name="Comma 17 2 3 2 2 4" xfId="41288"/>
    <cellStyle name="Comma 17 2 3 2 2 4 2" xfId="41289"/>
    <cellStyle name="Comma 17 2 3 2 2 4 2 2" xfId="41290"/>
    <cellStyle name="Comma 17 2 3 2 2 4 2 3" xfId="41291"/>
    <cellStyle name="Comma 17 2 3 2 2 4 3" xfId="41292"/>
    <cellStyle name="Comma 17 2 3 2 2 4 3 2" xfId="41293"/>
    <cellStyle name="Comma 17 2 3 2 2 4 4" xfId="41294"/>
    <cellStyle name="Comma 17 2 3 2 2 4 5" xfId="41295"/>
    <cellStyle name="Comma 17 2 3 2 2 5" xfId="41296"/>
    <cellStyle name="Comma 17 2 3 2 2 5 2" xfId="41297"/>
    <cellStyle name="Comma 17 2 3 2 2 5 3" xfId="41298"/>
    <cellStyle name="Comma 17 2 3 2 2 6" xfId="41299"/>
    <cellStyle name="Comma 17 2 3 2 2 6 2" xfId="41300"/>
    <cellStyle name="Comma 17 2 3 2 2 6 3" xfId="41301"/>
    <cellStyle name="Comma 17 2 3 2 2 7" xfId="41302"/>
    <cellStyle name="Comma 17 2 3 2 2 7 2" xfId="41303"/>
    <cellStyle name="Comma 17 2 3 2 2 8" xfId="41304"/>
    <cellStyle name="Comma 17 2 3 2 2 9" xfId="41305"/>
    <cellStyle name="Comma 17 2 3 2 3" xfId="41306"/>
    <cellStyle name="Comma 17 2 3 2 3 2" xfId="41307"/>
    <cellStyle name="Comma 17 2 3 2 3 2 2" xfId="41308"/>
    <cellStyle name="Comma 17 2 3 2 3 2 3" xfId="41309"/>
    <cellStyle name="Comma 17 2 3 2 3 3" xfId="41310"/>
    <cellStyle name="Comma 17 2 3 2 3 3 2" xfId="41311"/>
    <cellStyle name="Comma 17 2 3 2 3 3 3" xfId="41312"/>
    <cellStyle name="Comma 17 2 3 2 3 4" xfId="41313"/>
    <cellStyle name="Comma 17 2 3 2 3 4 2" xfId="41314"/>
    <cellStyle name="Comma 17 2 3 2 3 5" xfId="41315"/>
    <cellStyle name="Comma 17 2 3 2 3 6" xfId="41316"/>
    <cellStyle name="Comma 17 2 3 2 4" xfId="41317"/>
    <cellStyle name="Comma 17 2 3 2 4 2" xfId="41318"/>
    <cellStyle name="Comma 17 2 3 2 4 2 2" xfId="41319"/>
    <cellStyle name="Comma 17 2 3 2 4 2 3" xfId="41320"/>
    <cellStyle name="Comma 17 2 3 2 4 3" xfId="41321"/>
    <cellStyle name="Comma 17 2 3 2 4 3 2" xfId="41322"/>
    <cellStyle name="Comma 17 2 3 2 4 3 3" xfId="41323"/>
    <cellStyle name="Comma 17 2 3 2 4 4" xfId="41324"/>
    <cellStyle name="Comma 17 2 3 2 4 4 2" xfId="41325"/>
    <cellStyle name="Comma 17 2 3 2 4 5" xfId="41326"/>
    <cellStyle name="Comma 17 2 3 2 4 6" xfId="41327"/>
    <cellStyle name="Comma 17 2 3 2 5" xfId="41328"/>
    <cellStyle name="Comma 17 2 3 2 5 2" xfId="41329"/>
    <cellStyle name="Comma 17 2 3 2 5 2 2" xfId="41330"/>
    <cellStyle name="Comma 17 2 3 2 5 2 3" xfId="41331"/>
    <cellStyle name="Comma 17 2 3 2 5 3" xfId="41332"/>
    <cellStyle name="Comma 17 2 3 2 5 3 2" xfId="41333"/>
    <cellStyle name="Comma 17 2 3 2 5 4" xfId="41334"/>
    <cellStyle name="Comma 17 2 3 2 5 5" xfId="41335"/>
    <cellStyle name="Comma 17 2 3 2 6" xfId="41336"/>
    <cellStyle name="Comma 17 2 3 2 6 2" xfId="41337"/>
    <cellStyle name="Comma 17 2 3 2 6 3" xfId="41338"/>
    <cellStyle name="Comma 17 2 3 2 7" xfId="41339"/>
    <cellStyle name="Comma 17 2 3 2 7 2" xfId="41340"/>
    <cellStyle name="Comma 17 2 3 2 7 3" xfId="41341"/>
    <cellStyle name="Comma 17 2 3 2 8" xfId="41342"/>
    <cellStyle name="Comma 17 2 3 2 8 2" xfId="41343"/>
    <cellStyle name="Comma 17 2 3 2 9" xfId="41344"/>
    <cellStyle name="Comma 17 2 3 3" xfId="41345"/>
    <cellStyle name="Comma 17 2 3 3 2" xfId="41346"/>
    <cellStyle name="Comma 17 2 3 3 2 2" xfId="41347"/>
    <cellStyle name="Comma 17 2 3 3 2 2 2" xfId="41348"/>
    <cellStyle name="Comma 17 2 3 3 2 2 3" xfId="41349"/>
    <cellStyle name="Comma 17 2 3 3 2 3" xfId="41350"/>
    <cellStyle name="Comma 17 2 3 3 2 3 2" xfId="41351"/>
    <cellStyle name="Comma 17 2 3 3 2 3 3" xfId="41352"/>
    <cellStyle name="Comma 17 2 3 3 2 4" xfId="41353"/>
    <cellStyle name="Comma 17 2 3 3 2 4 2" xfId="41354"/>
    <cellStyle name="Comma 17 2 3 3 2 5" xfId="41355"/>
    <cellStyle name="Comma 17 2 3 3 2 6" xfId="41356"/>
    <cellStyle name="Comma 17 2 3 3 3" xfId="41357"/>
    <cellStyle name="Comma 17 2 3 3 3 2" xfId="41358"/>
    <cellStyle name="Comma 17 2 3 3 3 2 2" xfId="41359"/>
    <cellStyle name="Comma 17 2 3 3 3 2 3" xfId="41360"/>
    <cellStyle name="Comma 17 2 3 3 3 3" xfId="41361"/>
    <cellStyle name="Comma 17 2 3 3 3 3 2" xfId="41362"/>
    <cellStyle name="Comma 17 2 3 3 3 3 3" xfId="41363"/>
    <cellStyle name="Comma 17 2 3 3 3 4" xfId="41364"/>
    <cellStyle name="Comma 17 2 3 3 3 4 2" xfId="41365"/>
    <cellStyle name="Comma 17 2 3 3 3 5" xfId="41366"/>
    <cellStyle name="Comma 17 2 3 3 3 6" xfId="41367"/>
    <cellStyle name="Comma 17 2 3 3 4" xfId="41368"/>
    <cellStyle name="Comma 17 2 3 3 4 2" xfId="41369"/>
    <cellStyle name="Comma 17 2 3 3 4 2 2" xfId="41370"/>
    <cellStyle name="Comma 17 2 3 3 4 2 3" xfId="41371"/>
    <cellStyle name="Comma 17 2 3 3 4 3" xfId="41372"/>
    <cellStyle name="Comma 17 2 3 3 4 3 2" xfId="41373"/>
    <cellStyle name="Comma 17 2 3 3 4 4" xfId="41374"/>
    <cellStyle name="Comma 17 2 3 3 4 5" xfId="41375"/>
    <cellStyle name="Comma 17 2 3 3 5" xfId="41376"/>
    <cellStyle name="Comma 17 2 3 3 5 2" xfId="41377"/>
    <cellStyle name="Comma 17 2 3 3 5 3" xfId="41378"/>
    <cellStyle name="Comma 17 2 3 3 6" xfId="41379"/>
    <cellStyle name="Comma 17 2 3 3 6 2" xfId="41380"/>
    <cellStyle name="Comma 17 2 3 3 6 3" xfId="41381"/>
    <cellStyle name="Comma 17 2 3 3 7" xfId="41382"/>
    <cellStyle name="Comma 17 2 3 3 7 2" xfId="41383"/>
    <cellStyle name="Comma 17 2 3 3 8" xfId="41384"/>
    <cellStyle name="Comma 17 2 3 3 9" xfId="41385"/>
    <cellStyle name="Comma 17 2 3 4" xfId="41386"/>
    <cellStyle name="Comma 17 2 3 4 2" xfId="41387"/>
    <cellStyle name="Comma 17 2 3 4 2 2" xfId="41388"/>
    <cellStyle name="Comma 17 2 3 4 2 2 2" xfId="41389"/>
    <cellStyle name="Comma 17 2 3 4 2 2 3" xfId="41390"/>
    <cellStyle name="Comma 17 2 3 4 2 3" xfId="41391"/>
    <cellStyle name="Comma 17 2 3 4 2 3 2" xfId="41392"/>
    <cellStyle name="Comma 17 2 3 4 2 3 3" xfId="41393"/>
    <cellStyle name="Comma 17 2 3 4 2 4" xfId="41394"/>
    <cellStyle name="Comma 17 2 3 4 2 4 2" xfId="41395"/>
    <cellStyle name="Comma 17 2 3 4 2 5" xfId="41396"/>
    <cellStyle name="Comma 17 2 3 4 2 6" xfId="41397"/>
    <cellStyle name="Comma 17 2 3 4 3" xfId="41398"/>
    <cellStyle name="Comma 17 2 3 4 3 2" xfId="41399"/>
    <cellStyle name="Comma 17 2 3 4 3 2 2" xfId="41400"/>
    <cellStyle name="Comma 17 2 3 4 3 2 3" xfId="41401"/>
    <cellStyle name="Comma 17 2 3 4 3 3" xfId="41402"/>
    <cellStyle name="Comma 17 2 3 4 3 3 2" xfId="41403"/>
    <cellStyle name="Comma 17 2 3 4 3 3 3" xfId="41404"/>
    <cellStyle name="Comma 17 2 3 4 3 4" xfId="41405"/>
    <cellStyle name="Comma 17 2 3 4 3 4 2" xfId="41406"/>
    <cellStyle name="Comma 17 2 3 4 3 5" xfId="41407"/>
    <cellStyle name="Comma 17 2 3 4 3 6" xfId="41408"/>
    <cellStyle name="Comma 17 2 3 4 4" xfId="41409"/>
    <cellStyle name="Comma 17 2 3 4 4 2" xfId="41410"/>
    <cellStyle name="Comma 17 2 3 4 4 2 2" xfId="41411"/>
    <cellStyle name="Comma 17 2 3 4 4 2 3" xfId="41412"/>
    <cellStyle name="Comma 17 2 3 4 4 3" xfId="41413"/>
    <cellStyle name="Comma 17 2 3 4 4 3 2" xfId="41414"/>
    <cellStyle name="Comma 17 2 3 4 4 4" xfId="41415"/>
    <cellStyle name="Comma 17 2 3 4 4 5" xfId="41416"/>
    <cellStyle name="Comma 17 2 3 4 5" xfId="41417"/>
    <cellStyle name="Comma 17 2 3 4 5 2" xfId="41418"/>
    <cellStyle name="Comma 17 2 3 4 5 3" xfId="41419"/>
    <cellStyle name="Comma 17 2 3 4 6" xfId="41420"/>
    <cellStyle name="Comma 17 2 3 4 6 2" xfId="41421"/>
    <cellStyle name="Comma 17 2 3 4 6 3" xfId="41422"/>
    <cellStyle name="Comma 17 2 3 4 7" xfId="41423"/>
    <cellStyle name="Comma 17 2 3 4 7 2" xfId="41424"/>
    <cellStyle name="Comma 17 2 3 4 8" xfId="41425"/>
    <cellStyle name="Comma 17 2 3 4 9" xfId="41426"/>
    <cellStyle name="Comma 17 2 3 5" xfId="41427"/>
    <cellStyle name="Comma 17 2 3 5 2" xfId="41428"/>
    <cellStyle name="Comma 17 2 3 5 2 2" xfId="41429"/>
    <cellStyle name="Comma 17 2 3 5 2 3" xfId="41430"/>
    <cellStyle name="Comma 17 2 3 5 3" xfId="41431"/>
    <cellStyle name="Comma 17 2 3 5 3 2" xfId="41432"/>
    <cellStyle name="Comma 17 2 3 5 3 3" xfId="41433"/>
    <cellStyle name="Comma 17 2 3 5 4" xfId="41434"/>
    <cellStyle name="Comma 17 2 3 5 4 2" xfId="41435"/>
    <cellStyle name="Comma 17 2 3 5 5" xfId="41436"/>
    <cellStyle name="Comma 17 2 3 5 6" xfId="41437"/>
    <cellStyle name="Comma 17 2 3 6" xfId="41438"/>
    <cellStyle name="Comma 17 2 3 6 2" xfId="41439"/>
    <cellStyle name="Comma 17 2 3 6 2 2" xfId="41440"/>
    <cellStyle name="Comma 17 2 3 6 2 3" xfId="41441"/>
    <cellStyle name="Comma 17 2 3 6 3" xfId="41442"/>
    <cellStyle name="Comma 17 2 3 6 3 2" xfId="41443"/>
    <cellStyle name="Comma 17 2 3 6 3 3" xfId="41444"/>
    <cellStyle name="Comma 17 2 3 6 4" xfId="41445"/>
    <cellStyle name="Comma 17 2 3 6 4 2" xfId="41446"/>
    <cellStyle name="Comma 17 2 3 6 5" xfId="41447"/>
    <cellStyle name="Comma 17 2 3 6 6" xfId="41448"/>
    <cellStyle name="Comma 17 2 3 7" xfId="41449"/>
    <cellStyle name="Comma 17 2 3 7 2" xfId="41450"/>
    <cellStyle name="Comma 17 2 3 7 2 2" xfId="41451"/>
    <cellStyle name="Comma 17 2 3 7 2 3" xfId="41452"/>
    <cellStyle name="Comma 17 2 3 7 3" xfId="41453"/>
    <cellStyle name="Comma 17 2 3 7 3 2" xfId="41454"/>
    <cellStyle name="Comma 17 2 3 7 4" xfId="41455"/>
    <cellStyle name="Comma 17 2 3 7 5" xfId="41456"/>
    <cellStyle name="Comma 17 2 3 8" xfId="41457"/>
    <cellStyle name="Comma 17 2 3 8 2" xfId="41458"/>
    <cellStyle name="Comma 17 2 3 8 3" xfId="41459"/>
    <cellStyle name="Comma 17 2 3 9" xfId="41460"/>
    <cellStyle name="Comma 17 2 3 9 2" xfId="41461"/>
    <cellStyle name="Comma 17 2 3 9 3" xfId="41462"/>
    <cellStyle name="Comma 17 2 4" xfId="41463"/>
    <cellStyle name="Comma 17 2 4 10" xfId="41464"/>
    <cellStyle name="Comma 17 2 4 2" xfId="41465"/>
    <cellStyle name="Comma 17 2 4 2 2" xfId="41466"/>
    <cellStyle name="Comma 17 2 4 2 2 2" xfId="41467"/>
    <cellStyle name="Comma 17 2 4 2 2 2 2" xfId="41468"/>
    <cellStyle name="Comma 17 2 4 2 2 2 3" xfId="41469"/>
    <cellStyle name="Comma 17 2 4 2 2 3" xfId="41470"/>
    <cellStyle name="Comma 17 2 4 2 2 3 2" xfId="41471"/>
    <cellStyle name="Comma 17 2 4 2 2 3 3" xfId="41472"/>
    <cellStyle name="Comma 17 2 4 2 2 4" xfId="41473"/>
    <cellStyle name="Comma 17 2 4 2 2 4 2" xfId="41474"/>
    <cellStyle name="Comma 17 2 4 2 2 5" xfId="41475"/>
    <cellStyle name="Comma 17 2 4 2 2 6" xfId="41476"/>
    <cellStyle name="Comma 17 2 4 2 3" xfId="41477"/>
    <cellStyle name="Comma 17 2 4 2 3 2" xfId="41478"/>
    <cellStyle name="Comma 17 2 4 2 3 2 2" xfId="41479"/>
    <cellStyle name="Comma 17 2 4 2 3 2 3" xfId="41480"/>
    <cellStyle name="Comma 17 2 4 2 3 3" xfId="41481"/>
    <cellStyle name="Comma 17 2 4 2 3 3 2" xfId="41482"/>
    <cellStyle name="Comma 17 2 4 2 3 3 3" xfId="41483"/>
    <cellStyle name="Comma 17 2 4 2 3 4" xfId="41484"/>
    <cellStyle name="Comma 17 2 4 2 3 4 2" xfId="41485"/>
    <cellStyle name="Comma 17 2 4 2 3 5" xfId="41486"/>
    <cellStyle name="Comma 17 2 4 2 3 6" xfId="41487"/>
    <cellStyle name="Comma 17 2 4 2 4" xfId="41488"/>
    <cellStyle name="Comma 17 2 4 2 4 2" xfId="41489"/>
    <cellStyle name="Comma 17 2 4 2 4 2 2" xfId="41490"/>
    <cellStyle name="Comma 17 2 4 2 4 2 3" xfId="41491"/>
    <cellStyle name="Comma 17 2 4 2 4 3" xfId="41492"/>
    <cellStyle name="Comma 17 2 4 2 4 3 2" xfId="41493"/>
    <cellStyle name="Comma 17 2 4 2 4 4" xfId="41494"/>
    <cellStyle name="Comma 17 2 4 2 4 5" xfId="41495"/>
    <cellStyle name="Comma 17 2 4 2 5" xfId="41496"/>
    <cellStyle name="Comma 17 2 4 2 5 2" xfId="41497"/>
    <cellStyle name="Comma 17 2 4 2 5 3" xfId="41498"/>
    <cellStyle name="Comma 17 2 4 2 6" xfId="41499"/>
    <cellStyle name="Comma 17 2 4 2 6 2" xfId="41500"/>
    <cellStyle name="Comma 17 2 4 2 6 3" xfId="41501"/>
    <cellStyle name="Comma 17 2 4 2 7" xfId="41502"/>
    <cellStyle name="Comma 17 2 4 2 7 2" xfId="41503"/>
    <cellStyle name="Comma 17 2 4 2 8" xfId="41504"/>
    <cellStyle name="Comma 17 2 4 2 9" xfId="41505"/>
    <cellStyle name="Comma 17 2 4 3" xfId="41506"/>
    <cellStyle name="Comma 17 2 4 3 2" xfId="41507"/>
    <cellStyle name="Comma 17 2 4 3 2 2" xfId="41508"/>
    <cellStyle name="Comma 17 2 4 3 2 3" xfId="41509"/>
    <cellStyle name="Comma 17 2 4 3 3" xfId="41510"/>
    <cellStyle name="Comma 17 2 4 3 3 2" xfId="41511"/>
    <cellStyle name="Comma 17 2 4 3 3 3" xfId="41512"/>
    <cellStyle name="Comma 17 2 4 3 4" xfId="41513"/>
    <cellStyle name="Comma 17 2 4 3 4 2" xfId="41514"/>
    <cellStyle name="Comma 17 2 4 3 5" xfId="41515"/>
    <cellStyle name="Comma 17 2 4 3 6" xfId="41516"/>
    <cellStyle name="Comma 17 2 4 4" xfId="41517"/>
    <cellStyle name="Comma 17 2 4 4 2" xfId="41518"/>
    <cellStyle name="Comma 17 2 4 4 2 2" xfId="41519"/>
    <cellStyle name="Comma 17 2 4 4 2 3" xfId="41520"/>
    <cellStyle name="Comma 17 2 4 4 3" xfId="41521"/>
    <cellStyle name="Comma 17 2 4 4 3 2" xfId="41522"/>
    <cellStyle name="Comma 17 2 4 4 3 3" xfId="41523"/>
    <cellStyle name="Comma 17 2 4 4 4" xfId="41524"/>
    <cellStyle name="Comma 17 2 4 4 4 2" xfId="41525"/>
    <cellStyle name="Comma 17 2 4 4 5" xfId="41526"/>
    <cellStyle name="Comma 17 2 4 4 6" xfId="41527"/>
    <cellStyle name="Comma 17 2 4 5" xfId="41528"/>
    <cellStyle name="Comma 17 2 4 5 2" xfId="41529"/>
    <cellStyle name="Comma 17 2 4 5 2 2" xfId="41530"/>
    <cellStyle name="Comma 17 2 4 5 2 3" xfId="41531"/>
    <cellStyle name="Comma 17 2 4 5 3" xfId="41532"/>
    <cellStyle name="Comma 17 2 4 5 3 2" xfId="41533"/>
    <cellStyle name="Comma 17 2 4 5 4" xfId="41534"/>
    <cellStyle name="Comma 17 2 4 5 5" xfId="41535"/>
    <cellStyle name="Comma 17 2 4 6" xfId="41536"/>
    <cellStyle name="Comma 17 2 4 6 2" xfId="41537"/>
    <cellStyle name="Comma 17 2 4 6 3" xfId="41538"/>
    <cellStyle name="Comma 17 2 4 7" xfId="41539"/>
    <cellStyle name="Comma 17 2 4 7 2" xfId="41540"/>
    <cellStyle name="Comma 17 2 4 7 3" xfId="41541"/>
    <cellStyle name="Comma 17 2 4 8" xfId="41542"/>
    <cellStyle name="Comma 17 2 4 8 2" xfId="41543"/>
    <cellStyle name="Comma 17 2 4 9" xfId="41544"/>
    <cellStyle name="Comma 17 2 5" xfId="41545"/>
    <cellStyle name="Comma 17 2 5 2" xfId="41546"/>
    <cellStyle name="Comma 17 2 5 2 2" xfId="41547"/>
    <cellStyle name="Comma 17 2 5 2 2 2" xfId="41548"/>
    <cellStyle name="Comma 17 2 5 2 2 3" xfId="41549"/>
    <cellStyle name="Comma 17 2 5 2 3" xfId="41550"/>
    <cellStyle name="Comma 17 2 5 2 3 2" xfId="41551"/>
    <cellStyle name="Comma 17 2 5 2 3 3" xfId="41552"/>
    <cellStyle name="Comma 17 2 5 2 4" xfId="41553"/>
    <cellStyle name="Comma 17 2 5 2 4 2" xfId="41554"/>
    <cellStyle name="Comma 17 2 5 2 5" xfId="41555"/>
    <cellStyle name="Comma 17 2 5 2 6" xfId="41556"/>
    <cellStyle name="Comma 17 2 5 3" xfId="41557"/>
    <cellStyle name="Comma 17 2 5 3 2" xfId="41558"/>
    <cellStyle name="Comma 17 2 5 3 2 2" xfId="41559"/>
    <cellStyle name="Comma 17 2 5 3 2 3" xfId="41560"/>
    <cellStyle name="Comma 17 2 5 3 3" xfId="41561"/>
    <cellStyle name="Comma 17 2 5 3 3 2" xfId="41562"/>
    <cellStyle name="Comma 17 2 5 3 3 3" xfId="41563"/>
    <cellStyle name="Comma 17 2 5 3 4" xfId="41564"/>
    <cellStyle name="Comma 17 2 5 3 4 2" xfId="41565"/>
    <cellStyle name="Comma 17 2 5 3 5" xfId="41566"/>
    <cellStyle name="Comma 17 2 5 3 6" xfId="41567"/>
    <cellStyle name="Comma 17 2 5 4" xfId="41568"/>
    <cellStyle name="Comma 17 2 5 4 2" xfId="41569"/>
    <cellStyle name="Comma 17 2 5 4 2 2" xfId="41570"/>
    <cellStyle name="Comma 17 2 5 4 2 3" xfId="41571"/>
    <cellStyle name="Comma 17 2 5 4 3" xfId="41572"/>
    <cellStyle name="Comma 17 2 5 4 3 2" xfId="41573"/>
    <cellStyle name="Comma 17 2 5 4 4" xfId="41574"/>
    <cellStyle name="Comma 17 2 5 4 5" xfId="41575"/>
    <cellStyle name="Comma 17 2 5 5" xfId="41576"/>
    <cellStyle name="Comma 17 2 5 5 2" xfId="41577"/>
    <cellStyle name="Comma 17 2 5 5 3" xfId="41578"/>
    <cellStyle name="Comma 17 2 5 6" xfId="41579"/>
    <cellStyle name="Comma 17 2 5 6 2" xfId="41580"/>
    <cellStyle name="Comma 17 2 5 6 3" xfId="41581"/>
    <cellStyle name="Comma 17 2 5 7" xfId="41582"/>
    <cellStyle name="Comma 17 2 5 7 2" xfId="41583"/>
    <cellStyle name="Comma 17 2 5 8" xfId="41584"/>
    <cellStyle name="Comma 17 2 5 9" xfId="41585"/>
    <cellStyle name="Comma 17 2 6" xfId="41586"/>
    <cellStyle name="Comma 17 2 6 2" xfId="41587"/>
    <cellStyle name="Comma 17 2 6 2 2" xfId="41588"/>
    <cellStyle name="Comma 17 2 6 2 2 2" xfId="41589"/>
    <cellStyle name="Comma 17 2 6 2 2 3" xfId="41590"/>
    <cellStyle name="Comma 17 2 6 2 3" xfId="41591"/>
    <cellStyle name="Comma 17 2 6 2 3 2" xfId="41592"/>
    <cellStyle name="Comma 17 2 6 2 3 3" xfId="41593"/>
    <cellStyle name="Comma 17 2 6 2 4" xfId="41594"/>
    <cellStyle name="Comma 17 2 6 2 4 2" xfId="41595"/>
    <cellStyle name="Comma 17 2 6 2 5" xfId="41596"/>
    <cellStyle name="Comma 17 2 6 2 6" xfId="41597"/>
    <cellStyle name="Comma 17 2 6 3" xfId="41598"/>
    <cellStyle name="Comma 17 2 6 3 2" xfId="41599"/>
    <cellStyle name="Comma 17 2 6 3 2 2" xfId="41600"/>
    <cellStyle name="Comma 17 2 6 3 2 3" xfId="41601"/>
    <cellStyle name="Comma 17 2 6 3 3" xfId="41602"/>
    <cellStyle name="Comma 17 2 6 3 3 2" xfId="41603"/>
    <cellStyle name="Comma 17 2 6 3 3 3" xfId="41604"/>
    <cellStyle name="Comma 17 2 6 3 4" xfId="41605"/>
    <cellStyle name="Comma 17 2 6 3 4 2" xfId="41606"/>
    <cellStyle name="Comma 17 2 6 3 5" xfId="41607"/>
    <cellStyle name="Comma 17 2 6 3 6" xfId="41608"/>
    <cellStyle name="Comma 17 2 6 4" xfId="41609"/>
    <cellStyle name="Comma 17 2 6 4 2" xfId="41610"/>
    <cellStyle name="Comma 17 2 6 4 2 2" xfId="41611"/>
    <cellStyle name="Comma 17 2 6 4 2 3" xfId="41612"/>
    <cellStyle name="Comma 17 2 6 4 3" xfId="41613"/>
    <cellStyle name="Comma 17 2 6 4 3 2" xfId="41614"/>
    <cellStyle name="Comma 17 2 6 4 4" xfId="41615"/>
    <cellStyle name="Comma 17 2 6 4 5" xfId="41616"/>
    <cellStyle name="Comma 17 2 6 5" xfId="41617"/>
    <cellStyle name="Comma 17 2 6 5 2" xfId="41618"/>
    <cellStyle name="Comma 17 2 6 5 3" xfId="41619"/>
    <cellStyle name="Comma 17 2 6 6" xfId="41620"/>
    <cellStyle name="Comma 17 2 6 6 2" xfId="41621"/>
    <cellStyle name="Comma 17 2 6 6 3" xfId="41622"/>
    <cellStyle name="Comma 17 2 6 7" xfId="41623"/>
    <cellStyle name="Comma 17 2 6 7 2" xfId="41624"/>
    <cellStyle name="Comma 17 2 6 8" xfId="41625"/>
    <cellStyle name="Comma 17 2 6 9" xfId="41626"/>
    <cellStyle name="Comma 17 2 7" xfId="41627"/>
    <cellStyle name="Comma 17 2 7 2" xfId="41628"/>
    <cellStyle name="Comma 17 2 7 2 2" xfId="41629"/>
    <cellStyle name="Comma 17 2 7 2 3" xfId="41630"/>
    <cellStyle name="Comma 17 2 7 3" xfId="41631"/>
    <cellStyle name="Comma 17 2 7 3 2" xfId="41632"/>
    <cellStyle name="Comma 17 2 7 3 3" xfId="41633"/>
    <cellStyle name="Comma 17 2 7 4" xfId="41634"/>
    <cellStyle name="Comma 17 2 7 4 2" xfId="41635"/>
    <cellStyle name="Comma 17 2 7 5" xfId="41636"/>
    <cellStyle name="Comma 17 2 7 6" xfId="41637"/>
    <cellStyle name="Comma 17 2 8" xfId="41638"/>
    <cellStyle name="Comma 17 2 8 2" xfId="41639"/>
    <cellStyle name="Comma 17 2 8 2 2" xfId="41640"/>
    <cellStyle name="Comma 17 2 8 2 3" xfId="41641"/>
    <cellStyle name="Comma 17 2 8 3" xfId="41642"/>
    <cellStyle name="Comma 17 2 8 3 2" xfId="41643"/>
    <cellStyle name="Comma 17 2 8 3 3" xfId="41644"/>
    <cellStyle name="Comma 17 2 8 4" xfId="41645"/>
    <cellStyle name="Comma 17 2 8 4 2" xfId="41646"/>
    <cellStyle name="Comma 17 2 8 5" xfId="41647"/>
    <cellStyle name="Comma 17 2 8 6" xfId="41648"/>
    <cellStyle name="Comma 17 2 9" xfId="41649"/>
    <cellStyle name="Comma 17 2 9 2" xfId="41650"/>
    <cellStyle name="Comma 17 2 9 2 2" xfId="41651"/>
    <cellStyle name="Comma 17 2 9 2 3" xfId="41652"/>
    <cellStyle name="Comma 17 2 9 3" xfId="41653"/>
    <cellStyle name="Comma 17 2 9 3 2" xfId="41654"/>
    <cellStyle name="Comma 17 2 9 4" xfId="41655"/>
    <cellStyle name="Comma 17 2 9 5" xfId="41656"/>
    <cellStyle name="Comma 17 3" xfId="41657"/>
    <cellStyle name="Comma 17 3 10" xfId="41658"/>
    <cellStyle name="Comma 17 3 10 2" xfId="41659"/>
    <cellStyle name="Comma 17 3 10 3" xfId="41660"/>
    <cellStyle name="Comma 17 3 11" xfId="41661"/>
    <cellStyle name="Comma 17 3 11 2" xfId="41662"/>
    <cellStyle name="Comma 17 3 12" xfId="41663"/>
    <cellStyle name="Comma 17 3 13" xfId="41664"/>
    <cellStyle name="Comma 17 3 2" xfId="41665"/>
    <cellStyle name="Comma 17 3 2 10" xfId="41666"/>
    <cellStyle name="Comma 17 3 2 10 2" xfId="41667"/>
    <cellStyle name="Comma 17 3 2 11" xfId="41668"/>
    <cellStyle name="Comma 17 3 2 12" xfId="41669"/>
    <cellStyle name="Comma 17 3 2 2" xfId="41670"/>
    <cellStyle name="Comma 17 3 2 2 10" xfId="41671"/>
    <cellStyle name="Comma 17 3 2 2 2" xfId="41672"/>
    <cellStyle name="Comma 17 3 2 2 2 2" xfId="41673"/>
    <cellStyle name="Comma 17 3 2 2 2 2 2" xfId="41674"/>
    <cellStyle name="Comma 17 3 2 2 2 2 2 2" xfId="41675"/>
    <cellStyle name="Comma 17 3 2 2 2 2 2 3" xfId="41676"/>
    <cellStyle name="Comma 17 3 2 2 2 2 3" xfId="41677"/>
    <cellStyle name="Comma 17 3 2 2 2 2 3 2" xfId="41678"/>
    <cellStyle name="Comma 17 3 2 2 2 2 3 3" xfId="41679"/>
    <cellStyle name="Comma 17 3 2 2 2 2 4" xfId="41680"/>
    <cellStyle name="Comma 17 3 2 2 2 2 4 2" xfId="41681"/>
    <cellStyle name="Comma 17 3 2 2 2 2 5" xfId="41682"/>
    <cellStyle name="Comma 17 3 2 2 2 2 6" xfId="41683"/>
    <cellStyle name="Comma 17 3 2 2 2 3" xfId="41684"/>
    <cellStyle name="Comma 17 3 2 2 2 3 2" xfId="41685"/>
    <cellStyle name="Comma 17 3 2 2 2 3 2 2" xfId="41686"/>
    <cellStyle name="Comma 17 3 2 2 2 3 2 3" xfId="41687"/>
    <cellStyle name="Comma 17 3 2 2 2 3 3" xfId="41688"/>
    <cellStyle name="Comma 17 3 2 2 2 3 3 2" xfId="41689"/>
    <cellStyle name="Comma 17 3 2 2 2 3 3 3" xfId="41690"/>
    <cellStyle name="Comma 17 3 2 2 2 3 4" xfId="41691"/>
    <cellStyle name="Comma 17 3 2 2 2 3 4 2" xfId="41692"/>
    <cellStyle name="Comma 17 3 2 2 2 3 5" xfId="41693"/>
    <cellStyle name="Comma 17 3 2 2 2 3 6" xfId="41694"/>
    <cellStyle name="Comma 17 3 2 2 2 4" xfId="41695"/>
    <cellStyle name="Comma 17 3 2 2 2 4 2" xfId="41696"/>
    <cellStyle name="Comma 17 3 2 2 2 4 2 2" xfId="41697"/>
    <cellStyle name="Comma 17 3 2 2 2 4 2 3" xfId="41698"/>
    <cellStyle name="Comma 17 3 2 2 2 4 3" xfId="41699"/>
    <cellStyle name="Comma 17 3 2 2 2 4 3 2" xfId="41700"/>
    <cellStyle name="Comma 17 3 2 2 2 4 4" xfId="41701"/>
    <cellStyle name="Comma 17 3 2 2 2 4 5" xfId="41702"/>
    <cellStyle name="Comma 17 3 2 2 2 5" xfId="41703"/>
    <cellStyle name="Comma 17 3 2 2 2 5 2" xfId="41704"/>
    <cellStyle name="Comma 17 3 2 2 2 5 3" xfId="41705"/>
    <cellStyle name="Comma 17 3 2 2 2 6" xfId="41706"/>
    <cellStyle name="Comma 17 3 2 2 2 6 2" xfId="41707"/>
    <cellStyle name="Comma 17 3 2 2 2 6 3" xfId="41708"/>
    <cellStyle name="Comma 17 3 2 2 2 7" xfId="41709"/>
    <cellStyle name="Comma 17 3 2 2 2 7 2" xfId="41710"/>
    <cellStyle name="Comma 17 3 2 2 2 8" xfId="41711"/>
    <cellStyle name="Comma 17 3 2 2 2 9" xfId="41712"/>
    <cellStyle name="Comma 17 3 2 2 3" xfId="41713"/>
    <cellStyle name="Comma 17 3 2 2 3 2" xfId="41714"/>
    <cellStyle name="Comma 17 3 2 2 3 2 2" xfId="41715"/>
    <cellStyle name="Comma 17 3 2 2 3 2 3" xfId="41716"/>
    <cellStyle name="Comma 17 3 2 2 3 3" xfId="41717"/>
    <cellStyle name="Comma 17 3 2 2 3 3 2" xfId="41718"/>
    <cellStyle name="Comma 17 3 2 2 3 3 3" xfId="41719"/>
    <cellStyle name="Comma 17 3 2 2 3 4" xfId="41720"/>
    <cellStyle name="Comma 17 3 2 2 3 4 2" xfId="41721"/>
    <cellStyle name="Comma 17 3 2 2 3 5" xfId="41722"/>
    <cellStyle name="Comma 17 3 2 2 3 6" xfId="41723"/>
    <cellStyle name="Comma 17 3 2 2 4" xfId="41724"/>
    <cellStyle name="Comma 17 3 2 2 4 2" xfId="41725"/>
    <cellStyle name="Comma 17 3 2 2 4 2 2" xfId="41726"/>
    <cellStyle name="Comma 17 3 2 2 4 2 3" xfId="41727"/>
    <cellStyle name="Comma 17 3 2 2 4 3" xfId="41728"/>
    <cellStyle name="Comma 17 3 2 2 4 3 2" xfId="41729"/>
    <cellStyle name="Comma 17 3 2 2 4 3 3" xfId="41730"/>
    <cellStyle name="Comma 17 3 2 2 4 4" xfId="41731"/>
    <cellStyle name="Comma 17 3 2 2 4 4 2" xfId="41732"/>
    <cellStyle name="Comma 17 3 2 2 4 5" xfId="41733"/>
    <cellStyle name="Comma 17 3 2 2 4 6" xfId="41734"/>
    <cellStyle name="Comma 17 3 2 2 5" xfId="41735"/>
    <cellStyle name="Comma 17 3 2 2 5 2" xfId="41736"/>
    <cellStyle name="Comma 17 3 2 2 5 2 2" xfId="41737"/>
    <cellStyle name="Comma 17 3 2 2 5 2 3" xfId="41738"/>
    <cellStyle name="Comma 17 3 2 2 5 3" xfId="41739"/>
    <cellStyle name="Comma 17 3 2 2 5 3 2" xfId="41740"/>
    <cellStyle name="Comma 17 3 2 2 5 4" xfId="41741"/>
    <cellStyle name="Comma 17 3 2 2 5 5" xfId="41742"/>
    <cellStyle name="Comma 17 3 2 2 6" xfId="41743"/>
    <cellStyle name="Comma 17 3 2 2 6 2" xfId="41744"/>
    <cellStyle name="Comma 17 3 2 2 6 3" xfId="41745"/>
    <cellStyle name="Comma 17 3 2 2 7" xfId="41746"/>
    <cellStyle name="Comma 17 3 2 2 7 2" xfId="41747"/>
    <cellStyle name="Comma 17 3 2 2 7 3" xfId="41748"/>
    <cellStyle name="Comma 17 3 2 2 8" xfId="41749"/>
    <cellStyle name="Comma 17 3 2 2 8 2" xfId="41750"/>
    <cellStyle name="Comma 17 3 2 2 9" xfId="41751"/>
    <cellStyle name="Comma 17 3 2 3" xfId="41752"/>
    <cellStyle name="Comma 17 3 2 3 2" xfId="41753"/>
    <cellStyle name="Comma 17 3 2 3 2 2" xfId="41754"/>
    <cellStyle name="Comma 17 3 2 3 2 2 2" xfId="41755"/>
    <cellStyle name="Comma 17 3 2 3 2 2 3" xfId="41756"/>
    <cellStyle name="Comma 17 3 2 3 2 3" xfId="41757"/>
    <cellStyle name="Comma 17 3 2 3 2 3 2" xfId="41758"/>
    <cellStyle name="Comma 17 3 2 3 2 3 3" xfId="41759"/>
    <cellStyle name="Comma 17 3 2 3 2 4" xfId="41760"/>
    <cellStyle name="Comma 17 3 2 3 2 4 2" xfId="41761"/>
    <cellStyle name="Comma 17 3 2 3 2 5" xfId="41762"/>
    <cellStyle name="Comma 17 3 2 3 2 6" xfId="41763"/>
    <cellStyle name="Comma 17 3 2 3 3" xfId="41764"/>
    <cellStyle name="Comma 17 3 2 3 3 2" xfId="41765"/>
    <cellStyle name="Comma 17 3 2 3 3 2 2" xfId="41766"/>
    <cellStyle name="Comma 17 3 2 3 3 2 3" xfId="41767"/>
    <cellStyle name="Comma 17 3 2 3 3 3" xfId="41768"/>
    <cellStyle name="Comma 17 3 2 3 3 3 2" xfId="41769"/>
    <cellStyle name="Comma 17 3 2 3 3 3 3" xfId="41770"/>
    <cellStyle name="Comma 17 3 2 3 3 4" xfId="41771"/>
    <cellStyle name="Comma 17 3 2 3 3 4 2" xfId="41772"/>
    <cellStyle name="Comma 17 3 2 3 3 5" xfId="41773"/>
    <cellStyle name="Comma 17 3 2 3 3 6" xfId="41774"/>
    <cellStyle name="Comma 17 3 2 3 4" xfId="41775"/>
    <cellStyle name="Comma 17 3 2 3 4 2" xfId="41776"/>
    <cellStyle name="Comma 17 3 2 3 4 2 2" xfId="41777"/>
    <cellStyle name="Comma 17 3 2 3 4 2 3" xfId="41778"/>
    <cellStyle name="Comma 17 3 2 3 4 3" xfId="41779"/>
    <cellStyle name="Comma 17 3 2 3 4 3 2" xfId="41780"/>
    <cellStyle name="Comma 17 3 2 3 4 4" xfId="41781"/>
    <cellStyle name="Comma 17 3 2 3 4 5" xfId="41782"/>
    <cellStyle name="Comma 17 3 2 3 5" xfId="41783"/>
    <cellStyle name="Comma 17 3 2 3 5 2" xfId="41784"/>
    <cellStyle name="Comma 17 3 2 3 5 3" xfId="41785"/>
    <cellStyle name="Comma 17 3 2 3 6" xfId="41786"/>
    <cellStyle name="Comma 17 3 2 3 6 2" xfId="41787"/>
    <cellStyle name="Comma 17 3 2 3 6 3" xfId="41788"/>
    <cellStyle name="Comma 17 3 2 3 7" xfId="41789"/>
    <cellStyle name="Comma 17 3 2 3 7 2" xfId="41790"/>
    <cellStyle name="Comma 17 3 2 3 8" xfId="41791"/>
    <cellStyle name="Comma 17 3 2 3 9" xfId="41792"/>
    <cellStyle name="Comma 17 3 2 4" xfId="41793"/>
    <cellStyle name="Comma 17 3 2 4 2" xfId="41794"/>
    <cellStyle name="Comma 17 3 2 4 2 2" xfId="41795"/>
    <cellStyle name="Comma 17 3 2 4 2 2 2" xfId="41796"/>
    <cellStyle name="Comma 17 3 2 4 2 2 3" xfId="41797"/>
    <cellStyle name="Comma 17 3 2 4 2 3" xfId="41798"/>
    <cellStyle name="Comma 17 3 2 4 2 3 2" xfId="41799"/>
    <cellStyle name="Comma 17 3 2 4 2 3 3" xfId="41800"/>
    <cellStyle name="Comma 17 3 2 4 2 4" xfId="41801"/>
    <cellStyle name="Comma 17 3 2 4 2 4 2" xfId="41802"/>
    <cellStyle name="Comma 17 3 2 4 2 5" xfId="41803"/>
    <cellStyle name="Comma 17 3 2 4 2 6" xfId="41804"/>
    <cellStyle name="Comma 17 3 2 4 3" xfId="41805"/>
    <cellStyle name="Comma 17 3 2 4 3 2" xfId="41806"/>
    <cellStyle name="Comma 17 3 2 4 3 2 2" xfId="41807"/>
    <cellStyle name="Comma 17 3 2 4 3 2 3" xfId="41808"/>
    <cellStyle name="Comma 17 3 2 4 3 3" xfId="41809"/>
    <cellStyle name="Comma 17 3 2 4 3 3 2" xfId="41810"/>
    <cellStyle name="Comma 17 3 2 4 3 3 3" xfId="41811"/>
    <cellStyle name="Comma 17 3 2 4 3 4" xfId="41812"/>
    <cellStyle name="Comma 17 3 2 4 3 4 2" xfId="41813"/>
    <cellStyle name="Comma 17 3 2 4 3 5" xfId="41814"/>
    <cellStyle name="Comma 17 3 2 4 3 6" xfId="41815"/>
    <cellStyle name="Comma 17 3 2 4 4" xfId="41816"/>
    <cellStyle name="Comma 17 3 2 4 4 2" xfId="41817"/>
    <cellStyle name="Comma 17 3 2 4 4 2 2" xfId="41818"/>
    <cellStyle name="Comma 17 3 2 4 4 2 3" xfId="41819"/>
    <cellStyle name="Comma 17 3 2 4 4 3" xfId="41820"/>
    <cellStyle name="Comma 17 3 2 4 4 3 2" xfId="41821"/>
    <cellStyle name="Comma 17 3 2 4 4 4" xfId="41822"/>
    <cellStyle name="Comma 17 3 2 4 4 5" xfId="41823"/>
    <cellStyle name="Comma 17 3 2 4 5" xfId="41824"/>
    <cellStyle name="Comma 17 3 2 4 5 2" xfId="41825"/>
    <cellStyle name="Comma 17 3 2 4 5 3" xfId="41826"/>
    <cellStyle name="Comma 17 3 2 4 6" xfId="41827"/>
    <cellStyle name="Comma 17 3 2 4 6 2" xfId="41828"/>
    <cellStyle name="Comma 17 3 2 4 6 3" xfId="41829"/>
    <cellStyle name="Comma 17 3 2 4 7" xfId="41830"/>
    <cellStyle name="Comma 17 3 2 4 7 2" xfId="41831"/>
    <cellStyle name="Comma 17 3 2 4 8" xfId="41832"/>
    <cellStyle name="Comma 17 3 2 4 9" xfId="41833"/>
    <cellStyle name="Comma 17 3 2 5" xfId="41834"/>
    <cellStyle name="Comma 17 3 2 5 2" xfId="41835"/>
    <cellStyle name="Comma 17 3 2 5 2 2" xfId="41836"/>
    <cellStyle name="Comma 17 3 2 5 2 3" xfId="41837"/>
    <cellStyle name="Comma 17 3 2 5 3" xfId="41838"/>
    <cellStyle name="Comma 17 3 2 5 3 2" xfId="41839"/>
    <cellStyle name="Comma 17 3 2 5 3 3" xfId="41840"/>
    <cellStyle name="Comma 17 3 2 5 4" xfId="41841"/>
    <cellStyle name="Comma 17 3 2 5 4 2" xfId="41842"/>
    <cellStyle name="Comma 17 3 2 5 5" xfId="41843"/>
    <cellStyle name="Comma 17 3 2 5 6" xfId="41844"/>
    <cellStyle name="Comma 17 3 2 6" xfId="41845"/>
    <cellStyle name="Comma 17 3 2 6 2" xfId="41846"/>
    <cellStyle name="Comma 17 3 2 6 2 2" xfId="41847"/>
    <cellStyle name="Comma 17 3 2 6 2 3" xfId="41848"/>
    <cellStyle name="Comma 17 3 2 6 3" xfId="41849"/>
    <cellStyle name="Comma 17 3 2 6 3 2" xfId="41850"/>
    <cellStyle name="Comma 17 3 2 6 3 3" xfId="41851"/>
    <cellStyle name="Comma 17 3 2 6 4" xfId="41852"/>
    <cellStyle name="Comma 17 3 2 6 4 2" xfId="41853"/>
    <cellStyle name="Comma 17 3 2 6 5" xfId="41854"/>
    <cellStyle name="Comma 17 3 2 6 6" xfId="41855"/>
    <cellStyle name="Comma 17 3 2 7" xfId="41856"/>
    <cellStyle name="Comma 17 3 2 7 2" xfId="41857"/>
    <cellStyle name="Comma 17 3 2 7 2 2" xfId="41858"/>
    <cellStyle name="Comma 17 3 2 7 2 3" xfId="41859"/>
    <cellStyle name="Comma 17 3 2 7 3" xfId="41860"/>
    <cellStyle name="Comma 17 3 2 7 3 2" xfId="41861"/>
    <cellStyle name="Comma 17 3 2 7 4" xfId="41862"/>
    <cellStyle name="Comma 17 3 2 7 5" xfId="41863"/>
    <cellStyle name="Comma 17 3 2 8" xfId="41864"/>
    <cellStyle name="Comma 17 3 2 8 2" xfId="41865"/>
    <cellStyle name="Comma 17 3 2 8 3" xfId="41866"/>
    <cellStyle name="Comma 17 3 2 9" xfId="41867"/>
    <cellStyle name="Comma 17 3 2 9 2" xfId="41868"/>
    <cellStyle name="Comma 17 3 2 9 3" xfId="41869"/>
    <cellStyle name="Comma 17 3 3" xfId="41870"/>
    <cellStyle name="Comma 17 3 3 10" xfId="41871"/>
    <cellStyle name="Comma 17 3 3 2" xfId="41872"/>
    <cellStyle name="Comma 17 3 3 2 2" xfId="41873"/>
    <cellStyle name="Comma 17 3 3 2 2 2" xfId="41874"/>
    <cellStyle name="Comma 17 3 3 2 2 2 2" xfId="41875"/>
    <cellStyle name="Comma 17 3 3 2 2 2 3" xfId="41876"/>
    <cellStyle name="Comma 17 3 3 2 2 3" xfId="41877"/>
    <cellStyle name="Comma 17 3 3 2 2 3 2" xfId="41878"/>
    <cellStyle name="Comma 17 3 3 2 2 3 3" xfId="41879"/>
    <cellStyle name="Comma 17 3 3 2 2 4" xfId="41880"/>
    <cellStyle name="Comma 17 3 3 2 2 4 2" xfId="41881"/>
    <cellStyle name="Comma 17 3 3 2 2 5" xfId="41882"/>
    <cellStyle name="Comma 17 3 3 2 2 6" xfId="41883"/>
    <cellStyle name="Comma 17 3 3 2 3" xfId="41884"/>
    <cellStyle name="Comma 17 3 3 2 3 2" xfId="41885"/>
    <cellStyle name="Comma 17 3 3 2 3 2 2" xfId="41886"/>
    <cellStyle name="Comma 17 3 3 2 3 2 3" xfId="41887"/>
    <cellStyle name="Comma 17 3 3 2 3 3" xfId="41888"/>
    <cellStyle name="Comma 17 3 3 2 3 3 2" xfId="41889"/>
    <cellStyle name="Comma 17 3 3 2 3 3 3" xfId="41890"/>
    <cellStyle name="Comma 17 3 3 2 3 4" xfId="41891"/>
    <cellStyle name="Comma 17 3 3 2 3 4 2" xfId="41892"/>
    <cellStyle name="Comma 17 3 3 2 3 5" xfId="41893"/>
    <cellStyle name="Comma 17 3 3 2 3 6" xfId="41894"/>
    <cellStyle name="Comma 17 3 3 2 4" xfId="41895"/>
    <cellStyle name="Comma 17 3 3 2 4 2" xfId="41896"/>
    <cellStyle name="Comma 17 3 3 2 4 2 2" xfId="41897"/>
    <cellStyle name="Comma 17 3 3 2 4 2 3" xfId="41898"/>
    <cellStyle name="Comma 17 3 3 2 4 3" xfId="41899"/>
    <cellStyle name="Comma 17 3 3 2 4 3 2" xfId="41900"/>
    <cellStyle name="Comma 17 3 3 2 4 4" xfId="41901"/>
    <cellStyle name="Comma 17 3 3 2 4 5" xfId="41902"/>
    <cellStyle name="Comma 17 3 3 2 5" xfId="41903"/>
    <cellStyle name="Comma 17 3 3 2 5 2" xfId="41904"/>
    <cellStyle name="Comma 17 3 3 2 5 3" xfId="41905"/>
    <cellStyle name="Comma 17 3 3 2 6" xfId="41906"/>
    <cellStyle name="Comma 17 3 3 2 6 2" xfId="41907"/>
    <cellStyle name="Comma 17 3 3 2 6 3" xfId="41908"/>
    <cellStyle name="Comma 17 3 3 2 7" xfId="41909"/>
    <cellStyle name="Comma 17 3 3 2 7 2" xfId="41910"/>
    <cellStyle name="Comma 17 3 3 2 8" xfId="41911"/>
    <cellStyle name="Comma 17 3 3 2 9" xfId="41912"/>
    <cellStyle name="Comma 17 3 3 3" xfId="41913"/>
    <cellStyle name="Comma 17 3 3 3 2" xfId="41914"/>
    <cellStyle name="Comma 17 3 3 3 2 2" xfId="41915"/>
    <cellStyle name="Comma 17 3 3 3 2 3" xfId="41916"/>
    <cellStyle name="Comma 17 3 3 3 3" xfId="41917"/>
    <cellStyle name="Comma 17 3 3 3 3 2" xfId="41918"/>
    <cellStyle name="Comma 17 3 3 3 3 3" xfId="41919"/>
    <cellStyle name="Comma 17 3 3 3 4" xfId="41920"/>
    <cellStyle name="Comma 17 3 3 3 4 2" xfId="41921"/>
    <cellStyle name="Comma 17 3 3 3 5" xfId="41922"/>
    <cellStyle name="Comma 17 3 3 3 6" xfId="41923"/>
    <cellStyle name="Comma 17 3 3 4" xfId="41924"/>
    <cellStyle name="Comma 17 3 3 4 2" xfId="41925"/>
    <cellStyle name="Comma 17 3 3 4 2 2" xfId="41926"/>
    <cellStyle name="Comma 17 3 3 4 2 3" xfId="41927"/>
    <cellStyle name="Comma 17 3 3 4 3" xfId="41928"/>
    <cellStyle name="Comma 17 3 3 4 3 2" xfId="41929"/>
    <cellStyle name="Comma 17 3 3 4 3 3" xfId="41930"/>
    <cellStyle name="Comma 17 3 3 4 4" xfId="41931"/>
    <cellStyle name="Comma 17 3 3 4 4 2" xfId="41932"/>
    <cellStyle name="Comma 17 3 3 4 5" xfId="41933"/>
    <cellStyle name="Comma 17 3 3 4 6" xfId="41934"/>
    <cellStyle name="Comma 17 3 3 5" xfId="41935"/>
    <cellStyle name="Comma 17 3 3 5 2" xfId="41936"/>
    <cellStyle name="Comma 17 3 3 5 2 2" xfId="41937"/>
    <cellStyle name="Comma 17 3 3 5 2 3" xfId="41938"/>
    <cellStyle name="Comma 17 3 3 5 3" xfId="41939"/>
    <cellStyle name="Comma 17 3 3 5 3 2" xfId="41940"/>
    <cellStyle name="Comma 17 3 3 5 4" xfId="41941"/>
    <cellStyle name="Comma 17 3 3 5 5" xfId="41942"/>
    <cellStyle name="Comma 17 3 3 6" xfId="41943"/>
    <cellStyle name="Comma 17 3 3 6 2" xfId="41944"/>
    <cellStyle name="Comma 17 3 3 6 3" xfId="41945"/>
    <cellStyle name="Comma 17 3 3 7" xfId="41946"/>
    <cellStyle name="Comma 17 3 3 7 2" xfId="41947"/>
    <cellStyle name="Comma 17 3 3 7 3" xfId="41948"/>
    <cellStyle name="Comma 17 3 3 8" xfId="41949"/>
    <cellStyle name="Comma 17 3 3 8 2" xfId="41950"/>
    <cellStyle name="Comma 17 3 3 9" xfId="41951"/>
    <cellStyle name="Comma 17 3 4" xfId="41952"/>
    <cellStyle name="Comma 17 3 4 2" xfId="41953"/>
    <cellStyle name="Comma 17 3 4 2 2" xfId="41954"/>
    <cellStyle name="Comma 17 3 4 2 2 2" xfId="41955"/>
    <cellStyle name="Comma 17 3 4 2 2 3" xfId="41956"/>
    <cellStyle name="Comma 17 3 4 2 3" xfId="41957"/>
    <cellStyle name="Comma 17 3 4 2 3 2" xfId="41958"/>
    <cellStyle name="Comma 17 3 4 2 3 3" xfId="41959"/>
    <cellStyle name="Comma 17 3 4 2 4" xfId="41960"/>
    <cellStyle name="Comma 17 3 4 2 4 2" xfId="41961"/>
    <cellStyle name="Comma 17 3 4 2 5" xfId="41962"/>
    <cellStyle name="Comma 17 3 4 2 6" xfId="41963"/>
    <cellStyle name="Comma 17 3 4 3" xfId="41964"/>
    <cellStyle name="Comma 17 3 4 3 2" xfId="41965"/>
    <cellStyle name="Comma 17 3 4 3 2 2" xfId="41966"/>
    <cellStyle name="Comma 17 3 4 3 2 3" xfId="41967"/>
    <cellStyle name="Comma 17 3 4 3 3" xfId="41968"/>
    <cellStyle name="Comma 17 3 4 3 3 2" xfId="41969"/>
    <cellStyle name="Comma 17 3 4 3 3 3" xfId="41970"/>
    <cellStyle name="Comma 17 3 4 3 4" xfId="41971"/>
    <cellStyle name="Comma 17 3 4 3 4 2" xfId="41972"/>
    <cellStyle name="Comma 17 3 4 3 5" xfId="41973"/>
    <cellStyle name="Comma 17 3 4 3 6" xfId="41974"/>
    <cellStyle name="Comma 17 3 4 4" xfId="41975"/>
    <cellStyle name="Comma 17 3 4 4 2" xfId="41976"/>
    <cellStyle name="Comma 17 3 4 4 2 2" xfId="41977"/>
    <cellStyle name="Comma 17 3 4 4 2 3" xfId="41978"/>
    <cellStyle name="Comma 17 3 4 4 3" xfId="41979"/>
    <cellStyle name="Comma 17 3 4 4 3 2" xfId="41980"/>
    <cellStyle name="Comma 17 3 4 4 4" xfId="41981"/>
    <cellStyle name="Comma 17 3 4 4 5" xfId="41982"/>
    <cellStyle name="Comma 17 3 4 5" xfId="41983"/>
    <cellStyle name="Comma 17 3 4 5 2" xfId="41984"/>
    <cellStyle name="Comma 17 3 4 5 3" xfId="41985"/>
    <cellStyle name="Comma 17 3 4 6" xfId="41986"/>
    <cellStyle name="Comma 17 3 4 6 2" xfId="41987"/>
    <cellStyle name="Comma 17 3 4 6 3" xfId="41988"/>
    <cellStyle name="Comma 17 3 4 7" xfId="41989"/>
    <cellStyle name="Comma 17 3 4 7 2" xfId="41990"/>
    <cellStyle name="Comma 17 3 4 8" xfId="41991"/>
    <cellStyle name="Comma 17 3 4 9" xfId="41992"/>
    <cellStyle name="Comma 17 3 5" xfId="41993"/>
    <cellStyle name="Comma 17 3 5 2" xfId="41994"/>
    <cellStyle name="Comma 17 3 5 2 2" xfId="41995"/>
    <cellStyle name="Comma 17 3 5 2 2 2" xfId="41996"/>
    <cellStyle name="Comma 17 3 5 2 2 3" xfId="41997"/>
    <cellStyle name="Comma 17 3 5 2 3" xfId="41998"/>
    <cellStyle name="Comma 17 3 5 2 3 2" xfId="41999"/>
    <cellStyle name="Comma 17 3 5 2 3 3" xfId="42000"/>
    <cellStyle name="Comma 17 3 5 2 4" xfId="42001"/>
    <cellStyle name="Comma 17 3 5 2 4 2" xfId="42002"/>
    <cellStyle name="Comma 17 3 5 2 5" xfId="42003"/>
    <cellStyle name="Comma 17 3 5 2 6" xfId="42004"/>
    <cellStyle name="Comma 17 3 5 3" xfId="42005"/>
    <cellStyle name="Comma 17 3 5 3 2" xfId="42006"/>
    <cellStyle name="Comma 17 3 5 3 2 2" xfId="42007"/>
    <cellStyle name="Comma 17 3 5 3 2 3" xfId="42008"/>
    <cellStyle name="Comma 17 3 5 3 3" xfId="42009"/>
    <cellStyle name="Comma 17 3 5 3 3 2" xfId="42010"/>
    <cellStyle name="Comma 17 3 5 3 3 3" xfId="42011"/>
    <cellStyle name="Comma 17 3 5 3 4" xfId="42012"/>
    <cellStyle name="Comma 17 3 5 3 4 2" xfId="42013"/>
    <cellStyle name="Comma 17 3 5 3 5" xfId="42014"/>
    <cellStyle name="Comma 17 3 5 3 6" xfId="42015"/>
    <cellStyle name="Comma 17 3 5 4" xfId="42016"/>
    <cellStyle name="Comma 17 3 5 4 2" xfId="42017"/>
    <cellStyle name="Comma 17 3 5 4 2 2" xfId="42018"/>
    <cellStyle name="Comma 17 3 5 4 2 3" xfId="42019"/>
    <cellStyle name="Comma 17 3 5 4 3" xfId="42020"/>
    <cellStyle name="Comma 17 3 5 4 3 2" xfId="42021"/>
    <cellStyle name="Comma 17 3 5 4 4" xfId="42022"/>
    <cellStyle name="Comma 17 3 5 4 5" xfId="42023"/>
    <cellStyle name="Comma 17 3 5 5" xfId="42024"/>
    <cellStyle name="Comma 17 3 5 5 2" xfId="42025"/>
    <cellStyle name="Comma 17 3 5 5 3" xfId="42026"/>
    <cellStyle name="Comma 17 3 5 6" xfId="42027"/>
    <cellStyle name="Comma 17 3 5 6 2" xfId="42028"/>
    <cellStyle name="Comma 17 3 5 6 3" xfId="42029"/>
    <cellStyle name="Comma 17 3 5 7" xfId="42030"/>
    <cellStyle name="Comma 17 3 5 7 2" xfId="42031"/>
    <cellStyle name="Comma 17 3 5 8" xfId="42032"/>
    <cellStyle name="Comma 17 3 5 9" xfId="42033"/>
    <cellStyle name="Comma 17 3 6" xfId="42034"/>
    <cellStyle name="Comma 17 3 6 2" xfId="42035"/>
    <cellStyle name="Comma 17 3 6 2 2" xfId="42036"/>
    <cellStyle name="Comma 17 3 6 2 3" xfId="42037"/>
    <cellStyle name="Comma 17 3 6 3" xfId="42038"/>
    <cellStyle name="Comma 17 3 6 3 2" xfId="42039"/>
    <cellStyle name="Comma 17 3 6 3 3" xfId="42040"/>
    <cellStyle name="Comma 17 3 6 4" xfId="42041"/>
    <cellStyle name="Comma 17 3 6 4 2" xfId="42042"/>
    <cellStyle name="Comma 17 3 6 5" xfId="42043"/>
    <cellStyle name="Comma 17 3 6 6" xfId="42044"/>
    <cellStyle name="Comma 17 3 7" xfId="42045"/>
    <cellStyle name="Comma 17 3 7 2" xfId="42046"/>
    <cellStyle name="Comma 17 3 7 2 2" xfId="42047"/>
    <cellStyle name="Comma 17 3 7 2 3" xfId="42048"/>
    <cellStyle name="Comma 17 3 7 3" xfId="42049"/>
    <cellStyle name="Comma 17 3 7 3 2" xfId="42050"/>
    <cellStyle name="Comma 17 3 7 3 3" xfId="42051"/>
    <cellStyle name="Comma 17 3 7 4" xfId="42052"/>
    <cellStyle name="Comma 17 3 7 4 2" xfId="42053"/>
    <cellStyle name="Comma 17 3 7 5" xfId="42054"/>
    <cellStyle name="Comma 17 3 7 6" xfId="42055"/>
    <cellStyle name="Comma 17 3 8" xfId="42056"/>
    <cellStyle name="Comma 17 3 8 2" xfId="42057"/>
    <cellStyle name="Comma 17 3 8 2 2" xfId="42058"/>
    <cellStyle name="Comma 17 3 8 2 3" xfId="42059"/>
    <cellStyle name="Comma 17 3 8 3" xfId="42060"/>
    <cellStyle name="Comma 17 3 8 3 2" xfId="42061"/>
    <cellStyle name="Comma 17 3 8 4" xfId="42062"/>
    <cellStyle name="Comma 17 3 8 5" xfId="42063"/>
    <cellStyle name="Comma 17 3 9" xfId="42064"/>
    <cellStyle name="Comma 17 3 9 2" xfId="42065"/>
    <cellStyle name="Comma 17 3 9 3" xfId="42066"/>
    <cellStyle name="Comma 17 4" xfId="42067"/>
    <cellStyle name="Comma 17 4 10" xfId="42068"/>
    <cellStyle name="Comma 17 4 10 2" xfId="42069"/>
    <cellStyle name="Comma 17 4 11" xfId="42070"/>
    <cellStyle name="Comma 17 4 12" xfId="42071"/>
    <cellStyle name="Comma 17 4 2" xfId="42072"/>
    <cellStyle name="Comma 17 4 2 10" xfId="42073"/>
    <cellStyle name="Comma 17 4 2 2" xfId="42074"/>
    <cellStyle name="Comma 17 4 2 2 2" xfId="42075"/>
    <cellStyle name="Comma 17 4 2 2 2 2" xfId="42076"/>
    <cellStyle name="Comma 17 4 2 2 2 2 2" xfId="42077"/>
    <cellStyle name="Comma 17 4 2 2 2 2 3" xfId="42078"/>
    <cellStyle name="Comma 17 4 2 2 2 3" xfId="42079"/>
    <cellStyle name="Comma 17 4 2 2 2 3 2" xfId="42080"/>
    <cellStyle name="Comma 17 4 2 2 2 3 3" xfId="42081"/>
    <cellStyle name="Comma 17 4 2 2 2 4" xfId="42082"/>
    <cellStyle name="Comma 17 4 2 2 2 4 2" xfId="42083"/>
    <cellStyle name="Comma 17 4 2 2 2 5" xfId="42084"/>
    <cellStyle name="Comma 17 4 2 2 2 6" xfId="42085"/>
    <cellStyle name="Comma 17 4 2 2 3" xfId="42086"/>
    <cellStyle name="Comma 17 4 2 2 3 2" xfId="42087"/>
    <cellStyle name="Comma 17 4 2 2 3 2 2" xfId="42088"/>
    <cellStyle name="Comma 17 4 2 2 3 2 3" xfId="42089"/>
    <cellStyle name="Comma 17 4 2 2 3 3" xfId="42090"/>
    <cellStyle name="Comma 17 4 2 2 3 3 2" xfId="42091"/>
    <cellStyle name="Comma 17 4 2 2 3 3 3" xfId="42092"/>
    <cellStyle name="Comma 17 4 2 2 3 4" xfId="42093"/>
    <cellStyle name="Comma 17 4 2 2 3 4 2" xfId="42094"/>
    <cellStyle name="Comma 17 4 2 2 3 5" xfId="42095"/>
    <cellStyle name="Comma 17 4 2 2 3 6" xfId="42096"/>
    <cellStyle name="Comma 17 4 2 2 4" xfId="42097"/>
    <cellStyle name="Comma 17 4 2 2 4 2" xfId="42098"/>
    <cellStyle name="Comma 17 4 2 2 4 2 2" xfId="42099"/>
    <cellStyle name="Comma 17 4 2 2 4 2 3" xfId="42100"/>
    <cellStyle name="Comma 17 4 2 2 4 3" xfId="42101"/>
    <cellStyle name="Comma 17 4 2 2 4 3 2" xfId="42102"/>
    <cellStyle name="Comma 17 4 2 2 4 4" xfId="42103"/>
    <cellStyle name="Comma 17 4 2 2 4 5" xfId="42104"/>
    <cellStyle name="Comma 17 4 2 2 5" xfId="42105"/>
    <cellStyle name="Comma 17 4 2 2 5 2" xfId="42106"/>
    <cellStyle name="Comma 17 4 2 2 5 3" xfId="42107"/>
    <cellStyle name="Comma 17 4 2 2 6" xfId="42108"/>
    <cellStyle name="Comma 17 4 2 2 6 2" xfId="42109"/>
    <cellStyle name="Comma 17 4 2 2 6 3" xfId="42110"/>
    <cellStyle name="Comma 17 4 2 2 7" xfId="42111"/>
    <cellStyle name="Comma 17 4 2 2 7 2" xfId="42112"/>
    <cellStyle name="Comma 17 4 2 2 8" xfId="42113"/>
    <cellStyle name="Comma 17 4 2 2 9" xfId="42114"/>
    <cellStyle name="Comma 17 4 2 3" xfId="42115"/>
    <cellStyle name="Comma 17 4 2 3 2" xfId="42116"/>
    <cellStyle name="Comma 17 4 2 3 2 2" xfId="42117"/>
    <cellStyle name="Comma 17 4 2 3 2 3" xfId="42118"/>
    <cellStyle name="Comma 17 4 2 3 3" xfId="42119"/>
    <cellStyle name="Comma 17 4 2 3 3 2" xfId="42120"/>
    <cellStyle name="Comma 17 4 2 3 3 3" xfId="42121"/>
    <cellStyle name="Comma 17 4 2 3 4" xfId="42122"/>
    <cellStyle name="Comma 17 4 2 3 4 2" xfId="42123"/>
    <cellStyle name="Comma 17 4 2 3 5" xfId="42124"/>
    <cellStyle name="Comma 17 4 2 3 6" xfId="42125"/>
    <cellStyle name="Comma 17 4 2 4" xfId="42126"/>
    <cellStyle name="Comma 17 4 2 4 2" xfId="42127"/>
    <cellStyle name="Comma 17 4 2 4 2 2" xfId="42128"/>
    <cellStyle name="Comma 17 4 2 4 2 3" xfId="42129"/>
    <cellStyle name="Comma 17 4 2 4 3" xfId="42130"/>
    <cellStyle name="Comma 17 4 2 4 3 2" xfId="42131"/>
    <cellStyle name="Comma 17 4 2 4 3 3" xfId="42132"/>
    <cellStyle name="Comma 17 4 2 4 4" xfId="42133"/>
    <cellStyle name="Comma 17 4 2 4 4 2" xfId="42134"/>
    <cellStyle name="Comma 17 4 2 4 5" xfId="42135"/>
    <cellStyle name="Comma 17 4 2 4 6" xfId="42136"/>
    <cellStyle name="Comma 17 4 2 5" xfId="42137"/>
    <cellStyle name="Comma 17 4 2 5 2" xfId="42138"/>
    <cellStyle name="Comma 17 4 2 5 2 2" xfId="42139"/>
    <cellStyle name="Comma 17 4 2 5 2 3" xfId="42140"/>
    <cellStyle name="Comma 17 4 2 5 3" xfId="42141"/>
    <cellStyle name="Comma 17 4 2 5 3 2" xfId="42142"/>
    <cellStyle name="Comma 17 4 2 5 4" xfId="42143"/>
    <cellStyle name="Comma 17 4 2 5 5" xfId="42144"/>
    <cellStyle name="Comma 17 4 2 6" xfId="42145"/>
    <cellStyle name="Comma 17 4 2 6 2" xfId="42146"/>
    <cellStyle name="Comma 17 4 2 6 3" xfId="42147"/>
    <cellStyle name="Comma 17 4 2 7" xfId="42148"/>
    <cellStyle name="Comma 17 4 2 7 2" xfId="42149"/>
    <cellStyle name="Comma 17 4 2 7 3" xfId="42150"/>
    <cellStyle name="Comma 17 4 2 8" xfId="42151"/>
    <cellStyle name="Comma 17 4 2 8 2" xfId="42152"/>
    <cellStyle name="Comma 17 4 2 9" xfId="42153"/>
    <cellStyle name="Comma 17 4 3" xfId="42154"/>
    <cellStyle name="Comma 17 4 3 2" xfId="42155"/>
    <cellStyle name="Comma 17 4 3 2 2" xfId="42156"/>
    <cellStyle name="Comma 17 4 3 2 2 2" xfId="42157"/>
    <cellStyle name="Comma 17 4 3 2 2 3" xfId="42158"/>
    <cellStyle name="Comma 17 4 3 2 3" xfId="42159"/>
    <cellStyle name="Comma 17 4 3 2 3 2" xfId="42160"/>
    <cellStyle name="Comma 17 4 3 2 3 3" xfId="42161"/>
    <cellStyle name="Comma 17 4 3 2 4" xfId="42162"/>
    <cellStyle name="Comma 17 4 3 2 4 2" xfId="42163"/>
    <cellStyle name="Comma 17 4 3 2 5" xfId="42164"/>
    <cellStyle name="Comma 17 4 3 2 6" xfId="42165"/>
    <cellStyle name="Comma 17 4 3 3" xfId="42166"/>
    <cellStyle name="Comma 17 4 3 3 2" xfId="42167"/>
    <cellStyle name="Comma 17 4 3 3 2 2" xfId="42168"/>
    <cellStyle name="Comma 17 4 3 3 2 3" xfId="42169"/>
    <cellStyle name="Comma 17 4 3 3 3" xfId="42170"/>
    <cellStyle name="Comma 17 4 3 3 3 2" xfId="42171"/>
    <cellStyle name="Comma 17 4 3 3 3 3" xfId="42172"/>
    <cellStyle name="Comma 17 4 3 3 4" xfId="42173"/>
    <cellStyle name="Comma 17 4 3 3 4 2" xfId="42174"/>
    <cellStyle name="Comma 17 4 3 3 5" xfId="42175"/>
    <cellStyle name="Comma 17 4 3 3 6" xfId="42176"/>
    <cellStyle name="Comma 17 4 3 4" xfId="42177"/>
    <cellStyle name="Comma 17 4 3 4 2" xfId="42178"/>
    <cellStyle name="Comma 17 4 3 4 2 2" xfId="42179"/>
    <cellStyle name="Comma 17 4 3 4 2 3" xfId="42180"/>
    <cellStyle name="Comma 17 4 3 4 3" xfId="42181"/>
    <cellStyle name="Comma 17 4 3 4 3 2" xfId="42182"/>
    <cellStyle name="Comma 17 4 3 4 4" xfId="42183"/>
    <cellStyle name="Comma 17 4 3 4 5" xfId="42184"/>
    <cellStyle name="Comma 17 4 3 5" xfId="42185"/>
    <cellStyle name="Comma 17 4 3 5 2" xfId="42186"/>
    <cellStyle name="Comma 17 4 3 5 3" xfId="42187"/>
    <cellStyle name="Comma 17 4 3 6" xfId="42188"/>
    <cellStyle name="Comma 17 4 3 6 2" xfId="42189"/>
    <cellStyle name="Comma 17 4 3 6 3" xfId="42190"/>
    <cellStyle name="Comma 17 4 3 7" xfId="42191"/>
    <cellStyle name="Comma 17 4 3 7 2" xfId="42192"/>
    <cellStyle name="Comma 17 4 3 8" xfId="42193"/>
    <cellStyle name="Comma 17 4 3 9" xfId="42194"/>
    <cellStyle name="Comma 17 4 4" xfId="42195"/>
    <cellStyle name="Comma 17 4 4 2" xfId="42196"/>
    <cellStyle name="Comma 17 4 4 2 2" xfId="42197"/>
    <cellStyle name="Comma 17 4 4 2 2 2" xfId="42198"/>
    <cellStyle name="Comma 17 4 4 2 2 3" xfId="42199"/>
    <cellStyle name="Comma 17 4 4 2 3" xfId="42200"/>
    <cellStyle name="Comma 17 4 4 2 3 2" xfId="42201"/>
    <cellStyle name="Comma 17 4 4 2 3 3" xfId="42202"/>
    <cellStyle name="Comma 17 4 4 2 4" xfId="42203"/>
    <cellStyle name="Comma 17 4 4 2 4 2" xfId="42204"/>
    <cellStyle name="Comma 17 4 4 2 5" xfId="42205"/>
    <cellStyle name="Comma 17 4 4 2 6" xfId="42206"/>
    <cellStyle name="Comma 17 4 4 3" xfId="42207"/>
    <cellStyle name="Comma 17 4 4 3 2" xfId="42208"/>
    <cellStyle name="Comma 17 4 4 3 2 2" xfId="42209"/>
    <cellStyle name="Comma 17 4 4 3 2 3" xfId="42210"/>
    <cellStyle name="Comma 17 4 4 3 3" xfId="42211"/>
    <cellStyle name="Comma 17 4 4 3 3 2" xfId="42212"/>
    <cellStyle name="Comma 17 4 4 3 3 3" xfId="42213"/>
    <cellStyle name="Comma 17 4 4 3 4" xfId="42214"/>
    <cellStyle name="Comma 17 4 4 3 4 2" xfId="42215"/>
    <cellStyle name="Comma 17 4 4 3 5" xfId="42216"/>
    <cellStyle name="Comma 17 4 4 3 6" xfId="42217"/>
    <cellStyle name="Comma 17 4 4 4" xfId="42218"/>
    <cellStyle name="Comma 17 4 4 4 2" xfId="42219"/>
    <cellStyle name="Comma 17 4 4 4 2 2" xfId="42220"/>
    <cellStyle name="Comma 17 4 4 4 2 3" xfId="42221"/>
    <cellStyle name="Comma 17 4 4 4 3" xfId="42222"/>
    <cellStyle name="Comma 17 4 4 4 3 2" xfId="42223"/>
    <cellStyle name="Comma 17 4 4 4 4" xfId="42224"/>
    <cellStyle name="Comma 17 4 4 4 5" xfId="42225"/>
    <cellStyle name="Comma 17 4 4 5" xfId="42226"/>
    <cellStyle name="Comma 17 4 4 5 2" xfId="42227"/>
    <cellStyle name="Comma 17 4 4 5 3" xfId="42228"/>
    <cellStyle name="Comma 17 4 4 6" xfId="42229"/>
    <cellStyle name="Comma 17 4 4 6 2" xfId="42230"/>
    <cellStyle name="Comma 17 4 4 6 3" xfId="42231"/>
    <cellStyle name="Comma 17 4 4 7" xfId="42232"/>
    <cellStyle name="Comma 17 4 4 7 2" xfId="42233"/>
    <cellStyle name="Comma 17 4 4 8" xfId="42234"/>
    <cellStyle name="Comma 17 4 4 9" xfId="42235"/>
    <cellStyle name="Comma 17 4 5" xfId="42236"/>
    <cellStyle name="Comma 17 4 5 2" xfId="42237"/>
    <cellStyle name="Comma 17 4 5 2 2" xfId="42238"/>
    <cellStyle name="Comma 17 4 5 2 3" xfId="42239"/>
    <cellStyle name="Comma 17 4 5 3" xfId="42240"/>
    <cellStyle name="Comma 17 4 5 3 2" xfId="42241"/>
    <cellStyle name="Comma 17 4 5 3 3" xfId="42242"/>
    <cellStyle name="Comma 17 4 5 4" xfId="42243"/>
    <cellStyle name="Comma 17 4 5 4 2" xfId="42244"/>
    <cellStyle name="Comma 17 4 5 5" xfId="42245"/>
    <cellStyle name="Comma 17 4 5 6" xfId="42246"/>
    <cellStyle name="Comma 17 4 6" xfId="42247"/>
    <cellStyle name="Comma 17 4 6 2" xfId="42248"/>
    <cellStyle name="Comma 17 4 6 2 2" xfId="42249"/>
    <cellStyle name="Comma 17 4 6 2 3" xfId="42250"/>
    <cellStyle name="Comma 17 4 6 3" xfId="42251"/>
    <cellStyle name="Comma 17 4 6 3 2" xfId="42252"/>
    <cellStyle name="Comma 17 4 6 3 3" xfId="42253"/>
    <cellStyle name="Comma 17 4 6 4" xfId="42254"/>
    <cellStyle name="Comma 17 4 6 4 2" xfId="42255"/>
    <cellStyle name="Comma 17 4 6 5" xfId="42256"/>
    <cellStyle name="Comma 17 4 6 6" xfId="42257"/>
    <cellStyle name="Comma 17 4 7" xfId="42258"/>
    <cellStyle name="Comma 17 4 7 2" xfId="42259"/>
    <cellStyle name="Comma 17 4 7 2 2" xfId="42260"/>
    <cellStyle name="Comma 17 4 7 2 3" xfId="42261"/>
    <cellStyle name="Comma 17 4 7 3" xfId="42262"/>
    <cellStyle name="Comma 17 4 7 3 2" xfId="42263"/>
    <cellStyle name="Comma 17 4 7 4" xfId="42264"/>
    <cellStyle name="Comma 17 4 7 5" xfId="42265"/>
    <cellStyle name="Comma 17 4 8" xfId="42266"/>
    <cellStyle name="Comma 17 4 8 2" xfId="42267"/>
    <cellStyle name="Comma 17 4 8 3" xfId="42268"/>
    <cellStyle name="Comma 17 4 9" xfId="42269"/>
    <cellStyle name="Comma 17 4 9 2" xfId="42270"/>
    <cellStyle name="Comma 17 4 9 3" xfId="42271"/>
    <cellStyle name="Comma 17 5" xfId="42272"/>
    <cellStyle name="Comma 17 5 10" xfId="42273"/>
    <cellStyle name="Comma 17 5 2" xfId="42274"/>
    <cellStyle name="Comma 17 5 2 2" xfId="42275"/>
    <cellStyle name="Comma 17 5 2 2 2" xfId="42276"/>
    <cellStyle name="Comma 17 5 2 2 2 2" xfId="42277"/>
    <cellStyle name="Comma 17 5 2 2 2 3" xfId="42278"/>
    <cellStyle name="Comma 17 5 2 2 3" xfId="42279"/>
    <cellStyle name="Comma 17 5 2 2 3 2" xfId="42280"/>
    <cellStyle name="Comma 17 5 2 2 3 3" xfId="42281"/>
    <cellStyle name="Comma 17 5 2 2 4" xfId="42282"/>
    <cellStyle name="Comma 17 5 2 2 4 2" xfId="42283"/>
    <cellStyle name="Comma 17 5 2 2 5" xfId="42284"/>
    <cellStyle name="Comma 17 5 2 2 6" xfId="42285"/>
    <cellStyle name="Comma 17 5 2 3" xfId="42286"/>
    <cellStyle name="Comma 17 5 2 3 2" xfId="42287"/>
    <cellStyle name="Comma 17 5 2 3 2 2" xfId="42288"/>
    <cellStyle name="Comma 17 5 2 3 2 3" xfId="42289"/>
    <cellStyle name="Comma 17 5 2 3 3" xfId="42290"/>
    <cellStyle name="Comma 17 5 2 3 3 2" xfId="42291"/>
    <cellStyle name="Comma 17 5 2 3 3 3" xfId="42292"/>
    <cellStyle name="Comma 17 5 2 3 4" xfId="42293"/>
    <cellStyle name="Comma 17 5 2 3 4 2" xfId="42294"/>
    <cellStyle name="Comma 17 5 2 3 5" xfId="42295"/>
    <cellStyle name="Comma 17 5 2 3 6" xfId="42296"/>
    <cellStyle name="Comma 17 5 2 4" xfId="42297"/>
    <cellStyle name="Comma 17 5 2 4 2" xfId="42298"/>
    <cellStyle name="Comma 17 5 2 4 2 2" xfId="42299"/>
    <cellStyle name="Comma 17 5 2 4 2 3" xfId="42300"/>
    <cellStyle name="Comma 17 5 2 4 3" xfId="42301"/>
    <cellStyle name="Comma 17 5 2 4 3 2" xfId="42302"/>
    <cellStyle name="Comma 17 5 2 4 4" xfId="42303"/>
    <cellStyle name="Comma 17 5 2 4 5" xfId="42304"/>
    <cellStyle name="Comma 17 5 2 5" xfId="42305"/>
    <cellStyle name="Comma 17 5 2 5 2" xfId="42306"/>
    <cellStyle name="Comma 17 5 2 5 3" xfId="42307"/>
    <cellStyle name="Comma 17 5 2 6" xfId="42308"/>
    <cellStyle name="Comma 17 5 2 6 2" xfId="42309"/>
    <cellStyle name="Comma 17 5 2 6 3" xfId="42310"/>
    <cellStyle name="Comma 17 5 2 7" xfId="42311"/>
    <cellStyle name="Comma 17 5 2 7 2" xfId="42312"/>
    <cellStyle name="Comma 17 5 2 8" xfId="42313"/>
    <cellStyle name="Comma 17 5 2 9" xfId="42314"/>
    <cellStyle name="Comma 17 5 3" xfId="42315"/>
    <cellStyle name="Comma 17 5 3 2" xfId="42316"/>
    <cellStyle name="Comma 17 5 3 2 2" xfId="42317"/>
    <cellStyle name="Comma 17 5 3 2 3" xfId="42318"/>
    <cellStyle name="Comma 17 5 3 3" xfId="42319"/>
    <cellStyle name="Comma 17 5 3 3 2" xfId="42320"/>
    <cellStyle name="Comma 17 5 3 3 3" xfId="42321"/>
    <cellStyle name="Comma 17 5 3 4" xfId="42322"/>
    <cellStyle name="Comma 17 5 3 4 2" xfId="42323"/>
    <cellStyle name="Comma 17 5 3 5" xfId="42324"/>
    <cellStyle name="Comma 17 5 3 6" xfId="42325"/>
    <cellStyle name="Comma 17 5 4" xfId="42326"/>
    <cellStyle name="Comma 17 5 4 2" xfId="42327"/>
    <cellStyle name="Comma 17 5 4 2 2" xfId="42328"/>
    <cellStyle name="Comma 17 5 4 2 3" xfId="42329"/>
    <cellStyle name="Comma 17 5 4 3" xfId="42330"/>
    <cellStyle name="Comma 17 5 4 3 2" xfId="42331"/>
    <cellStyle name="Comma 17 5 4 3 3" xfId="42332"/>
    <cellStyle name="Comma 17 5 4 4" xfId="42333"/>
    <cellStyle name="Comma 17 5 4 4 2" xfId="42334"/>
    <cellStyle name="Comma 17 5 4 5" xfId="42335"/>
    <cellStyle name="Comma 17 5 4 6" xfId="42336"/>
    <cellStyle name="Comma 17 5 5" xfId="42337"/>
    <cellStyle name="Comma 17 5 5 2" xfId="42338"/>
    <cellStyle name="Comma 17 5 5 2 2" xfId="42339"/>
    <cellStyle name="Comma 17 5 5 2 3" xfId="42340"/>
    <cellStyle name="Comma 17 5 5 3" xfId="42341"/>
    <cellStyle name="Comma 17 5 5 3 2" xfId="42342"/>
    <cellStyle name="Comma 17 5 5 4" xfId="42343"/>
    <cellStyle name="Comma 17 5 5 5" xfId="42344"/>
    <cellStyle name="Comma 17 5 6" xfId="42345"/>
    <cellStyle name="Comma 17 5 6 2" xfId="42346"/>
    <cellStyle name="Comma 17 5 6 3" xfId="42347"/>
    <cellStyle name="Comma 17 5 7" xfId="42348"/>
    <cellStyle name="Comma 17 5 7 2" xfId="42349"/>
    <cellStyle name="Comma 17 5 7 3" xfId="42350"/>
    <cellStyle name="Comma 17 5 8" xfId="42351"/>
    <cellStyle name="Comma 17 5 8 2" xfId="42352"/>
    <cellStyle name="Comma 17 5 9" xfId="42353"/>
    <cellStyle name="Comma 17 6" xfId="42354"/>
    <cellStyle name="Comma 17 6 2" xfId="42355"/>
    <cellStyle name="Comma 17 6 2 2" xfId="42356"/>
    <cellStyle name="Comma 17 6 2 2 2" xfId="42357"/>
    <cellStyle name="Comma 17 6 2 2 3" xfId="42358"/>
    <cellStyle name="Comma 17 6 2 3" xfId="42359"/>
    <cellStyle name="Comma 17 6 2 3 2" xfId="42360"/>
    <cellStyle name="Comma 17 6 2 3 3" xfId="42361"/>
    <cellStyle name="Comma 17 6 2 4" xfId="42362"/>
    <cellStyle name="Comma 17 6 2 4 2" xfId="42363"/>
    <cellStyle name="Comma 17 6 2 5" xfId="42364"/>
    <cellStyle name="Comma 17 6 2 6" xfId="42365"/>
    <cellStyle name="Comma 17 6 3" xfId="42366"/>
    <cellStyle name="Comma 17 6 3 2" xfId="42367"/>
    <cellStyle name="Comma 17 6 3 2 2" xfId="42368"/>
    <cellStyle name="Comma 17 6 3 2 3" xfId="42369"/>
    <cellStyle name="Comma 17 6 3 3" xfId="42370"/>
    <cellStyle name="Comma 17 6 3 3 2" xfId="42371"/>
    <cellStyle name="Comma 17 6 3 3 3" xfId="42372"/>
    <cellStyle name="Comma 17 6 3 4" xfId="42373"/>
    <cellStyle name="Comma 17 6 3 4 2" xfId="42374"/>
    <cellStyle name="Comma 17 6 3 5" xfId="42375"/>
    <cellStyle name="Comma 17 6 3 6" xfId="42376"/>
    <cellStyle name="Comma 17 6 4" xfId="42377"/>
    <cellStyle name="Comma 17 6 4 2" xfId="42378"/>
    <cellStyle name="Comma 17 6 4 2 2" xfId="42379"/>
    <cellStyle name="Comma 17 6 4 2 3" xfId="42380"/>
    <cellStyle name="Comma 17 6 4 3" xfId="42381"/>
    <cellStyle name="Comma 17 6 4 3 2" xfId="42382"/>
    <cellStyle name="Comma 17 6 4 4" xfId="42383"/>
    <cellStyle name="Comma 17 6 4 5" xfId="42384"/>
    <cellStyle name="Comma 17 6 5" xfId="42385"/>
    <cellStyle name="Comma 17 6 5 2" xfId="42386"/>
    <cellStyle name="Comma 17 6 5 3" xfId="42387"/>
    <cellStyle name="Comma 17 6 6" xfId="42388"/>
    <cellStyle name="Comma 17 6 6 2" xfId="42389"/>
    <cellStyle name="Comma 17 6 6 3" xfId="42390"/>
    <cellStyle name="Comma 17 6 7" xfId="42391"/>
    <cellStyle name="Comma 17 6 7 2" xfId="42392"/>
    <cellStyle name="Comma 17 6 8" xfId="42393"/>
    <cellStyle name="Comma 17 6 9" xfId="42394"/>
    <cellStyle name="Comma 17 7" xfId="42395"/>
    <cellStyle name="Comma 17 7 2" xfId="42396"/>
    <cellStyle name="Comma 17 7 2 2" xfId="42397"/>
    <cellStyle name="Comma 17 7 2 2 2" xfId="42398"/>
    <cellStyle name="Comma 17 7 2 2 3" xfId="42399"/>
    <cellStyle name="Comma 17 7 2 3" xfId="42400"/>
    <cellStyle name="Comma 17 7 2 3 2" xfId="42401"/>
    <cellStyle name="Comma 17 7 2 3 3" xfId="42402"/>
    <cellStyle name="Comma 17 7 2 4" xfId="42403"/>
    <cellStyle name="Comma 17 7 2 4 2" xfId="42404"/>
    <cellStyle name="Comma 17 7 2 5" xfId="42405"/>
    <cellStyle name="Comma 17 7 2 6" xfId="42406"/>
    <cellStyle name="Comma 17 7 3" xfId="42407"/>
    <cellStyle name="Comma 17 7 3 2" xfId="42408"/>
    <cellStyle name="Comma 17 7 3 2 2" xfId="42409"/>
    <cellStyle name="Comma 17 7 3 2 3" xfId="42410"/>
    <cellStyle name="Comma 17 7 3 3" xfId="42411"/>
    <cellStyle name="Comma 17 7 3 3 2" xfId="42412"/>
    <cellStyle name="Comma 17 7 3 3 3" xfId="42413"/>
    <cellStyle name="Comma 17 7 3 4" xfId="42414"/>
    <cellStyle name="Comma 17 7 3 4 2" xfId="42415"/>
    <cellStyle name="Comma 17 7 3 5" xfId="42416"/>
    <cellStyle name="Comma 17 7 3 6" xfId="42417"/>
    <cellStyle name="Comma 17 7 4" xfId="42418"/>
    <cellStyle name="Comma 17 7 4 2" xfId="42419"/>
    <cellStyle name="Comma 17 7 4 2 2" xfId="42420"/>
    <cellStyle name="Comma 17 7 4 2 3" xfId="42421"/>
    <cellStyle name="Comma 17 7 4 3" xfId="42422"/>
    <cellStyle name="Comma 17 7 4 3 2" xfId="42423"/>
    <cellStyle name="Comma 17 7 4 4" xfId="42424"/>
    <cellStyle name="Comma 17 7 4 5" xfId="42425"/>
    <cellStyle name="Comma 17 7 5" xfId="42426"/>
    <cellStyle name="Comma 17 7 5 2" xfId="42427"/>
    <cellStyle name="Comma 17 7 5 3" xfId="42428"/>
    <cellStyle name="Comma 17 7 6" xfId="42429"/>
    <cellStyle name="Comma 17 7 6 2" xfId="42430"/>
    <cellStyle name="Comma 17 7 6 3" xfId="42431"/>
    <cellStyle name="Comma 17 7 7" xfId="42432"/>
    <cellStyle name="Comma 17 7 7 2" xfId="42433"/>
    <cellStyle name="Comma 17 7 8" xfId="42434"/>
    <cellStyle name="Comma 17 7 9" xfId="42435"/>
    <cellStyle name="Comma 17 8" xfId="42436"/>
    <cellStyle name="Comma 17 8 2" xfId="42437"/>
    <cellStyle name="Comma 17 8 2 2" xfId="42438"/>
    <cellStyle name="Comma 17 8 2 3" xfId="42439"/>
    <cellStyle name="Comma 17 8 3" xfId="42440"/>
    <cellStyle name="Comma 17 8 3 2" xfId="42441"/>
    <cellStyle name="Comma 17 8 3 3" xfId="42442"/>
    <cellStyle name="Comma 17 8 4" xfId="42443"/>
    <cellStyle name="Comma 17 8 4 2" xfId="42444"/>
    <cellStyle name="Comma 17 8 5" xfId="42445"/>
    <cellStyle name="Comma 17 8 6" xfId="42446"/>
    <cellStyle name="Comma 17 9" xfId="42447"/>
    <cellStyle name="Comma 17 9 2" xfId="42448"/>
    <cellStyle name="Comma 17 9 2 2" xfId="42449"/>
    <cellStyle name="Comma 17 9 2 3" xfId="42450"/>
    <cellStyle name="Comma 17 9 3" xfId="42451"/>
    <cellStyle name="Comma 17 9 3 2" xfId="42452"/>
    <cellStyle name="Comma 17 9 3 3" xfId="42453"/>
    <cellStyle name="Comma 17 9 4" xfId="42454"/>
    <cellStyle name="Comma 17 9 4 2" xfId="42455"/>
    <cellStyle name="Comma 17 9 5" xfId="42456"/>
    <cellStyle name="Comma 17 9 6" xfId="42457"/>
    <cellStyle name="Comma 18" xfId="3247"/>
    <cellStyle name="Comma 18 10" xfId="42458"/>
    <cellStyle name="Comma 18 10 2" xfId="42459"/>
    <cellStyle name="Comma 18 10 2 2" xfId="42460"/>
    <cellStyle name="Comma 18 10 2 3" xfId="42461"/>
    <cellStyle name="Comma 18 10 3" xfId="42462"/>
    <cellStyle name="Comma 18 10 3 2" xfId="42463"/>
    <cellStyle name="Comma 18 10 4" xfId="42464"/>
    <cellStyle name="Comma 18 10 5" xfId="42465"/>
    <cellStyle name="Comma 18 11" xfId="42466"/>
    <cellStyle name="Comma 18 11 2" xfId="42467"/>
    <cellStyle name="Comma 18 11 3" xfId="42468"/>
    <cellStyle name="Comma 18 12" xfId="42469"/>
    <cellStyle name="Comma 18 12 2" xfId="42470"/>
    <cellStyle name="Comma 18 12 3" xfId="42471"/>
    <cellStyle name="Comma 18 13" xfId="42472"/>
    <cellStyle name="Comma 18 13 2" xfId="42473"/>
    <cellStyle name="Comma 18 14" xfId="42474"/>
    <cellStyle name="Comma 18 15" xfId="42475"/>
    <cellStyle name="Comma 18 16" xfId="42476"/>
    <cellStyle name="Comma 18 2" xfId="3248"/>
    <cellStyle name="Comma 18 2 10" xfId="42477"/>
    <cellStyle name="Comma 18 2 10 2" xfId="42478"/>
    <cellStyle name="Comma 18 2 10 3" xfId="42479"/>
    <cellStyle name="Comma 18 2 11" xfId="42480"/>
    <cellStyle name="Comma 18 2 11 2" xfId="42481"/>
    <cellStyle name="Comma 18 2 11 3" xfId="42482"/>
    <cellStyle name="Comma 18 2 12" xfId="42483"/>
    <cellStyle name="Comma 18 2 12 2" xfId="42484"/>
    <cellStyle name="Comma 18 2 13" xfId="42485"/>
    <cellStyle name="Comma 18 2 14" xfId="42486"/>
    <cellStyle name="Comma 18 2 2" xfId="42487"/>
    <cellStyle name="Comma 18 2 2 10" xfId="42488"/>
    <cellStyle name="Comma 18 2 2 10 2" xfId="42489"/>
    <cellStyle name="Comma 18 2 2 10 3" xfId="42490"/>
    <cellStyle name="Comma 18 2 2 11" xfId="42491"/>
    <cellStyle name="Comma 18 2 2 11 2" xfId="42492"/>
    <cellStyle name="Comma 18 2 2 12" xfId="42493"/>
    <cellStyle name="Comma 18 2 2 13" xfId="42494"/>
    <cellStyle name="Comma 18 2 2 2" xfId="42495"/>
    <cellStyle name="Comma 18 2 2 2 10" xfId="42496"/>
    <cellStyle name="Comma 18 2 2 2 10 2" xfId="42497"/>
    <cellStyle name="Comma 18 2 2 2 11" xfId="42498"/>
    <cellStyle name="Comma 18 2 2 2 12" xfId="42499"/>
    <cellStyle name="Comma 18 2 2 2 2" xfId="42500"/>
    <cellStyle name="Comma 18 2 2 2 2 10" xfId="42501"/>
    <cellStyle name="Comma 18 2 2 2 2 2" xfId="42502"/>
    <cellStyle name="Comma 18 2 2 2 2 2 2" xfId="42503"/>
    <cellStyle name="Comma 18 2 2 2 2 2 2 2" xfId="42504"/>
    <cellStyle name="Comma 18 2 2 2 2 2 2 2 2" xfId="42505"/>
    <cellStyle name="Comma 18 2 2 2 2 2 2 2 3" xfId="42506"/>
    <cellStyle name="Comma 18 2 2 2 2 2 2 3" xfId="42507"/>
    <cellStyle name="Comma 18 2 2 2 2 2 2 3 2" xfId="42508"/>
    <cellStyle name="Comma 18 2 2 2 2 2 2 3 3" xfId="42509"/>
    <cellStyle name="Comma 18 2 2 2 2 2 2 4" xfId="42510"/>
    <cellStyle name="Comma 18 2 2 2 2 2 2 4 2" xfId="42511"/>
    <cellStyle name="Comma 18 2 2 2 2 2 2 5" xfId="42512"/>
    <cellStyle name="Comma 18 2 2 2 2 2 2 6" xfId="42513"/>
    <cellStyle name="Comma 18 2 2 2 2 2 3" xfId="42514"/>
    <cellStyle name="Comma 18 2 2 2 2 2 3 2" xfId="42515"/>
    <cellStyle name="Comma 18 2 2 2 2 2 3 2 2" xfId="42516"/>
    <cellStyle name="Comma 18 2 2 2 2 2 3 2 3" xfId="42517"/>
    <cellStyle name="Comma 18 2 2 2 2 2 3 3" xfId="42518"/>
    <cellStyle name="Comma 18 2 2 2 2 2 3 3 2" xfId="42519"/>
    <cellStyle name="Comma 18 2 2 2 2 2 3 3 3" xfId="42520"/>
    <cellStyle name="Comma 18 2 2 2 2 2 3 4" xfId="42521"/>
    <cellStyle name="Comma 18 2 2 2 2 2 3 4 2" xfId="42522"/>
    <cellStyle name="Comma 18 2 2 2 2 2 3 5" xfId="42523"/>
    <cellStyle name="Comma 18 2 2 2 2 2 3 6" xfId="42524"/>
    <cellStyle name="Comma 18 2 2 2 2 2 4" xfId="42525"/>
    <cellStyle name="Comma 18 2 2 2 2 2 4 2" xfId="42526"/>
    <cellStyle name="Comma 18 2 2 2 2 2 4 2 2" xfId="42527"/>
    <cellStyle name="Comma 18 2 2 2 2 2 4 2 3" xfId="42528"/>
    <cellStyle name="Comma 18 2 2 2 2 2 4 3" xfId="42529"/>
    <cellStyle name="Comma 18 2 2 2 2 2 4 3 2" xfId="42530"/>
    <cellStyle name="Comma 18 2 2 2 2 2 4 4" xfId="42531"/>
    <cellStyle name="Comma 18 2 2 2 2 2 4 5" xfId="42532"/>
    <cellStyle name="Comma 18 2 2 2 2 2 5" xfId="42533"/>
    <cellStyle name="Comma 18 2 2 2 2 2 5 2" xfId="42534"/>
    <cellStyle name="Comma 18 2 2 2 2 2 5 3" xfId="42535"/>
    <cellStyle name="Comma 18 2 2 2 2 2 6" xfId="42536"/>
    <cellStyle name="Comma 18 2 2 2 2 2 6 2" xfId="42537"/>
    <cellStyle name="Comma 18 2 2 2 2 2 6 3" xfId="42538"/>
    <cellStyle name="Comma 18 2 2 2 2 2 7" xfId="42539"/>
    <cellStyle name="Comma 18 2 2 2 2 2 7 2" xfId="42540"/>
    <cellStyle name="Comma 18 2 2 2 2 2 8" xfId="42541"/>
    <cellStyle name="Comma 18 2 2 2 2 2 9" xfId="42542"/>
    <cellStyle name="Comma 18 2 2 2 2 3" xfId="42543"/>
    <cellStyle name="Comma 18 2 2 2 2 3 2" xfId="42544"/>
    <cellStyle name="Comma 18 2 2 2 2 3 2 2" xfId="42545"/>
    <cellStyle name="Comma 18 2 2 2 2 3 2 3" xfId="42546"/>
    <cellStyle name="Comma 18 2 2 2 2 3 3" xfId="42547"/>
    <cellStyle name="Comma 18 2 2 2 2 3 3 2" xfId="42548"/>
    <cellStyle name="Comma 18 2 2 2 2 3 3 3" xfId="42549"/>
    <cellStyle name="Comma 18 2 2 2 2 3 4" xfId="42550"/>
    <cellStyle name="Comma 18 2 2 2 2 3 4 2" xfId="42551"/>
    <cellStyle name="Comma 18 2 2 2 2 3 5" xfId="42552"/>
    <cellStyle name="Comma 18 2 2 2 2 3 6" xfId="42553"/>
    <cellStyle name="Comma 18 2 2 2 2 4" xfId="42554"/>
    <cellStyle name="Comma 18 2 2 2 2 4 2" xfId="42555"/>
    <cellStyle name="Comma 18 2 2 2 2 4 2 2" xfId="42556"/>
    <cellStyle name="Comma 18 2 2 2 2 4 2 3" xfId="42557"/>
    <cellStyle name="Comma 18 2 2 2 2 4 3" xfId="42558"/>
    <cellStyle name="Comma 18 2 2 2 2 4 3 2" xfId="42559"/>
    <cellStyle name="Comma 18 2 2 2 2 4 3 3" xfId="42560"/>
    <cellStyle name="Comma 18 2 2 2 2 4 4" xfId="42561"/>
    <cellStyle name="Comma 18 2 2 2 2 4 4 2" xfId="42562"/>
    <cellStyle name="Comma 18 2 2 2 2 4 5" xfId="42563"/>
    <cellStyle name="Comma 18 2 2 2 2 4 6" xfId="42564"/>
    <cellStyle name="Comma 18 2 2 2 2 5" xfId="42565"/>
    <cellStyle name="Comma 18 2 2 2 2 5 2" xfId="42566"/>
    <cellStyle name="Comma 18 2 2 2 2 5 2 2" xfId="42567"/>
    <cellStyle name="Comma 18 2 2 2 2 5 2 3" xfId="42568"/>
    <cellStyle name="Comma 18 2 2 2 2 5 3" xfId="42569"/>
    <cellStyle name="Comma 18 2 2 2 2 5 3 2" xfId="42570"/>
    <cellStyle name="Comma 18 2 2 2 2 5 4" xfId="42571"/>
    <cellStyle name="Comma 18 2 2 2 2 5 5" xfId="42572"/>
    <cellStyle name="Comma 18 2 2 2 2 6" xfId="42573"/>
    <cellStyle name="Comma 18 2 2 2 2 6 2" xfId="42574"/>
    <cellStyle name="Comma 18 2 2 2 2 6 3" xfId="42575"/>
    <cellStyle name="Comma 18 2 2 2 2 7" xfId="42576"/>
    <cellStyle name="Comma 18 2 2 2 2 7 2" xfId="42577"/>
    <cellStyle name="Comma 18 2 2 2 2 7 3" xfId="42578"/>
    <cellStyle name="Comma 18 2 2 2 2 8" xfId="42579"/>
    <cellStyle name="Comma 18 2 2 2 2 8 2" xfId="42580"/>
    <cellStyle name="Comma 18 2 2 2 2 9" xfId="42581"/>
    <cellStyle name="Comma 18 2 2 2 3" xfId="42582"/>
    <cellStyle name="Comma 18 2 2 2 3 2" xfId="42583"/>
    <cellStyle name="Comma 18 2 2 2 3 2 2" xfId="42584"/>
    <cellStyle name="Comma 18 2 2 2 3 2 2 2" xfId="42585"/>
    <cellStyle name="Comma 18 2 2 2 3 2 2 3" xfId="42586"/>
    <cellStyle name="Comma 18 2 2 2 3 2 3" xfId="42587"/>
    <cellStyle name="Comma 18 2 2 2 3 2 3 2" xfId="42588"/>
    <cellStyle name="Comma 18 2 2 2 3 2 3 3" xfId="42589"/>
    <cellStyle name="Comma 18 2 2 2 3 2 4" xfId="42590"/>
    <cellStyle name="Comma 18 2 2 2 3 2 4 2" xfId="42591"/>
    <cellStyle name="Comma 18 2 2 2 3 2 5" xfId="42592"/>
    <cellStyle name="Comma 18 2 2 2 3 2 6" xfId="42593"/>
    <cellStyle name="Comma 18 2 2 2 3 3" xfId="42594"/>
    <cellStyle name="Comma 18 2 2 2 3 3 2" xfId="42595"/>
    <cellStyle name="Comma 18 2 2 2 3 3 2 2" xfId="42596"/>
    <cellStyle name="Comma 18 2 2 2 3 3 2 3" xfId="42597"/>
    <cellStyle name="Comma 18 2 2 2 3 3 3" xfId="42598"/>
    <cellStyle name="Comma 18 2 2 2 3 3 3 2" xfId="42599"/>
    <cellStyle name="Comma 18 2 2 2 3 3 3 3" xfId="42600"/>
    <cellStyle name="Comma 18 2 2 2 3 3 4" xfId="42601"/>
    <cellStyle name="Comma 18 2 2 2 3 3 4 2" xfId="42602"/>
    <cellStyle name="Comma 18 2 2 2 3 3 5" xfId="42603"/>
    <cellStyle name="Comma 18 2 2 2 3 3 6" xfId="42604"/>
    <cellStyle name="Comma 18 2 2 2 3 4" xfId="42605"/>
    <cellStyle name="Comma 18 2 2 2 3 4 2" xfId="42606"/>
    <cellStyle name="Comma 18 2 2 2 3 4 2 2" xfId="42607"/>
    <cellStyle name="Comma 18 2 2 2 3 4 2 3" xfId="42608"/>
    <cellStyle name="Comma 18 2 2 2 3 4 3" xfId="42609"/>
    <cellStyle name="Comma 18 2 2 2 3 4 3 2" xfId="42610"/>
    <cellStyle name="Comma 18 2 2 2 3 4 4" xfId="42611"/>
    <cellStyle name="Comma 18 2 2 2 3 4 5" xfId="42612"/>
    <cellStyle name="Comma 18 2 2 2 3 5" xfId="42613"/>
    <cellStyle name="Comma 18 2 2 2 3 5 2" xfId="42614"/>
    <cellStyle name="Comma 18 2 2 2 3 5 3" xfId="42615"/>
    <cellStyle name="Comma 18 2 2 2 3 6" xfId="42616"/>
    <cellStyle name="Comma 18 2 2 2 3 6 2" xfId="42617"/>
    <cellStyle name="Comma 18 2 2 2 3 6 3" xfId="42618"/>
    <cellStyle name="Comma 18 2 2 2 3 7" xfId="42619"/>
    <cellStyle name="Comma 18 2 2 2 3 7 2" xfId="42620"/>
    <cellStyle name="Comma 18 2 2 2 3 8" xfId="42621"/>
    <cellStyle name="Comma 18 2 2 2 3 9" xfId="42622"/>
    <cellStyle name="Comma 18 2 2 2 4" xfId="42623"/>
    <cellStyle name="Comma 18 2 2 2 4 2" xfId="42624"/>
    <cellStyle name="Comma 18 2 2 2 4 2 2" xfId="42625"/>
    <cellStyle name="Comma 18 2 2 2 4 2 2 2" xfId="42626"/>
    <cellStyle name="Comma 18 2 2 2 4 2 2 3" xfId="42627"/>
    <cellStyle name="Comma 18 2 2 2 4 2 3" xfId="42628"/>
    <cellStyle name="Comma 18 2 2 2 4 2 3 2" xfId="42629"/>
    <cellStyle name="Comma 18 2 2 2 4 2 3 3" xfId="42630"/>
    <cellStyle name="Comma 18 2 2 2 4 2 4" xfId="42631"/>
    <cellStyle name="Comma 18 2 2 2 4 2 4 2" xfId="42632"/>
    <cellStyle name="Comma 18 2 2 2 4 2 5" xfId="42633"/>
    <cellStyle name="Comma 18 2 2 2 4 2 6" xfId="42634"/>
    <cellStyle name="Comma 18 2 2 2 4 3" xfId="42635"/>
    <cellStyle name="Comma 18 2 2 2 4 3 2" xfId="42636"/>
    <cellStyle name="Comma 18 2 2 2 4 3 2 2" xfId="42637"/>
    <cellStyle name="Comma 18 2 2 2 4 3 2 3" xfId="42638"/>
    <cellStyle name="Comma 18 2 2 2 4 3 3" xfId="42639"/>
    <cellStyle name="Comma 18 2 2 2 4 3 3 2" xfId="42640"/>
    <cellStyle name="Comma 18 2 2 2 4 3 3 3" xfId="42641"/>
    <cellStyle name="Comma 18 2 2 2 4 3 4" xfId="42642"/>
    <cellStyle name="Comma 18 2 2 2 4 3 4 2" xfId="42643"/>
    <cellStyle name="Comma 18 2 2 2 4 3 5" xfId="42644"/>
    <cellStyle name="Comma 18 2 2 2 4 3 6" xfId="42645"/>
    <cellStyle name="Comma 18 2 2 2 4 4" xfId="42646"/>
    <cellStyle name="Comma 18 2 2 2 4 4 2" xfId="42647"/>
    <cellStyle name="Comma 18 2 2 2 4 4 2 2" xfId="42648"/>
    <cellStyle name="Comma 18 2 2 2 4 4 2 3" xfId="42649"/>
    <cellStyle name="Comma 18 2 2 2 4 4 3" xfId="42650"/>
    <cellStyle name="Comma 18 2 2 2 4 4 3 2" xfId="42651"/>
    <cellStyle name="Comma 18 2 2 2 4 4 4" xfId="42652"/>
    <cellStyle name="Comma 18 2 2 2 4 4 5" xfId="42653"/>
    <cellStyle name="Comma 18 2 2 2 4 5" xfId="42654"/>
    <cellStyle name="Comma 18 2 2 2 4 5 2" xfId="42655"/>
    <cellStyle name="Comma 18 2 2 2 4 5 3" xfId="42656"/>
    <cellStyle name="Comma 18 2 2 2 4 6" xfId="42657"/>
    <cellStyle name="Comma 18 2 2 2 4 6 2" xfId="42658"/>
    <cellStyle name="Comma 18 2 2 2 4 6 3" xfId="42659"/>
    <cellStyle name="Comma 18 2 2 2 4 7" xfId="42660"/>
    <cellStyle name="Comma 18 2 2 2 4 7 2" xfId="42661"/>
    <cellStyle name="Comma 18 2 2 2 4 8" xfId="42662"/>
    <cellStyle name="Comma 18 2 2 2 4 9" xfId="42663"/>
    <cellStyle name="Comma 18 2 2 2 5" xfId="42664"/>
    <cellStyle name="Comma 18 2 2 2 5 2" xfId="42665"/>
    <cellStyle name="Comma 18 2 2 2 5 2 2" xfId="42666"/>
    <cellStyle name="Comma 18 2 2 2 5 2 3" xfId="42667"/>
    <cellStyle name="Comma 18 2 2 2 5 3" xfId="42668"/>
    <cellStyle name="Comma 18 2 2 2 5 3 2" xfId="42669"/>
    <cellStyle name="Comma 18 2 2 2 5 3 3" xfId="42670"/>
    <cellStyle name="Comma 18 2 2 2 5 4" xfId="42671"/>
    <cellStyle name="Comma 18 2 2 2 5 4 2" xfId="42672"/>
    <cellStyle name="Comma 18 2 2 2 5 5" xfId="42673"/>
    <cellStyle name="Comma 18 2 2 2 5 6" xfId="42674"/>
    <cellStyle name="Comma 18 2 2 2 6" xfId="42675"/>
    <cellStyle name="Comma 18 2 2 2 6 2" xfId="42676"/>
    <cellStyle name="Comma 18 2 2 2 6 2 2" xfId="42677"/>
    <cellStyle name="Comma 18 2 2 2 6 2 3" xfId="42678"/>
    <cellStyle name="Comma 18 2 2 2 6 3" xfId="42679"/>
    <cellStyle name="Comma 18 2 2 2 6 3 2" xfId="42680"/>
    <cellStyle name="Comma 18 2 2 2 6 3 3" xfId="42681"/>
    <cellStyle name="Comma 18 2 2 2 6 4" xfId="42682"/>
    <cellStyle name="Comma 18 2 2 2 6 4 2" xfId="42683"/>
    <cellStyle name="Comma 18 2 2 2 6 5" xfId="42684"/>
    <cellStyle name="Comma 18 2 2 2 6 6" xfId="42685"/>
    <cellStyle name="Comma 18 2 2 2 7" xfId="42686"/>
    <cellStyle name="Comma 18 2 2 2 7 2" xfId="42687"/>
    <cellStyle name="Comma 18 2 2 2 7 2 2" xfId="42688"/>
    <cellStyle name="Comma 18 2 2 2 7 2 3" xfId="42689"/>
    <cellStyle name="Comma 18 2 2 2 7 3" xfId="42690"/>
    <cellStyle name="Comma 18 2 2 2 7 3 2" xfId="42691"/>
    <cellStyle name="Comma 18 2 2 2 7 4" xfId="42692"/>
    <cellStyle name="Comma 18 2 2 2 7 5" xfId="42693"/>
    <cellStyle name="Comma 18 2 2 2 8" xfId="42694"/>
    <cellStyle name="Comma 18 2 2 2 8 2" xfId="42695"/>
    <cellStyle name="Comma 18 2 2 2 8 3" xfId="42696"/>
    <cellStyle name="Comma 18 2 2 2 9" xfId="42697"/>
    <cellStyle name="Comma 18 2 2 2 9 2" xfId="42698"/>
    <cellStyle name="Comma 18 2 2 2 9 3" xfId="42699"/>
    <cellStyle name="Comma 18 2 2 3" xfId="42700"/>
    <cellStyle name="Comma 18 2 2 3 10" xfId="42701"/>
    <cellStyle name="Comma 18 2 2 3 2" xfId="42702"/>
    <cellStyle name="Comma 18 2 2 3 2 2" xfId="42703"/>
    <cellStyle name="Comma 18 2 2 3 2 2 2" xfId="42704"/>
    <cellStyle name="Comma 18 2 2 3 2 2 2 2" xfId="42705"/>
    <cellStyle name="Comma 18 2 2 3 2 2 2 3" xfId="42706"/>
    <cellStyle name="Comma 18 2 2 3 2 2 3" xfId="42707"/>
    <cellStyle name="Comma 18 2 2 3 2 2 3 2" xfId="42708"/>
    <cellStyle name="Comma 18 2 2 3 2 2 3 3" xfId="42709"/>
    <cellStyle name="Comma 18 2 2 3 2 2 4" xfId="42710"/>
    <cellStyle name="Comma 18 2 2 3 2 2 4 2" xfId="42711"/>
    <cellStyle name="Comma 18 2 2 3 2 2 5" xfId="42712"/>
    <cellStyle name="Comma 18 2 2 3 2 2 6" xfId="42713"/>
    <cellStyle name="Comma 18 2 2 3 2 3" xfId="42714"/>
    <cellStyle name="Comma 18 2 2 3 2 3 2" xfId="42715"/>
    <cellStyle name="Comma 18 2 2 3 2 3 2 2" xfId="42716"/>
    <cellStyle name="Comma 18 2 2 3 2 3 2 3" xfId="42717"/>
    <cellStyle name="Comma 18 2 2 3 2 3 3" xfId="42718"/>
    <cellStyle name="Comma 18 2 2 3 2 3 3 2" xfId="42719"/>
    <cellStyle name="Comma 18 2 2 3 2 3 3 3" xfId="42720"/>
    <cellStyle name="Comma 18 2 2 3 2 3 4" xfId="42721"/>
    <cellStyle name="Comma 18 2 2 3 2 3 4 2" xfId="42722"/>
    <cellStyle name="Comma 18 2 2 3 2 3 5" xfId="42723"/>
    <cellStyle name="Comma 18 2 2 3 2 3 6" xfId="42724"/>
    <cellStyle name="Comma 18 2 2 3 2 4" xfId="42725"/>
    <cellStyle name="Comma 18 2 2 3 2 4 2" xfId="42726"/>
    <cellStyle name="Comma 18 2 2 3 2 4 2 2" xfId="42727"/>
    <cellStyle name="Comma 18 2 2 3 2 4 2 3" xfId="42728"/>
    <cellStyle name="Comma 18 2 2 3 2 4 3" xfId="42729"/>
    <cellStyle name="Comma 18 2 2 3 2 4 3 2" xfId="42730"/>
    <cellStyle name="Comma 18 2 2 3 2 4 4" xfId="42731"/>
    <cellStyle name="Comma 18 2 2 3 2 4 5" xfId="42732"/>
    <cellStyle name="Comma 18 2 2 3 2 5" xfId="42733"/>
    <cellStyle name="Comma 18 2 2 3 2 5 2" xfId="42734"/>
    <cellStyle name="Comma 18 2 2 3 2 5 3" xfId="42735"/>
    <cellStyle name="Comma 18 2 2 3 2 6" xfId="42736"/>
    <cellStyle name="Comma 18 2 2 3 2 6 2" xfId="42737"/>
    <cellStyle name="Comma 18 2 2 3 2 6 3" xfId="42738"/>
    <cellStyle name="Comma 18 2 2 3 2 7" xfId="42739"/>
    <cellStyle name="Comma 18 2 2 3 2 7 2" xfId="42740"/>
    <cellStyle name="Comma 18 2 2 3 2 8" xfId="42741"/>
    <cellStyle name="Comma 18 2 2 3 2 9" xfId="42742"/>
    <cellStyle name="Comma 18 2 2 3 3" xfId="42743"/>
    <cellStyle name="Comma 18 2 2 3 3 2" xfId="42744"/>
    <cellStyle name="Comma 18 2 2 3 3 2 2" xfId="42745"/>
    <cellStyle name="Comma 18 2 2 3 3 2 3" xfId="42746"/>
    <cellStyle name="Comma 18 2 2 3 3 3" xfId="42747"/>
    <cellStyle name="Comma 18 2 2 3 3 3 2" xfId="42748"/>
    <cellStyle name="Comma 18 2 2 3 3 3 3" xfId="42749"/>
    <cellStyle name="Comma 18 2 2 3 3 4" xfId="42750"/>
    <cellStyle name="Comma 18 2 2 3 3 4 2" xfId="42751"/>
    <cellStyle name="Comma 18 2 2 3 3 5" xfId="42752"/>
    <cellStyle name="Comma 18 2 2 3 3 6" xfId="42753"/>
    <cellStyle name="Comma 18 2 2 3 4" xfId="42754"/>
    <cellStyle name="Comma 18 2 2 3 4 2" xfId="42755"/>
    <cellStyle name="Comma 18 2 2 3 4 2 2" xfId="42756"/>
    <cellStyle name="Comma 18 2 2 3 4 2 3" xfId="42757"/>
    <cellStyle name="Comma 18 2 2 3 4 3" xfId="42758"/>
    <cellStyle name="Comma 18 2 2 3 4 3 2" xfId="42759"/>
    <cellStyle name="Comma 18 2 2 3 4 3 3" xfId="42760"/>
    <cellStyle name="Comma 18 2 2 3 4 4" xfId="42761"/>
    <cellStyle name="Comma 18 2 2 3 4 4 2" xfId="42762"/>
    <cellStyle name="Comma 18 2 2 3 4 5" xfId="42763"/>
    <cellStyle name="Comma 18 2 2 3 4 6" xfId="42764"/>
    <cellStyle name="Comma 18 2 2 3 5" xfId="42765"/>
    <cellStyle name="Comma 18 2 2 3 5 2" xfId="42766"/>
    <cellStyle name="Comma 18 2 2 3 5 2 2" xfId="42767"/>
    <cellStyle name="Comma 18 2 2 3 5 2 3" xfId="42768"/>
    <cellStyle name="Comma 18 2 2 3 5 3" xfId="42769"/>
    <cellStyle name="Comma 18 2 2 3 5 3 2" xfId="42770"/>
    <cellStyle name="Comma 18 2 2 3 5 4" xfId="42771"/>
    <cellStyle name="Comma 18 2 2 3 5 5" xfId="42772"/>
    <cellStyle name="Comma 18 2 2 3 6" xfId="42773"/>
    <cellStyle name="Comma 18 2 2 3 6 2" xfId="42774"/>
    <cellStyle name="Comma 18 2 2 3 6 3" xfId="42775"/>
    <cellStyle name="Comma 18 2 2 3 7" xfId="42776"/>
    <cellStyle name="Comma 18 2 2 3 7 2" xfId="42777"/>
    <cellStyle name="Comma 18 2 2 3 7 3" xfId="42778"/>
    <cellStyle name="Comma 18 2 2 3 8" xfId="42779"/>
    <cellStyle name="Comma 18 2 2 3 8 2" xfId="42780"/>
    <cellStyle name="Comma 18 2 2 3 9" xfId="42781"/>
    <cellStyle name="Comma 18 2 2 4" xfId="42782"/>
    <cellStyle name="Comma 18 2 2 4 2" xfId="42783"/>
    <cellStyle name="Comma 18 2 2 4 2 2" xfId="42784"/>
    <cellStyle name="Comma 18 2 2 4 2 2 2" xfId="42785"/>
    <cellStyle name="Comma 18 2 2 4 2 2 3" xfId="42786"/>
    <cellStyle name="Comma 18 2 2 4 2 3" xfId="42787"/>
    <cellStyle name="Comma 18 2 2 4 2 3 2" xfId="42788"/>
    <cellStyle name="Comma 18 2 2 4 2 3 3" xfId="42789"/>
    <cellStyle name="Comma 18 2 2 4 2 4" xfId="42790"/>
    <cellStyle name="Comma 18 2 2 4 2 4 2" xfId="42791"/>
    <cellStyle name="Comma 18 2 2 4 2 5" xfId="42792"/>
    <cellStyle name="Comma 18 2 2 4 2 6" xfId="42793"/>
    <cellStyle name="Comma 18 2 2 4 3" xfId="42794"/>
    <cellStyle name="Comma 18 2 2 4 3 2" xfId="42795"/>
    <cellStyle name="Comma 18 2 2 4 3 2 2" xfId="42796"/>
    <cellStyle name="Comma 18 2 2 4 3 2 3" xfId="42797"/>
    <cellStyle name="Comma 18 2 2 4 3 3" xfId="42798"/>
    <cellStyle name="Comma 18 2 2 4 3 3 2" xfId="42799"/>
    <cellStyle name="Comma 18 2 2 4 3 3 3" xfId="42800"/>
    <cellStyle name="Comma 18 2 2 4 3 4" xfId="42801"/>
    <cellStyle name="Comma 18 2 2 4 3 4 2" xfId="42802"/>
    <cellStyle name="Comma 18 2 2 4 3 5" xfId="42803"/>
    <cellStyle name="Comma 18 2 2 4 3 6" xfId="42804"/>
    <cellStyle name="Comma 18 2 2 4 4" xfId="42805"/>
    <cellStyle name="Comma 18 2 2 4 4 2" xfId="42806"/>
    <cellStyle name="Comma 18 2 2 4 4 2 2" xfId="42807"/>
    <cellStyle name="Comma 18 2 2 4 4 2 3" xfId="42808"/>
    <cellStyle name="Comma 18 2 2 4 4 3" xfId="42809"/>
    <cellStyle name="Comma 18 2 2 4 4 3 2" xfId="42810"/>
    <cellStyle name="Comma 18 2 2 4 4 4" xfId="42811"/>
    <cellStyle name="Comma 18 2 2 4 4 5" xfId="42812"/>
    <cellStyle name="Comma 18 2 2 4 5" xfId="42813"/>
    <cellStyle name="Comma 18 2 2 4 5 2" xfId="42814"/>
    <cellStyle name="Comma 18 2 2 4 5 3" xfId="42815"/>
    <cellStyle name="Comma 18 2 2 4 6" xfId="42816"/>
    <cellStyle name="Comma 18 2 2 4 6 2" xfId="42817"/>
    <cellStyle name="Comma 18 2 2 4 6 3" xfId="42818"/>
    <cellStyle name="Comma 18 2 2 4 7" xfId="42819"/>
    <cellStyle name="Comma 18 2 2 4 7 2" xfId="42820"/>
    <cellStyle name="Comma 18 2 2 4 8" xfId="42821"/>
    <cellStyle name="Comma 18 2 2 4 9" xfId="42822"/>
    <cellStyle name="Comma 18 2 2 5" xfId="42823"/>
    <cellStyle name="Comma 18 2 2 5 2" xfId="42824"/>
    <cellStyle name="Comma 18 2 2 5 2 2" xfId="42825"/>
    <cellStyle name="Comma 18 2 2 5 2 2 2" xfId="42826"/>
    <cellStyle name="Comma 18 2 2 5 2 2 3" xfId="42827"/>
    <cellStyle name="Comma 18 2 2 5 2 3" xfId="42828"/>
    <cellStyle name="Comma 18 2 2 5 2 3 2" xfId="42829"/>
    <cellStyle name="Comma 18 2 2 5 2 3 3" xfId="42830"/>
    <cellStyle name="Comma 18 2 2 5 2 4" xfId="42831"/>
    <cellStyle name="Comma 18 2 2 5 2 4 2" xfId="42832"/>
    <cellStyle name="Comma 18 2 2 5 2 5" xfId="42833"/>
    <cellStyle name="Comma 18 2 2 5 2 6" xfId="42834"/>
    <cellStyle name="Comma 18 2 2 5 3" xfId="42835"/>
    <cellStyle name="Comma 18 2 2 5 3 2" xfId="42836"/>
    <cellStyle name="Comma 18 2 2 5 3 2 2" xfId="42837"/>
    <cellStyle name="Comma 18 2 2 5 3 2 3" xfId="42838"/>
    <cellStyle name="Comma 18 2 2 5 3 3" xfId="42839"/>
    <cellStyle name="Comma 18 2 2 5 3 3 2" xfId="42840"/>
    <cellStyle name="Comma 18 2 2 5 3 3 3" xfId="42841"/>
    <cellStyle name="Comma 18 2 2 5 3 4" xfId="42842"/>
    <cellStyle name="Comma 18 2 2 5 3 4 2" xfId="42843"/>
    <cellStyle name="Comma 18 2 2 5 3 5" xfId="42844"/>
    <cellStyle name="Comma 18 2 2 5 3 6" xfId="42845"/>
    <cellStyle name="Comma 18 2 2 5 4" xfId="42846"/>
    <cellStyle name="Comma 18 2 2 5 4 2" xfId="42847"/>
    <cellStyle name="Comma 18 2 2 5 4 2 2" xfId="42848"/>
    <cellStyle name="Comma 18 2 2 5 4 2 3" xfId="42849"/>
    <cellStyle name="Comma 18 2 2 5 4 3" xfId="42850"/>
    <cellStyle name="Comma 18 2 2 5 4 3 2" xfId="42851"/>
    <cellStyle name="Comma 18 2 2 5 4 4" xfId="42852"/>
    <cellStyle name="Comma 18 2 2 5 4 5" xfId="42853"/>
    <cellStyle name="Comma 18 2 2 5 5" xfId="42854"/>
    <cellStyle name="Comma 18 2 2 5 5 2" xfId="42855"/>
    <cellStyle name="Comma 18 2 2 5 5 3" xfId="42856"/>
    <cellStyle name="Comma 18 2 2 5 6" xfId="42857"/>
    <cellStyle name="Comma 18 2 2 5 6 2" xfId="42858"/>
    <cellStyle name="Comma 18 2 2 5 6 3" xfId="42859"/>
    <cellStyle name="Comma 18 2 2 5 7" xfId="42860"/>
    <cellStyle name="Comma 18 2 2 5 7 2" xfId="42861"/>
    <cellStyle name="Comma 18 2 2 5 8" xfId="42862"/>
    <cellStyle name="Comma 18 2 2 5 9" xfId="42863"/>
    <cellStyle name="Comma 18 2 2 6" xfId="42864"/>
    <cellStyle name="Comma 18 2 2 6 2" xfId="42865"/>
    <cellStyle name="Comma 18 2 2 6 2 2" xfId="42866"/>
    <cellStyle name="Comma 18 2 2 6 2 3" xfId="42867"/>
    <cellStyle name="Comma 18 2 2 6 3" xfId="42868"/>
    <cellStyle name="Comma 18 2 2 6 3 2" xfId="42869"/>
    <cellStyle name="Comma 18 2 2 6 3 3" xfId="42870"/>
    <cellStyle name="Comma 18 2 2 6 4" xfId="42871"/>
    <cellStyle name="Comma 18 2 2 6 4 2" xfId="42872"/>
    <cellStyle name="Comma 18 2 2 6 5" xfId="42873"/>
    <cellStyle name="Comma 18 2 2 6 6" xfId="42874"/>
    <cellStyle name="Comma 18 2 2 7" xfId="42875"/>
    <cellStyle name="Comma 18 2 2 7 2" xfId="42876"/>
    <cellStyle name="Comma 18 2 2 7 2 2" xfId="42877"/>
    <cellStyle name="Comma 18 2 2 7 2 3" xfId="42878"/>
    <cellStyle name="Comma 18 2 2 7 3" xfId="42879"/>
    <cellStyle name="Comma 18 2 2 7 3 2" xfId="42880"/>
    <cellStyle name="Comma 18 2 2 7 3 3" xfId="42881"/>
    <cellStyle name="Comma 18 2 2 7 4" xfId="42882"/>
    <cellStyle name="Comma 18 2 2 7 4 2" xfId="42883"/>
    <cellStyle name="Comma 18 2 2 7 5" xfId="42884"/>
    <cellStyle name="Comma 18 2 2 7 6" xfId="42885"/>
    <cellStyle name="Comma 18 2 2 8" xfId="42886"/>
    <cellStyle name="Comma 18 2 2 8 2" xfId="42887"/>
    <cellStyle name="Comma 18 2 2 8 2 2" xfId="42888"/>
    <cellStyle name="Comma 18 2 2 8 2 3" xfId="42889"/>
    <cellStyle name="Comma 18 2 2 8 3" xfId="42890"/>
    <cellStyle name="Comma 18 2 2 8 3 2" xfId="42891"/>
    <cellStyle name="Comma 18 2 2 8 4" xfId="42892"/>
    <cellStyle name="Comma 18 2 2 8 5" xfId="42893"/>
    <cellStyle name="Comma 18 2 2 9" xfId="42894"/>
    <cellStyle name="Comma 18 2 2 9 2" xfId="42895"/>
    <cellStyle name="Comma 18 2 2 9 3" xfId="42896"/>
    <cellStyle name="Comma 18 2 3" xfId="42897"/>
    <cellStyle name="Comma 18 2 3 10" xfId="42898"/>
    <cellStyle name="Comma 18 2 3 10 2" xfId="42899"/>
    <cellStyle name="Comma 18 2 3 11" xfId="42900"/>
    <cellStyle name="Comma 18 2 3 12" xfId="42901"/>
    <cellStyle name="Comma 18 2 3 2" xfId="42902"/>
    <cellStyle name="Comma 18 2 3 2 10" xfId="42903"/>
    <cellStyle name="Comma 18 2 3 2 2" xfId="42904"/>
    <cellStyle name="Comma 18 2 3 2 2 2" xfId="42905"/>
    <cellStyle name="Comma 18 2 3 2 2 2 2" xfId="42906"/>
    <cellStyle name="Comma 18 2 3 2 2 2 2 2" xfId="42907"/>
    <cellStyle name="Comma 18 2 3 2 2 2 2 3" xfId="42908"/>
    <cellStyle name="Comma 18 2 3 2 2 2 3" xfId="42909"/>
    <cellStyle name="Comma 18 2 3 2 2 2 3 2" xfId="42910"/>
    <cellStyle name="Comma 18 2 3 2 2 2 3 3" xfId="42911"/>
    <cellStyle name="Comma 18 2 3 2 2 2 4" xfId="42912"/>
    <cellStyle name="Comma 18 2 3 2 2 2 4 2" xfId="42913"/>
    <cellStyle name="Comma 18 2 3 2 2 2 5" xfId="42914"/>
    <cellStyle name="Comma 18 2 3 2 2 2 6" xfId="42915"/>
    <cellStyle name="Comma 18 2 3 2 2 3" xfId="42916"/>
    <cellStyle name="Comma 18 2 3 2 2 3 2" xfId="42917"/>
    <cellStyle name="Comma 18 2 3 2 2 3 2 2" xfId="42918"/>
    <cellStyle name="Comma 18 2 3 2 2 3 2 3" xfId="42919"/>
    <cellStyle name="Comma 18 2 3 2 2 3 3" xfId="42920"/>
    <cellStyle name="Comma 18 2 3 2 2 3 3 2" xfId="42921"/>
    <cellStyle name="Comma 18 2 3 2 2 3 3 3" xfId="42922"/>
    <cellStyle name="Comma 18 2 3 2 2 3 4" xfId="42923"/>
    <cellStyle name="Comma 18 2 3 2 2 3 4 2" xfId="42924"/>
    <cellStyle name="Comma 18 2 3 2 2 3 5" xfId="42925"/>
    <cellStyle name="Comma 18 2 3 2 2 3 6" xfId="42926"/>
    <cellStyle name="Comma 18 2 3 2 2 4" xfId="42927"/>
    <cellStyle name="Comma 18 2 3 2 2 4 2" xfId="42928"/>
    <cellStyle name="Comma 18 2 3 2 2 4 2 2" xfId="42929"/>
    <cellStyle name="Comma 18 2 3 2 2 4 2 3" xfId="42930"/>
    <cellStyle name="Comma 18 2 3 2 2 4 3" xfId="42931"/>
    <cellStyle name="Comma 18 2 3 2 2 4 3 2" xfId="42932"/>
    <cellStyle name="Comma 18 2 3 2 2 4 4" xfId="42933"/>
    <cellStyle name="Comma 18 2 3 2 2 4 5" xfId="42934"/>
    <cellStyle name="Comma 18 2 3 2 2 5" xfId="42935"/>
    <cellStyle name="Comma 18 2 3 2 2 5 2" xfId="42936"/>
    <cellStyle name="Comma 18 2 3 2 2 5 3" xfId="42937"/>
    <cellStyle name="Comma 18 2 3 2 2 6" xfId="42938"/>
    <cellStyle name="Comma 18 2 3 2 2 6 2" xfId="42939"/>
    <cellStyle name="Comma 18 2 3 2 2 6 3" xfId="42940"/>
    <cellStyle name="Comma 18 2 3 2 2 7" xfId="42941"/>
    <cellStyle name="Comma 18 2 3 2 2 7 2" xfId="42942"/>
    <cellStyle name="Comma 18 2 3 2 2 8" xfId="42943"/>
    <cellStyle name="Comma 18 2 3 2 2 9" xfId="42944"/>
    <cellStyle name="Comma 18 2 3 2 3" xfId="42945"/>
    <cellStyle name="Comma 18 2 3 2 3 2" xfId="42946"/>
    <cellStyle name="Comma 18 2 3 2 3 2 2" xfId="42947"/>
    <cellStyle name="Comma 18 2 3 2 3 2 3" xfId="42948"/>
    <cellStyle name="Comma 18 2 3 2 3 3" xfId="42949"/>
    <cellStyle name="Comma 18 2 3 2 3 3 2" xfId="42950"/>
    <cellStyle name="Comma 18 2 3 2 3 3 3" xfId="42951"/>
    <cellStyle name="Comma 18 2 3 2 3 4" xfId="42952"/>
    <cellStyle name="Comma 18 2 3 2 3 4 2" xfId="42953"/>
    <cellStyle name="Comma 18 2 3 2 3 5" xfId="42954"/>
    <cellStyle name="Comma 18 2 3 2 3 6" xfId="42955"/>
    <cellStyle name="Comma 18 2 3 2 4" xfId="42956"/>
    <cellStyle name="Comma 18 2 3 2 4 2" xfId="42957"/>
    <cellStyle name="Comma 18 2 3 2 4 2 2" xfId="42958"/>
    <cellStyle name="Comma 18 2 3 2 4 2 3" xfId="42959"/>
    <cellStyle name="Comma 18 2 3 2 4 3" xfId="42960"/>
    <cellStyle name="Comma 18 2 3 2 4 3 2" xfId="42961"/>
    <cellStyle name="Comma 18 2 3 2 4 3 3" xfId="42962"/>
    <cellStyle name="Comma 18 2 3 2 4 4" xfId="42963"/>
    <cellStyle name="Comma 18 2 3 2 4 4 2" xfId="42964"/>
    <cellStyle name="Comma 18 2 3 2 4 5" xfId="42965"/>
    <cellStyle name="Comma 18 2 3 2 4 6" xfId="42966"/>
    <cellStyle name="Comma 18 2 3 2 5" xfId="42967"/>
    <cellStyle name="Comma 18 2 3 2 5 2" xfId="42968"/>
    <cellStyle name="Comma 18 2 3 2 5 2 2" xfId="42969"/>
    <cellStyle name="Comma 18 2 3 2 5 2 3" xfId="42970"/>
    <cellStyle name="Comma 18 2 3 2 5 3" xfId="42971"/>
    <cellStyle name="Comma 18 2 3 2 5 3 2" xfId="42972"/>
    <cellStyle name="Comma 18 2 3 2 5 4" xfId="42973"/>
    <cellStyle name="Comma 18 2 3 2 5 5" xfId="42974"/>
    <cellStyle name="Comma 18 2 3 2 6" xfId="42975"/>
    <cellStyle name="Comma 18 2 3 2 6 2" xfId="42976"/>
    <cellStyle name="Comma 18 2 3 2 6 3" xfId="42977"/>
    <cellStyle name="Comma 18 2 3 2 7" xfId="42978"/>
    <cellStyle name="Comma 18 2 3 2 7 2" xfId="42979"/>
    <cellStyle name="Comma 18 2 3 2 7 3" xfId="42980"/>
    <cellStyle name="Comma 18 2 3 2 8" xfId="42981"/>
    <cellStyle name="Comma 18 2 3 2 8 2" xfId="42982"/>
    <cellStyle name="Comma 18 2 3 2 9" xfId="42983"/>
    <cellStyle name="Comma 18 2 3 3" xfId="42984"/>
    <cellStyle name="Comma 18 2 3 3 2" xfId="42985"/>
    <cellStyle name="Comma 18 2 3 3 2 2" xfId="42986"/>
    <cellStyle name="Comma 18 2 3 3 2 2 2" xfId="42987"/>
    <cellStyle name="Comma 18 2 3 3 2 2 3" xfId="42988"/>
    <cellStyle name="Comma 18 2 3 3 2 3" xfId="42989"/>
    <cellStyle name="Comma 18 2 3 3 2 3 2" xfId="42990"/>
    <cellStyle name="Comma 18 2 3 3 2 3 3" xfId="42991"/>
    <cellStyle name="Comma 18 2 3 3 2 4" xfId="42992"/>
    <cellStyle name="Comma 18 2 3 3 2 4 2" xfId="42993"/>
    <cellStyle name="Comma 18 2 3 3 2 5" xfId="42994"/>
    <cellStyle name="Comma 18 2 3 3 2 6" xfId="42995"/>
    <cellStyle name="Comma 18 2 3 3 3" xfId="42996"/>
    <cellStyle name="Comma 18 2 3 3 3 2" xfId="42997"/>
    <cellStyle name="Comma 18 2 3 3 3 2 2" xfId="42998"/>
    <cellStyle name="Comma 18 2 3 3 3 2 3" xfId="42999"/>
    <cellStyle name="Comma 18 2 3 3 3 3" xfId="43000"/>
    <cellStyle name="Comma 18 2 3 3 3 3 2" xfId="43001"/>
    <cellStyle name="Comma 18 2 3 3 3 3 3" xfId="43002"/>
    <cellStyle name="Comma 18 2 3 3 3 4" xfId="43003"/>
    <cellStyle name="Comma 18 2 3 3 3 4 2" xfId="43004"/>
    <cellStyle name="Comma 18 2 3 3 3 5" xfId="43005"/>
    <cellStyle name="Comma 18 2 3 3 3 6" xfId="43006"/>
    <cellStyle name="Comma 18 2 3 3 4" xfId="43007"/>
    <cellStyle name="Comma 18 2 3 3 4 2" xfId="43008"/>
    <cellStyle name="Comma 18 2 3 3 4 2 2" xfId="43009"/>
    <cellStyle name="Comma 18 2 3 3 4 2 3" xfId="43010"/>
    <cellStyle name="Comma 18 2 3 3 4 3" xfId="43011"/>
    <cellStyle name="Comma 18 2 3 3 4 3 2" xfId="43012"/>
    <cellStyle name="Comma 18 2 3 3 4 4" xfId="43013"/>
    <cellStyle name="Comma 18 2 3 3 4 5" xfId="43014"/>
    <cellStyle name="Comma 18 2 3 3 5" xfId="43015"/>
    <cellStyle name="Comma 18 2 3 3 5 2" xfId="43016"/>
    <cellStyle name="Comma 18 2 3 3 5 3" xfId="43017"/>
    <cellStyle name="Comma 18 2 3 3 6" xfId="43018"/>
    <cellStyle name="Comma 18 2 3 3 6 2" xfId="43019"/>
    <cellStyle name="Comma 18 2 3 3 6 3" xfId="43020"/>
    <cellStyle name="Comma 18 2 3 3 7" xfId="43021"/>
    <cellStyle name="Comma 18 2 3 3 7 2" xfId="43022"/>
    <cellStyle name="Comma 18 2 3 3 8" xfId="43023"/>
    <cellStyle name="Comma 18 2 3 3 9" xfId="43024"/>
    <cellStyle name="Comma 18 2 3 4" xfId="43025"/>
    <cellStyle name="Comma 18 2 3 4 2" xfId="43026"/>
    <cellStyle name="Comma 18 2 3 4 2 2" xfId="43027"/>
    <cellStyle name="Comma 18 2 3 4 2 2 2" xfId="43028"/>
    <cellStyle name="Comma 18 2 3 4 2 2 3" xfId="43029"/>
    <cellStyle name="Comma 18 2 3 4 2 3" xfId="43030"/>
    <cellStyle name="Comma 18 2 3 4 2 3 2" xfId="43031"/>
    <cellStyle name="Comma 18 2 3 4 2 3 3" xfId="43032"/>
    <cellStyle name="Comma 18 2 3 4 2 4" xfId="43033"/>
    <cellStyle name="Comma 18 2 3 4 2 4 2" xfId="43034"/>
    <cellStyle name="Comma 18 2 3 4 2 5" xfId="43035"/>
    <cellStyle name="Comma 18 2 3 4 2 6" xfId="43036"/>
    <cellStyle name="Comma 18 2 3 4 3" xfId="43037"/>
    <cellStyle name="Comma 18 2 3 4 3 2" xfId="43038"/>
    <cellStyle name="Comma 18 2 3 4 3 2 2" xfId="43039"/>
    <cellStyle name="Comma 18 2 3 4 3 2 3" xfId="43040"/>
    <cellStyle name="Comma 18 2 3 4 3 3" xfId="43041"/>
    <cellStyle name="Comma 18 2 3 4 3 3 2" xfId="43042"/>
    <cellStyle name="Comma 18 2 3 4 3 3 3" xfId="43043"/>
    <cellStyle name="Comma 18 2 3 4 3 4" xfId="43044"/>
    <cellStyle name="Comma 18 2 3 4 3 4 2" xfId="43045"/>
    <cellStyle name="Comma 18 2 3 4 3 5" xfId="43046"/>
    <cellStyle name="Comma 18 2 3 4 3 6" xfId="43047"/>
    <cellStyle name="Comma 18 2 3 4 4" xfId="43048"/>
    <cellStyle name="Comma 18 2 3 4 4 2" xfId="43049"/>
    <cellStyle name="Comma 18 2 3 4 4 2 2" xfId="43050"/>
    <cellStyle name="Comma 18 2 3 4 4 2 3" xfId="43051"/>
    <cellStyle name="Comma 18 2 3 4 4 3" xfId="43052"/>
    <cellStyle name="Comma 18 2 3 4 4 3 2" xfId="43053"/>
    <cellStyle name="Comma 18 2 3 4 4 4" xfId="43054"/>
    <cellStyle name="Comma 18 2 3 4 4 5" xfId="43055"/>
    <cellStyle name="Comma 18 2 3 4 5" xfId="43056"/>
    <cellStyle name="Comma 18 2 3 4 5 2" xfId="43057"/>
    <cellStyle name="Comma 18 2 3 4 5 3" xfId="43058"/>
    <cellStyle name="Comma 18 2 3 4 6" xfId="43059"/>
    <cellStyle name="Comma 18 2 3 4 6 2" xfId="43060"/>
    <cellStyle name="Comma 18 2 3 4 6 3" xfId="43061"/>
    <cellStyle name="Comma 18 2 3 4 7" xfId="43062"/>
    <cellStyle name="Comma 18 2 3 4 7 2" xfId="43063"/>
    <cellStyle name="Comma 18 2 3 4 8" xfId="43064"/>
    <cellStyle name="Comma 18 2 3 4 9" xfId="43065"/>
    <cellStyle name="Comma 18 2 3 5" xfId="43066"/>
    <cellStyle name="Comma 18 2 3 5 2" xfId="43067"/>
    <cellStyle name="Comma 18 2 3 5 2 2" xfId="43068"/>
    <cellStyle name="Comma 18 2 3 5 2 3" xfId="43069"/>
    <cellStyle name="Comma 18 2 3 5 3" xfId="43070"/>
    <cellStyle name="Comma 18 2 3 5 3 2" xfId="43071"/>
    <cellStyle name="Comma 18 2 3 5 3 3" xfId="43072"/>
    <cellStyle name="Comma 18 2 3 5 4" xfId="43073"/>
    <cellStyle name="Comma 18 2 3 5 4 2" xfId="43074"/>
    <cellStyle name="Comma 18 2 3 5 5" xfId="43075"/>
    <cellStyle name="Comma 18 2 3 5 6" xfId="43076"/>
    <cellStyle name="Comma 18 2 3 6" xfId="43077"/>
    <cellStyle name="Comma 18 2 3 6 2" xfId="43078"/>
    <cellStyle name="Comma 18 2 3 6 2 2" xfId="43079"/>
    <cellStyle name="Comma 18 2 3 6 2 3" xfId="43080"/>
    <cellStyle name="Comma 18 2 3 6 3" xfId="43081"/>
    <cellStyle name="Comma 18 2 3 6 3 2" xfId="43082"/>
    <cellStyle name="Comma 18 2 3 6 3 3" xfId="43083"/>
    <cellStyle name="Comma 18 2 3 6 4" xfId="43084"/>
    <cellStyle name="Comma 18 2 3 6 4 2" xfId="43085"/>
    <cellStyle name="Comma 18 2 3 6 5" xfId="43086"/>
    <cellStyle name="Comma 18 2 3 6 6" xfId="43087"/>
    <cellStyle name="Comma 18 2 3 7" xfId="43088"/>
    <cellStyle name="Comma 18 2 3 7 2" xfId="43089"/>
    <cellStyle name="Comma 18 2 3 7 2 2" xfId="43090"/>
    <cellStyle name="Comma 18 2 3 7 2 3" xfId="43091"/>
    <cellStyle name="Comma 18 2 3 7 3" xfId="43092"/>
    <cellStyle name="Comma 18 2 3 7 3 2" xfId="43093"/>
    <cellStyle name="Comma 18 2 3 7 4" xfId="43094"/>
    <cellStyle name="Comma 18 2 3 7 5" xfId="43095"/>
    <cellStyle name="Comma 18 2 3 8" xfId="43096"/>
    <cellStyle name="Comma 18 2 3 8 2" xfId="43097"/>
    <cellStyle name="Comma 18 2 3 8 3" xfId="43098"/>
    <cellStyle name="Comma 18 2 3 9" xfId="43099"/>
    <cellStyle name="Comma 18 2 3 9 2" xfId="43100"/>
    <cellStyle name="Comma 18 2 3 9 3" xfId="43101"/>
    <cellStyle name="Comma 18 2 4" xfId="43102"/>
    <cellStyle name="Comma 18 2 4 10" xfId="43103"/>
    <cellStyle name="Comma 18 2 4 2" xfId="43104"/>
    <cellStyle name="Comma 18 2 4 2 2" xfId="43105"/>
    <cellStyle name="Comma 18 2 4 2 2 2" xfId="43106"/>
    <cellStyle name="Comma 18 2 4 2 2 2 2" xfId="43107"/>
    <cellStyle name="Comma 18 2 4 2 2 2 3" xfId="43108"/>
    <cellStyle name="Comma 18 2 4 2 2 3" xfId="43109"/>
    <cellStyle name="Comma 18 2 4 2 2 3 2" xfId="43110"/>
    <cellStyle name="Comma 18 2 4 2 2 3 3" xfId="43111"/>
    <cellStyle name="Comma 18 2 4 2 2 4" xfId="43112"/>
    <cellStyle name="Comma 18 2 4 2 2 4 2" xfId="43113"/>
    <cellStyle name="Comma 18 2 4 2 2 5" xfId="43114"/>
    <cellStyle name="Comma 18 2 4 2 2 6" xfId="43115"/>
    <cellStyle name="Comma 18 2 4 2 3" xfId="43116"/>
    <cellStyle name="Comma 18 2 4 2 3 2" xfId="43117"/>
    <cellStyle name="Comma 18 2 4 2 3 2 2" xfId="43118"/>
    <cellStyle name="Comma 18 2 4 2 3 2 3" xfId="43119"/>
    <cellStyle name="Comma 18 2 4 2 3 3" xfId="43120"/>
    <cellStyle name="Comma 18 2 4 2 3 3 2" xfId="43121"/>
    <cellStyle name="Comma 18 2 4 2 3 3 3" xfId="43122"/>
    <cellStyle name="Comma 18 2 4 2 3 4" xfId="43123"/>
    <cellStyle name="Comma 18 2 4 2 3 4 2" xfId="43124"/>
    <cellStyle name="Comma 18 2 4 2 3 5" xfId="43125"/>
    <cellStyle name="Comma 18 2 4 2 3 6" xfId="43126"/>
    <cellStyle name="Comma 18 2 4 2 4" xfId="43127"/>
    <cellStyle name="Comma 18 2 4 2 4 2" xfId="43128"/>
    <cellStyle name="Comma 18 2 4 2 4 2 2" xfId="43129"/>
    <cellStyle name="Comma 18 2 4 2 4 2 3" xfId="43130"/>
    <cellStyle name="Comma 18 2 4 2 4 3" xfId="43131"/>
    <cellStyle name="Comma 18 2 4 2 4 3 2" xfId="43132"/>
    <cellStyle name="Comma 18 2 4 2 4 4" xfId="43133"/>
    <cellStyle name="Comma 18 2 4 2 4 5" xfId="43134"/>
    <cellStyle name="Comma 18 2 4 2 5" xfId="43135"/>
    <cellStyle name="Comma 18 2 4 2 5 2" xfId="43136"/>
    <cellStyle name="Comma 18 2 4 2 5 3" xfId="43137"/>
    <cellStyle name="Comma 18 2 4 2 6" xfId="43138"/>
    <cellStyle name="Comma 18 2 4 2 6 2" xfId="43139"/>
    <cellStyle name="Comma 18 2 4 2 6 3" xfId="43140"/>
    <cellStyle name="Comma 18 2 4 2 7" xfId="43141"/>
    <cellStyle name="Comma 18 2 4 2 7 2" xfId="43142"/>
    <cellStyle name="Comma 18 2 4 2 8" xfId="43143"/>
    <cellStyle name="Comma 18 2 4 2 9" xfId="43144"/>
    <cellStyle name="Comma 18 2 4 3" xfId="43145"/>
    <cellStyle name="Comma 18 2 4 3 2" xfId="43146"/>
    <cellStyle name="Comma 18 2 4 3 2 2" xfId="43147"/>
    <cellStyle name="Comma 18 2 4 3 2 3" xfId="43148"/>
    <cellStyle name="Comma 18 2 4 3 3" xfId="43149"/>
    <cellStyle name="Comma 18 2 4 3 3 2" xfId="43150"/>
    <cellStyle name="Comma 18 2 4 3 3 3" xfId="43151"/>
    <cellStyle name="Comma 18 2 4 3 4" xfId="43152"/>
    <cellStyle name="Comma 18 2 4 3 4 2" xfId="43153"/>
    <cellStyle name="Comma 18 2 4 3 5" xfId="43154"/>
    <cellStyle name="Comma 18 2 4 3 6" xfId="43155"/>
    <cellStyle name="Comma 18 2 4 4" xfId="43156"/>
    <cellStyle name="Comma 18 2 4 4 2" xfId="43157"/>
    <cellStyle name="Comma 18 2 4 4 2 2" xfId="43158"/>
    <cellStyle name="Comma 18 2 4 4 2 3" xfId="43159"/>
    <cellStyle name="Comma 18 2 4 4 3" xfId="43160"/>
    <cellStyle name="Comma 18 2 4 4 3 2" xfId="43161"/>
    <cellStyle name="Comma 18 2 4 4 3 3" xfId="43162"/>
    <cellStyle name="Comma 18 2 4 4 4" xfId="43163"/>
    <cellStyle name="Comma 18 2 4 4 4 2" xfId="43164"/>
    <cellStyle name="Comma 18 2 4 4 5" xfId="43165"/>
    <cellStyle name="Comma 18 2 4 4 6" xfId="43166"/>
    <cellStyle name="Comma 18 2 4 5" xfId="43167"/>
    <cellStyle name="Comma 18 2 4 5 2" xfId="43168"/>
    <cellStyle name="Comma 18 2 4 5 2 2" xfId="43169"/>
    <cellStyle name="Comma 18 2 4 5 2 3" xfId="43170"/>
    <cellStyle name="Comma 18 2 4 5 3" xfId="43171"/>
    <cellStyle name="Comma 18 2 4 5 3 2" xfId="43172"/>
    <cellStyle name="Comma 18 2 4 5 4" xfId="43173"/>
    <cellStyle name="Comma 18 2 4 5 5" xfId="43174"/>
    <cellStyle name="Comma 18 2 4 6" xfId="43175"/>
    <cellStyle name="Comma 18 2 4 6 2" xfId="43176"/>
    <cellStyle name="Comma 18 2 4 6 3" xfId="43177"/>
    <cellStyle name="Comma 18 2 4 7" xfId="43178"/>
    <cellStyle name="Comma 18 2 4 7 2" xfId="43179"/>
    <cellStyle name="Comma 18 2 4 7 3" xfId="43180"/>
    <cellStyle name="Comma 18 2 4 8" xfId="43181"/>
    <cellStyle name="Comma 18 2 4 8 2" xfId="43182"/>
    <cellStyle name="Comma 18 2 4 9" xfId="43183"/>
    <cellStyle name="Comma 18 2 5" xfId="43184"/>
    <cellStyle name="Comma 18 2 5 2" xfId="43185"/>
    <cellStyle name="Comma 18 2 5 2 2" xfId="43186"/>
    <cellStyle name="Comma 18 2 5 2 2 2" xfId="43187"/>
    <cellStyle name="Comma 18 2 5 2 2 3" xfId="43188"/>
    <cellStyle name="Comma 18 2 5 2 3" xfId="43189"/>
    <cellStyle name="Comma 18 2 5 2 3 2" xfId="43190"/>
    <cellStyle name="Comma 18 2 5 2 3 3" xfId="43191"/>
    <cellStyle name="Comma 18 2 5 2 4" xfId="43192"/>
    <cellStyle name="Comma 18 2 5 2 4 2" xfId="43193"/>
    <cellStyle name="Comma 18 2 5 2 5" xfId="43194"/>
    <cellStyle name="Comma 18 2 5 2 6" xfId="43195"/>
    <cellStyle name="Comma 18 2 5 3" xfId="43196"/>
    <cellStyle name="Comma 18 2 5 3 2" xfId="43197"/>
    <cellStyle name="Comma 18 2 5 3 2 2" xfId="43198"/>
    <cellStyle name="Comma 18 2 5 3 2 3" xfId="43199"/>
    <cellStyle name="Comma 18 2 5 3 3" xfId="43200"/>
    <cellStyle name="Comma 18 2 5 3 3 2" xfId="43201"/>
    <cellStyle name="Comma 18 2 5 3 3 3" xfId="43202"/>
    <cellStyle name="Comma 18 2 5 3 4" xfId="43203"/>
    <cellStyle name="Comma 18 2 5 3 4 2" xfId="43204"/>
    <cellStyle name="Comma 18 2 5 3 5" xfId="43205"/>
    <cellStyle name="Comma 18 2 5 3 6" xfId="43206"/>
    <cellStyle name="Comma 18 2 5 4" xfId="43207"/>
    <cellStyle name="Comma 18 2 5 4 2" xfId="43208"/>
    <cellStyle name="Comma 18 2 5 4 2 2" xfId="43209"/>
    <cellStyle name="Comma 18 2 5 4 2 3" xfId="43210"/>
    <cellStyle name="Comma 18 2 5 4 3" xfId="43211"/>
    <cellStyle name="Comma 18 2 5 4 3 2" xfId="43212"/>
    <cellStyle name="Comma 18 2 5 4 4" xfId="43213"/>
    <cellStyle name="Comma 18 2 5 4 5" xfId="43214"/>
    <cellStyle name="Comma 18 2 5 5" xfId="43215"/>
    <cellStyle name="Comma 18 2 5 5 2" xfId="43216"/>
    <cellStyle name="Comma 18 2 5 5 3" xfId="43217"/>
    <cellStyle name="Comma 18 2 5 6" xfId="43218"/>
    <cellStyle name="Comma 18 2 5 6 2" xfId="43219"/>
    <cellStyle name="Comma 18 2 5 6 3" xfId="43220"/>
    <cellStyle name="Comma 18 2 5 7" xfId="43221"/>
    <cellStyle name="Comma 18 2 5 7 2" xfId="43222"/>
    <cellStyle name="Comma 18 2 5 8" xfId="43223"/>
    <cellStyle name="Comma 18 2 5 9" xfId="43224"/>
    <cellStyle name="Comma 18 2 6" xfId="43225"/>
    <cellStyle name="Comma 18 2 6 2" xfId="43226"/>
    <cellStyle name="Comma 18 2 6 2 2" xfId="43227"/>
    <cellStyle name="Comma 18 2 6 2 2 2" xfId="43228"/>
    <cellStyle name="Comma 18 2 6 2 2 3" xfId="43229"/>
    <cellStyle name="Comma 18 2 6 2 3" xfId="43230"/>
    <cellStyle name="Comma 18 2 6 2 3 2" xfId="43231"/>
    <cellStyle name="Comma 18 2 6 2 3 3" xfId="43232"/>
    <cellStyle name="Comma 18 2 6 2 4" xfId="43233"/>
    <cellStyle name="Comma 18 2 6 2 4 2" xfId="43234"/>
    <cellStyle name="Comma 18 2 6 2 5" xfId="43235"/>
    <cellStyle name="Comma 18 2 6 2 6" xfId="43236"/>
    <cellStyle name="Comma 18 2 6 3" xfId="43237"/>
    <cellStyle name="Comma 18 2 6 3 2" xfId="43238"/>
    <cellStyle name="Comma 18 2 6 3 2 2" xfId="43239"/>
    <cellStyle name="Comma 18 2 6 3 2 3" xfId="43240"/>
    <cellStyle name="Comma 18 2 6 3 3" xfId="43241"/>
    <cellStyle name="Comma 18 2 6 3 3 2" xfId="43242"/>
    <cellStyle name="Comma 18 2 6 3 3 3" xfId="43243"/>
    <cellStyle name="Comma 18 2 6 3 4" xfId="43244"/>
    <cellStyle name="Comma 18 2 6 3 4 2" xfId="43245"/>
    <cellStyle name="Comma 18 2 6 3 5" xfId="43246"/>
    <cellStyle name="Comma 18 2 6 3 6" xfId="43247"/>
    <cellStyle name="Comma 18 2 6 4" xfId="43248"/>
    <cellStyle name="Comma 18 2 6 4 2" xfId="43249"/>
    <cellStyle name="Comma 18 2 6 4 2 2" xfId="43250"/>
    <cellStyle name="Comma 18 2 6 4 2 3" xfId="43251"/>
    <cellStyle name="Comma 18 2 6 4 3" xfId="43252"/>
    <cellStyle name="Comma 18 2 6 4 3 2" xfId="43253"/>
    <cellStyle name="Comma 18 2 6 4 4" xfId="43254"/>
    <cellStyle name="Comma 18 2 6 4 5" xfId="43255"/>
    <cellStyle name="Comma 18 2 6 5" xfId="43256"/>
    <cellStyle name="Comma 18 2 6 5 2" xfId="43257"/>
    <cellStyle name="Comma 18 2 6 5 3" xfId="43258"/>
    <cellStyle name="Comma 18 2 6 6" xfId="43259"/>
    <cellStyle name="Comma 18 2 6 6 2" xfId="43260"/>
    <cellStyle name="Comma 18 2 6 6 3" xfId="43261"/>
    <cellStyle name="Comma 18 2 6 7" xfId="43262"/>
    <cellStyle name="Comma 18 2 6 7 2" xfId="43263"/>
    <cellStyle name="Comma 18 2 6 8" xfId="43264"/>
    <cellStyle name="Comma 18 2 6 9" xfId="43265"/>
    <cellStyle name="Comma 18 2 7" xfId="43266"/>
    <cellStyle name="Comma 18 2 7 2" xfId="43267"/>
    <cellStyle name="Comma 18 2 7 2 2" xfId="43268"/>
    <cellStyle name="Comma 18 2 7 2 3" xfId="43269"/>
    <cellStyle name="Comma 18 2 7 3" xfId="43270"/>
    <cellStyle name="Comma 18 2 7 3 2" xfId="43271"/>
    <cellStyle name="Comma 18 2 7 3 3" xfId="43272"/>
    <cellStyle name="Comma 18 2 7 4" xfId="43273"/>
    <cellStyle name="Comma 18 2 7 4 2" xfId="43274"/>
    <cellStyle name="Comma 18 2 7 5" xfId="43275"/>
    <cellStyle name="Comma 18 2 7 6" xfId="43276"/>
    <cellStyle name="Comma 18 2 8" xfId="43277"/>
    <cellStyle name="Comma 18 2 8 2" xfId="43278"/>
    <cellStyle name="Comma 18 2 8 2 2" xfId="43279"/>
    <cellStyle name="Comma 18 2 8 2 3" xfId="43280"/>
    <cellStyle name="Comma 18 2 8 3" xfId="43281"/>
    <cellStyle name="Comma 18 2 8 3 2" xfId="43282"/>
    <cellStyle name="Comma 18 2 8 3 3" xfId="43283"/>
    <cellStyle name="Comma 18 2 8 4" xfId="43284"/>
    <cellStyle name="Comma 18 2 8 4 2" xfId="43285"/>
    <cellStyle name="Comma 18 2 8 5" xfId="43286"/>
    <cellStyle name="Comma 18 2 8 6" xfId="43287"/>
    <cellStyle name="Comma 18 2 9" xfId="43288"/>
    <cellStyle name="Comma 18 2 9 2" xfId="43289"/>
    <cellStyle name="Comma 18 2 9 2 2" xfId="43290"/>
    <cellStyle name="Comma 18 2 9 2 3" xfId="43291"/>
    <cellStyle name="Comma 18 2 9 3" xfId="43292"/>
    <cellStyle name="Comma 18 2 9 3 2" xfId="43293"/>
    <cellStyle name="Comma 18 2 9 4" xfId="43294"/>
    <cellStyle name="Comma 18 2 9 5" xfId="43295"/>
    <cellStyle name="Comma 18 3" xfId="43296"/>
    <cellStyle name="Comma 18 3 10" xfId="43297"/>
    <cellStyle name="Comma 18 3 10 2" xfId="43298"/>
    <cellStyle name="Comma 18 3 10 3" xfId="43299"/>
    <cellStyle name="Comma 18 3 11" xfId="43300"/>
    <cellStyle name="Comma 18 3 11 2" xfId="43301"/>
    <cellStyle name="Comma 18 3 12" xfId="43302"/>
    <cellStyle name="Comma 18 3 13" xfId="43303"/>
    <cellStyle name="Comma 18 3 2" xfId="43304"/>
    <cellStyle name="Comma 18 3 2 10" xfId="43305"/>
    <cellStyle name="Comma 18 3 2 10 2" xfId="43306"/>
    <cellStyle name="Comma 18 3 2 11" xfId="43307"/>
    <cellStyle name="Comma 18 3 2 12" xfId="43308"/>
    <cellStyle name="Comma 18 3 2 2" xfId="43309"/>
    <cellStyle name="Comma 18 3 2 2 10" xfId="43310"/>
    <cellStyle name="Comma 18 3 2 2 2" xfId="43311"/>
    <cellStyle name="Comma 18 3 2 2 2 2" xfId="43312"/>
    <cellStyle name="Comma 18 3 2 2 2 2 2" xfId="43313"/>
    <cellStyle name="Comma 18 3 2 2 2 2 2 2" xfId="43314"/>
    <cellStyle name="Comma 18 3 2 2 2 2 2 3" xfId="43315"/>
    <cellStyle name="Comma 18 3 2 2 2 2 3" xfId="43316"/>
    <cellStyle name="Comma 18 3 2 2 2 2 3 2" xfId="43317"/>
    <cellStyle name="Comma 18 3 2 2 2 2 3 3" xfId="43318"/>
    <cellStyle name="Comma 18 3 2 2 2 2 4" xfId="43319"/>
    <cellStyle name="Comma 18 3 2 2 2 2 4 2" xfId="43320"/>
    <cellStyle name="Comma 18 3 2 2 2 2 5" xfId="43321"/>
    <cellStyle name="Comma 18 3 2 2 2 2 6" xfId="43322"/>
    <cellStyle name="Comma 18 3 2 2 2 3" xfId="43323"/>
    <cellStyle name="Comma 18 3 2 2 2 3 2" xfId="43324"/>
    <cellStyle name="Comma 18 3 2 2 2 3 2 2" xfId="43325"/>
    <cellStyle name="Comma 18 3 2 2 2 3 2 3" xfId="43326"/>
    <cellStyle name="Comma 18 3 2 2 2 3 3" xfId="43327"/>
    <cellStyle name="Comma 18 3 2 2 2 3 3 2" xfId="43328"/>
    <cellStyle name="Comma 18 3 2 2 2 3 3 3" xfId="43329"/>
    <cellStyle name="Comma 18 3 2 2 2 3 4" xfId="43330"/>
    <cellStyle name="Comma 18 3 2 2 2 3 4 2" xfId="43331"/>
    <cellStyle name="Comma 18 3 2 2 2 3 5" xfId="43332"/>
    <cellStyle name="Comma 18 3 2 2 2 3 6" xfId="43333"/>
    <cellStyle name="Comma 18 3 2 2 2 4" xfId="43334"/>
    <cellStyle name="Comma 18 3 2 2 2 4 2" xfId="43335"/>
    <cellStyle name="Comma 18 3 2 2 2 4 2 2" xfId="43336"/>
    <cellStyle name="Comma 18 3 2 2 2 4 2 3" xfId="43337"/>
    <cellStyle name="Comma 18 3 2 2 2 4 3" xfId="43338"/>
    <cellStyle name="Comma 18 3 2 2 2 4 3 2" xfId="43339"/>
    <cellStyle name="Comma 18 3 2 2 2 4 4" xfId="43340"/>
    <cellStyle name="Comma 18 3 2 2 2 4 5" xfId="43341"/>
    <cellStyle name="Comma 18 3 2 2 2 5" xfId="43342"/>
    <cellStyle name="Comma 18 3 2 2 2 5 2" xfId="43343"/>
    <cellStyle name="Comma 18 3 2 2 2 5 3" xfId="43344"/>
    <cellStyle name="Comma 18 3 2 2 2 6" xfId="43345"/>
    <cellStyle name="Comma 18 3 2 2 2 6 2" xfId="43346"/>
    <cellStyle name="Comma 18 3 2 2 2 6 3" xfId="43347"/>
    <cellStyle name="Comma 18 3 2 2 2 7" xfId="43348"/>
    <cellStyle name="Comma 18 3 2 2 2 7 2" xfId="43349"/>
    <cellStyle name="Comma 18 3 2 2 2 8" xfId="43350"/>
    <cellStyle name="Comma 18 3 2 2 2 9" xfId="43351"/>
    <cellStyle name="Comma 18 3 2 2 3" xfId="43352"/>
    <cellStyle name="Comma 18 3 2 2 3 2" xfId="43353"/>
    <cellStyle name="Comma 18 3 2 2 3 2 2" xfId="43354"/>
    <cellStyle name="Comma 18 3 2 2 3 2 3" xfId="43355"/>
    <cellStyle name="Comma 18 3 2 2 3 3" xfId="43356"/>
    <cellStyle name="Comma 18 3 2 2 3 3 2" xfId="43357"/>
    <cellStyle name="Comma 18 3 2 2 3 3 3" xfId="43358"/>
    <cellStyle name="Comma 18 3 2 2 3 4" xfId="43359"/>
    <cellStyle name="Comma 18 3 2 2 3 4 2" xfId="43360"/>
    <cellStyle name="Comma 18 3 2 2 3 5" xfId="43361"/>
    <cellStyle name="Comma 18 3 2 2 3 6" xfId="43362"/>
    <cellStyle name="Comma 18 3 2 2 4" xfId="43363"/>
    <cellStyle name="Comma 18 3 2 2 4 2" xfId="43364"/>
    <cellStyle name="Comma 18 3 2 2 4 2 2" xfId="43365"/>
    <cellStyle name="Comma 18 3 2 2 4 2 3" xfId="43366"/>
    <cellStyle name="Comma 18 3 2 2 4 3" xfId="43367"/>
    <cellStyle name="Comma 18 3 2 2 4 3 2" xfId="43368"/>
    <cellStyle name="Comma 18 3 2 2 4 3 3" xfId="43369"/>
    <cellStyle name="Comma 18 3 2 2 4 4" xfId="43370"/>
    <cellStyle name="Comma 18 3 2 2 4 4 2" xfId="43371"/>
    <cellStyle name="Comma 18 3 2 2 4 5" xfId="43372"/>
    <cellStyle name="Comma 18 3 2 2 4 6" xfId="43373"/>
    <cellStyle name="Comma 18 3 2 2 5" xfId="43374"/>
    <cellStyle name="Comma 18 3 2 2 5 2" xfId="43375"/>
    <cellStyle name="Comma 18 3 2 2 5 2 2" xfId="43376"/>
    <cellStyle name="Comma 18 3 2 2 5 2 3" xfId="43377"/>
    <cellStyle name="Comma 18 3 2 2 5 3" xfId="43378"/>
    <cellStyle name="Comma 18 3 2 2 5 3 2" xfId="43379"/>
    <cellStyle name="Comma 18 3 2 2 5 4" xfId="43380"/>
    <cellStyle name="Comma 18 3 2 2 5 5" xfId="43381"/>
    <cellStyle name="Comma 18 3 2 2 6" xfId="43382"/>
    <cellStyle name="Comma 18 3 2 2 6 2" xfId="43383"/>
    <cellStyle name="Comma 18 3 2 2 6 3" xfId="43384"/>
    <cellStyle name="Comma 18 3 2 2 7" xfId="43385"/>
    <cellStyle name="Comma 18 3 2 2 7 2" xfId="43386"/>
    <cellStyle name="Comma 18 3 2 2 7 3" xfId="43387"/>
    <cellStyle name="Comma 18 3 2 2 8" xfId="43388"/>
    <cellStyle name="Comma 18 3 2 2 8 2" xfId="43389"/>
    <cellStyle name="Comma 18 3 2 2 9" xfId="43390"/>
    <cellStyle name="Comma 18 3 2 3" xfId="43391"/>
    <cellStyle name="Comma 18 3 2 3 2" xfId="43392"/>
    <cellStyle name="Comma 18 3 2 3 2 2" xfId="43393"/>
    <cellStyle name="Comma 18 3 2 3 2 2 2" xfId="43394"/>
    <cellStyle name="Comma 18 3 2 3 2 2 3" xfId="43395"/>
    <cellStyle name="Comma 18 3 2 3 2 3" xfId="43396"/>
    <cellStyle name="Comma 18 3 2 3 2 3 2" xfId="43397"/>
    <cellStyle name="Comma 18 3 2 3 2 3 3" xfId="43398"/>
    <cellStyle name="Comma 18 3 2 3 2 4" xfId="43399"/>
    <cellStyle name="Comma 18 3 2 3 2 4 2" xfId="43400"/>
    <cellStyle name="Comma 18 3 2 3 2 5" xfId="43401"/>
    <cellStyle name="Comma 18 3 2 3 2 6" xfId="43402"/>
    <cellStyle name="Comma 18 3 2 3 3" xfId="43403"/>
    <cellStyle name="Comma 18 3 2 3 3 2" xfId="43404"/>
    <cellStyle name="Comma 18 3 2 3 3 2 2" xfId="43405"/>
    <cellStyle name="Comma 18 3 2 3 3 2 3" xfId="43406"/>
    <cellStyle name="Comma 18 3 2 3 3 3" xfId="43407"/>
    <cellStyle name="Comma 18 3 2 3 3 3 2" xfId="43408"/>
    <cellStyle name="Comma 18 3 2 3 3 3 3" xfId="43409"/>
    <cellStyle name="Comma 18 3 2 3 3 4" xfId="43410"/>
    <cellStyle name="Comma 18 3 2 3 3 4 2" xfId="43411"/>
    <cellStyle name="Comma 18 3 2 3 3 5" xfId="43412"/>
    <cellStyle name="Comma 18 3 2 3 3 6" xfId="43413"/>
    <cellStyle name="Comma 18 3 2 3 4" xfId="43414"/>
    <cellStyle name="Comma 18 3 2 3 4 2" xfId="43415"/>
    <cellStyle name="Comma 18 3 2 3 4 2 2" xfId="43416"/>
    <cellStyle name="Comma 18 3 2 3 4 2 3" xfId="43417"/>
    <cellStyle name="Comma 18 3 2 3 4 3" xfId="43418"/>
    <cellStyle name="Comma 18 3 2 3 4 3 2" xfId="43419"/>
    <cellStyle name="Comma 18 3 2 3 4 4" xfId="43420"/>
    <cellStyle name="Comma 18 3 2 3 4 5" xfId="43421"/>
    <cellStyle name="Comma 18 3 2 3 5" xfId="43422"/>
    <cellStyle name="Comma 18 3 2 3 5 2" xfId="43423"/>
    <cellStyle name="Comma 18 3 2 3 5 3" xfId="43424"/>
    <cellStyle name="Comma 18 3 2 3 6" xfId="43425"/>
    <cellStyle name="Comma 18 3 2 3 6 2" xfId="43426"/>
    <cellStyle name="Comma 18 3 2 3 6 3" xfId="43427"/>
    <cellStyle name="Comma 18 3 2 3 7" xfId="43428"/>
    <cellStyle name="Comma 18 3 2 3 7 2" xfId="43429"/>
    <cellStyle name="Comma 18 3 2 3 8" xfId="43430"/>
    <cellStyle name="Comma 18 3 2 3 9" xfId="43431"/>
    <cellStyle name="Comma 18 3 2 4" xfId="43432"/>
    <cellStyle name="Comma 18 3 2 4 2" xfId="43433"/>
    <cellStyle name="Comma 18 3 2 4 2 2" xfId="43434"/>
    <cellStyle name="Comma 18 3 2 4 2 2 2" xfId="43435"/>
    <cellStyle name="Comma 18 3 2 4 2 2 3" xfId="43436"/>
    <cellStyle name="Comma 18 3 2 4 2 3" xfId="43437"/>
    <cellStyle name="Comma 18 3 2 4 2 3 2" xfId="43438"/>
    <cellStyle name="Comma 18 3 2 4 2 3 3" xfId="43439"/>
    <cellStyle name="Comma 18 3 2 4 2 4" xfId="43440"/>
    <cellStyle name="Comma 18 3 2 4 2 4 2" xfId="43441"/>
    <cellStyle name="Comma 18 3 2 4 2 5" xfId="43442"/>
    <cellStyle name="Comma 18 3 2 4 2 6" xfId="43443"/>
    <cellStyle name="Comma 18 3 2 4 3" xfId="43444"/>
    <cellStyle name="Comma 18 3 2 4 3 2" xfId="43445"/>
    <cellStyle name="Comma 18 3 2 4 3 2 2" xfId="43446"/>
    <cellStyle name="Comma 18 3 2 4 3 2 3" xfId="43447"/>
    <cellStyle name="Comma 18 3 2 4 3 3" xfId="43448"/>
    <cellStyle name="Comma 18 3 2 4 3 3 2" xfId="43449"/>
    <cellStyle name="Comma 18 3 2 4 3 3 3" xfId="43450"/>
    <cellStyle name="Comma 18 3 2 4 3 4" xfId="43451"/>
    <cellStyle name="Comma 18 3 2 4 3 4 2" xfId="43452"/>
    <cellStyle name="Comma 18 3 2 4 3 5" xfId="43453"/>
    <cellStyle name="Comma 18 3 2 4 3 6" xfId="43454"/>
    <cellStyle name="Comma 18 3 2 4 4" xfId="43455"/>
    <cellStyle name="Comma 18 3 2 4 4 2" xfId="43456"/>
    <cellStyle name="Comma 18 3 2 4 4 2 2" xfId="43457"/>
    <cellStyle name="Comma 18 3 2 4 4 2 3" xfId="43458"/>
    <cellStyle name="Comma 18 3 2 4 4 3" xfId="43459"/>
    <cellStyle name="Comma 18 3 2 4 4 3 2" xfId="43460"/>
    <cellStyle name="Comma 18 3 2 4 4 4" xfId="43461"/>
    <cellStyle name="Comma 18 3 2 4 4 5" xfId="43462"/>
    <cellStyle name="Comma 18 3 2 4 5" xfId="43463"/>
    <cellStyle name="Comma 18 3 2 4 5 2" xfId="43464"/>
    <cellStyle name="Comma 18 3 2 4 5 3" xfId="43465"/>
    <cellStyle name="Comma 18 3 2 4 6" xfId="43466"/>
    <cellStyle name="Comma 18 3 2 4 6 2" xfId="43467"/>
    <cellStyle name="Comma 18 3 2 4 6 3" xfId="43468"/>
    <cellStyle name="Comma 18 3 2 4 7" xfId="43469"/>
    <cellStyle name="Comma 18 3 2 4 7 2" xfId="43470"/>
    <cellStyle name="Comma 18 3 2 4 8" xfId="43471"/>
    <cellStyle name="Comma 18 3 2 4 9" xfId="43472"/>
    <cellStyle name="Comma 18 3 2 5" xfId="43473"/>
    <cellStyle name="Comma 18 3 2 5 2" xfId="43474"/>
    <cellStyle name="Comma 18 3 2 5 2 2" xfId="43475"/>
    <cellStyle name="Comma 18 3 2 5 2 3" xfId="43476"/>
    <cellStyle name="Comma 18 3 2 5 3" xfId="43477"/>
    <cellStyle name="Comma 18 3 2 5 3 2" xfId="43478"/>
    <cellStyle name="Comma 18 3 2 5 3 3" xfId="43479"/>
    <cellStyle name="Comma 18 3 2 5 4" xfId="43480"/>
    <cellStyle name="Comma 18 3 2 5 4 2" xfId="43481"/>
    <cellStyle name="Comma 18 3 2 5 5" xfId="43482"/>
    <cellStyle name="Comma 18 3 2 5 6" xfId="43483"/>
    <cellStyle name="Comma 18 3 2 6" xfId="43484"/>
    <cellStyle name="Comma 18 3 2 6 2" xfId="43485"/>
    <cellStyle name="Comma 18 3 2 6 2 2" xfId="43486"/>
    <cellStyle name="Comma 18 3 2 6 2 3" xfId="43487"/>
    <cellStyle name="Comma 18 3 2 6 3" xfId="43488"/>
    <cellStyle name="Comma 18 3 2 6 3 2" xfId="43489"/>
    <cellStyle name="Comma 18 3 2 6 3 3" xfId="43490"/>
    <cellStyle name="Comma 18 3 2 6 4" xfId="43491"/>
    <cellStyle name="Comma 18 3 2 6 4 2" xfId="43492"/>
    <cellStyle name="Comma 18 3 2 6 5" xfId="43493"/>
    <cellStyle name="Comma 18 3 2 6 6" xfId="43494"/>
    <cellStyle name="Comma 18 3 2 7" xfId="43495"/>
    <cellStyle name="Comma 18 3 2 7 2" xfId="43496"/>
    <cellStyle name="Comma 18 3 2 7 2 2" xfId="43497"/>
    <cellStyle name="Comma 18 3 2 7 2 3" xfId="43498"/>
    <cellStyle name="Comma 18 3 2 7 3" xfId="43499"/>
    <cellStyle name="Comma 18 3 2 7 3 2" xfId="43500"/>
    <cellStyle name="Comma 18 3 2 7 4" xfId="43501"/>
    <cellStyle name="Comma 18 3 2 7 5" xfId="43502"/>
    <cellStyle name="Comma 18 3 2 8" xfId="43503"/>
    <cellStyle name="Comma 18 3 2 8 2" xfId="43504"/>
    <cellStyle name="Comma 18 3 2 8 3" xfId="43505"/>
    <cellStyle name="Comma 18 3 2 9" xfId="43506"/>
    <cellStyle name="Comma 18 3 2 9 2" xfId="43507"/>
    <cellStyle name="Comma 18 3 2 9 3" xfId="43508"/>
    <cellStyle name="Comma 18 3 3" xfId="43509"/>
    <cellStyle name="Comma 18 3 3 10" xfId="43510"/>
    <cellStyle name="Comma 18 3 3 2" xfId="43511"/>
    <cellStyle name="Comma 18 3 3 2 2" xfId="43512"/>
    <cellStyle name="Comma 18 3 3 2 2 2" xfId="43513"/>
    <cellStyle name="Comma 18 3 3 2 2 2 2" xfId="43514"/>
    <cellStyle name="Comma 18 3 3 2 2 2 3" xfId="43515"/>
    <cellStyle name="Comma 18 3 3 2 2 3" xfId="43516"/>
    <cellStyle name="Comma 18 3 3 2 2 3 2" xfId="43517"/>
    <cellStyle name="Comma 18 3 3 2 2 3 3" xfId="43518"/>
    <cellStyle name="Comma 18 3 3 2 2 4" xfId="43519"/>
    <cellStyle name="Comma 18 3 3 2 2 4 2" xfId="43520"/>
    <cellStyle name="Comma 18 3 3 2 2 5" xfId="43521"/>
    <cellStyle name="Comma 18 3 3 2 2 6" xfId="43522"/>
    <cellStyle name="Comma 18 3 3 2 3" xfId="43523"/>
    <cellStyle name="Comma 18 3 3 2 3 2" xfId="43524"/>
    <cellStyle name="Comma 18 3 3 2 3 2 2" xfId="43525"/>
    <cellStyle name="Comma 18 3 3 2 3 2 3" xfId="43526"/>
    <cellStyle name="Comma 18 3 3 2 3 3" xfId="43527"/>
    <cellStyle name="Comma 18 3 3 2 3 3 2" xfId="43528"/>
    <cellStyle name="Comma 18 3 3 2 3 3 3" xfId="43529"/>
    <cellStyle name="Comma 18 3 3 2 3 4" xfId="43530"/>
    <cellStyle name="Comma 18 3 3 2 3 4 2" xfId="43531"/>
    <cellStyle name="Comma 18 3 3 2 3 5" xfId="43532"/>
    <cellStyle name="Comma 18 3 3 2 3 6" xfId="43533"/>
    <cellStyle name="Comma 18 3 3 2 4" xfId="43534"/>
    <cellStyle name="Comma 18 3 3 2 4 2" xfId="43535"/>
    <cellStyle name="Comma 18 3 3 2 4 2 2" xfId="43536"/>
    <cellStyle name="Comma 18 3 3 2 4 2 3" xfId="43537"/>
    <cellStyle name="Comma 18 3 3 2 4 3" xfId="43538"/>
    <cellStyle name="Comma 18 3 3 2 4 3 2" xfId="43539"/>
    <cellStyle name="Comma 18 3 3 2 4 4" xfId="43540"/>
    <cellStyle name="Comma 18 3 3 2 4 5" xfId="43541"/>
    <cellStyle name="Comma 18 3 3 2 5" xfId="43542"/>
    <cellStyle name="Comma 18 3 3 2 5 2" xfId="43543"/>
    <cellStyle name="Comma 18 3 3 2 5 3" xfId="43544"/>
    <cellStyle name="Comma 18 3 3 2 6" xfId="43545"/>
    <cellStyle name="Comma 18 3 3 2 6 2" xfId="43546"/>
    <cellStyle name="Comma 18 3 3 2 6 3" xfId="43547"/>
    <cellStyle name="Comma 18 3 3 2 7" xfId="43548"/>
    <cellStyle name="Comma 18 3 3 2 7 2" xfId="43549"/>
    <cellStyle name="Comma 18 3 3 2 8" xfId="43550"/>
    <cellStyle name="Comma 18 3 3 2 9" xfId="43551"/>
    <cellStyle name="Comma 18 3 3 3" xfId="43552"/>
    <cellStyle name="Comma 18 3 3 3 2" xfId="43553"/>
    <cellStyle name="Comma 18 3 3 3 2 2" xfId="43554"/>
    <cellStyle name="Comma 18 3 3 3 2 3" xfId="43555"/>
    <cellStyle name="Comma 18 3 3 3 3" xfId="43556"/>
    <cellStyle name="Comma 18 3 3 3 3 2" xfId="43557"/>
    <cellStyle name="Comma 18 3 3 3 3 3" xfId="43558"/>
    <cellStyle name="Comma 18 3 3 3 4" xfId="43559"/>
    <cellStyle name="Comma 18 3 3 3 4 2" xfId="43560"/>
    <cellStyle name="Comma 18 3 3 3 5" xfId="43561"/>
    <cellStyle name="Comma 18 3 3 3 6" xfId="43562"/>
    <cellStyle name="Comma 18 3 3 4" xfId="43563"/>
    <cellStyle name="Comma 18 3 3 4 2" xfId="43564"/>
    <cellStyle name="Comma 18 3 3 4 2 2" xfId="43565"/>
    <cellStyle name="Comma 18 3 3 4 2 3" xfId="43566"/>
    <cellStyle name="Comma 18 3 3 4 3" xfId="43567"/>
    <cellStyle name="Comma 18 3 3 4 3 2" xfId="43568"/>
    <cellStyle name="Comma 18 3 3 4 3 3" xfId="43569"/>
    <cellStyle name="Comma 18 3 3 4 4" xfId="43570"/>
    <cellStyle name="Comma 18 3 3 4 4 2" xfId="43571"/>
    <cellStyle name="Comma 18 3 3 4 5" xfId="43572"/>
    <cellStyle name="Comma 18 3 3 4 6" xfId="43573"/>
    <cellStyle name="Comma 18 3 3 5" xfId="43574"/>
    <cellStyle name="Comma 18 3 3 5 2" xfId="43575"/>
    <cellStyle name="Comma 18 3 3 5 2 2" xfId="43576"/>
    <cellStyle name="Comma 18 3 3 5 2 3" xfId="43577"/>
    <cellStyle name="Comma 18 3 3 5 3" xfId="43578"/>
    <cellStyle name="Comma 18 3 3 5 3 2" xfId="43579"/>
    <cellStyle name="Comma 18 3 3 5 4" xfId="43580"/>
    <cellStyle name="Comma 18 3 3 5 5" xfId="43581"/>
    <cellStyle name="Comma 18 3 3 6" xfId="43582"/>
    <cellStyle name="Comma 18 3 3 6 2" xfId="43583"/>
    <cellStyle name="Comma 18 3 3 6 3" xfId="43584"/>
    <cellStyle name="Comma 18 3 3 7" xfId="43585"/>
    <cellStyle name="Comma 18 3 3 7 2" xfId="43586"/>
    <cellStyle name="Comma 18 3 3 7 3" xfId="43587"/>
    <cellStyle name="Comma 18 3 3 8" xfId="43588"/>
    <cellStyle name="Comma 18 3 3 8 2" xfId="43589"/>
    <cellStyle name="Comma 18 3 3 9" xfId="43590"/>
    <cellStyle name="Comma 18 3 4" xfId="43591"/>
    <cellStyle name="Comma 18 3 4 2" xfId="43592"/>
    <cellStyle name="Comma 18 3 4 2 2" xfId="43593"/>
    <cellStyle name="Comma 18 3 4 2 2 2" xfId="43594"/>
    <cellStyle name="Comma 18 3 4 2 2 3" xfId="43595"/>
    <cellStyle name="Comma 18 3 4 2 3" xfId="43596"/>
    <cellStyle name="Comma 18 3 4 2 3 2" xfId="43597"/>
    <cellStyle name="Comma 18 3 4 2 3 3" xfId="43598"/>
    <cellStyle name="Comma 18 3 4 2 4" xfId="43599"/>
    <cellStyle name="Comma 18 3 4 2 4 2" xfId="43600"/>
    <cellStyle name="Comma 18 3 4 2 5" xfId="43601"/>
    <cellStyle name="Comma 18 3 4 2 6" xfId="43602"/>
    <cellStyle name="Comma 18 3 4 3" xfId="43603"/>
    <cellStyle name="Comma 18 3 4 3 2" xfId="43604"/>
    <cellStyle name="Comma 18 3 4 3 2 2" xfId="43605"/>
    <cellStyle name="Comma 18 3 4 3 2 3" xfId="43606"/>
    <cellStyle name="Comma 18 3 4 3 3" xfId="43607"/>
    <cellStyle name="Comma 18 3 4 3 3 2" xfId="43608"/>
    <cellStyle name="Comma 18 3 4 3 3 3" xfId="43609"/>
    <cellStyle name="Comma 18 3 4 3 4" xfId="43610"/>
    <cellStyle name="Comma 18 3 4 3 4 2" xfId="43611"/>
    <cellStyle name="Comma 18 3 4 3 5" xfId="43612"/>
    <cellStyle name="Comma 18 3 4 3 6" xfId="43613"/>
    <cellStyle name="Comma 18 3 4 4" xfId="43614"/>
    <cellStyle name="Comma 18 3 4 4 2" xfId="43615"/>
    <cellStyle name="Comma 18 3 4 4 2 2" xfId="43616"/>
    <cellStyle name="Comma 18 3 4 4 2 3" xfId="43617"/>
    <cellStyle name="Comma 18 3 4 4 3" xfId="43618"/>
    <cellStyle name="Comma 18 3 4 4 3 2" xfId="43619"/>
    <cellStyle name="Comma 18 3 4 4 4" xfId="43620"/>
    <cellStyle name="Comma 18 3 4 4 5" xfId="43621"/>
    <cellStyle name="Comma 18 3 4 5" xfId="43622"/>
    <cellStyle name="Comma 18 3 4 5 2" xfId="43623"/>
    <cellStyle name="Comma 18 3 4 5 3" xfId="43624"/>
    <cellStyle name="Comma 18 3 4 6" xfId="43625"/>
    <cellStyle name="Comma 18 3 4 6 2" xfId="43626"/>
    <cellStyle name="Comma 18 3 4 6 3" xfId="43627"/>
    <cellStyle name="Comma 18 3 4 7" xfId="43628"/>
    <cellStyle name="Comma 18 3 4 7 2" xfId="43629"/>
    <cellStyle name="Comma 18 3 4 8" xfId="43630"/>
    <cellStyle name="Comma 18 3 4 9" xfId="43631"/>
    <cellStyle name="Comma 18 3 5" xfId="43632"/>
    <cellStyle name="Comma 18 3 5 2" xfId="43633"/>
    <cellStyle name="Comma 18 3 5 2 2" xfId="43634"/>
    <cellStyle name="Comma 18 3 5 2 2 2" xfId="43635"/>
    <cellStyle name="Comma 18 3 5 2 2 3" xfId="43636"/>
    <cellStyle name="Comma 18 3 5 2 3" xfId="43637"/>
    <cellStyle name="Comma 18 3 5 2 3 2" xfId="43638"/>
    <cellStyle name="Comma 18 3 5 2 3 3" xfId="43639"/>
    <cellStyle name="Comma 18 3 5 2 4" xfId="43640"/>
    <cellStyle name="Comma 18 3 5 2 4 2" xfId="43641"/>
    <cellStyle name="Comma 18 3 5 2 5" xfId="43642"/>
    <cellStyle name="Comma 18 3 5 2 6" xfId="43643"/>
    <cellStyle name="Comma 18 3 5 3" xfId="43644"/>
    <cellStyle name="Comma 18 3 5 3 2" xfId="43645"/>
    <cellStyle name="Comma 18 3 5 3 2 2" xfId="43646"/>
    <cellStyle name="Comma 18 3 5 3 2 3" xfId="43647"/>
    <cellStyle name="Comma 18 3 5 3 3" xfId="43648"/>
    <cellStyle name="Comma 18 3 5 3 3 2" xfId="43649"/>
    <cellStyle name="Comma 18 3 5 3 3 3" xfId="43650"/>
    <cellStyle name="Comma 18 3 5 3 4" xfId="43651"/>
    <cellStyle name="Comma 18 3 5 3 4 2" xfId="43652"/>
    <cellStyle name="Comma 18 3 5 3 5" xfId="43653"/>
    <cellStyle name="Comma 18 3 5 3 6" xfId="43654"/>
    <cellStyle name="Comma 18 3 5 4" xfId="43655"/>
    <cellStyle name="Comma 18 3 5 4 2" xfId="43656"/>
    <cellStyle name="Comma 18 3 5 4 2 2" xfId="43657"/>
    <cellStyle name="Comma 18 3 5 4 2 3" xfId="43658"/>
    <cellStyle name="Comma 18 3 5 4 3" xfId="43659"/>
    <cellStyle name="Comma 18 3 5 4 3 2" xfId="43660"/>
    <cellStyle name="Comma 18 3 5 4 4" xfId="43661"/>
    <cellStyle name="Comma 18 3 5 4 5" xfId="43662"/>
    <cellStyle name="Comma 18 3 5 5" xfId="43663"/>
    <cellStyle name="Comma 18 3 5 5 2" xfId="43664"/>
    <cellStyle name="Comma 18 3 5 5 3" xfId="43665"/>
    <cellStyle name="Comma 18 3 5 6" xfId="43666"/>
    <cellStyle name="Comma 18 3 5 6 2" xfId="43667"/>
    <cellStyle name="Comma 18 3 5 6 3" xfId="43668"/>
    <cellStyle name="Comma 18 3 5 7" xfId="43669"/>
    <cellStyle name="Comma 18 3 5 7 2" xfId="43670"/>
    <cellStyle name="Comma 18 3 5 8" xfId="43671"/>
    <cellStyle name="Comma 18 3 5 9" xfId="43672"/>
    <cellStyle name="Comma 18 3 6" xfId="43673"/>
    <cellStyle name="Comma 18 3 6 2" xfId="43674"/>
    <cellStyle name="Comma 18 3 6 2 2" xfId="43675"/>
    <cellStyle name="Comma 18 3 6 2 3" xfId="43676"/>
    <cellStyle name="Comma 18 3 6 3" xfId="43677"/>
    <cellStyle name="Comma 18 3 6 3 2" xfId="43678"/>
    <cellStyle name="Comma 18 3 6 3 3" xfId="43679"/>
    <cellStyle name="Comma 18 3 6 4" xfId="43680"/>
    <cellStyle name="Comma 18 3 6 4 2" xfId="43681"/>
    <cellStyle name="Comma 18 3 6 5" xfId="43682"/>
    <cellStyle name="Comma 18 3 6 6" xfId="43683"/>
    <cellStyle name="Comma 18 3 7" xfId="43684"/>
    <cellStyle name="Comma 18 3 7 2" xfId="43685"/>
    <cellStyle name="Comma 18 3 7 2 2" xfId="43686"/>
    <cellStyle name="Comma 18 3 7 2 3" xfId="43687"/>
    <cellStyle name="Comma 18 3 7 3" xfId="43688"/>
    <cellStyle name="Comma 18 3 7 3 2" xfId="43689"/>
    <cellStyle name="Comma 18 3 7 3 3" xfId="43690"/>
    <cellStyle name="Comma 18 3 7 4" xfId="43691"/>
    <cellStyle name="Comma 18 3 7 4 2" xfId="43692"/>
    <cellStyle name="Comma 18 3 7 5" xfId="43693"/>
    <cellStyle name="Comma 18 3 7 6" xfId="43694"/>
    <cellStyle name="Comma 18 3 8" xfId="43695"/>
    <cellStyle name="Comma 18 3 8 2" xfId="43696"/>
    <cellStyle name="Comma 18 3 8 2 2" xfId="43697"/>
    <cellStyle name="Comma 18 3 8 2 3" xfId="43698"/>
    <cellStyle name="Comma 18 3 8 3" xfId="43699"/>
    <cellStyle name="Comma 18 3 8 3 2" xfId="43700"/>
    <cellStyle name="Comma 18 3 8 4" xfId="43701"/>
    <cellStyle name="Comma 18 3 8 5" xfId="43702"/>
    <cellStyle name="Comma 18 3 9" xfId="43703"/>
    <cellStyle name="Comma 18 3 9 2" xfId="43704"/>
    <cellStyle name="Comma 18 3 9 3" xfId="43705"/>
    <cellStyle name="Comma 18 4" xfId="43706"/>
    <cellStyle name="Comma 18 4 10" xfId="43707"/>
    <cellStyle name="Comma 18 4 10 2" xfId="43708"/>
    <cellStyle name="Comma 18 4 11" xfId="43709"/>
    <cellStyle name="Comma 18 4 12" xfId="43710"/>
    <cellStyle name="Comma 18 4 2" xfId="43711"/>
    <cellStyle name="Comma 18 4 2 10" xfId="43712"/>
    <cellStyle name="Comma 18 4 2 2" xfId="43713"/>
    <cellStyle name="Comma 18 4 2 2 2" xfId="43714"/>
    <cellStyle name="Comma 18 4 2 2 2 2" xfId="43715"/>
    <cellStyle name="Comma 18 4 2 2 2 2 2" xfId="43716"/>
    <cellStyle name="Comma 18 4 2 2 2 2 3" xfId="43717"/>
    <cellStyle name="Comma 18 4 2 2 2 3" xfId="43718"/>
    <cellStyle name="Comma 18 4 2 2 2 3 2" xfId="43719"/>
    <cellStyle name="Comma 18 4 2 2 2 3 3" xfId="43720"/>
    <cellStyle name="Comma 18 4 2 2 2 4" xfId="43721"/>
    <cellStyle name="Comma 18 4 2 2 2 4 2" xfId="43722"/>
    <cellStyle name="Comma 18 4 2 2 2 5" xfId="43723"/>
    <cellStyle name="Comma 18 4 2 2 2 6" xfId="43724"/>
    <cellStyle name="Comma 18 4 2 2 3" xfId="43725"/>
    <cellStyle name="Comma 18 4 2 2 3 2" xfId="43726"/>
    <cellStyle name="Comma 18 4 2 2 3 2 2" xfId="43727"/>
    <cellStyle name="Comma 18 4 2 2 3 2 3" xfId="43728"/>
    <cellStyle name="Comma 18 4 2 2 3 3" xfId="43729"/>
    <cellStyle name="Comma 18 4 2 2 3 3 2" xfId="43730"/>
    <cellStyle name="Comma 18 4 2 2 3 3 3" xfId="43731"/>
    <cellStyle name="Comma 18 4 2 2 3 4" xfId="43732"/>
    <cellStyle name="Comma 18 4 2 2 3 4 2" xfId="43733"/>
    <cellStyle name="Comma 18 4 2 2 3 5" xfId="43734"/>
    <cellStyle name="Comma 18 4 2 2 3 6" xfId="43735"/>
    <cellStyle name="Comma 18 4 2 2 4" xfId="43736"/>
    <cellStyle name="Comma 18 4 2 2 4 2" xfId="43737"/>
    <cellStyle name="Comma 18 4 2 2 4 2 2" xfId="43738"/>
    <cellStyle name="Comma 18 4 2 2 4 2 3" xfId="43739"/>
    <cellStyle name="Comma 18 4 2 2 4 3" xfId="43740"/>
    <cellStyle name="Comma 18 4 2 2 4 3 2" xfId="43741"/>
    <cellStyle name="Comma 18 4 2 2 4 4" xfId="43742"/>
    <cellStyle name="Comma 18 4 2 2 4 5" xfId="43743"/>
    <cellStyle name="Comma 18 4 2 2 5" xfId="43744"/>
    <cellStyle name="Comma 18 4 2 2 5 2" xfId="43745"/>
    <cellStyle name="Comma 18 4 2 2 5 3" xfId="43746"/>
    <cellStyle name="Comma 18 4 2 2 6" xfId="43747"/>
    <cellStyle name="Comma 18 4 2 2 6 2" xfId="43748"/>
    <cellStyle name="Comma 18 4 2 2 6 3" xfId="43749"/>
    <cellStyle name="Comma 18 4 2 2 7" xfId="43750"/>
    <cellStyle name="Comma 18 4 2 2 7 2" xfId="43751"/>
    <cellStyle name="Comma 18 4 2 2 8" xfId="43752"/>
    <cellStyle name="Comma 18 4 2 2 9" xfId="43753"/>
    <cellStyle name="Comma 18 4 2 3" xfId="43754"/>
    <cellStyle name="Comma 18 4 2 3 2" xfId="43755"/>
    <cellStyle name="Comma 18 4 2 3 2 2" xfId="43756"/>
    <cellStyle name="Comma 18 4 2 3 2 3" xfId="43757"/>
    <cellStyle name="Comma 18 4 2 3 3" xfId="43758"/>
    <cellStyle name="Comma 18 4 2 3 3 2" xfId="43759"/>
    <cellStyle name="Comma 18 4 2 3 3 3" xfId="43760"/>
    <cellStyle name="Comma 18 4 2 3 4" xfId="43761"/>
    <cellStyle name="Comma 18 4 2 3 4 2" xfId="43762"/>
    <cellStyle name="Comma 18 4 2 3 5" xfId="43763"/>
    <cellStyle name="Comma 18 4 2 3 6" xfId="43764"/>
    <cellStyle name="Comma 18 4 2 4" xfId="43765"/>
    <cellStyle name="Comma 18 4 2 4 2" xfId="43766"/>
    <cellStyle name="Comma 18 4 2 4 2 2" xfId="43767"/>
    <cellStyle name="Comma 18 4 2 4 2 3" xfId="43768"/>
    <cellStyle name="Comma 18 4 2 4 3" xfId="43769"/>
    <cellStyle name="Comma 18 4 2 4 3 2" xfId="43770"/>
    <cellStyle name="Comma 18 4 2 4 3 3" xfId="43771"/>
    <cellStyle name="Comma 18 4 2 4 4" xfId="43772"/>
    <cellStyle name="Comma 18 4 2 4 4 2" xfId="43773"/>
    <cellStyle name="Comma 18 4 2 4 5" xfId="43774"/>
    <cellStyle name="Comma 18 4 2 4 6" xfId="43775"/>
    <cellStyle name="Comma 18 4 2 5" xfId="43776"/>
    <cellStyle name="Comma 18 4 2 5 2" xfId="43777"/>
    <cellStyle name="Comma 18 4 2 5 2 2" xfId="43778"/>
    <cellStyle name="Comma 18 4 2 5 2 3" xfId="43779"/>
    <cellStyle name="Comma 18 4 2 5 3" xfId="43780"/>
    <cellStyle name="Comma 18 4 2 5 3 2" xfId="43781"/>
    <cellStyle name="Comma 18 4 2 5 4" xfId="43782"/>
    <cellStyle name="Comma 18 4 2 5 5" xfId="43783"/>
    <cellStyle name="Comma 18 4 2 6" xfId="43784"/>
    <cellStyle name="Comma 18 4 2 6 2" xfId="43785"/>
    <cellStyle name="Comma 18 4 2 6 3" xfId="43786"/>
    <cellStyle name="Comma 18 4 2 7" xfId="43787"/>
    <cellStyle name="Comma 18 4 2 7 2" xfId="43788"/>
    <cellStyle name="Comma 18 4 2 7 3" xfId="43789"/>
    <cellStyle name="Comma 18 4 2 8" xfId="43790"/>
    <cellStyle name="Comma 18 4 2 8 2" xfId="43791"/>
    <cellStyle name="Comma 18 4 2 9" xfId="43792"/>
    <cellStyle name="Comma 18 4 3" xfId="43793"/>
    <cellStyle name="Comma 18 4 3 2" xfId="43794"/>
    <cellStyle name="Comma 18 4 3 2 2" xfId="43795"/>
    <cellStyle name="Comma 18 4 3 2 2 2" xfId="43796"/>
    <cellStyle name="Comma 18 4 3 2 2 3" xfId="43797"/>
    <cellStyle name="Comma 18 4 3 2 3" xfId="43798"/>
    <cellStyle name="Comma 18 4 3 2 3 2" xfId="43799"/>
    <cellStyle name="Comma 18 4 3 2 3 3" xfId="43800"/>
    <cellStyle name="Comma 18 4 3 2 4" xfId="43801"/>
    <cellStyle name="Comma 18 4 3 2 4 2" xfId="43802"/>
    <cellStyle name="Comma 18 4 3 2 5" xfId="43803"/>
    <cellStyle name="Comma 18 4 3 2 6" xfId="43804"/>
    <cellStyle name="Comma 18 4 3 3" xfId="43805"/>
    <cellStyle name="Comma 18 4 3 3 2" xfId="43806"/>
    <cellStyle name="Comma 18 4 3 3 2 2" xfId="43807"/>
    <cellStyle name="Comma 18 4 3 3 2 3" xfId="43808"/>
    <cellStyle name="Comma 18 4 3 3 3" xfId="43809"/>
    <cellStyle name="Comma 18 4 3 3 3 2" xfId="43810"/>
    <cellStyle name="Comma 18 4 3 3 3 3" xfId="43811"/>
    <cellStyle name="Comma 18 4 3 3 4" xfId="43812"/>
    <cellStyle name="Comma 18 4 3 3 4 2" xfId="43813"/>
    <cellStyle name="Comma 18 4 3 3 5" xfId="43814"/>
    <cellStyle name="Comma 18 4 3 3 6" xfId="43815"/>
    <cellStyle name="Comma 18 4 3 4" xfId="43816"/>
    <cellStyle name="Comma 18 4 3 4 2" xfId="43817"/>
    <cellStyle name="Comma 18 4 3 4 2 2" xfId="43818"/>
    <cellStyle name="Comma 18 4 3 4 2 3" xfId="43819"/>
    <cellStyle name="Comma 18 4 3 4 3" xfId="43820"/>
    <cellStyle name="Comma 18 4 3 4 3 2" xfId="43821"/>
    <cellStyle name="Comma 18 4 3 4 4" xfId="43822"/>
    <cellStyle name="Comma 18 4 3 4 5" xfId="43823"/>
    <cellStyle name="Comma 18 4 3 5" xfId="43824"/>
    <cellStyle name="Comma 18 4 3 5 2" xfId="43825"/>
    <cellStyle name="Comma 18 4 3 5 3" xfId="43826"/>
    <cellStyle name="Comma 18 4 3 6" xfId="43827"/>
    <cellStyle name="Comma 18 4 3 6 2" xfId="43828"/>
    <cellStyle name="Comma 18 4 3 6 3" xfId="43829"/>
    <cellStyle name="Comma 18 4 3 7" xfId="43830"/>
    <cellStyle name="Comma 18 4 3 7 2" xfId="43831"/>
    <cellStyle name="Comma 18 4 3 8" xfId="43832"/>
    <cellStyle name="Comma 18 4 3 9" xfId="43833"/>
    <cellStyle name="Comma 18 4 4" xfId="43834"/>
    <cellStyle name="Comma 18 4 4 2" xfId="43835"/>
    <cellStyle name="Comma 18 4 4 2 2" xfId="43836"/>
    <cellStyle name="Comma 18 4 4 2 2 2" xfId="43837"/>
    <cellStyle name="Comma 18 4 4 2 2 3" xfId="43838"/>
    <cellStyle name="Comma 18 4 4 2 3" xfId="43839"/>
    <cellStyle name="Comma 18 4 4 2 3 2" xfId="43840"/>
    <cellStyle name="Comma 18 4 4 2 3 3" xfId="43841"/>
    <cellStyle name="Comma 18 4 4 2 4" xfId="43842"/>
    <cellStyle name="Comma 18 4 4 2 4 2" xfId="43843"/>
    <cellStyle name="Comma 18 4 4 2 5" xfId="43844"/>
    <cellStyle name="Comma 18 4 4 2 6" xfId="43845"/>
    <cellStyle name="Comma 18 4 4 3" xfId="43846"/>
    <cellStyle name="Comma 18 4 4 3 2" xfId="43847"/>
    <cellStyle name="Comma 18 4 4 3 2 2" xfId="43848"/>
    <cellStyle name="Comma 18 4 4 3 2 3" xfId="43849"/>
    <cellStyle name="Comma 18 4 4 3 3" xfId="43850"/>
    <cellStyle name="Comma 18 4 4 3 3 2" xfId="43851"/>
    <cellStyle name="Comma 18 4 4 3 3 3" xfId="43852"/>
    <cellStyle name="Comma 18 4 4 3 4" xfId="43853"/>
    <cellStyle name="Comma 18 4 4 3 4 2" xfId="43854"/>
    <cellStyle name="Comma 18 4 4 3 5" xfId="43855"/>
    <cellStyle name="Comma 18 4 4 3 6" xfId="43856"/>
    <cellStyle name="Comma 18 4 4 4" xfId="43857"/>
    <cellStyle name="Comma 18 4 4 4 2" xfId="43858"/>
    <cellStyle name="Comma 18 4 4 4 2 2" xfId="43859"/>
    <cellStyle name="Comma 18 4 4 4 2 3" xfId="43860"/>
    <cellStyle name="Comma 18 4 4 4 3" xfId="43861"/>
    <cellStyle name="Comma 18 4 4 4 3 2" xfId="43862"/>
    <cellStyle name="Comma 18 4 4 4 4" xfId="43863"/>
    <cellStyle name="Comma 18 4 4 4 5" xfId="43864"/>
    <cellStyle name="Comma 18 4 4 5" xfId="43865"/>
    <cellStyle name="Comma 18 4 4 5 2" xfId="43866"/>
    <cellStyle name="Comma 18 4 4 5 3" xfId="43867"/>
    <cellStyle name="Comma 18 4 4 6" xfId="43868"/>
    <cellStyle name="Comma 18 4 4 6 2" xfId="43869"/>
    <cellStyle name="Comma 18 4 4 6 3" xfId="43870"/>
    <cellStyle name="Comma 18 4 4 7" xfId="43871"/>
    <cellStyle name="Comma 18 4 4 7 2" xfId="43872"/>
    <cellStyle name="Comma 18 4 4 8" xfId="43873"/>
    <cellStyle name="Comma 18 4 4 9" xfId="43874"/>
    <cellStyle name="Comma 18 4 5" xfId="43875"/>
    <cellStyle name="Comma 18 4 5 2" xfId="43876"/>
    <cellStyle name="Comma 18 4 5 2 2" xfId="43877"/>
    <cellStyle name="Comma 18 4 5 2 3" xfId="43878"/>
    <cellStyle name="Comma 18 4 5 3" xfId="43879"/>
    <cellStyle name="Comma 18 4 5 3 2" xfId="43880"/>
    <cellStyle name="Comma 18 4 5 3 3" xfId="43881"/>
    <cellStyle name="Comma 18 4 5 4" xfId="43882"/>
    <cellStyle name="Comma 18 4 5 4 2" xfId="43883"/>
    <cellStyle name="Comma 18 4 5 5" xfId="43884"/>
    <cellStyle name="Comma 18 4 5 6" xfId="43885"/>
    <cellStyle name="Comma 18 4 6" xfId="43886"/>
    <cellStyle name="Comma 18 4 6 2" xfId="43887"/>
    <cellStyle name="Comma 18 4 6 2 2" xfId="43888"/>
    <cellStyle name="Comma 18 4 6 2 3" xfId="43889"/>
    <cellStyle name="Comma 18 4 6 3" xfId="43890"/>
    <cellStyle name="Comma 18 4 6 3 2" xfId="43891"/>
    <cellStyle name="Comma 18 4 6 3 3" xfId="43892"/>
    <cellStyle name="Comma 18 4 6 4" xfId="43893"/>
    <cellStyle name="Comma 18 4 6 4 2" xfId="43894"/>
    <cellStyle name="Comma 18 4 6 5" xfId="43895"/>
    <cellStyle name="Comma 18 4 6 6" xfId="43896"/>
    <cellStyle name="Comma 18 4 7" xfId="43897"/>
    <cellStyle name="Comma 18 4 7 2" xfId="43898"/>
    <cellStyle name="Comma 18 4 7 2 2" xfId="43899"/>
    <cellStyle name="Comma 18 4 7 2 3" xfId="43900"/>
    <cellStyle name="Comma 18 4 7 3" xfId="43901"/>
    <cellStyle name="Comma 18 4 7 3 2" xfId="43902"/>
    <cellStyle name="Comma 18 4 7 4" xfId="43903"/>
    <cellStyle name="Comma 18 4 7 5" xfId="43904"/>
    <cellStyle name="Comma 18 4 8" xfId="43905"/>
    <cellStyle name="Comma 18 4 8 2" xfId="43906"/>
    <cellStyle name="Comma 18 4 8 3" xfId="43907"/>
    <cellStyle name="Comma 18 4 9" xfId="43908"/>
    <cellStyle name="Comma 18 4 9 2" xfId="43909"/>
    <cellStyle name="Comma 18 4 9 3" xfId="43910"/>
    <cellStyle name="Comma 18 5" xfId="43911"/>
    <cellStyle name="Comma 18 5 10" xfId="43912"/>
    <cellStyle name="Comma 18 5 2" xfId="43913"/>
    <cellStyle name="Comma 18 5 2 2" xfId="43914"/>
    <cellStyle name="Comma 18 5 2 2 2" xfId="43915"/>
    <cellStyle name="Comma 18 5 2 2 2 2" xfId="43916"/>
    <cellStyle name="Comma 18 5 2 2 2 3" xfId="43917"/>
    <cellStyle name="Comma 18 5 2 2 3" xfId="43918"/>
    <cellStyle name="Comma 18 5 2 2 3 2" xfId="43919"/>
    <cellStyle name="Comma 18 5 2 2 3 3" xfId="43920"/>
    <cellStyle name="Comma 18 5 2 2 4" xfId="43921"/>
    <cellStyle name="Comma 18 5 2 2 4 2" xfId="43922"/>
    <cellStyle name="Comma 18 5 2 2 5" xfId="43923"/>
    <cellStyle name="Comma 18 5 2 2 6" xfId="43924"/>
    <cellStyle name="Comma 18 5 2 3" xfId="43925"/>
    <cellStyle name="Comma 18 5 2 3 2" xfId="43926"/>
    <cellStyle name="Comma 18 5 2 3 2 2" xfId="43927"/>
    <cellStyle name="Comma 18 5 2 3 2 3" xfId="43928"/>
    <cellStyle name="Comma 18 5 2 3 3" xfId="43929"/>
    <cellStyle name="Comma 18 5 2 3 3 2" xfId="43930"/>
    <cellStyle name="Comma 18 5 2 3 3 3" xfId="43931"/>
    <cellStyle name="Comma 18 5 2 3 4" xfId="43932"/>
    <cellStyle name="Comma 18 5 2 3 4 2" xfId="43933"/>
    <cellStyle name="Comma 18 5 2 3 5" xfId="43934"/>
    <cellStyle name="Comma 18 5 2 3 6" xfId="43935"/>
    <cellStyle name="Comma 18 5 2 4" xfId="43936"/>
    <cellStyle name="Comma 18 5 2 4 2" xfId="43937"/>
    <cellStyle name="Comma 18 5 2 4 2 2" xfId="43938"/>
    <cellStyle name="Comma 18 5 2 4 2 3" xfId="43939"/>
    <cellStyle name="Comma 18 5 2 4 3" xfId="43940"/>
    <cellStyle name="Comma 18 5 2 4 3 2" xfId="43941"/>
    <cellStyle name="Comma 18 5 2 4 4" xfId="43942"/>
    <cellStyle name="Comma 18 5 2 4 5" xfId="43943"/>
    <cellStyle name="Comma 18 5 2 5" xfId="43944"/>
    <cellStyle name="Comma 18 5 2 5 2" xfId="43945"/>
    <cellStyle name="Comma 18 5 2 5 3" xfId="43946"/>
    <cellStyle name="Comma 18 5 2 6" xfId="43947"/>
    <cellStyle name="Comma 18 5 2 6 2" xfId="43948"/>
    <cellStyle name="Comma 18 5 2 6 3" xfId="43949"/>
    <cellStyle name="Comma 18 5 2 7" xfId="43950"/>
    <cellStyle name="Comma 18 5 2 7 2" xfId="43951"/>
    <cellStyle name="Comma 18 5 2 8" xfId="43952"/>
    <cellStyle name="Comma 18 5 2 9" xfId="43953"/>
    <cellStyle name="Comma 18 5 3" xfId="43954"/>
    <cellStyle name="Comma 18 5 3 2" xfId="43955"/>
    <cellStyle name="Comma 18 5 3 2 2" xfId="43956"/>
    <cellStyle name="Comma 18 5 3 2 3" xfId="43957"/>
    <cellStyle name="Comma 18 5 3 3" xfId="43958"/>
    <cellStyle name="Comma 18 5 3 3 2" xfId="43959"/>
    <cellStyle name="Comma 18 5 3 3 3" xfId="43960"/>
    <cellStyle name="Comma 18 5 3 4" xfId="43961"/>
    <cellStyle name="Comma 18 5 3 4 2" xfId="43962"/>
    <cellStyle name="Comma 18 5 3 5" xfId="43963"/>
    <cellStyle name="Comma 18 5 3 6" xfId="43964"/>
    <cellStyle name="Comma 18 5 4" xfId="43965"/>
    <cellStyle name="Comma 18 5 4 2" xfId="43966"/>
    <cellStyle name="Comma 18 5 4 2 2" xfId="43967"/>
    <cellStyle name="Comma 18 5 4 2 3" xfId="43968"/>
    <cellStyle name="Comma 18 5 4 3" xfId="43969"/>
    <cellStyle name="Comma 18 5 4 3 2" xfId="43970"/>
    <cellStyle name="Comma 18 5 4 3 3" xfId="43971"/>
    <cellStyle name="Comma 18 5 4 4" xfId="43972"/>
    <cellStyle name="Comma 18 5 4 4 2" xfId="43973"/>
    <cellStyle name="Comma 18 5 4 5" xfId="43974"/>
    <cellStyle name="Comma 18 5 4 6" xfId="43975"/>
    <cellStyle name="Comma 18 5 5" xfId="43976"/>
    <cellStyle name="Comma 18 5 5 2" xfId="43977"/>
    <cellStyle name="Comma 18 5 5 2 2" xfId="43978"/>
    <cellStyle name="Comma 18 5 5 2 3" xfId="43979"/>
    <cellStyle name="Comma 18 5 5 3" xfId="43980"/>
    <cellStyle name="Comma 18 5 5 3 2" xfId="43981"/>
    <cellStyle name="Comma 18 5 5 4" xfId="43982"/>
    <cellStyle name="Comma 18 5 5 5" xfId="43983"/>
    <cellStyle name="Comma 18 5 6" xfId="43984"/>
    <cellStyle name="Comma 18 5 6 2" xfId="43985"/>
    <cellStyle name="Comma 18 5 6 3" xfId="43986"/>
    <cellStyle name="Comma 18 5 7" xfId="43987"/>
    <cellStyle name="Comma 18 5 7 2" xfId="43988"/>
    <cellStyle name="Comma 18 5 7 3" xfId="43989"/>
    <cellStyle name="Comma 18 5 8" xfId="43990"/>
    <cellStyle name="Comma 18 5 8 2" xfId="43991"/>
    <cellStyle name="Comma 18 5 9" xfId="43992"/>
    <cellStyle name="Comma 18 6" xfId="43993"/>
    <cellStyle name="Comma 18 6 2" xfId="43994"/>
    <cellStyle name="Comma 18 6 2 2" xfId="43995"/>
    <cellStyle name="Comma 18 6 2 2 2" xfId="43996"/>
    <cellStyle name="Comma 18 6 2 2 3" xfId="43997"/>
    <cellStyle name="Comma 18 6 2 3" xfId="43998"/>
    <cellStyle name="Comma 18 6 2 3 2" xfId="43999"/>
    <cellStyle name="Comma 18 6 2 3 3" xfId="44000"/>
    <cellStyle name="Comma 18 6 2 4" xfId="44001"/>
    <cellStyle name="Comma 18 6 2 4 2" xfId="44002"/>
    <cellStyle name="Comma 18 6 2 5" xfId="44003"/>
    <cellStyle name="Comma 18 6 2 6" xfId="44004"/>
    <cellStyle name="Comma 18 6 3" xfId="44005"/>
    <cellStyle name="Comma 18 6 3 2" xfId="44006"/>
    <cellStyle name="Comma 18 6 3 2 2" xfId="44007"/>
    <cellStyle name="Comma 18 6 3 2 3" xfId="44008"/>
    <cellStyle name="Comma 18 6 3 3" xfId="44009"/>
    <cellStyle name="Comma 18 6 3 3 2" xfId="44010"/>
    <cellStyle name="Comma 18 6 3 3 3" xfId="44011"/>
    <cellStyle name="Comma 18 6 3 4" xfId="44012"/>
    <cellStyle name="Comma 18 6 3 4 2" xfId="44013"/>
    <cellStyle name="Comma 18 6 3 5" xfId="44014"/>
    <cellStyle name="Comma 18 6 3 6" xfId="44015"/>
    <cellStyle name="Comma 18 6 4" xfId="44016"/>
    <cellStyle name="Comma 18 6 4 2" xfId="44017"/>
    <cellStyle name="Comma 18 6 4 2 2" xfId="44018"/>
    <cellStyle name="Comma 18 6 4 2 3" xfId="44019"/>
    <cellStyle name="Comma 18 6 4 3" xfId="44020"/>
    <cellStyle name="Comma 18 6 4 3 2" xfId="44021"/>
    <cellStyle name="Comma 18 6 4 4" xfId="44022"/>
    <cellStyle name="Comma 18 6 4 5" xfId="44023"/>
    <cellStyle name="Comma 18 6 5" xfId="44024"/>
    <cellStyle name="Comma 18 6 5 2" xfId="44025"/>
    <cellStyle name="Comma 18 6 5 3" xfId="44026"/>
    <cellStyle name="Comma 18 6 6" xfId="44027"/>
    <cellStyle name="Comma 18 6 6 2" xfId="44028"/>
    <cellStyle name="Comma 18 6 6 3" xfId="44029"/>
    <cellStyle name="Comma 18 6 7" xfId="44030"/>
    <cellStyle name="Comma 18 6 7 2" xfId="44031"/>
    <cellStyle name="Comma 18 6 8" xfId="44032"/>
    <cellStyle name="Comma 18 6 9" xfId="44033"/>
    <cellStyle name="Comma 18 7" xfId="44034"/>
    <cellStyle name="Comma 18 7 2" xfId="44035"/>
    <cellStyle name="Comma 18 7 2 2" xfId="44036"/>
    <cellStyle name="Comma 18 7 2 2 2" xfId="44037"/>
    <cellStyle name="Comma 18 7 2 2 3" xfId="44038"/>
    <cellStyle name="Comma 18 7 2 3" xfId="44039"/>
    <cellStyle name="Comma 18 7 2 3 2" xfId="44040"/>
    <cellStyle name="Comma 18 7 2 3 3" xfId="44041"/>
    <cellStyle name="Comma 18 7 2 4" xfId="44042"/>
    <cellStyle name="Comma 18 7 2 4 2" xfId="44043"/>
    <cellStyle name="Comma 18 7 2 5" xfId="44044"/>
    <cellStyle name="Comma 18 7 2 6" xfId="44045"/>
    <cellStyle name="Comma 18 7 3" xfId="44046"/>
    <cellStyle name="Comma 18 7 3 2" xfId="44047"/>
    <cellStyle name="Comma 18 7 3 2 2" xfId="44048"/>
    <cellStyle name="Comma 18 7 3 2 3" xfId="44049"/>
    <cellStyle name="Comma 18 7 3 3" xfId="44050"/>
    <cellStyle name="Comma 18 7 3 3 2" xfId="44051"/>
    <cellStyle name="Comma 18 7 3 3 3" xfId="44052"/>
    <cellStyle name="Comma 18 7 3 4" xfId="44053"/>
    <cellStyle name="Comma 18 7 3 4 2" xfId="44054"/>
    <cellStyle name="Comma 18 7 3 5" xfId="44055"/>
    <cellStyle name="Comma 18 7 3 6" xfId="44056"/>
    <cellStyle name="Comma 18 7 4" xfId="44057"/>
    <cellStyle name="Comma 18 7 4 2" xfId="44058"/>
    <cellStyle name="Comma 18 7 4 2 2" xfId="44059"/>
    <cellStyle name="Comma 18 7 4 2 3" xfId="44060"/>
    <cellStyle name="Comma 18 7 4 3" xfId="44061"/>
    <cellStyle name="Comma 18 7 4 3 2" xfId="44062"/>
    <cellStyle name="Comma 18 7 4 4" xfId="44063"/>
    <cellStyle name="Comma 18 7 4 5" xfId="44064"/>
    <cellStyle name="Comma 18 7 5" xfId="44065"/>
    <cellStyle name="Comma 18 7 5 2" xfId="44066"/>
    <cellStyle name="Comma 18 7 5 3" xfId="44067"/>
    <cellStyle name="Comma 18 7 6" xfId="44068"/>
    <cellStyle name="Comma 18 7 6 2" xfId="44069"/>
    <cellStyle name="Comma 18 7 6 3" xfId="44070"/>
    <cellStyle name="Comma 18 7 7" xfId="44071"/>
    <cellStyle name="Comma 18 7 7 2" xfId="44072"/>
    <cellStyle name="Comma 18 7 8" xfId="44073"/>
    <cellStyle name="Comma 18 7 9" xfId="44074"/>
    <cellStyle name="Comma 18 8" xfId="44075"/>
    <cellStyle name="Comma 18 8 2" xfId="44076"/>
    <cellStyle name="Comma 18 8 2 2" xfId="44077"/>
    <cellStyle name="Comma 18 8 2 3" xfId="44078"/>
    <cellStyle name="Comma 18 8 3" xfId="44079"/>
    <cellStyle name="Comma 18 8 3 2" xfId="44080"/>
    <cellStyle name="Comma 18 8 3 3" xfId="44081"/>
    <cellStyle name="Comma 18 8 4" xfId="44082"/>
    <cellStyle name="Comma 18 8 4 2" xfId="44083"/>
    <cellStyle name="Comma 18 8 5" xfId="44084"/>
    <cellStyle name="Comma 18 8 6" xfId="44085"/>
    <cellStyle name="Comma 18 9" xfId="44086"/>
    <cellStyle name="Comma 18 9 2" xfId="44087"/>
    <cellStyle name="Comma 18 9 2 2" xfId="44088"/>
    <cellStyle name="Comma 18 9 2 3" xfId="44089"/>
    <cellStyle name="Comma 18 9 3" xfId="44090"/>
    <cellStyle name="Comma 18 9 3 2" xfId="44091"/>
    <cellStyle name="Comma 18 9 3 3" xfId="44092"/>
    <cellStyle name="Comma 18 9 4" xfId="44093"/>
    <cellStyle name="Comma 18 9 4 2" xfId="44094"/>
    <cellStyle name="Comma 18 9 5" xfId="44095"/>
    <cellStyle name="Comma 18 9 6" xfId="44096"/>
    <cellStyle name="Comma 19" xfId="3249"/>
    <cellStyle name="Comma 19 2" xfId="3250"/>
    <cellStyle name="Comma 19 2 2" xfId="44097"/>
    <cellStyle name="Comma 19 2 2 2" xfId="44098"/>
    <cellStyle name="Comma 19 2 3" xfId="44099"/>
    <cellStyle name="Comma 19 3" xfId="44100"/>
    <cellStyle name="Comma 19 3 2" xfId="44101"/>
    <cellStyle name="Comma 19 4" xfId="44102"/>
    <cellStyle name="Comma 19 4 2" xfId="44103"/>
    <cellStyle name="Comma 19 5" xfId="44104"/>
    <cellStyle name="Comma 19 6" xfId="44105"/>
    <cellStyle name="Comma 2" xfId="3251"/>
    <cellStyle name="Comma 2 10" xfId="3252"/>
    <cellStyle name="Comma 2 10 2" xfId="3253"/>
    <cellStyle name="Comma 2 10 2 2" xfId="3254"/>
    <cellStyle name="Comma 2 10 2 2 2" xfId="58471"/>
    <cellStyle name="Comma 2 10 2 3" xfId="58472"/>
    <cellStyle name="Comma 2 10 2 4" xfId="58473"/>
    <cellStyle name="Comma 2 10 2 5" xfId="58474"/>
    <cellStyle name="Comma 2 10 3" xfId="3255"/>
    <cellStyle name="Comma 2 10 3 2" xfId="58475"/>
    <cellStyle name="Comma 2 10 3 2 2" xfId="58476"/>
    <cellStyle name="Comma 2 10 3 3" xfId="58477"/>
    <cellStyle name="Comma 2 10 3 4" xfId="58478"/>
    <cellStyle name="Comma 2 10 3 5" xfId="58479"/>
    <cellStyle name="Comma 2 10 4" xfId="58480"/>
    <cellStyle name="Comma 2 11" xfId="3256"/>
    <cellStyle name="Comma 2 11 2" xfId="3257"/>
    <cellStyle name="Comma 2 11 2 2" xfId="58481"/>
    <cellStyle name="Comma 2 11 2 2 2" xfId="58482"/>
    <cellStyle name="Comma 2 11 2 3" xfId="58483"/>
    <cellStyle name="Comma 2 11 2 4" xfId="58484"/>
    <cellStyle name="Comma 2 11 2 5" xfId="58485"/>
    <cellStyle name="Comma 2 11 2 6" xfId="58486"/>
    <cellStyle name="Comma 2 11 3" xfId="58487"/>
    <cellStyle name="Comma 2 12" xfId="3258"/>
    <cellStyle name="Comma 2 12 2" xfId="3259"/>
    <cellStyle name="Comma 2 12 3" xfId="58488"/>
    <cellStyle name="Comma 2 13" xfId="3260"/>
    <cellStyle name="Comma 2 13 2" xfId="58489"/>
    <cellStyle name="Comma 2 14" xfId="3261"/>
    <cellStyle name="Comma 2 14 2" xfId="58490"/>
    <cellStyle name="Comma 2 15" xfId="3262"/>
    <cellStyle name="Comma 2 15 2" xfId="58491"/>
    <cellStyle name="Comma 2 16" xfId="61976"/>
    <cellStyle name="Comma 2 2" xfId="2"/>
    <cellStyle name="Comma 2 2 2" xfId="3263"/>
    <cellStyle name="Comma 2 2 2 2" xfId="3264"/>
    <cellStyle name="Comma 2 2 2 2 2" xfId="3265"/>
    <cellStyle name="Comma 2 2 2 2 2 2" xfId="58492"/>
    <cellStyle name="Comma 2 2 2 2 2 2 2" xfId="58493"/>
    <cellStyle name="Comma 2 2 2 2 2 3" xfId="58494"/>
    <cellStyle name="Comma 2 2 2 2 2 4" xfId="58495"/>
    <cellStyle name="Comma 2 2 2 2 3" xfId="44106"/>
    <cellStyle name="Comma 2 2 2 2 3 2" xfId="58496"/>
    <cellStyle name="Comma 2 2 2 2 4" xfId="58497"/>
    <cellStyle name="Comma 2 2 2 2 5" xfId="58498"/>
    <cellStyle name="Comma 2 2 2 2 6" xfId="58499"/>
    <cellStyle name="Comma 2 2 2 3" xfId="3266"/>
    <cellStyle name="Comma 2 2 2 3 2" xfId="44107"/>
    <cellStyle name="Comma 2 2 2 3 2 2" xfId="58500"/>
    <cellStyle name="Comma 2 2 2 3 3" xfId="58501"/>
    <cellStyle name="Comma 2 2 2 3 4" xfId="58502"/>
    <cellStyle name="Comma 2 2 2 4" xfId="3267"/>
    <cellStyle name="Comma 2 2 2 4 2" xfId="58503"/>
    <cellStyle name="Comma 2 2 2 5" xfId="44108"/>
    <cellStyle name="Comma 2 2 2 5 2" xfId="58504"/>
    <cellStyle name="Comma 2 2 2 6" xfId="58505"/>
    <cellStyle name="Comma 2 2 2 7" xfId="58506"/>
    <cellStyle name="Comma 2 2 2 8" xfId="58507"/>
    <cellStyle name="Comma 2 2 3" xfId="3268"/>
    <cellStyle name="Comma 2 2 3 2" xfId="8229"/>
    <cellStyle name="Comma 2 2 3 2 2" xfId="44109"/>
    <cellStyle name="Comma 2 2 3 3" xfId="44110"/>
    <cellStyle name="Comma 2 2 3 3 2" xfId="44111"/>
    <cellStyle name="Comma 2 2 4" xfId="9606"/>
    <cellStyle name="Comma 2 2 4 2" xfId="44112"/>
    <cellStyle name="Comma 2 2 4 2 2" xfId="44113"/>
    <cellStyle name="Comma 2 2 4 3" xfId="44114"/>
    <cellStyle name="Comma 2 2 5" xfId="44115"/>
    <cellStyle name="Comma 2 2 5 2" xfId="44116"/>
    <cellStyle name="Comma 2 2 6" xfId="44117"/>
    <cellStyle name="Comma 2 2 6 2" xfId="44118"/>
    <cellStyle name="Comma 2 3" xfId="3269"/>
    <cellStyle name="Comma 2 3 2" xfId="3270"/>
    <cellStyle name="Comma 2 3 2 2" xfId="3271"/>
    <cellStyle name="Comma 2 3 2 2 2" xfId="3272"/>
    <cellStyle name="Comma 2 3 2 2 2 2" xfId="3273"/>
    <cellStyle name="Comma 2 3 2 2 2 2 2" xfId="3274"/>
    <cellStyle name="Comma 2 3 2 2 2 3" xfId="3275"/>
    <cellStyle name="Comma 2 3 2 2 3" xfId="3276"/>
    <cellStyle name="Comma 2 3 2 2 3 2" xfId="3277"/>
    <cellStyle name="Comma 2 3 2 2 4" xfId="3278"/>
    <cellStyle name="Comma 2 3 2 2 5" xfId="3279"/>
    <cellStyle name="Comma 2 3 2 2 6" xfId="58508"/>
    <cellStyle name="Comma 2 3 2 3" xfId="3280"/>
    <cellStyle name="Comma 2 3 2 3 2" xfId="3281"/>
    <cellStyle name="Comma 2 3 2 3 2 2" xfId="3282"/>
    <cellStyle name="Comma 2 3 2 3 3" xfId="3283"/>
    <cellStyle name="Comma 2 3 2 3 4" xfId="3284"/>
    <cellStyle name="Comma 2 3 2 4" xfId="3285"/>
    <cellStyle name="Comma 2 3 2 4 2" xfId="3286"/>
    <cellStyle name="Comma 2 3 2 5" xfId="3287"/>
    <cellStyle name="Comma 2 3 2 5 2" xfId="58509"/>
    <cellStyle name="Comma 2 3 2 6" xfId="3288"/>
    <cellStyle name="Comma 2 3 2 7" xfId="58510"/>
    <cellStyle name="Comma 2 3 2 8" xfId="58511"/>
    <cellStyle name="Comma 2 3 3" xfId="3289"/>
    <cellStyle name="Comma 2 3 3 2" xfId="3290"/>
    <cellStyle name="Comma 2 3 3 2 2" xfId="3291"/>
    <cellStyle name="Comma 2 3 3 2 2 2" xfId="3292"/>
    <cellStyle name="Comma 2 3 3 2 3" xfId="3293"/>
    <cellStyle name="Comma 2 3 3 3" xfId="3294"/>
    <cellStyle name="Comma 2 3 3 3 2" xfId="3295"/>
    <cellStyle name="Comma 2 3 3 4" xfId="3296"/>
    <cellStyle name="Comma 2 3 3 5" xfId="3297"/>
    <cellStyle name="Comma 2 3 3 6" xfId="58512"/>
    <cellStyle name="Comma 2 3 4" xfId="3298"/>
    <cellStyle name="Comma 2 3 4 2" xfId="3299"/>
    <cellStyle name="Comma 2 3 4 2 2" xfId="3300"/>
    <cellStyle name="Comma 2 3 4 3" xfId="3301"/>
    <cellStyle name="Comma 2 3 4 4" xfId="3302"/>
    <cellStyle name="Comma 2 3 5" xfId="3303"/>
    <cellStyle name="Comma 2 3 5 2" xfId="3304"/>
    <cellStyle name="Comma 2 3 6" xfId="3305"/>
    <cellStyle name="Comma 2 3 7" xfId="3306"/>
    <cellStyle name="Comma 2 3 8" xfId="9050"/>
    <cellStyle name="Comma 2 4" xfId="3307"/>
    <cellStyle name="Comma 2 4 2" xfId="3308"/>
    <cellStyle name="Comma 2 4 2 10" xfId="58513"/>
    <cellStyle name="Comma 2 4 2 2" xfId="3309"/>
    <cellStyle name="Comma 2 4 2 2 2" xfId="3310"/>
    <cellStyle name="Comma 2 4 2 2 2 2" xfId="3311"/>
    <cellStyle name="Comma 2 4 2 2 2 2 2" xfId="3312"/>
    <cellStyle name="Comma 2 4 2 2 2 2 2 2" xfId="8230"/>
    <cellStyle name="Comma 2 4 2 2 2 2 2 3" xfId="58514"/>
    <cellStyle name="Comma 2 4 2 2 2 2 3" xfId="8231"/>
    <cellStyle name="Comma 2 4 2 2 2 2 3 2" xfId="58515"/>
    <cellStyle name="Comma 2 4 2 2 2 2 4" xfId="58516"/>
    <cellStyle name="Comma 2 4 2 2 2 2 5" xfId="58517"/>
    <cellStyle name="Comma 2 4 2 2 2 3" xfId="3313"/>
    <cellStyle name="Comma 2 4 2 2 2 3 2" xfId="8232"/>
    <cellStyle name="Comma 2 4 2 2 2 3 3" xfId="58518"/>
    <cellStyle name="Comma 2 4 2 2 2 4" xfId="8233"/>
    <cellStyle name="Comma 2 4 2 2 2 4 2" xfId="58519"/>
    <cellStyle name="Comma 2 4 2 2 2 5" xfId="58520"/>
    <cellStyle name="Comma 2 4 2 2 2 6" xfId="58521"/>
    <cellStyle name="Comma 2 4 2 2 3" xfId="3314"/>
    <cellStyle name="Comma 2 4 2 2 3 2" xfId="3315"/>
    <cellStyle name="Comma 2 4 2 2 3 2 2" xfId="8234"/>
    <cellStyle name="Comma 2 4 2 2 3 2 2 2" xfId="58522"/>
    <cellStyle name="Comma 2 4 2 2 3 2 3" xfId="58523"/>
    <cellStyle name="Comma 2 4 2 2 3 2 4" xfId="58524"/>
    <cellStyle name="Comma 2 4 2 2 3 2 5" xfId="58525"/>
    <cellStyle name="Comma 2 4 2 2 3 3" xfId="8235"/>
    <cellStyle name="Comma 2 4 2 2 3 3 2" xfId="58526"/>
    <cellStyle name="Comma 2 4 2 2 3 4" xfId="58527"/>
    <cellStyle name="Comma 2 4 2 2 3 5" xfId="58528"/>
    <cellStyle name="Comma 2 4 2 2 3 6" xfId="58529"/>
    <cellStyle name="Comma 2 4 2 2 4" xfId="3316"/>
    <cellStyle name="Comma 2 4 2 2 4 2" xfId="8236"/>
    <cellStyle name="Comma 2 4 2 2 4 2 2" xfId="58530"/>
    <cellStyle name="Comma 2 4 2 2 4 3" xfId="58531"/>
    <cellStyle name="Comma 2 4 2 2 4 4" xfId="58532"/>
    <cellStyle name="Comma 2 4 2 2 4 5" xfId="58533"/>
    <cellStyle name="Comma 2 4 2 2 5" xfId="8237"/>
    <cellStyle name="Comma 2 4 2 2 5 2" xfId="8238"/>
    <cellStyle name="Comma 2 4 2 2 5 2 2" xfId="58534"/>
    <cellStyle name="Comma 2 4 2 2 5 3" xfId="58535"/>
    <cellStyle name="Comma 2 4 2 2 5 4" xfId="58536"/>
    <cellStyle name="Comma 2 4 2 2 5 5" xfId="58537"/>
    <cellStyle name="Comma 2 4 2 2 6" xfId="8239"/>
    <cellStyle name="Comma 2 4 2 2 6 2" xfId="58538"/>
    <cellStyle name="Comma 2 4 2 2 7" xfId="58539"/>
    <cellStyle name="Comma 2 4 2 2 8" xfId="58540"/>
    <cellStyle name="Comma 2 4 2 2 9" xfId="58541"/>
    <cellStyle name="Comma 2 4 2 3" xfId="3317"/>
    <cellStyle name="Comma 2 4 2 3 2" xfId="3318"/>
    <cellStyle name="Comma 2 4 2 3 2 2" xfId="3319"/>
    <cellStyle name="Comma 2 4 2 3 2 2 2" xfId="8240"/>
    <cellStyle name="Comma 2 4 2 3 2 2 3" xfId="58542"/>
    <cellStyle name="Comma 2 4 2 3 2 3" xfId="8241"/>
    <cellStyle name="Comma 2 4 2 3 2 3 2" xfId="58543"/>
    <cellStyle name="Comma 2 4 2 3 2 4" xfId="58544"/>
    <cellStyle name="Comma 2 4 2 3 2 5" xfId="58545"/>
    <cellStyle name="Comma 2 4 2 3 3" xfId="3320"/>
    <cellStyle name="Comma 2 4 2 3 3 2" xfId="8242"/>
    <cellStyle name="Comma 2 4 2 3 3 3" xfId="58546"/>
    <cellStyle name="Comma 2 4 2 3 4" xfId="8243"/>
    <cellStyle name="Comma 2 4 2 3 4 2" xfId="58547"/>
    <cellStyle name="Comma 2 4 2 3 5" xfId="58548"/>
    <cellStyle name="Comma 2 4 2 3 6" xfId="58549"/>
    <cellStyle name="Comma 2 4 2 4" xfId="3321"/>
    <cellStyle name="Comma 2 4 2 4 2" xfId="3322"/>
    <cellStyle name="Comma 2 4 2 4 2 2" xfId="8244"/>
    <cellStyle name="Comma 2 4 2 4 2 2 2" xfId="58550"/>
    <cellStyle name="Comma 2 4 2 4 2 3" xfId="58551"/>
    <cellStyle name="Comma 2 4 2 4 2 4" xfId="58552"/>
    <cellStyle name="Comma 2 4 2 4 2 5" xfId="58553"/>
    <cellStyle name="Comma 2 4 2 4 3" xfId="8245"/>
    <cellStyle name="Comma 2 4 2 4 3 2" xfId="58554"/>
    <cellStyle name="Comma 2 4 2 4 4" xfId="58555"/>
    <cellStyle name="Comma 2 4 2 4 5" xfId="58556"/>
    <cellStyle name="Comma 2 4 2 4 6" xfId="58557"/>
    <cellStyle name="Comma 2 4 2 5" xfId="3323"/>
    <cellStyle name="Comma 2 4 2 5 2" xfId="8246"/>
    <cellStyle name="Comma 2 4 2 5 2 2" xfId="58558"/>
    <cellStyle name="Comma 2 4 2 5 3" xfId="58559"/>
    <cellStyle name="Comma 2 4 2 5 4" xfId="58560"/>
    <cellStyle name="Comma 2 4 2 5 5" xfId="58561"/>
    <cellStyle name="Comma 2 4 2 6" xfId="8247"/>
    <cellStyle name="Comma 2 4 2 6 2" xfId="8248"/>
    <cellStyle name="Comma 2 4 2 6 2 2" xfId="58562"/>
    <cellStyle name="Comma 2 4 2 6 3" xfId="58563"/>
    <cellStyle name="Comma 2 4 2 6 4" xfId="58564"/>
    <cellStyle name="Comma 2 4 2 6 5" xfId="58565"/>
    <cellStyle name="Comma 2 4 2 7" xfId="8249"/>
    <cellStyle name="Comma 2 4 2 7 2" xfId="58566"/>
    <cellStyle name="Comma 2 4 2 8" xfId="44119"/>
    <cellStyle name="Comma 2 4 2 9" xfId="58567"/>
    <cellStyle name="Comma 2 4 3" xfId="3324"/>
    <cellStyle name="Comma 2 4 3 2" xfId="3325"/>
    <cellStyle name="Comma 2 4 3 2 2" xfId="3326"/>
    <cellStyle name="Comma 2 4 3 2 2 2" xfId="3327"/>
    <cellStyle name="Comma 2 4 3 2 2 2 2" xfId="8250"/>
    <cellStyle name="Comma 2 4 3 2 2 2 3" xfId="58568"/>
    <cellStyle name="Comma 2 4 3 2 2 3" xfId="8251"/>
    <cellStyle name="Comma 2 4 3 2 2 3 2" xfId="58569"/>
    <cellStyle name="Comma 2 4 3 2 2 4" xfId="58570"/>
    <cellStyle name="Comma 2 4 3 2 2 5" xfId="58571"/>
    <cellStyle name="Comma 2 4 3 2 3" xfId="3328"/>
    <cellStyle name="Comma 2 4 3 2 3 2" xfId="8252"/>
    <cellStyle name="Comma 2 4 3 2 3 3" xfId="58572"/>
    <cellStyle name="Comma 2 4 3 2 4" xfId="8253"/>
    <cellStyle name="Comma 2 4 3 2 4 2" xfId="58573"/>
    <cellStyle name="Comma 2 4 3 2 5" xfId="58574"/>
    <cellStyle name="Comma 2 4 3 2 6" xfId="58575"/>
    <cellStyle name="Comma 2 4 3 3" xfId="3329"/>
    <cellStyle name="Comma 2 4 3 3 2" xfId="3330"/>
    <cellStyle name="Comma 2 4 3 3 2 2" xfId="8254"/>
    <cellStyle name="Comma 2 4 3 3 2 2 2" xfId="58576"/>
    <cellStyle name="Comma 2 4 3 3 2 3" xfId="58577"/>
    <cellStyle name="Comma 2 4 3 3 2 4" xfId="58578"/>
    <cellStyle name="Comma 2 4 3 3 2 5" xfId="58579"/>
    <cellStyle name="Comma 2 4 3 3 3" xfId="8255"/>
    <cellStyle name="Comma 2 4 3 3 3 2" xfId="58580"/>
    <cellStyle name="Comma 2 4 3 3 4" xfId="58581"/>
    <cellStyle name="Comma 2 4 3 3 5" xfId="58582"/>
    <cellStyle name="Comma 2 4 3 3 6" xfId="58583"/>
    <cellStyle name="Comma 2 4 3 4" xfId="3331"/>
    <cellStyle name="Comma 2 4 3 4 2" xfId="8256"/>
    <cellStyle name="Comma 2 4 3 4 2 2" xfId="58584"/>
    <cellStyle name="Comma 2 4 3 4 3" xfId="58585"/>
    <cellStyle name="Comma 2 4 3 4 4" xfId="58586"/>
    <cellStyle name="Comma 2 4 3 4 5" xfId="58587"/>
    <cellStyle name="Comma 2 4 3 5" xfId="8257"/>
    <cellStyle name="Comma 2 4 3 5 2" xfId="8258"/>
    <cellStyle name="Comma 2 4 3 5 2 2" xfId="58588"/>
    <cellStyle name="Comma 2 4 3 5 3" xfId="58589"/>
    <cellStyle name="Comma 2 4 3 5 4" xfId="58590"/>
    <cellStyle name="Comma 2 4 3 5 5" xfId="58591"/>
    <cellStyle name="Comma 2 4 3 6" xfId="8259"/>
    <cellStyle name="Comma 2 4 3 6 2" xfId="58592"/>
    <cellStyle name="Comma 2 4 3 7" xfId="44120"/>
    <cellStyle name="Comma 2 4 3 8" xfId="58593"/>
    <cellStyle name="Comma 2 4 3 9" xfId="58594"/>
    <cellStyle name="Comma 2 4 4" xfId="3332"/>
    <cellStyle name="Comma 2 4 4 2" xfId="3333"/>
    <cellStyle name="Comma 2 4 4 2 2" xfId="3334"/>
    <cellStyle name="Comma 2 4 4 2 2 2" xfId="8260"/>
    <cellStyle name="Comma 2 4 4 2 2 3" xfId="58595"/>
    <cellStyle name="Comma 2 4 4 2 3" xfId="8261"/>
    <cellStyle name="Comma 2 4 4 2 3 2" xfId="58596"/>
    <cellStyle name="Comma 2 4 4 2 4" xfId="58597"/>
    <cellStyle name="Comma 2 4 4 2 5" xfId="58598"/>
    <cellStyle name="Comma 2 4 4 3" xfId="3335"/>
    <cellStyle name="Comma 2 4 4 3 2" xfId="8262"/>
    <cellStyle name="Comma 2 4 4 3 3" xfId="58599"/>
    <cellStyle name="Comma 2 4 4 4" xfId="8263"/>
    <cellStyle name="Comma 2 4 4 4 2" xfId="58600"/>
    <cellStyle name="Comma 2 4 4 5" xfId="58601"/>
    <cellStyle name="Comma 2 4 4 6" xfId="58602"/>
    <cellStyle name="Comma 2 4 5" xfId="3336"/>
    <cellStyle name="Comma 2 4 5 2" xfId="3337"/>
    <cellStyle name="Comma 2 4 5 2 2" xfId="8264"/>
    <cellStyle name="Comma 2 4 5 2 2 2" xfId="58603"/>
    <cellStyle name="Comma 2 4 5 2 3" xfId="58604"/>
    <cellStyle name="Comma 2 4 5 2 4" xfId="58605"/>
    <cellStyle name="Comma 2 4 5 2 5" xfId="58606"/>
    <cellStyle name="Comma 2 4 5 3" xfId="8265"/>
    <cellStyle name="Comma 2 4 5 3 2" xfId="58607"/>
    <cellStyle name="Comma 2 4 5 4" xfId="58608"/>
    <cellStyle name="Comma 2 4 5 5" xfId="58609"/>
    <cellStyle name="Comma 2 4 5 6" xfId="58610"/>
    <cellStyle name="Comma 2 4 6" xfId="3338"/>
    <cellStyle name="Comma 2 4 6 2" xfId="8266"/>
    <cellStyle name="Comma 2 4 6 2 2" xfId="58611"/>
    <cellStyle name="Comma 2 4 6 3" xfId="58612"/>
    <cellStyle name="Comma 2 4 6 4" xfId="58613"/>
    <cellStyle name="Comma 2 4 6 5" xfId="58614"/>
    <cellStyle name="Comma 2 4 7" xfId="8267"/>
    <cellStyle name="Comma 2 4 7 2" xfId="8268"/>
    <cellStyle name="Comma 2 4 7 2 2" xfId="58615"/>
    <cellStyle name="Comma 2 4 7 3" xfId="58616"/>
    <cellStyle name="Comma 2 4 7 4" xfId="58617"/>
    <cellStyle name="Comma 2 4 7 5" xfId="58618"/>
    <cellStyle name="Comma 2 4 8" xfId="8269"/>
    <cellStyle name="Comma 2 4 8 2" xfId="58619"/>
    <cellStyle name="Comma 2 4 8 2 2" xfId="58620"/>
    <cellStyle name="Comma 2 4 8 3" xfId="58621"/>
    <cellStyle name="Comma 2 4 8 4" xfId="58622"/>
    <cellStyle name="Comma 2 4 8 5" xfId="58623"/>
    <cellStyle name="Comma 2 4 9" xfId="58624"/>
    <cellStyle name="Comma 2 5" xfId="3339"/>
    <cellStyle name="Comma 2 5 2" xfId="3340"/>
    <cellStyle name="Comma 2 5 2 10" xfId="58625"/>
    <cellStyle name="Comma 2 5 2 2" xfId="3341"/>
    <cellStyle name="Comma 2 5 2 2 2" xfId="3342"/>
    <cellStyle name="Comma 2 5 2 2 2 2" xfId="3343"/>
    <cellStyle name="Comma 2 5 2 2 2 2 2" xfId="8270"/>
    <cellStyle name="Comma 2 5 2 2 2 2 2 2" xfId="8271"/>
    <cellStyle name="Comma 2 5 2 2 2 2 2 3" xfId="58626"/>
    <cellStyle name="Comma 2 5 2 2 2 2 3" xfId="8272"/>
    <cellStyle name="Comma 2 5 2 2 2 2 3 2" xfId="58627"/>
    <cellStyle name="Comma 2 5 2 2 2 2 4" xfId="58628"/>
    <cellStyle name="Comma 2 5 2 2 2 2 5" xfId="58629"/>
    <cellStyle name="Comma 2 5 2 2 2 3" xfId="8273"/>
    <cellStyle name="Comma 2 5 2 2 2 3 2" xfId="8274"/>
    <cellStyle name="Comma 2 5 2 2 2 3 3" xfId="58630"/>
    <cellStyle name="Comma 2 5 2 2 2 4" xfId="8275"/>
    <cellStyle name="Comma 2 5 2 2 2 4 2" xfId="58631"/>
    <cellStyle name="Comma 2 5 2 2 2 5" xfId="58632"/>
    <cellStyle name="Comma 2 5 2 2 2 6" xfId="58633"/>
    <cellStyle name="Comma 2 5 2 2 3" xfId="3344"/>
    <cellStyle name="Comma 2 5 2 2 3 2" xfId="8276"/>
    <cellStyle name="Comma 2 5 2 2 3 2 2" xfId="8277"/>
    <cellStyle name="Comma 2 5 2 2 3 2 2 2" xfId="58634"/>
    <cellStyle name="Comma 2 5 2 2 3 2 3" xfId="58635"/>
    <cellStyle name="Comma 2 5 2 2 3 2 4" xfId="58636"/>
    <cellStyle name="Comma 2 5 2 2 3 2 5" xfId="58637"/>
    <cellStyle name="Comma 2 5 2 2 3 3" xfId="8278"/>
    <cellStyle name="Comma 2 5 2 2 3 3 2" xfId="58638"/>
    <cellStyle name="Comma 2 5 2 2 3 4" xfId="58639"/>
    <cellStyle name="Comma 2 5 2 2 3 5" xfId="58640"/>
    <cellStyle name="Comma 2 5 2 2 3 6" xfId="58641"/>
    <cellStyle name="Comma 2 5 2 2 4" xfId="8279"/>
    <cellStyle name="Comma 2 5 2 2 4 2" xfId="8280"/>
    <cellStyle name="Comma 2 5 2 2 4 2 2" xfId="58642"/>
    <cellStyle name="Comma 2 5 2 2 4 3" xfId="58643"/>
    <cellStyle name="Comma 2 5 2 2 4 4" xfId="58644"/>
    <cellStyle name="Comma 2 5 2 2 4 5" xfId="58645"/>
    <cellStyle name="Comma 2 5 2 2 5" xfId="8281"/>
    <cellStyle name="Comma 2 5 2 2 5 2" xfId="8282"/>
    <cellStyle name="Comma 2 5 2 2 5 2 2" xfId="58646"/>
    <cellStyle name="Comma 2 5 2 2 5 3" xfId="58647"/>
    <cellStyle name="Comma 2 5 2 2 5 4" xfId="58648"/>
    <cellStyle name="Comma 2 5 2 2 5 5" xfId="58649"/>
    <cellStyle name="Comma 2 5 2 2 6" xfId="8283"/>
    <cellStyle name="Comma 2 5 2 2 6 2" xfId="58650"/>
    <cellStyle name="Comma 2 5 2 2 7" xfId="58651"/>
    <cellStyle name="Comma 2 5 2 2 8" xfId="58652"/>
    <cellStyle name="Comma 2 5 2 2 9" xfId="58653"/>
    <cellStyle name="Comma 2 5 2 3" xfId="3345"/>
    <cellStyle name="Comma 2 5 2 3 2" xfId="3346"/>
    <cellStyle name="Comma 2 5 2 3 2 2" xfId="8284"/>
    <cellStyle name="Comma 2 5 2 3 2 2 2" xfId="8285"/>
    <cellStyle name="Comma 2 5 2 3 2 2 3" xfId="58654"/>
    <cellStyle name="Comma 2 5 2 3 2 3" xfId="8286"/>
    <cellStyle name="Comma 2 5 2 3 2 3 2" xfId="58655"/>
    <cellStyle name="Comma 2 5 2 3 2 4" xfId="58656"/>
    <cellStyle name="Comma 2 5 2 3 2 5" xfId="58657"/>
    <cellStyle name="Comma 2 5 2 3 3" xfId="8287"/>
    <cellStyle name="Comma 2 5 2 3 3 2" xfId="8288"/>
    <cellStyle name="Comma 2 5 2 3 3 3" xfId="58658"/>
    <cellStyle name="Comma 2 5 2 3 4" xfId="8289"/>
    <cellStyle name="Comma 2 5 2 3 4 2" xfId="58659"/>
    <cellStyle name="Comma 2 5 2 3 5" xfId="58660"/>
    <cellStyle name="Comma 2 5 2 3 6" xfId="58661"/>
    <cellStyle name="Comma 2 5 2 4" xfId="3347"/>
    <cellStyle name="Comma 2 5 2 4 2" xfId="8290"/>
    <cellStyle name="Comma 2 5 2 4 2 2" xfId="8291"/>
    <cellStyle name="Comma 2 5 2 4 2 2 2" xfId="58662"/>
    <cellStyle name="Comma 2 5 2 4 2 3" xfId="58663"/>
    <cellStyle name="Comma 2 5 2 4 2 4" xfId="58664"/>
    <cellStyle name="Comma 2 5 2 4 2 5" xfId="58665"/>
    <cellStyle name="Comma 2 5 2 4 3" xfId="8292"/>
    <cellStyle name="Comma 2 5 2 4 3 2" xfId="58666"/>
    <cellStyle name="Comma 2 5 2 4 4" xfId="58667"/>
    <cellStyle name="Comma 2 5 2 4 5" xfId="58668"/>
    <cellStyle name="Comma 2 5 2 4 6" xfId="58669"/>
    <cellStyle name="Comma 2 5 2 5" xfId="8293"/>
    <cellStyle name="Comma 2 5 2 5 2" xfId="8294"/>
    <cellStyle name="Comma 2 5 2 5 2 2" xfId="58670"/>
    <cellStyle name="Comma 2 5 2 5 3" xfId="58671"/>
    <cellStyle name="Comma 2 5 2 5 4" xfId="58672"/>
    <cellStyle name="Comma 2 5 2 5 5" xfId="58673"/>
    <cellStyle name="Comma 2 5 2 6" xfId="8295"/>
    <cellStyle name="Comma 2 5 2 6 2" xfId="8296"/>
    <cellStyle name="Comma 2 5 2 6 2 2" xfId="58674"/>
    <cellStyle name="Comma 2 5 2 6 3" xfId="58675"/>
    <cellStyle name="Comma 2 5 2 6 4" xfId="58676"/>
    <cellStyle name="Comma 2 5 2 6 5" xfId="58677"/>
    <cellStyle name="Comma 2 5 2 7" xfId="8297"/>
    <cellStyle name="Comma 2 5 2 7 2" xfId="58678"/>
    <cellStyle name="Comma 2 5 2 8" xfId="44121"/>
    <cellStyle name="Comma 2 5 2 9" xfId="58679"/>
    <cellStyle name="Comma 2 5 3" xfId="3348"/>
    <cellStyle name="Comma 2 5 3 2" xfId="3349"/>
    <cellStyle name="Comma 2 5 3 2 2" xfId="3350"/>
    <cellStyle name="Comma 2 5 3 2 2 2" xfId="8298"/>
    <cellStyle name="Comma 2 5 3 2 2 2 2" xfId="8299"/>
    <cellStyle name="Comma 2 5 3 2 2 2 3" xfId="58680"/>
    <cellStyle name="Comma 2 5 3 2 2 3" xfId="8300"/>
    <cellStyle name="Comma 2 5 3 2 2 3 2" xfId="58681"/>
    <cellStyle name="Comma 2 5 3 2 2 4" xfId="58682"/>
    <cellStyle name="Comma 2 5 3 2 2 5" xfId="58683"/>
    <cellStyle name="Comma 2 5 3 2 3" xfId="8301"/>
    <cellStyle name="Comma 2 5 3 2 3 2" xfId="8302"/>
    <cellStyle name="Comma 2 5 3 2 3 3" xfId="58684"/>
    <cellStyle name="Comma 2 5 3 2 4" xfId="8303"/>
    <cellStyle name="Comma 2 5 3 2 4 2" xfId="58685"/>
    <cellStyle name="Comma 2 5 3 2 5" xfId="58686"/>
    <cellStyle name="Comma 2 5 3 2 6" xfId="58687"/>
    <cellStyle name="Comma 2 5 3 3" xfId="3351"/>
    <cellStyle name="Comma 2 5 3 3 2" xfId="8304"/>
    <cellStyle name="Comma 2 5 3 3 2 2" xfId="8305"/>
    <cellStyle name="Comma 2 5 3 3 2 2 2" xfId="58688"/>
    <cellStyle name="Comma 2 5 3 3 2 3" xfId="58689"/>
    <cellStyle name="Comma 2 5 3 3 2 4" xfId="58690"/>
    <cellStyle name="Comma 2 5 3 3 2 5" xfId="58691"/>
    <cellStyle name="Comma 2 5 3 3 3" xfId="8306"/>
    <cellStyle name="Comma 2 5 3 3 3 2" xfId="58692"/>
    <cellStyle name="Comma 2 5 3 3 4" xfId="58693"/>
    <cellStyle name="Comma 2 5 3 3 5" xfId="58694"/>
    <cellStyle name="Comma 2 5 3 3 6" xfId="58695"/>
    <cellStyle name="Comma 2 5 3 4" xfId="8307"/>
    <cellStyle name="Comma 2 5 3 4 2" xfId="8308"/>
    <cellStyle name="Comma 2 5 3 4 2 2" xfId="58696"/>
    <cellStyle name="Comma 2 5 3 4 3" xfId="58697"/>
    <cellStyle name="Comma 2 5 3 4 4" xfId="58698"/>
    <cellStyle name="Comma 2 5 3 4 5" xfId="58699"/>
    <cellStyle name="Comma 2 5 3 5" xfId="8309"/>
    <cellStyle name="Comma 2 5 3 5 2" xfId="8310"/>
    <cellStyle name="Comma 2 5 3 5 2 2" xfId="58700"/>
    <cellStyle name="Comma 2 5 3 5 3" xfId="58701"/>
    <cellStyle name="Comma 2 5 3 5 4" xfId="58702"/>
    <cellStyle name="Comma 2 5 3 5 5" xfId="58703"/>
    <cellStyle name="Comma 2 5 3 6" xfId="8311"/>
    <cellStyle name="Comma 2 5 3 6 2" xfId="58704"/>
    <cellStyle name="Comma 2 5 3 7" xfId="58705"/>
    <cellStyle name="Comma 2 5 3 8" xfId="58706"/>
    <cellStyle name="Comma 2 5 3 9" xfId="58707"/>
    <cellStyle name="Comma 2 5 4" xfId="3352"/>
    <cellStyle name="Comma 2 5 4 2" xfId="3353"/>
    <cellStyle name="Comma 2 5 4 2 2" xfId="8312"/>
    <cellStyle name="Comma 2 5 4 2 2 2" xfId="8313"/>
    <cellStyle name="Comma 2 5 4 2 2 3" xfId="58708"/>
    <cellStyle name="Comma 2 5 4 2 3" xfId="8314"/>
    <cellStyle name="Comma 2 5 4 2 3 2" xfId="58709"/>
    <cellStyle name="Comma 2 5 4 2 4" xfId="58710"/>
    <cellStyle name="Comma 2 5 4 2 5" xfId="58711"/>
    <cellStyle name="Comma 2 5 4 3" xfId="8315"/>
    <cellStyle name="Comma 2 5 4 3 2" xfId="8316"/>
    <cellStyle name="Comma 2 5 4 3 3" xfId="58712"/>
    <cellStyle name="Comma 2 5 4 4" xfId="8317"/>
    <cellStyle name="Comma 2 5 4 4 2" xfId="58713"/>
    <cellStyle name="Comma 2 5 4 5" xfId="58714"/>
    <cellStyle name="Comma 2 5 4 6" xfId="58715"/>
    <cellStyle name="Comma 2 5 5" xfId="3354"/>
    <cellStyle name="Comma 2 5 5 2" xfId="8318"/>
    <cellStyle name="Comma 2 5 5 2 2" xfId="8319"/>
    <cellStyle name="Comma 2 5 5 2 2 2" xfId="58716"/>
    <cellStyle name="Comma 2 5 5 2 3" xfId="58717"/>
    <cellStyle name="Comma 2 5 5 2 4" xfId="58718"/>
    <cellStyle name="Comma 2 5 5 2 5" xfId="58719"/>
    <cellStyle name="Comma 2 5 5 3" xfId="8320"/>
    <cellStyle name="Comma 2 5 5 3 2" xfId="58720"/>
    <cellStyle name="Comma 2 5 5 4" xfId="58721"/>
    <cellStyle name="Comma 2 5 5 5" xfId="58722"/>
    <cellStyle name="Comma 2 5 5 6" xfId="58723"/>
    <cellStyle name="Comma 2 5 6" xfId="8321"/>
    <cellStyle name="Comma 2 5 6 2" xfId="8322"/>
    <cellStyle name="Comma 2 5 6 2 2" xfId="58724"/>
    <cellStyle name="Comma 2 5 6 3" xfId="58725"/>
    <cellStyle name="Comma 2 5 6 4" xfId="58726"/>
    <cellStyle name="Comma 2 5 6 5" xfId="58727"/>
    <cellStyle name="Comma 2 5 7" xfId="8323"/>
    <cellStyle name="Comma 2 5 7 2" xfId="8324"/>
    <cellStyle name="Comma 2 5 7 2 2" xfId="58728"/>
    <cellStyle name="Comma 2 5 7 3" xfId="58729"/>
    <cellStyle name="Comma 2 5 7 4" xfId="58730"/>
    <cellStyle name="Comma 2 5 7 5" xfId="58731"/>
    <cellStyle name="Comma 2 5 8" xfId="8325"/>
    <cellStyle name="Comma 2 5 8 2" xfId="58732"/>
    <cellStyle name="Comma 2 5 8 2 2" xfId="58733"/>
    <cellStyle name="Comma 2 5 8 3" xfId="58734"/>
    <cellStyle name="Comma 2 5 8 4" xfId="58735"/>
    <cellStyle name="Comma 2 5 8 5" xfId="58736"/>
    <cellStyle name="Comma 2 5 9" xfId="44122"/>
    <cellStyle name="Comma 2 6" xfId="3355"/>
    <cellStyle name="Comma 2 6 2" xfId="3356"/>
    <cellStyle name="Comma 2 6 2 2" xfId="3357"/>
    <cellStyle name="Comma 2 6 2 2 2" xfId="3358"/>
    <cellStyle name="Comma 2 6 2 2 2 2" xfId="8326"/>
    <cellStyle name="Comma 2 6 2 2 2 2 2" xfId="8327"/>
    <cellStyle name="Comma 2 6 2 2 2 2 3" xfId="58737"/>
    <cellStyle name="Comma 2 6 2 2 2 3" xfId="8328"/>
    <cellStyle name="Comma 2 6 2 2 2 3 2" xfId="58738"/>
    <cellStyle name="Comma 2 6 2 2 2 4" xfId="58739"/>
    <cellStyle name="Comma 2 6 2 2 2 5" xfId="58740"/>
    <cellStyle name="Comma 2 6 2 2 3" xfId="8329"/>
    <cellStyle name="Comma 2 6 2 2 3 2" xfId="8330"/>
    <cellStyle name="Comma 2 6 2 2 3 3" xfId="58741"/>
    <cellStyle name="Comma 2 6 2 2 4" xfId="8331"/>
    <cellStyle name="Comma 2 6 2 2 4 2" xfId="58742"/>
    <cellStyle name="Comma 2 6 2 2 5" xfId="58743"/>
    <cellStyle name="Comma 2 6 2 2 6" xfId="58744"/>
    <cellStyle name="Comma 2 6 2 3" xfId="3359"/>
    <cellStyle name="Comma 2 6 2 3 2" xfId="8332"/>
    <cellStyle name="Comma 2 6 2 3 2 2" xfId="8333"/>
    <cellStyle name="Comma 2 6 2 3 2 2 2" xfId="58745"/>
    <cellStyle name="Comma 2 6 2 3 2 3" xfId="58746"/>
    <cellStyle name="Comma 2 6 2 3 2 4" xfId="58747"/>
    <cellStyle name="Comma 2 6 2 3 2 5" xfId="58748"/>
    <cellStyle name="Comma 2 6 2 3 3" xfId="8334"/>
    <cellStyle name="Comma 2 6 2 3 3 2" xfId="58749"/>
    <cellStyle name="Comma 2 6 2 3 4" xfId="58750"/>
    <cellStyle name="Comma 2 6 2 3 5" xfId="58751"/>
    <cellStyle name="Comma 2 6 2 3 6" xfId="58752"/>
    <cellStyle name="Comma 2 6 2 4" xfId="8335"/>
    <cellStyle name="Comma 2 6 2 4 2" xfId="8336"/>
    <cellStyle name="Comma 2 6 2 4 2 2" xfId="58753"/>
    <cellStyle name="Comma 2 6 2 4 3" xfId="58754"/>
    <cellStyle name="Comma 2 6 2 4 4" xfId="58755"/>
    <cellStyle name="Comma 2 6 2 4 5" xfId="58756"/>
    <cellStyle name="Comma 2 6 2 5" xfId="8337"/>
    <cellStyle name="Comma 2 6 2 5 2" xfId="8338"/>
    <cellStyle name="Comma 2 6 2 5 2 2" xfId="58757"/>
    <cellStyle name="Comma 2 6 2 5 3" xfId="58758"/>
    <cellStyle name="Comma 2 6 2 5 4" xfId="58759"/>
    <cellStyle name="Comma 2 6 2 5 5" xfId="58760"/>
    <cellStyle name="Comma 2 6 2 6" xfId="8339"/>
    <cellStyle name="Comma 2 6 2 6 2" xfId="58761"/>
    <cellStyle name="Comma 2 6 2 7" xfId="44123"/>
    <cellStyle name="Comma 2 6 2 8" xfId="58762"/>
    <cellStyle name="Comma 2 6 2 9" xfId="58763"/>
    <cellStyle name="Comma 2 6 3" xfId="3360"/>
    <cellStyle name="Comma 2 6 3 2" xfId="3361"/>
    <cellStyle name="Comma 2 6 3 2 2" xfId="8340"/>
    <cellStyle name="Comma 2 6 3 2 2 2" xfId="8341"/>
    <cellStyle name="Comma 2 6 3 2 2 3" xfId="58764"/>
    <cellStyle name="Comma 2 6 3 2 3" xfId="8342"/>
    <cellStyle name="Comma 2 6 3 2 3 2" xfId="58765"/>
    <cellStyle name="Comma 2 6 3 2 4" xfId="58766"/>
    <cellStyle name="Comma 2 6 3 2 5" xfId="58767"/>
    <cellStyle name="Comma 2 6 3 3" xfId="8343"/>
    <cellStyle name="Comma 2 6 3 3 2" xfId="8344"/>
    <cellStyle name="Comma 2 6 3 3 3" xfId="58768"/>
    <cellStyle name="Comma 2 6 3 4" xfId="8345"/>
    <cellStyle name="Comma 2 6 3 4 2" xfId="58769"/>
    <cellStyle name="Comma 2 6 3 5" xfId="58770"/>
    <cellStyle name="Comma 2 6 3 6" xfId="58771"/>
    <cellStyle name="Comma 2 6 4" xfId="3362"/>
    <cellStyle name="Comma 2 6 4 2" xfId="8346"/>
    <cellStyle name="Comma 2 6 4 2 2" xfId="8347"/>
    <cellStyle name="Comma 2 6 4 2 2 2" xfId="58772"/>
    <cellStyle name="Comma 2 6 4 2 3" xfId="58773"/>
    <cellStyle name="Comma 2 6 4 2 4" xfId="58774"/>
    <cellStyle name="Comma 2 6 4 2 5" xfId="58775"/>
    <cellStyle name="Comma 2 6 4 3" xfId="8348"/>
    <cellStyle name="Comma 2 6 4 3 2" xfId="58776"/>
    <cellStyle name="Comma 2 6 4 4" xfId="58777"/>
    <cellStyle name="Comma 2 6 4 5" xfId="58778"/>
    <cellStyle name="Comma 2 6 4 6" xfId="58779"/>
    <cellStyle name="Comma 2 6 5" xfId="8349"/>
    <cellStyle name="Comma 2 6 5 2" xfId="8350"/>
    <cellStyle name="Comma 2 6 5 2 2" xfId="58780"/>
    <cellStyle name="Comma 2 6 5 3" xfId="58781"/>
    <cellStyle name="Comma 2 6 5 4" xfId="58782"/>
    <cellStyle name="Comma 2 6 5 5" xfId="58783"/>
    <cellStyle name="Comma 2 6 6" xfId="8351"/>
    <cellStyle name="Comma 2 6 6 2" xfId="8352"/>
    <cellStyle name="Comma 2 6 6 2 2" xfId="58784"/>
    <cellStyle name="Comma 2 6 6 3" xfId="58785"/>
    <cellStyle name="Comma 2 6 6 4" xfId="58786"/>
    <cellStyle name="Comma 2 6 6 5" xfId="58787"/>
    <cellStyle name="Comma 2 6 7" xfId="8353"/>
    <cellStyle name="Comma 2 6 7 2" xfId="58788"/>
    <cellStyle name="Comma 2 6 7 2 2" xfId="58789"/>
    <cellStyle name="Comma 2 6 7 3" xfId="58790"/>
    <cellStyle name="Comma 2 6 7 4" xfId="58791"/>
    <cellStyle name="Comma 2 6 7 5" xfId="58792"/>
    <cellStyle name="Comma 2 6 8" xfId="44124"/>
    <cellStyle name="Comma 2 7" xfId="3363"/>
    <cellStyle name="Comma 2 7 2" xfId="3364"/>
    <cellStyle name="Comma 2 7 2 2" xfId="3365"/>
    <cellStyle name="Comma 2 7 2 2 2" xfId="3366"/>
    <cellStyle name="Comma 2 7 2 2 2 2" xfId="8354"/>
    <cellStyle name="Comma 2 7 2 2 2 3" xfId="58793"/>
    <cellStyle name="Comma 2 7 2 2 3" xfId="8355"/>
    <cellStyle name="Comma 2 7 2 2 3 2" xfId="58794"/>
    <cellStyle name="Comma 2 7 2 2 4" xfId="58795"/>
    <cellStyle name="Comma 2 7 2 2 5" xfId="58796"/>
    <cellStyle name="Comma 2 7 2 3" xfId="3367"/>
    <cellStyle name="Comma 2 7 2 3 2" xfId="8356"/>
    <cellStyle name="Comma 2 7 2 3 3" xfId="58797"/>
    <cellStyle name="Comma 2 7 2 4" xfId="8357"/>
    <cellStyle name="Comma 2 7 2 4 2" xfId="58798"/>
    <cellStyle name="Comma 2 7 2 5" xfId="58799"/>
    <cellStyle name="Comma 2 7 2 6" xfId="58800"/>
    <cellStyle name="Comma 2 7 3" xfId="3368"/>
    <cellStyle name="Comma 2 7 3 2" xfId="3369"/>
    <cellStyle name="Comma 2 7 3 2 2" xfId="8358"/>
    <cellStyle name="Comma 2 7 3 2 2 2" xfId="58801"/>
    <cellStyle name="Comma 2 7 3 2 3" xfId="58802"/>
    <cellStyle name="Comma 2 7 3 2 4" xfId="58803"/>
    <cellStyle name="Comma 2 7 3 2 5" xfId="58804"/>
    <cellStyle name="Comma 2 7 3 3" xfId="8359"/>
    <cellStyle name="Comma 2 7 3 3 2" xfId="58805"/>
    <cellStyle name="Comma 2 7 3 4" xfId="58806"/>
    <cellStyle name="Comma 2 7 3 5" xfId="58807"/>
    <cellStyle name="Comma 2 7 3 6" xfId="58808"/>
    <cellStyle name="Comma 2 7 4" xfId="3370"/>
    <cellStyle name="Comma 2 7 4 2" xfId="8360"/>
    <cellStyle name="Comma 2 7 4 2 2" xfId="58809"/>
    <cellStyle name="Comma 2 7 4 3" xfId="58810"/>
    <cellStyle name="Comma 2 7 4 4" xfId="58811"/>
    <cellStyle name="Comma 2 7 4 5" xfId="58812"/>
    <cellStyle name="Comma 2 7 5" xfId="8361"/>
    <cellStyle name="Comma 2 7 5 2" xfId="8362"/>
    <cellStyle name="Comma 2 7 5 2 2" xfId="58813"/>
    <cellStyle name="Comma 2 7 5 3" xfId="58814"/>
    <cellStyle name="Comma 2 7 5 4" xfId="58815"/>
    <cellStyle name="Comma 2 7 5 5" xfId="58816"/>
    <cellStyle name="Comma 2 7 6" xfId="8363"/>
    <cellStyle name="Comma 2 7 6 2" xfId="58817"/>
    <cellStyle name="Comma 2 7 6 2 2" xfId="58818"/>
    <cellStyle name="Comma 2 7 6 3" xfId="58819"/>
    <cellStyle name="Comma 2 7 6 4" xfId="58820"/>
    <cellStyle name="Comma 2 7 6 5" xfId="58821"/>
    <cellStyle name="Comma 2 7 7" xfId="44125"/>
    <cellStyle name="Comma 2 8" xfId="3371"/>
    <cellStyle name="Comma 2 8 2" xfId="3372"/>
    <cellStyle name="Comma 2 8 2 2" xfId="3373"/>
    <cellStyle name="Comma 2 8 2 2 2" xfId="3374"/>
    <cellStyle name="Comma 2 8 2 2 3" xfId="58822"/>
    <cellStyle name="Comma 2 8 2 3" xfId="3375"/>
    <cellStyle name="Comma 2 8 2 3 2" xfId="58823"/>
    <cellStyle name="Comma 2 8 2 4" xfId="58824"/>
    <cellStyle name="Comma 2 8 2 5" xfId="58825"/>
    <cellStyle name="Comma 2 8 3" xfId="3376"/>
    <cellStyle name="Comma 2 8 3 2" xfId="3377"/>
    <cellStyle name="Comma 2 8 3 2 2" xfId="58826"/>
    <cellStyle name="Comma 2 8 3 3" xfId="58827"/>
    <cellStyle name="Comma 2 8 3 4" xfId="58828"/>
    <cellStyle name="Comma 2 8 3 5" xfId="58829"/>
    <cellStyle name="Comma 2 8 4" xfId="3378"/>
    <cellStyle name="Comma 2 8 4 2" xfId="58830"/>
    <cellStyle name="Comma 2 8 4 2 2" xfId="58831"/>
    <cellStyle name="Comma 2 8 4 3" xfId="58832"/>
    <cellStyle name="Comma 2 8 4 4" xfId="58833"/>
    <cellStyle name="Comma 2 8 4 5" xfId="58834"/>
    <cellStyle name="Comma 2 8 5" xfId="44126"/>
    <cellStyle name="Comma 2 9" xfId="3379"/>
    <cellStyle name="Comma 2 9 2" xfId="3380"/>
    <cellStyle name="Comma 2 9 2 2" xfId="3381"/>
    <cellStyle name="Comma 2 9 2 2 2" xfId="58835"/>
    <cellStyle name="Comma 2 9 2 3" xfId="58836"/>
    <cellStyle name="Comma 2 9 2 4" xfId="58837"/>
    <cellStyle name="Comma 2 9 2 5" xfId="58838"/>
    <cellStyle name="Comma 2 9 3" xfId="3382"/>
    <cellStyle name="Comma 2 9 3 2" xfId="58839"/>
    <cellStyle name="Comma 2 9 3 2 2" xfId="58840"/>
    <cellStyle name="Comma 2 9 3 3" xfId="58841"/>
    <cellStyle name="Comma 2 9 3 4" xfId="58842"/>
    <cellStyle name="Comma 2 9 3 5" xfId="58843"/>
    <cellStyle name="Comma 2 9 4" xfId="58844"/>
    <cellStyle name="Comma 20" xfId="3383"/>
    <cellStyle name="Comma 20 2" xfId="44127"/>
    <cellStyle name="Comma 20 2 2" xfId="44128"/>
    <cellStyle name="Comma 20 3" xfId="44129"/>
    <cellStyle name="Comma 20 3 2" xfId="44130"/>
    <cellStyle name="Comma 20 4" xfId="44131"/>
    <cellStyle name="Comma 20 4 2" xfId="44132"/>
    <cellStyle name="Comma 20 5" xfId="44133"/>
    <cellStyle name="Comma 20 6" xfId="44134"/>
    <cellStyle name="Comma 20 7" xfId="44135"/>
    <cellStyle name="Comma 21" xfId="3384"/>
    <cellStyle name="Comma 21 2" xfId="44136"/>
    <cellStyle name="Comma 21 2 2" xfId="44137"/>
    <cellStyle name="Comma 21 2 3" xfId="44138"/>
    <cellStyle name="Comma 21 3" xfId="44139"/>
    <cellStyle name="Comma 21 3 2" xfId="44140"/>
    <cellStyle name="Comma 21 4" xfId="44141"/>
    <cellStyle name="Comma 21 5" xfId="44142"/>
    <cellStyle name="Comma 22" xfId="3385"/>
    <cellStyle name="Comma 22 2" xfId="44143"/>
    <cellStyle name="Comma 22 2 2" xfId="44144"/>
    <cellStyle name="Comma 22 3" xfId="44145"/>
    <cellStyle name="Comma 22 4" xfId="44146"/>
    <cellStyle name="Comma 23" xfId="3386"/>
    <cellStyle name="Comma 23 2" xfId="44147"/>
    <cellStyle name="Comma 23 3" xfId="44148"/>
    <cellStyle name="Comma 24" xfId="3387"/>
    <cellStyle name="Comma 24 10" xfId="44149"/>
    <cellStyle name="Comma 24 10 2" xfId="44150"/>
    <cellStyle name="Comma 24 11" xfId="44151"/>
    <cellStyle name="Comma 24 12" xfId="44152"/>
    <cellStyle name="Comma 24 13" xfId="44153"/>
    <cellStyle name="Comma 24 2" xfId="44154"/>
    <cellStyle name="Comma 24 2 10" xfId="44155"/>
    <cellStyle name="Comma 24 2 2" xfId="44156"/>
    <cellStyle name="Comma 24 2 2 2" xfId="44157"/>
    <cellStyle name="Comma 24 2 2 2 2" xfId="44158"/>
    <cellStyle name="Comma 24 2 2 2 2 2" xfId="44159"/>
    <cellStyle name="Comma 24 2 2 2 2 3" xfId="44160"/>
    <cellStyle name="Comma 24 2 2 2 3" xfId="44161"/>
    <cellStyle name="Comma 24 2 2 2 3 2" xfId="44162"/>
    <cellStyle name="Comma 24 2 2 2 3 3" xfId="44163"/>
    <cellStyle name="Comma 24 2 2 2 4" xfId="44164"/>
    <cellStyle name="Comma 24 2 2 2 4 2" xfId="44165"/>
    <cellStyle name="Comma 24 2 2 2 5" xfId="44166"/>
    <cellStyle name="Comma 24 2 2 2 6" xfId="44167"/>
    <cellStyle name="Comma 24 2 2 3" xfId="44168"/>
    <cellStyle name="Comma 24 2 2 3 2" xfId="44169"/>
    <cellStyle name="Comma 24 2 2 3 2 2" xfId="44170"/>
    <cellStyle name="Comma 24 2 2 3 2 3" xfId="44171"/>
    <cellStyle name="Comma 24 2 2 3 3" xfId="44172"/>
    <cellStyle name="Comma 24 2 2 3 3 2" xfId="44173"/>
    <cellStyle name="Comma 24 2 2 3 3 3" xfId="44174"/>
    <cellStyle name="Comma 24 2 2 3 4" xfId="44175"/>
    <cellStyle name="Comma 24 2 2 3 4 2" xfId="44176"/>
    <cellStyle name="Comma 24 2 2 3 5" xfId="44177"/>
    <cellStyle name="Comma 24 2 2 3 6" xfId="44178"/>
    <cellStyle name="Comma 24 2 2 4" xfId="44179"/>
    <cellStyle name="Comma 24 2 2 4 2" xfId="44180"/>
    <cellStyle name="Comma 24 2 2 4 2 2" xfId="44181"/>
    <cellStyle name="Comma 24 2 2 4 2 3" xfId="44182"/>
    <cellStyle name="Comma 24 2 2 4 3" xfId="44183"/>
    <cellStyle name="Comma 24 2 2 4 3 2" xfId="44184"/>
    <cellStyle name="Comma 24 2 2 4 4" xfId="44185"/>
    <cellStyle name="Comma 24 2 2 4 5" xfId="44186"/>
    <cellStyle name="Comma 24 2 2 5" xfId="44187"/>
    <cellStyle name="Comma 24 2 2 5 2" xfId="44188"/>
    <cellStyle name="Comma 24 2 2 5 3" xfId="44189"/>
    <cellStyle name="Comma 24 2 2 6" xfId="44190"/>
    <cellStyle name="Comma 24 2 2 6 2" xfId="44191"/>
    <cellStyle name="Comma 24 2 2 6 3" xfId="44192"/>
    <cellStyle name="Comma 24 2 2 7" xfId="44193"/>
    <cellStyle name="Comma 24 2 2 7 2" xfId="44194"/>
    <cellStyle name="Comma 24 2 2 8" xfId="44195"/>
    <cellStyle name="Comma 24 2 2 9" xfId="44196"/>
    <cellStyle name="Comma 24 2 3" xfId="44197"/>
    <cellStyle name="Comma 24 2 3 2" xfId="44198"/>
    <cellStyle name="Comma 24 2 3 2 2" xfId="44199"/>
    <cellStyle name="Comma 24 2 3 2 3" xfId="44200"/>
    <cellStyle name="Comma 24 2 3 3" xfId="44201"/>
    <cellStyle name="Comma 24 2 3 3 2" xfId="44202"/>
    <cellStyle name="Comma 24 2 3 3 3" xfId="44203"/>
    <cellStyle name="Comma 24 2 3 4" xfId="44204"/>
    <cellStyle name="Comma 24 2 3 4 2" xfId="44205"/>
    <cellStyle name="Comma 24 2 3 5" xfId="44206"/>
    <cellStyle name="Comma 24 2 3 6" xfId="44207"/>
    <cellStyle name="Comma 24 2 4" xfId="44208"/>
    <cellStyle name="Comma 24 2 4 2" xfId="44209"/>
    <cellStyle name="Comma 24 2 4 2 2" xfId="44210"/>
    <cellStyle name="Comma 24 2 4 2 3" xfId="44211"/>
    <cellStyle name="Comma 24 2 4 3" xfId="44212"/>
    <cellStyle name="Comma 24 2 4 3 2" xfId="44213"/>
    <cellStyle name="Comma 24 2 4 3 3" xfId="44214"/>
    <cellStyle name="Comma 24 2 4 4" xfId="44215"/>
    <cellStyle name="Comma 24 2 4 4 2" xfId="44216"/>
    <cellStyle name="Comma 24 2 4 5" xfId="44217"/>
    <cellStyle name="Comma 24 2 4 6" xfId="44218"/>
    <cellStyle name="Comma 24 2 5" xfId="44219"/>
    <cellStyle name="Comma 24 2 5 2" xfId="44220"/>
    <cellStyle name="Comma 24 2 5 2 2" xfId="44221"/>
    <cellStyle name="Comma 24 2 5 2 3" xfId="44222"/>
    <cellStyle name="Comma 24 2 5 3" xfId="44223"/>
    <cellStyle name="Comma 24 2 5 3 2" xfId="44224"/>
    <cellStyle name="Comma 24 2 5 4" xfId="44225"/>
    <cellStyle name="Comma 24 2 5 5" xfId="44226"/>
    <cellStyle name="Comma 24 2 6" xfId="44227"/>
    <cellStyle name="Comma 24 2 6 2" xfId="44228"/>
    <cellStyle name="Comma 24 2 6 3" xfId="44229"/>
    <cellStyle name="Comma 24 2 7" xfId="44230"/>
    <cellStyle name="Comma 24 2 7 2" xfId="44231"/>
    <cellStyle name="Comma 24 2 7 3" xfId="44232"/>
    <cellStyle name="Comma 24 2 8" xfId="44233"/>
    <cellStyle name="Comma 24 2 8 2" xfId="44234"/>
    <cellStyle name="Comma 24 2 9" xfId="44235"/>
    <cellStyle name="Comma 24 3" xfId="44236"/>
    <cellStyle name="Comma 24 3 2" xfId="44237"/>
    <cellStyle name="Comma 24 3 2 2" xfId="44238"/>
    <cellStyle name="Comma 24 3 2 2 2" xfId="44239"/>
    <cellStyle name="Comma 24 3 2 2 3" xfId="44240"/>
    <cellStyle name="Comma 24 3 2 3" xfId="44241"/>
    <cellStyle name="Comma 24 3 2 3 2" xfId="44242"/>
    <cellStyle name="Comma 24 3 2 3 3" xfId="44243"/>
    <cellStyle name="Comma 24 3 2 4" xfId="44244"/>
    <cellStyle name="Comma 24 3 2 4 2" xfId="44245"/>
    <cellStyle name="Comma 24 3 2 5" xfId="44246"/>
    <cellStyle name="Comma 24 3 2 6" xfId="44247"/>
    <cellStyle name="Comma 24 3 3" xfId="44248"/>
    <cellStyle name="Comma 24 3 3 2" xfId="44249"/>
    <cellStyle name="Comma 24 3 3 2 2" xfId="44250"/>
    <cellStyle name="Comma 24 3 3 2 3" xfId="44251"/>
    <cellStyle name="Comma 24 3 3 3" xfId="44252"/>
    <cellStyle name="Comma 24 3 3 3 2" xfId="44253"/>
    <cellStyle name="Comma 24 3 3 3 3" xfId="44254"/>
    <cellStyle name="Comma 24 3 3 4" xfId="44255"/>
    <cellStyle name="Comma 24 3 3 4 2" xfId="44256"/>
    <cellStyle name="Comma 24 3 3 5" xfId="44257"/>
    <cellStyle name="Comma 24 3 3 6" xfId="44258"/>
    <cellStyle name="Comma 24 3 4" xfId="44259"/>
    <cellStyle name="Comma 24 3 4 2" xfId="44260"/>
    <cellStyle name="Comma 24 3 4 2 2" xfId="44261"/>
    <cellStyle name="Comma 24 3 4 2 3" xfId="44262"/>
    <cellStyle name="Comma 24 3 4 3" xfId="44263"/>
    <cellStyle name="Comma 24 3 4 3 2" xfId="44264"/>
    <cellStyle name="Comma 24 3 4 4" xfId="44265"/>
    <cellStyle name="Comma 24 3 4 5" xfId="44266"/>
    <cellStyle name="Comma 24 3 5" xfId="44267"/>
    <cellStyle name="Comma 24 3 5 2" xfId="44268"/>
    <cellStyle name="Comma 24 3 5 3" xfId="44269"/>
    <cellStyle name="Comma 24 3 6" xfId="44270"/>
    <cellStyle name="Comma 24 3 6 2" xfId="44271"/>
    <cellStyle name="Comma 24 3 6 3" xfId="44272"/>
    <cellStyle name="Comma 24 3 7" xfId="44273"/>
    <cellStyle name="Comma 24 3 7 2" xfId="44274"/>
    <cellStyle name="Comma 24 3 8" xfId="44275"/>
    <cellStyle name="Comma 24 3 9" xfId="44276"/>
    <cellStyle name="Comma 24 4" xfId="44277"/>
    <cellStyle name="Comma 24 4 2" xfId="44278"/>
    <cellStyle name="Comma 24 4 2 2" xfId="44279"/>
    <cellStyle name="Comma 24 4 2 2 2" xfId="44280"/>
    <cellStyle name="Comma 24 4 2 2 3" xfId="44281"/>
    <cellStyle name="Comma 24 4 2 3" xfId="44282"/>
    <cellStyle name="Comma 24 4 2 3 2" xfId="44283"/>
    <cellStyle name="Comma 24 4 2 3 3" xfId="44284"/>
    <cellStyle name="Comma 24 4 2 4" xfId="44285"/>
    <cellStyle name="Comma 24 4 2 4 2" xfId="44286"/>
    <cellStyle name="Comma 24 4 2 5" xfId="44287"/>
    <cellStyle name="Comma 24 4 2 6" xfId="44288"/>
    <cellStyle name="Comma 24 4 3" xfId="44289"/>
    <cellStyle name="Comma 24 4 3 2" xfId="44290"/>
    <cellStyle name="Comma 24 4 3 2 2" xfId="44291"/>
    <cellStyle name="Comma 24 4 3 2 3" xfId="44292"/>
    <cellStyle name="Comma 24 4 3 3" xfId="44293"/>
    <cellStyle name="Comma 24 4 3 3 2" xfId="44294"/>
    <cellStyle name="Comma 24 4 3 3 3" xfId="44295"/>
    <cellStyle name="Comma 24 4 3 4" xfId="44296"/>
    <cellStyle name="Comma 24 4 3 4 2" xfId="44297"/>
    <cellStyle name="Comma 24 4 3 5" xfId="44298"/>
    <cellStyle name="Comma 24 4 3 6" xfId="44299"/>
    <cellStyle name="Comma 24 4 4" xfId="44300"/>
    <cellStyle name="Comma 24 4 4 2" xfId="44301"/>
    <cellStyle name="Comma 24 4 4 2 2" xfId="44302"/>
    <cellStyle name="Comma 24 4 4 2 3" xfId="44303"/>
    <cellStyle name="Comma 24 4 4 3" xfId="44304"/>
    <cellStyle name="Comma 24 4 4 3 2" xfId="44305"/>
    <cellStyle name="Comma 24 4 4 4" xfId="44306"/>
    <cellStyle name="Comma 24 4 4 5" xfId="44307"/>
    <cellStyle name="Comma 24 4 5" xfId="44308"/>
    <cellStyle name="Comma 24 4 5 2" xfId="44309"/>
    <cellStyle name="Comma 24 4 5 3" xfId="44310"/>
    <cellStyle name="Comma 24 4 6" xfId="44311"/>
    <cellStyle name="Comma 24 4 6 2" xfId="44312"/>
    <cellStyle name="Comma 24 4 6 3" xfId="44313"/>
    <cellStyle name="Comma 24 4 7" xfId="44314"/>
    <cellStyle name="Comma 24 4 7 2" xfId="44315"/>
    <cellStyle name="Comma 24 4 8" xfId="44316"/>
    <cellStyle name="Comma 24 4 9" xfId="44317"/>
    <cellStyle name="Comma 24 5" xfId="44318"/>
    <cellStyle name="Comma 24 5 2" xfId="44319"/>
    <cellStyle name="Comma 24 5 2 2" xfId="44320"/>
    <cellStyle name="Comma 24 5 2 3" xfId="44321"/>
    <cellStyle name="Comma 24 5 3" xfId="44322"/>
    <cellStyle name="Comma 24 5 3 2" xfId="44323"/>
    <cellStyle name="Comma 24 5 3 3" xfId="44324"/>
    <cellStyle name="Comma 24 5 4" xfId="44325"/>
    <cellStyle name="Comma 24 5 4 2" xfId="44326"/>
    <cellStyle name="Comma 24 5 5" xfId="44327"/>
    <cellStyle name="Comma 24 5 6" xfId="44328"/>
    <cellStyle name="Comma 24 6" xfId="44329"/>
    <cellStyle name="Comma 24 6 2" xfId="44330"/>
    <cellStyle name="Comma 24 6 2 2" xfId="44331"/>
    <cellStyle name="Comma 24 6 2 3" xfId="44332"/>
    <cellStyle name="Comma 24 6 3" xfId="44333"/>
    <cellStyle name="Comma 24 6 3 2" xfId="44334"/>
    <cellStyle name="Comma 24 6 3 3" xfId="44335"/>
    <cellStyle name="Comma 24 6 4" xfId="44336"/>
    <cellStyle name="Comma 24 6 4 2" xfId="44337"/>
    <cellStyle name="Comma 24 6 5" xfId="44338"/>
    <cellStyle name="Comma 24 6 6" xfId="44339"/>
    <cellStyle name="Comma 24 7" xfId="44340"/>
    <cellStyle name="Comma 24 7 2" xfId="44341"/>
    <cellStyle name="Comma 24 7 2 2" xfId="44342"/>
    <cellStyle name="Comma 24 7 2 3" xfId="44343"/>
    <cellStyle name="Comma 24 7 3" xfId="44344"/>
    <cellStyle name="Comma 24 7 3 2" xfId="44345"/>
    <cellStyle name="Comma 24 7 4" xfId="44346"/>
    <cellStyle name="Comma 24 7 5" xfId="44347"/>
    <cellStyle name="Comma 24 8" xfId="44348"/>
    <cellStyle name="Comma 24 8 2" xfId="44349"/>
    <cellStyle name="Comma 24 8 3" xfId="44350"/>
    <cellStyle name="Comma 24 9" xfId="44351"/>
    <cellStyle name="Comma 24 9 2" xfId="44352"/>
    <cellStyle name="Comma 24 9 3" xfId="44353"/>
    <cellStyle name="Comma 25" xfId="3388"/>
    <cellStyle name="Comma 25 2" xfId="44354"/>
    <cellStyle name="Comma 25 3" xfId="44355"/>
    <cellStyle name="Comma 26" xfId="3389"/>
    <cellStyle name="Comma 26 10" xfId="44356"/>
    <cellStyle name="Comma 26 10 2" xfId="44357"/>
    <cellStyle name="Comma 26 11" xfId="44358"/>
    <cellStyle name="Comma 26 12" xfId="44359"/>
    <cellStyle name="Comma 26 13" xfId="44360"/>
    <cellStyle name="Comma 26 2" xfId="44361"/>
    <cellStyle name="Comma 26 2 10" xfId="44362"/>
    <cellStyle name="Comma 26 2 2" xfId="44363"/>
    <cellStyle name="Comma 26 2 2 2" xfId="44364"/>
    <cellStyle name="Comma 26 2 2 2 2" xfId="44365"/>
    <cellStyle name="Comma 26 2 2 2 2 2" xfId="44366"/>
    <cellStyle name="Comma 26 2 2 2 2 3" xfId="44367"/>
    <cellStyle name="Comma 26 2 2 2 3" xfId="44368"/>
    <cellStyle name="Comma 26 2 2 2 3 2" xfId="44369"/>
    <cellStyle name="Comma 26 2 2 2 3 3" xfId="44370"/>
    <cellStyle name="Comma 26 2 2 2 4" xfId="44371"/>
    <cellStyle name="Comma 26 2 2 2 4 2" xfId="44372"/>
    <cellStyle name="Comma 26 2 2 2 5" xfId="44373"/>
    <cellStyle name="Comma 26 2 2 2 6" xfId="44374"/>
    <cellStyle name="Comma 26 2 2 3" xfId="44375"/>
    <cellStyle name="Comma 26 2 2 3 2" xfId="44376"/>
    <cellStyle name="Comma 26 2 2 3 2 2" xfId="44377"/>
    <cellStyle name="Comma 26 2 2 3 2 3" xfId="44378"/>
    <cellStyle name="Comma 26 2 2 3 3" xfId="44379"/>
    <cellStyle name="Comma 26 2 2 3 3 2" xfId="44380"/>
    <cellStyle name="Comma 26 2 2 3 3 3" xfId="44381"/>
    <cellStyle name="Comma 26 2 2 3 4" xfId="44382"/>
    <cellStyle name="Comma 26 2 2 3 4 2" xfId="44383"/>
    <cellStyle name="Comma 26 2 2 3 5" xfId="44384"/>
    <cellStyle name="Comma 26 2 2 3 6" xfId="44385"/>
    <cellStyle name="Comma 26 2 2 4" xfId="44386"/>
    <cellStyle name="Comma 26 2 2 4 2" xfId="44387"/>
    <cellStyle name="Comma 26 2 2 4 2 2" xfId="44388"/>
    <cellStyle name="Comma 26 2 2 4 2 3" xfId="44389"/>
    <cellStyle name="Comma 26 2 2 4 3" xfId="44390"/>
    <cellStyle name="Comma 26 2 2 4 3 2" xfId="44391"/>
    <cellStyle name="Comma 26 2 2 4 4" xfId="44392"/>
    <cellStyle name="Comma 26 2 2 4 5" xfId="44393"/>
    <cellStyle name="Comma 26 2 2 5" xfId="44394"/>
    <cellStyle name="Comma 26 2 2 5 2" xfId="44395"/>
    <cellStyle name="Comma 26 2 2 5 3" xfId="44396"/>
    <cellStyle name="Comma 26 2 2 6" xfId="44397"/>
    <cellStyle name="Comma 26 2 2 6 2" xfId="44398"/>
    <cellStyle name="Comma 26 2 2 6 3" xfId="44399"/>
    <cellStyle name="Comma 26 2 2 7" xfId="44400"/>
    <cellStyle name="Comma 26 2 2 7 2" xfId="44401"/>
    <cellStyle name="Comma 26 2 2 8" xfId="44402"/>
    <cellStyle name="Comma 26 2 2 9" xfId="44403"/>
    <cellStyle name="Comma 26 2 3" xfId="44404"/>
    <cellStyle name="Comma 26 2 3 2" xfId="44405"/>
    <cellStyle name="Comma 26 2 3 2 2" xfId="44406"/>
    <cellStyle name="Comma 26 2 3 2 3" xfId="44407"/>
    <cellStyle name="Comma 26 2 3 3" xfId="44408"/>
    <cellStyle name="Comma 26 2 3 3 2" xfId="44409"/>
    <cellStyle name="Comma 26 2 3 3 3" xfId="44410"/>
    <cellStyle name="Comma 26 2 3 4" xfId="44411"/>
    <cellStyle name="Comma 26 2 3 4 2" xfId="44412"/>
    <cellStyle name="Comma 26 2 3 5" xfId="44413"/>
    <cellStyle name="Comma 26 2 3 6" xfId="44414"/>
    <cellStyle name="Comma 26 2 4" xfId="44415"/>
    <cellStyle name="Comma 26 2 4 2" xfId="44416"/>
    <cellStyle name="Comma 26 2 4 2 2" xfId="44417"/>
    <cellStyle name="Comma 26 2 4 2 3" xfId="44418"/>
    <cellStyle name="Comma 26 2 4 3" xfId="44419"/>
    <cellStyle name="Comma 26 2 4 3 2" xfId="44420"/>
    <cellStyle name="Comma 26 2 4 3 3" xfId="44421"/>
    <cellStyle name="Comma 26 2 4 4" xfId="44422"/>
    <cellStyle name="Comma 26 2 4 4 2" xfId="44423"/>
    <cellStyle name="Comma 26 2 4 5" xfId="44424"/>
    <cellStyle name="Comma 26 2 4 6" xfId="44425"/>
    <cellStyle name="Comma 26 2 5" xfId="44426"/>
    <cellStyle name="Comma 26 2 5 2" xfId="44427"/>
    <cellStyle name="Comma 26 2 5 2 2" xfId="44428"/>
    <cellStyle name="Comma 26 2 5 2 3" xfId="44429"/>
    <cellStyle name="Comma 26 2 5 3" xfId="44430"/>
    <cellStyle name="Comma 26 2 5 3 2" xfId="44431"/>
    <cellStyle name="Comma 26 2 5 4" xfId="44432"/>
    <cellStyle name="Comma 26 2 5 5" xfId="44433"/>
    <cellStyle name="Comma 26 2 6" xfId="44434"/>
    <cellStyle name="Comma 26 2 6 2" xfId="44435"/>
    <cellStyle name="Comma 26 2 6 3" xfId="44436"/>
    <cellStyle name="Comma 26 2 7" xfId="44437"/>
    <cellStyle name="Comma 26 2 7 2" xfId="44438"/>
    <cellStyle name="Comma 26 2 7 3" xfId="44439"/>
    <cellStyle name="Comma 26 2 8" xfId="44440"/>
    <cellStyle name="Comma 26 2 8 2" xfId="44441"/>
    <cellStyle name="Comma 26 2 9" xfId="44442"/>
    <cellStyle name="Comma 26 3" xfId="44443"/>
    <cellStyle name="Comma 26 3 2" xfId="44444"/>
    <cellStyle name="Comma 26 3 2 2" xfId="44445"/>
    <cellStyle name="Comma 26 3 2 2 2" xfId="44446"/>
    <cellStyle name="Comma 26 3 2 2 3" xfId="44447"/>
    <cellStyle name="Comma 26 3 2 3" xfId="44448"/>
    <cellStyle name="Comma 26 3 2 3 2" xfId="44449"/>
    <cellStyle name="Comma 26 3 2 3 3" xfId="44450"/>
    <cellStyle name="Comma 26 3 2 4" xfId="44451"/>
    <cellStyle name="Comma 26 3 2 4 2" xfId="44452"/>
    <cellStyle name="Comma 26 3 2 5" xfId="44453"/>
    <cellStyle name="Comma 26 3 2 6" xfId="44454"/>
    <cellStyle name="Comma 26 3 3" xfId="44455"/>
    <cellStyle name="Comma 26 3 3 2" xfId="44456"/>
    <cellStyle name="Comma 26 3 3 2 2" xfId="44457"/>
    <cellStyle name="Comma 26 3 3 2 3" xfId="44458"/>
    <cellStyle name="Comma 26 3 3 3" xfId="44459"/>
    <cellStyle name="Comma 26 3 3 3 2" xfId="44460"/>
    <cellStyle name="Comma 26 3 3 3 3" xfId="44461"/>
    <cellStyle name="Comma 26 3 3 4" xfId="44462"/>
    <cellStyle name="Comma 26 3 3 4 2" xfId="44463"/>
    <cellStyle name="Comma 26 3 3 5" xfId="44464"/>
    <cellStyle name="Comma 26 3 3 6" xfId="44465"/>
    <cellStyle name="Comma 26 3 4" xfId="44466"/>
    <cellStyle name="Comma 26 3 4 2" xfId="44467"/>
    <cellStyle name="Comma 26 3 4 2 2" xfId="44468"/>
    <cellStyle name="Comma 26 3 4 2 3" xfId="44469"/>
    <cellStyle name="Comma 26 3 4 3" xfId="44470"/>
    <cellStyle name="Comma 26 3 4 3 2" xfId="44471"/>
    <cellStyle name="Comma 26 3 4 4" xfId="44472"/>
    <cellStyle name="Comma 26 3 4 5" xfId="44473"/>
    <cellStyle name="Comma 26 3 5" xfId="44474"/>
    <cellStyle name="Comma 26 3 5 2" xfId="44475"/>
    <cellStyle name="Comma 26 3 5 3" xfId="44476"/>
    <cellStyle name="Comma 26 3 6" xfId="44477"/>
    <cellStyle name="Comma 26 3 6 2" xfId="44478"/>
    <cellStyle name="Comma 26 3 6 3" xfId="44479"/>
    <cellStyle name="Comma 26 3 7" xfId="44480"/>
    <cellStyle name="Comma 26 3 7 2" xfId="44481"/>
    <cellStyle name="Comma 26 3 8" xfId="44482"/>
    <cellStyle name="Comma 26 3 9" xfId="44483"/>
    <cellStyle name="Comma 26 4" xfId="44484"/>
    <cellStyle name="Comma 26 4 2" xfId="44485"/>
    <cellStyle name="Comma 26 4 2 2" xfId="44486"/>
    <cellStyle name="Comma 26 4 2 2 2" xfId="44487"/>
    <cellStyle name="Comma 26 4 2 2 3" xfId="44488"/>
    <cellStyle name="Comma 26 4 2 3" xfId="44489"/>
    <cellStyle name="Comma 26 4 2 3 2" xfId="44490"/>
    <cellStyle name="Comma 26 4 2 3 3" xfId="44491"/>
    <cellStyle name="Comma 26 4 2 4" xfId="44492"/>
    <cellStyle name="Comma 26 4 2 4 2" xfId="44493"/>
    <cellStyle name="Comma 26 4 2 5" xfId="44494"/>
    <cellStyle name="Comma 26 4 2 6" xfId="44495"/>
    <cellStyle name="Comma 26 4 3" xfId="44496"/>
    <cellStyle name="Comma 26 4 3 2" xfId="44497"/>
    <cellStyle name="Comma 26 4 3 2 2" xfId="44498"/>
    <cellStyle name="Comma 26 4 3 2 3" xfId="44499"/>
    <cellStyle name="Comma 26 4 3 3" xfId="44500"/>
    <cellStyle name="Comma 26 4 3 3 2" xfId="44501"/>
    <cellStyle name="Comma 26 4 3 3 3" xfId="44502"/>
    <cellStyle name="Comma 26 4 3 4" xfId="44503"/>
    <cellStyle name="Comma 26 4 3 4 2" xfId="44504"/>
    <cellStyle name="Comma 26 4 3 5" xfId="44505"/>
    <cellStyle name="Comma 26 4 3 6" xfId="44506"/>
    <cellStyle name="Comma 26 4 4" xfId="44507"/>
    <cellStyle name="Comma 26 4 4 2" xfId="44508"/>
    <cellStyle name="Comma 26 4 4 2 2" xfId="44509"/>
    <cellStyle name="Comma 26 4 4 2 3" xfId="44510"/>
    <cellStyle name="Comma 26 4 4 3" xfId="44511"/>
    <cellStyle name="Comma 26 4 4 3 2" xfId="44512"/>
    <cellStyle name="Comma 26 4 4 4" xfId="44513"/>
    <cellStyle name="Comma 26 4 4 5" xfId="44514"/>
    <cellStyle name="Comma 26 4 5" xfId="44515"/>
    <cellStyle name="Comma 26 4 5 2" xfId="44516"/>
    <cellStyle name="Comma 26 4 5 3" xfId="44517"/>
    <cellStyle name="Comma 26 4 6" xfId="44518"/>
    <cellStyle name="Comma 26 4 6 2" xfId="44519"/>
    <cellStyle name="Comma 26 4 6 3" xfId="44520"/>
    <cellStyle name="Comma 26 4 7" xfId="44521"/>
    <cellStyle name="Comma 26 4 7 2" xfId="44522"/>
    <cellStyle name="Comma 26 4 8" xfId="44523"/>
    <cellStyle name="Comma 26 4 9" xfId="44524"/>
    <cellStyle name="Comma 26 5" xfId="44525"/>
    <cellStyle name="Comma 26 5 2" xfId="44526"/>
    <cellStyle name="Comma 26 5 2 2" xfId="44527"/>
    <cellStyle name="Comma 26 5 2 3" xfId="44528"/>
    <cellStyle name="Comma 26 5 3" xfId="44529"/>
    <cellStyle name="Comma 26 5 3 2" xfId="44530"/>
    <cellStyle name="Comma 26 5 3 3" xfId="44531"/>
    <cellStyle name="Comma 26 5 4" xfId="44532"/>
    <cellStyle name="Comma 26 5 4 2" xfId="44533"/>
    <cellStyle name="Comma 26 5 5" xfId="44534"/>
    <cellStyle name="Comma 26 5 6" xfId="44535"/>
    <cellStyle name="Comma 26 6" xfId="44536"/>
    <cellStyle name="Comma 26 6 2" xfId="44537"/>
    <cellStyle name="Comma 26 6 2 2" xfId="44538"/>
    <cellStyle name="Comma 26 6 2 3" xfId="44539"/>
    <cellStyle name="Comma 26 6 3" xfId="44540"/>
    <cellStyle name="Comma 26 6 3 2" xfId="44541"/>
    <cellStyle name="Comma 26 6 3 3" xfId="44542"/>
    <cellStyle name="Comma 26 6 4" xfId="44543"/>
    <cellStyle name="Comma 26 6 4 2" xfId="44544"/>
    <cellStyle name="Comma 26 6 5" xfId="44545"/>
    <cellStyle name="Comma 26 6 6" xfId="44546"/>
    <cellStyle name="Comma 26 7" xfId="44547"/>
    <cellStyle name="Comma 26 7 2" xfId="44548"/>
    <cellStyle name="Comma 26 7 2 2" xfId="44549"/>
    <cellStyle name="Comma 26 7 2 3" xfId="44550"/>
    <cellStyle name="Comma 26 7 3" xfId="44551"/>
    <cellStyle name="Comma 26 7 3 2" xfId="44552"/>
    <cellStyle name="Comma 26 7 4" xfId="44553"/>
    <cellStyle name="Comma 26 7 5" xfId="44554"/>
    <cellStyle name="Comma 26 8" xfId="44555"/>
    <cellStyle name="Comma 26 8 2" xfId="44556"/>
    <cellStyle name="Comma 26 8 3" xfId="44557"/>
    <cellStyle name="Comma 26 9" xfId="44558"/>
    <cellStyle name="Comma 26 9 2" xfId="44559"/>
    <cellStyle name="Comma 26 9 3" xfId="44560"/>
    <cellStyle name="Comma 27" xfId="3390"/>
    <cellStyle name="Comma 27 10" xfId="44561"/>
    <cellStyle name="Comma 27 10 2" xfId="44562"/>
    <cellStyle name="Comma 27 11" xfId="44563"/>
    <cellStyle name="Comma 27 12" xfId="44564"/>
    <cellStyle name="Comma 27 13" xfId="44565"/>
    <cellStyle name="Comma 27 2" xfId="44566"/>
    <cellStyle name="Comma 27 2 10" xfId="44567"/>
    <cellStyle name="Comma 27 2 2" xfId="44568"/>
    <cellStyle name="Comma 27 2 2 2" xfId="44569"/>
    <cellStyle name="Comma 27 2 2 2 2" xfId="44570"/>
    <cellStyle name="Comma 27 2 2 2 2 2" xfId="44571"/>
    <cellStyle name="Comma 27 2 2 2 2 3" xfId="44572"/>
    <cellStyle name="Comma 27 2 2 2 3" xfId="44573"/>
    <cellStyle name="Comma 27 2 2 2 3 2" xfId="44574"/>
    <cellStyle name="Comma 27 2 2 2 3 3" xfId="44575"/>
    <cellStyle name="Comma 27 2 2 2 4" xfId="44576"/>
    <cellStyle name="Comma 27 2 2 2 4 2" xfId="44577"/>
    <cellStyle name="Comma 27 2 2 2 5" xfId="44578"/>
    <cellStyle name="Comma 27 2 2 2 6" xfId="44579"/>
    <cellStyle name="Comma 27 2 2 3" xfId="44580"/>
    <cellStyle name="Comma 27 2 2 3 2" xfId="44581"/>
    <cellStyle name="Comma 27 2 2 3 2 2" xfId="44582"/>
    <cellStyle name="Comma 27 2 2 3 2 3" xfId="44583"/>
    <cellStyle name="Comma 27 2 2 3 3" xfId="44584"/>
    <cellStyle name="Comma 27 2 2 3 3 2" xfId="44585"/>
    <cellStyle name="Comma 27 2 2 3 3 3" xfId="44586"/>
    <cellStyle name="Comma 27 2 2 3 4" xfId="44587"/>
    <cellStyle name="Comma 27 2 2 3 4 2" xfId="44588"/>
    <cellStyle name="Comma 27 2 2 3 5" xfId="44589"/>
    <cellStyle name="Comma 27 2 2 3 6" xfId="44590"/>
    <cellStyle name="Comma 27 2 2 4" xfId="44591"/>
    <cellStyle name="Comma 27 2 2 4 2" xfId="44592"/>
    <cellStyle name="Comma 27 2 2 4 2 2" xfId="44593"/>
    <cellStyle name="Comma 27 2 2 4 2 3" xfId="44594"/>
    <cellStyle name="Comma 27 2 2 4 3" xfId="44595"/>
    <cellStyle name="Comma 27 2 2 4 3 2" xfId="44596"/>
    <cellStyle name="Comma 27 2 2 4 4" xfId="44597"/>
    <cellStyle name="Comma 27 2 2 4 5" xfId="44598"/>
    <cellStyle name="Comma 27 2 2 5" xfId="44599"/>
    <cellStyle name="Comma 27 2 2 5 2" xfId="44600"/>
    <cellStyle name="Comma 27 2 2 5 3" xfId="44601"/>
    <cellStyle name="Comma 27 2 2 6" xfId="44602"/>
    <cellStyle name="Comma 27 2 2 6 2" xfId="44603"/>
    <cellStyle name="Comma 27 2 2 6 3" xfId="44604"/>
    <cellStyle name="Comma 27 2 2 7" xfId="44605"/>
    <cellStyle name="Comma 27 2 2 7 2" xfId="44606"/>
    <cellStyle name="Comma 27 2 2 8" xfId="44607"/>
    <cellStyle name="Comma 27 2 2 9" xfId="44608"/>
    <cellStyle name="Comma 27 2 3" xfId="44609"/>
    <cellStyle name="Comma 27 2 3 2" xfId="44610"/>
    <cellStyle name="Comma 27 2 3 2 2" xfId="44611"/>
    <cellStyle name="Comma 27 2 3 2 3" xfId="44612"/>
    <cellStyle name="Comma 27 2 3 3" xfId="44613"/>
    <cellStyle name="Comma 27 2 3 3 2" xfId="44614"/>
    <cellStyle name="Comma 27 2 3 3 3" xfId="44615"/>
    <cellStyle name="Comma 27 2 3 4" xfId="44616"/>
    <cellStyle name="Comma 27 2 3 4 2" xfId="44617"/>
    <cellStyle name="Comma 27 2 3 5" xfId="44618"/>
    <cellStyle name="Comma 27 2 3 6" xfId="44619"/>
    <cellStyle name="Comma 27 2 4" xfId="44620"/>
    <cellStyle name="Comma 27 2 4 2" xfId="44621"/>
    <cellStyle name="Comma 27 2 4 2 2" xfId="44622"/>
    <cellStyle name="Comma 27 2 4 2 3" xfId="44623"/>
    <cellStyle name="Comma 27 2 4 3" xfId="44624"/>
    <cellStyle name="Comma 27 2 4 3 2" xfId="44625"/>
    <cellStyle name="Comma 27 2 4 3 3" xfId="44626"/>
    <cellStyle name="Comma 27 2 4 4" xfId="44627"/>
    <cellStyle name="Comma 27 2 4 4 2" xfId="44628"/>
    <cellStyle name="Comma 27 2 4 5" xfId="44629"/>
    <cellStyle name="Comma 27 2 4 6" xfId="44630"/>
    <cellStyle name="Comma 27 2 5" xfId="44631"/>
    <cellStyle name="Comma 27 2 5 2" xfId="44632"/>
    <cellStyle name="Comma 27 2 5 2 2" xfId="44633"/>
    <cellStyle name="Comma 27 2 5 2 3" xfId="44634"/>
    <cellStyle name="Comma 27 2 5 3" xfId="44635"/>
    <cellStyle name="Comma 27 2 5 3 2" xfId="44636"/>
    <cellStyle name="Comma 27 2 5 4" xfId="44637"/>
    <cellStyle name="Comma 27 2 5 5" xfId="44638"/>
    <cellStyle name="Comma 27 2 6" xfId="44639"/>
    <cellStyle name="Comma 27 2 6 2" xfId="44640"/>
    <cellStyle name="Comma 27 2 6 3" xfId="44641"/>
    <cellStyle name="Comma 27 2 7" xfId="44642"/>
    <cellStyle name="Comma 27 2 7 2" xfId="44643"/>
    <cellStyle name="Comma 27 2 7 3" xfId="44644"/>
    <cellStyle name="Comma 27 2 8" xfId="44645"/>
    <cellStyle name="Comma 27 2 8 2" xfId="44646"/>
    <cellStyle name="Comma 27 2 9" xfId="44647"/>
    <cellStyle name="Comma 27 3" xfId="44648"/>
    <cellStyle name="Comma 27 3 2" xfId="44649"/>
    <cellStyle name="Comma 27 3 2 2" xfId="44650"/>
    <cellStyle name="Comma 27 3 2 2 2" xfId="44651"/>
    <cellStyle name="Comma 27 3 2 2 3" xfId="44652"/>
    <cellStyle name="Comma 27 3 2 3" xfId="44653"/>
    <cellStyle name="Comma 27 3 2 3 2" xfId="44654"/>
    <cellStyle name="Comma 27 3 2 3 3" xfId="44655"/>
    <cellStyle name="Comma 27 3 2 4" xfId="44656"/>
    <cellStyle name="Comma 27 3 2 4 2" xfId="44657"/>
    <cellStyle name="Comma 27 3 2 5" xfId="44658"/>
    <cellStyle name="Comma 27 3 2 6" xfId="44659"/>
    <cellStyle name="Comma 27 3 3" xfId="44660"/>
    <cellStyle name="Comma 27 3 3 2" xfId="44661"/>
    <cellStyle name="Comma 27 3 3 2 2" xfId="44662"/>
    <cellStyle name="Comma 27 3 3 2 3" xfId="44663"/>
    <cellStyle name="Comma 27 3 3 3" xfId="44664"/>
    <cellStyle name="Comma 27 3 3 3 2" xfId="44665"/>
    <cellStyle name="Comma 27 3 3 3 3" xfId="44666"/>
    <cellStyle name="Comma 27 3 3 4" xfId="44667"/>
    <cellStyle name="Comma 27 3 3 4 2" xfId="44668"/>
    <cellStyle name="Comma 27 3 3 5" xfId="44669"/>
    <cellStyle name="Comma 27 3 3 6" xfId="44670"/>
    <cellStyle name="Comma 27 3 4" xfId="44671"/>
    <cellStyle name="Comma 27 3 4 2" xfId="44672"/>
    <cellStyle name="Comma 27 3 4 2 2" xfId="44673"/>
    <cellStyle name="Comma 27 3 4 2 3" xfId="44674"/>
    <cellStyle name="Comma 27 3 4 3" xfId="44675"/>
    <cellStyle name="Comma 27 3 4 3 2" xfId="44676"/>
    <cellStyle name="Comma 27 3 4 4" xfId="44677"/>
    <cellStyle name="Comma 27 3 4 5" xfId="44678"/>
    <cellStyle name="Comma 27 3 5" xfId="44679"/>
    <cellStyle name="Comma 27 3 5 2" xfId="44680"/>
    <cellStyle name="Comma 27 3 5 3" xfId="44681"/>
    <cellStyle name="Comma 27 3 6" xfId="44682"/>
    <cellStyle name="Comma 27 3 6 2" xfId="44683"/>
    <cellStyle name="Comma 27 3 6 3" xfId="44684"/>
    <cellStyle name="Comma 27 3 7" xfId="44685"/>
    <cellStyle name="Comma 27 3 7 2" xfId="44686"/>
    <cellStyle name="Comma 27 3 8" xfId="44687"/>
    <cellStyle name="Comma 27 3 9" xfId="44688"/>
    <cellStyle name="Comma 27 4" xfId="44689"/>
    <cellStyle name="Comma 27 4 2" xfId="44690"/>
    <cellStyle name="Comma 27 4 2 2" xfId="44691"/>
    <cellStyle name="Comma 27 4 2 2 2" xfId="44692"/>
    <cellStyle name="Comma 27 4 2 2 3" xfId="44693"/>
    <cellStyle name="Comma 27 4 2 3" xfId="44694"/>
    <cellStyle name="Comma 27 4 2 3 2" xfId="44695"/>
    <cellStyle name="Comma 27 4 2 3 3" xfId="44696"/>
    <cellStyle name="Comma 27 4 2 4" xfId="44697"/>
    <cellStyle name="Comma 27 4 2 4 2" xfId="44698"/>
    <cellStyle name="Comma 27 4 2 5" xfId="44699"/>
    <cellStyle name="Comma 27 4 2 6" xfId="44700"/>
    <cellStyle name="Comma 27 4 3" xfId="44701"/>
    <cellStyle name="Comma 27 4 3 2" xfId="44702"/>
    <cellStyle name="Comma 27 4 3 2 2" xfId="44703"/>
    <cellStyle name="Comma 27 4 3 2 3" xfId="44704"/>
    <cellStyle name="Comma 27 4 3 3" xfId="44705"/>
    <cellStyle name="Comma 27 4 3 3 2" xfId="44706"/>
    <cellStyle name="Comma 27 4 3 3 3" xfId="44707"/>
    <cellStyle name="Comma 27 4 3 4" xfId="44708"/>
    <cellStyle name="Comma 27 4 3 4 2" xfId="44709"/>
    <cellStyle name="Comma 27 4 3 5" xfId="44710"/>
    <cellStyle name="Comma 27 4 3 6" xfId="44711"/>
    <cellStyle name="Comma 27 4 4" xfId="44712"/>
    <cellStyle name="Comma 27 4 4 2" xfId="44713"/>
    <cellStyle name="Comma 27 4 4 2 2" xfId="44714"/>
    <cellStyle name="Comma 27 4 4 2 3" xfId="44715"/>
    <cellStyle name="Comma 27 4 4 3" xfId="44716"/>
    <cellStyle name="Comma 27 4 4 3 2" xfId="44717"/>
    <cellStyle name="Comma 27 4 4 4" xfId="44718"/>
    <cellStyle name="Comma 27 4 4 5" xfId="44719"/>
    <cellStyle name="Comma 27 4 5" xfId="44720"/>
    <cellStyle name="Comma 27 4 5 2" xfId="44721"/>
    <cellStyle name="Comma 27 4 5 3" xfId="44722"/>
    <cellStyle name="Comma 27 4 6" xfId="44723"/>
    <cellStyle name="Comma 27 4 6 2" xfId="44724"/>
    <cellStyle name="Comma 27 4 6 3" xfId="44725"/>
    <cellStyle name="Comma 27 4 7" xfId="44726"/>
    <cellStyle name="Comma 27 4 7 2" xfId="44727"/>
    <cellStyle name="Comma 27 4 8" xfId="44728"/>
    <cellStyle name="Comma 27 4 9" xfId="44729"/>
    <cellStyle name="Comma 27 5" xfId="44730"/>
    <cellStyle name="Comma 27 5 2" xfId="44731"/>
    <cellStyle name="Comma 27 5 2 2" xfId="44732"/>
    <cellStyle name="Comma 27 5 2 3" xfId="44733"/>
    <cellStyle name="Comma 27 5 3" xfId="44734"/>
    <cellStyle name="Comma 27 5 3 2" xfId="44735"/>
    <cellStyle name="Comma 27 5 3 3" xfId="44736"/>
    <cellStyle name="Comma 27 5 4" xfId="44737"/>
    <cellStyle name="Comma 27 5 4 2" xfId="44738"/>
    <cellStyle name="Comma 27 5 5" xfId="44739"/>
    <cellStyle name="Comma 27 5 6" xfId="44740"/>
    <cellStyle name="Comma 27 6" xfId="44741"/>
    <cellStyle name="Comma 27 6 2" xfId="44742"/>
    <cellStyle name="Comma 27 6 2 2" xfId="44743"/>
    <cellStyle name="Comma 27 6 2 3" xfId="44744"/>
    <cellStyle name="Comma 27 6 3" xfId="44745"/>
    <cellStyle name="Comma 27 6 3 2" xfId="44746"/>
    <cellStyle name="Comma 27 6 3 3" xfId="44747"/>
    <cellStyle name="Comma 27 6 4" xfId="44748"/>
    <cellStyle name="Comma 27 6 4 2" xfId="44749"/>
    <cellStyle name="Comma 27 6 5" xfId="44750"/>
    <cellStyle name="Comma 27 6 6" xfId="44751"/>
    <cellStyle name="Comma 27 7" xfId="44752"/>
    <cellStyle name="Comma 27 7 2" xfId="44753"/>
    <cellStyle name="Comma 27 7 2 2" xfId="44754"/>
    <cellStyle name="Comma 27 7 2 3" xfId="44755"/>
    <cellStyle name="Comma 27 7 3" xfId="44756"/>
    <cellStyle name="Comma 27 7 3 2" xfId="44757"/>
    <cellStyle name="Comma 27 7 4" xfId="44758"/>
    <cellStyle name="Comma 27 7 5" xfId="44759"/>
    <cellStyle name="Comma 27 8" xfId="44760"/>
    <cellStyle name="Comma 27 8 2" xfId="44761"/>
    <cellStyle name="Comma 27 8 3" xfId="44762"/>
    <cellStyle name="Comma 27 9" xfId="44763"/>
    <cellStyle name="Comma 27 9 2" xfId="44764"/>
    <cellStyle name="Comma 27 9 3" xfId="44765"/>
    <cellStyle name="Comma 28" xfId="3391"/>
    <cellStyle name="Comma 28 2" xfId="44766"/>
    <cellStyle name="Comma 28 3" xfId="44767"/>
    <cellStyle name="Comma 29" xfId="3392"/>
    <cellStyle name="Comma 29 2" xfId="9607"/>
    <cellStyle name="Comma 3" xfId="5"/>
    <cellStyle name="Comma 3 10" xfId="3393"/>
    <cellStyle name="Comma 3 11" xfId="3394"/>
    <cellStyle name="Comma 3 12" xfId="8766"/>
    <cellStyle name="Comma 3 2" xfId="3395"/>
    <cellStyle name="Comma 3 2 2" xfId="3396"/>
    <cellStyle name="Comma 3 2 2 2" xfId="3397"/>
    <cellStyle name="Comma 3 2 2 2 2" xfId="3398"/>
    <cellStyle name="Comma 3 2 2 2 2 2" xfId="3399"/>
    <cellStyle name="Comma 3 2 2 2 2 2 2" xfId="3400"/>
    <cellStyle name="Comma 3 2 2 2 2 2 2 2" xfId="3401"/>
    <cellStyle name="Comma 3 2 2 2 2 2 3" xfId="3402"/>
    <cellStyle name="Comma 3 2 2 2 2 3" xfId="3403"/>
    <cellStyle name="Comma 3 2 2 2 2 3 2" xfId="3404"/>
    <cellStyle name="Comma 3 2 2 2 2 4" xfId="3405"/>
    <cellStyle name="Comma 3 2 2 2 2 5" xfId="9051"/>
    <cellStyle name="Comma 3 2 2 2 3" xfId="3406"/>
    <cellStyle name="Comma 3 2 2 2 3 2" xfId="3407"/>
    <cellStyle name="Comma 3 2 2 2 3 2 2" xfId="3408"/>
    <cellStyle name="Comma 3 2 2 2 3 3" xfId="3409"/>
    <cellStyle name="Comma 3 2 2 2 4" xfId="3410"/>
    <cellStyle name="Comma 3 2 2 2 4 2" xfId="3411"/>
    <cellStyle name="Comma 3 2 2 2 5" xfId="3412"/>
    <cellStyle name="Comma 3 2 2 2 6" xfId="3413"/>
    <cellStyle name="Comma 3 2 2 2 7" xfId="9052"/>
    <cellStyle name="Comma 3 2 2 3" xfId="3414"/>
    <cellStyle name="Comma 3 2 2 3 2" xfId="3415"/>
    <cellStyle name="Comma 3 2 2 3 2 2" xfId="3416"/>
    <cellStyle name="Comma 3 2 2 3 2 2 2" xfId="3417"/>
    <cellStyle name="Comma 3 2 2 3 2 3" xfId="3418"/>
    <cellStyle name="Comma 3 2 2 3 3" xfId="3419"/>
    <cellStyle name="Comma 3 2 2 3 3 2" xfId="3420"/>
    <cellStyle name="Comma 3 2 2 3 4" xfId="3421"/>
    <cellStyle name="Comma 3 2 2 3 5" xfId="9053"/>
    <cellStyle name="Comma 3 2 2 4" xfId="3422"/>
    <cellStyle name="Comma 3 2 2 4 2" xfId="3423"/>
    <cellStyle name="Comma 3 2 2 4 2 2" xfId="3424"/>
    <cellStyle name="Comma 3 2 2 4 3" xfId="3425"/>
    <cellStyle name="Comma 3 2 2 5" xfId="3426"/>
    <cellStyle name="Comma 3 2 2 5 2" xfId="3427"/>
    <cellStyle name="Comma 3 2 2 6" xfId="3428"/>
    <cellStyle name="Comma 3 2 2 7" xfId="3429"/>
    <cellStyle name="Comma 3 2 2 8" xfId="9054"/>
    <cellStyle name="Comma 3 2 3" xfId="3430"/>
    <cellStyle name="Comma 3 2 3 2" xfId="3431"/>
    <cellStyle name="Comma 3 2 3 2 2" xfId="3432"/>
    <cellStyle name="Comma 3 2 3 2 2 2" xfId="3433"/>
    <cellStyle name="Comma 3 2 3 2 2 2 2" xfId="3434"/>
    <cellStyle name="Comma 3 2 3 2 2 3" xfId="3435"/>
    <cellStyle name="Comma 3 2 3 2 3" xfId="3436"/>
    <cellStyle name="Comma 3 2 3 2 3 2" xfId="3437"/>
    <cellStyle name="Comma 3 2 3 2 4" xfId="3438"/>
    <cellStyle name="Comma 3 2 3 2 5" xfId="9055"/>
    <cellStyle name="Comma 3 2 3 3" xfId="3439"/>
    <cellStyle name="Comma 3 2 3 3 2" xfId="3440"/>
    <cellStyle name="Comma 3 2 3 3 2 2" xfId="3441"/>
    <cellStyle name="Comma 3 2 3 3 3" xfId="3442"/>
    <cellStyle name="Comma 3 2 3 4" xfId="3443"/>
    <cellStyle name="Comma 3 2 3 4 2" xfId="3444"/>
    <cellStyle name="Comma 3 2 3 5" xfId="3445"/>
    <cellStyle name="Comma 3 2 3 6" xfId="3446"/>
    <cellStyle name="Comma 3 2 3 7" xfId="9056"/>
    <cellStyle name="Comma 3 2 4" xfId="3447"/>
    <cellStyle name="Comma 3 2 4 2" xfId="3448"/>
    <cellStyle name="Comma 3 2 4 2 2" xfId="3449"/>
    <cellStyle name="Comma 3 2 4 2 2 2" xfId="3450"/>
    <cellStyle name="Comma 3 2 4 2 2 2 2" xfId="3451"/>
    <cellStyle name="Comma 3 2 4 2 2 3" xfId="3452"/>
    <cellStyle name="Comma 3 2 4 2 3" xfId="3453"/>
    <cellStyle name="Comma 3 2 4 2 3 2" xfId="3454"/>
    <cellStyle name="Comma 3 2 4 2 4" xfId="3455"/>
    <cellStyle name="Comma 3 2 4 3" xfId="3456"/>
    <cellStyle name="Comma 3 2 4 3 2" xfId="3457"/>
    <cellStyle name="Comma 3 2 4 3 2 2" xfId="3458"/>
    <cellStyle name="Comma 3 2 4 3 3" xfId="3459"/>
    <cellStyle name="Comma 3 2 4 4" xfId="3460"/>
    <cellStyle name="Comma 3 2 4 4 2" xfId="3461"/>
    <cellStyle name="Comma 3 2 4 5" xfId="3462"/>
    <cellStyle name="Comma 3 2 4 6" xfId="9057"/>
    <cellStyle name="Comma 3 2 5" xfId="3463"/>
    <cellStyle name="Comma 3 2 5 2" xfId="3464"/>
    <cellStyle name="Comma 3 2 5 2 2" xfId="3465"/>
    <cellStyle name="Comma 3 2 5 2 2 2" xfId="3466"/>
    <cellStyle name="Comma 3 2 5 2 3" xfId="3467"/>
    <cellStyle name="Comma 3 2 5 3" xfId="3468"/>
    <cellStyle name="Comma 3 2 5 3 2" xfId="3469"/>
    <cellStyle name="Comma 3 2 5 4" xfId="3470"/>
    <cellStyle name="Comma 3 2 6" xfId="3471"/>
    <cellStyle name="Comma 3 2 6 2" xfId="3472"/>
    <cellStyle name="Comma 3 2 6 2 2" xfId="3473"/>
    <cellStyle name="Comma 3 2 6 3" xfId="3474"/>
    <cellStyle name="Comma 3 2 7" xfId="3475"/>
    <cellStyle name="Comma 3 2 7 2" xfId="3476"/>
    <cellStyle name="Comma 3 2 8" xfId="3477"/>
    <cellStyle name="Comma 3 2 9" xfId="8778"/>
    <cellStyle name="Comma 3 3" xfId="3478"/>
    <cellStyle name="Comma 3 3 2" xfId="3479"/>
    <cellStyle name="Comma 3 3 2 2" xfId="3480"/>
    <cellStyle name="Comma 3 3 2 2 2" xfId="3481"/>
    <cellStyle name="Comma 3 3 2 2 2 2" xfId="3482"/>
    <cellStyle name="Comma 3 3 2 2 2 2 2" xfId="3483"/>
    <cellStyle name="Comma 3 3 2 2 2 3" xfId="3484"/>
    <cellStyle name="Comma 3 3 2 2 2 4" xfId="9058"/>
    <cellStyle name="Comma 3 3 2 2 3" xfId="3485"/>
    <cellStyle name="Comma 3 3 2 2 3 2" xfId="3486"/>
    <cellStyle name="Comma 3 3 2 2 4" xfId="3487"/>
    <cellStyle name="Comma 3 3 2 2 5" xfId="3488"/>
    <cellStyle name="Comma 3 3 2 2 6" xfId="9059"/>
    <cellStyle name="Comma 3 3 2 3" xfId="3489"/>
    <cellStyle name="Comma 3 3 2 3 2" xfId="3490"/>
    <cellStyle name="Comma 3 3 2 3 2 2" xfId="3491"/>
    <cellStyle name="Comma 3 3 2 3 3" xfId="3492"/>
    <cellStyle name="Comma 3 3 2 3 4" xfId="9060"/>
    <cellStyle name="Comma 3 3 2 4" xfId="3493"/>
    <cellStyle name="Comma 3 3 2 4 2" xfId="3494"/>
    <cellStyle name="Comma 3 3 2 5" xfId="3495"/>
    <cellStyle name="Comma 3 3 2 6" xfId="3496"/>
    <cellStyle name="Comma 3 3 2 7" xfId="9061"/>
    <cellStyle name="Comma 3 3 3" xfId="3497"/>
    <cellStyle name="Comma 3 3 3 2" xfId="3498"/>
    <cellStyle name="Comma 3 3 3 2 2" xfId="3499"/>
    <cellStyle name="Comma 3 3 3 2 2 2" xfId="3500"/>
    <cellStyle name="Comma 3 3 3 2 3" xfId="3501"/>
    <cellStyle name="Comma 3 3 3 2 4" xfId="9062"/>
    <cellStyle name="Comma 3 3 3 3" xfId="3502"/>
    <cellStyle name="Comma 3 3 3 3 2" xfId="3503"/>
    <cellStyle name="Comma 3 3 3 4" xfId="3504"/>
    <cellStyle name="Comma 3 3 3 5" xfId="3505"/>
    <cellStyle name="Comma 3 3 3 6" xfId="9063"/>
    <cellStyle name="Comma 3 3 4" xfId="3506"/>
    <cellStyle name="Comma 3 3 4 2" xfId="3507"/>
    <cellStyle name="Comma 3 3 4 2 2" xfId="3508"/>
    <cellStyle name="Comma 3 3 4 3" xfId="3509"/>
    <cellStyle name="Comma 3 3 4 4" xfId="9064"/>
    <cellStyle name="Comma 3 3 5" xfId="3510"/>
    <cellStyle name="Comma 3 3 5 2" xfId="3511"/>
    <cellStyle name="Comma 3 3 6" xfId="3512"/>
    <cellStyle name="Comma 3 3 7" xfId="3513"/>
    <cellStyle name="Comma 3 3 8" xfId="8777"/>
    <cellStyle name="Comma 3 4" xfId="3514"/>
    <cellStyle name="Comma 3 4 2" xfId="3515"/>
    <cellStyle name="Comma 3 4 2 2" xfId="3516"/>
    <cellStyle name="Comma 3 4 2 2 2" xfId="3517"/>
    <cellStyle name="Comma 3 4 2 2 2 2" xfId="3518"/>
    <cellStyle name="Comma 3 4 2 2 2 3" xfId="9065"/>
    <cellStyle name="Comma 3 4 2 2 3" xfId="3519"/>
    <cellStyle name="Comma 3 4 2 2 4" xfId="3520"/>
    <cellStyle name="Comma 3 4 2 2 5" xfId="9066"/>
    <cellStyle name="Comma 3 4 2 3" xfId="3521"/>
    <cellStyle name="Comma 3 4 2 3 2" xfId="3522"/>
    <cellStyle name="Comma 3 4 2 3 3" xfId="9067"/>
    <cellStyle name="Comma 3 4 2 4" xfId="3523"/>
    <cellStyle name="Comma 3 4 2 5" xfId="3524"/>
    <cellStyle name="Comma 3 4 2 6" xfId="9068"/>
    <cellStyle name="Comma 3 4 3" xfId="3525"/>
    <cellStyle name="Comma 3 4 3 2" xfId="3526"/>
    <cellStyle name="Comma 3 4 3 2 2" xfId="3527"/>
    <cellStyle name="Comma 3 4 3 2 3" xfId="9069"/>
    <cellStyle name="Comma 3 4 3 3" xfId="3528"/>
    <cellStyle name="Comma 3 4 3 4" xfId="3529"/>
    <cellStyle name="Comma 3 4 3 5" xfId="9070"/>
    <cellStyle name="Comma 3 4 4" xfId="3530"/>
    <cellStyle name="Comma 3 4 4 2" xfId="3531"/>
    <cellStyle name="Comma 3 4 4 3" xfId="9071"/>
    <cellStyle name="Comma 3 4 5" xfId="3532"/>
    <cellStyle name="Comma 3 4 5 2" xfId="58845"/>
    <cellStyle name="Comma 3 4 6" xfId="3533"/>
    <cellStyle name="Comma 3 4 7" xfId="9072"/>
    <cellStyle name="Comma 3 4 8" xfId="58846"/>
    <cellStyle name="Comma 3 5" xfId="3534"/>
    <cellStyle name="Comma 3 5 2" xfId="3535"/>
    <cellStyle name="Comma 3 5 2 2" xfId="3536"/>
    <cellStyle name="Comma 3 5 2 2 2" xfId="3537"/>
    <cellStyle name="Comma 3 5 2 2 2 2" xfId="3538"/>
    <cellStyle name="Comma 3 5 2 2 3" xfId="3539"/>
    <cellStyle name="Comma 3 5 2 2 4" xfId="9073"/>
    <cellStyle name="Comma 3 5 2 3" xfId="3540"/>
    <cellStyle name="Comma 3 5 2 3 2" xfId="3541"/>
    <cellStyle name="Comma 3 5 2 4" xfId="3542"/>
    <cellStyle name="Comma 3 5 2 5" xfId="3543"/>
    <cellStyle name="Comma 3 5 2 6" xfId="9074"/>
    <cellStyle name="Comma 3 5 3" xfId="3544"/>
    <cellStyle name="Comma 3 5 3 2" xfId="3545"/>
    <cellStyle name="Comma 3 5 3 2 2" xfId="3546"/>
    <cellStyle name="Comma 3 5 3 3" xfId="3547"/>
    <cellStyle name="Comma 3 5 3 4" xfId="9075"/>
    <cellStyle name="Comma 3 5 4" xfId="3548"/>
    <cellStyle name="Comma 3 5 4 2" xfId="3549"/>
    <cellStyle name="Comma 3 5 5" xfId="3550"/>
    <cellStyle name="Comma 3 5 6" xfId="3551"/>
    <cellStyle name="Comma 3 5 7" xfId="9076"/>
    <cellStyle name="Comma 3 6" xfId="3552"/>
    <cellStyle name="Comma 3 6 2" xfId="3553"/>
    <cellStyle name="Comma 3 6 2 2" xfId="3554"/>
    <cellStyle name="Comma 3 6 2 2 2" xfId="3555"/>
    <cellStyle name="Comma 3 6 2 3" xfId="3556"/>
    <cellStyle name="Comma 3 6 2 4" xfId="3557"/>
    <cellStyle name="Comma 3 6 2 5" xfId="9077"/>
    <cellStyle name="Comma 3 6 3" xfId="3558"/>
    <cellStyle name="Comma 3 6 3 2" xfId="3559"/>
    <cellStyle name="Comma 3 6 4" xfId="3560"/>
    <cellStyle name="Comma 3 6 5" xfId="3561"/>
    <cellStyle name="Comma 3 6 6" xfId="9078"/>
    <cellStyle name="Comma 3 7" xfId="3562"/>
    <cellStyle name="Comma 3 7 2" xfId="3563"/>
    <cellStyle name="Comma 3 7 2 2" xfId="3564"/>
    <cellStyle name="Comma 3 7 3" xfId="3565"/>
    <cellStyle name="Comma 3 7 4" xfId="3566"/>
    <cellStyle name="Comma 3 7 5" xfId="9079"/>
    <cellStyle name="Comma 3 8" xfId="3567"/>
    <cellStyle name="Comma 3 8 2" xfId="3568"/>
    <cellStyle name="Comma 3 8 2 2" xfId="3569"/>
    <cellStyle name="Comma 3 8 3" xfId="3570"/>
    <cellStyle name="Comma 3 9" xfId="3571"/>
    <cellStyle name="Comma 3 9 2" xfId="3572"/>
    <cellStyle name="Comma 30" xfId="3573"/>
    <cellStyle name="Comma 30 2" xfId="3574"/>
    <cellStyle name="Comma 30 2 2" xfId="3575"/>
    <cellStyle name="Comma 30 2 2 2" xfId="3576"/>
    <cellStyle name="Comma 30 2 3" xfId="3577"/>
    <cellStyle name="Comma 30 3" xfId="3578"/>
    <cellStyle name="Comma 30 3 2" xfId="3579"/>
    <cellStyle name="Comma 30 4" xfId="3580"/>
    <cellStyle name="Comma 30 5" xfId="58847"/>
    <cellStyle name="Comma 31" xfId="3581"/>
    <cellStyle name="Comma 31 2" xfId="9608"/>
    <cellStyle name="Comma 32" xfId="3582"/>
    <cellStyle name="Comma 33" xfId="3583"/>
    <cellStyle name="Comma 33 2" xfId="58848"/>
    <cellStyle name="Comma 34" xfId="3584"/>
    <cellStyle name="Comma 34 2" xfId="58849"/>
    <cellStyle name="Comma 35" xfId="3585"/>
    <cellStyle name="Comma 35 2" xfId="58850"/>
    <cellStyle name="Comma 36" xfId="3586"/>
    <cellStyle name="Comma 36 2" xfId="58851"/>
    <cellStyle name="Comma 37" xfId="3587"/>
    <cellStyle name="Comma 37 2" xfId="58852"/>
    <cellStyle name="Comma 38" xfId="3588"/>
    <cellStyle name="Comma 39" xfId="3589"/>
    <cellStyle name="Comma 4" xfId="3590"/>
    <cellStyle name="Comma 4 10" xfId="9080"/>
    <cellStyle name="Comma 4 2" xfId="3591"/>
    <cellStyle name="Comma 4 2 2" xfId="3592"/>
    <cellStyle name="Comma 4 2 2 2" xfId="3593"/>
    <cellStyle name="Comma 4 2 2 2 2" xfId="9081"/>
    <cellStyle name="Comma 4 2 2 2 2 2" xfId="58853"/>
    <cellStyle name="Comma 4 2 2 2 3" xfId="9082"/>
    <cellStyle name="Comma 4 2 2 2 4" xfId="58854"/>
    <cellStyle name="Comma 4 2 2 2 5" xfId="58855"/>
    <cellStyle name="Comma 4 2 2 3" xfId="9083"/>
    <cellStyle name="Comma 4 2 2 3 2" xfId="58856"/>
    <cellStyle name="Comma 4 2 2 4" xfId="9084"/>
    <cellStyle name="Comma 4 2 2 4 2" xfId="58857"/>
    <cellStyle name="Comma 4 2 2 5" xfId="58858"/>
    <cellStyle name="Comma 4 2 2 6" xfId="58859"/>
    <cellStyle name="Comma 4 2 3" xfId="3594"/>
    <cellStyle name="Comma 4 2 3 2" xfId="9085"/>
    <cellStyle name="Comma 4 2 3 2 2" xfId="58860"/>
    <cellStyle name="Comma 4 2 3 3" xfId="9086"/>
    <cellStyle name="Comma 4 2 3 3 2" xfId="58861"/>
    <cellStyle name="Comma 4 2 3 4" xfId="58862"/>
    <cellStyle name="Comma 4 2 3 5" xfId="58863"/>
    <cellStyle name="Comma 4 2 4" xfId="3595"/>
    <cellStyle name="Comma 4 2 4 2" xfId="9087"/>
    <cellStyle name="Comma 4 2 4 3" xfId="58864"/>
    <cellStyle name="Comma 4 2 4 4" xfId="58865"/>
    <cellStyle name="Comma 4 2 5" xfId="8780"/>
    <cellStyle name="Comma 4 2 5 2" xfId="58866"/>
    <cellStyle name="Comma 4 2 6" xfId="58867"/>
    <cellStyle name="Comma 4 2 7" xfId="58868"/>
    <cellStyle name="Comma 4 2 8" xfId="58869"/>
    <cellStyle name="Comma 4 2 9" xfId="58870"/>
    <cellStyle name="Comma 4 3" xfId="3596"/>
    <cellStyle name="Comma 4 3 2" xfId="3597"/>
    <cellStyle name="Comma 4 3 2 2" xfId="3598"/>
    <cellStyle name="Comma 4 3 2 2 2" xfId="3599"/>
    <cellStyle name="Comma 4 3 2 2 2 2" xfId="3600"/>
    <cellStyle name="Comma 4 3 2 2 2 2 2" xfId="3601"/>
    <cellStyle name="Comma 4 3 2 2 2 3" xfId="3602"/>
    <cellStyle name="Comma 4 3 2 2 3" xfId="3603"/>
    <cellStyle name="Comma 4 3 2 2 3 2" xfId="3604"/>
    <cellStyle name="Comma 4 3 2 2 4" xfId="3605"/>
    <cellStyle name="Comma 4 3 2 2 5" xfId="58871"/>
    <cellStyle name="Comma 4 3 2 3" xfId="3606"/>
    <cellStyle name="Comma 4 3 2 3 2" xfId="3607"/>
    <cellStyle name="Comma 4 3 2 3 2 2" xfId="3608"/>
    <cellStyle name="Comma 4 3 2 3 3" xfId="3609"/>
    <cellStyle name="Comma 4 3 2 4" xfId="3610"/>
    <cellStyle name="Comma 4 3 2 4 2" xfId="3611"/>
    <cellStyle name="Comma 4 3 2 5" xfId="3612"/>
    <cellStyle name="Comma 4 3 2 6" xfId="3613"/>
    <cellStyle name="Comma 4 3 2 7" xfId="58872"/>
    <cellStyle name="Comma 4 3 3" xfId="3614"/>
    <cellStyle name="Comma 4 3 3 2" xfId="3615"/>
    <cellStyle name="Comma 4 3 3 2 2" xfId="3616"/>
    <cellStyle name="Comma 4 3 3 2 2 2" xfId="3617"/>
    <cellStyle name="Comma 4 3 3 2 3" xfId="3618"/>
    <cellStyle name="Comma 4 3 3 3" xfId="3619"/>
    <cellStyle name="Comma 4 3 3 3 2" xfId="3620"/>
    <cellStyle name="Comma 4 3 3 4" xfId="3621"/>
    <cellStyle name="Comma 4 3 3 5" xfId="58873"/>
    <cellStyle name="Comma 4 3 4" xfId="3622"/>
    <cellStyle name="Comma 4 3 4 2" xfId="3623"/>
    <cellStyle name="Comma 4 3 4 2 2" xfId="3624"/>
    <cellStyle name="Comma 4 3 4 3" xfId="3625"/>
    <cellStyle name="Comma 4 3 5" xfId="3626"/>
    <cellStyle name="Comma 4 3 5 2" xfId="3627"/>
    <cellStyle name="Comma 4 3 6" xfId="3628"/>
    <cellStyle name="Comma 4 3 7" xfId="3629"/>
    <cellStyle name="Comma 4 3 8" xfId="9088"/>
    <cellStyle name="Comma 4 4" xfId="3630"/>
    <cellStyle name="Comma 4 4 2" xfId="3631"/>
    <cellStyle name="Comma 4 4 2 2" xfId="3632"/>
    <cellStyle name="Comma 4 4 2 2 2" xfId="3633"/>
    <cellStyle name="Comma 4 4 2 2 2 2" xfId="3634"/>
    <cellStyle name="Comma 4 4 2 2 3" xfId="3635"/>
    <cellStyle name="Comma 4 4 2 2 4" xfId="9089"/>
    <cellStyle name="Comma 4 4 2 3" xfId="3636"/>
    <cellStyle name="Comma 4 4 2 3 2" xfId="3637"/>
    <cellStyle name="Comma 4 4 2 4" xfId="3638"/>
    <cellStyle name="Comma 4 4 2 5" xfId="9090"/>
    <cellStyle name="Comma 4 4 3" xfId="3639"/>
    <cellStyle name="Comma 4 4 3 2" xfId="3640"/>
    <cellStyle name="Comma 4 4 3 2 2" xfId="3641"/>
    <cellStyle name="Comma 4 4 3 3" xfId="3642"/>
    <cellStyle name="Comma 4 4 3 4" xfId="9091"/>
    <cellStyle name="Comma 4 4 4" xfId="3643"/>
    <cellStyle name="Comma 4 4 4 2" xfId="3644"/>
    <cellStyle name="Comma 4 4 5" xfId="3645"/>
    <cellStyle name="Comma 4 4 6" xfId="3646"/>
    <cellStyle name="Comma 4 4 7" xfId="9092"/>
    <cellStyle name="Comma 4 5" xfId="3647"/>
    <cellStyle name="Comma 4 5 2" xfId="3648"/>
    <cellStyle name="Comma 4 5 2 2" xfId="3649"/>
    <cellStyle name="Comma 4 5 2 2 2" xfId="3650"/>
    <cellStyle name="Comma 4 5 2 3" xfId="3651"/>
    <cellStyle name="Comma 4 5 2 4" xfId="9093"/>
    <cellStyle name="Comma 4 5 3" xfId="3652"/>
    <cellStyle name="Comma 4 5 3 2" xfId="3653"/>
    <cellStyle name="Comma 4 5 4" xfId="3654"/>
    <cellStyle name="Comma 4 5 5" xfId="9094"/>
    <cellStyle name="Comma 4 6" xfId="3655"/>
    <cellStyle name="Comma 4 6 2" xfId="3656"/>
    <cellStyle name="Comma 4 6 2 2" xfId="3657"/>
    <cellStyle name="Comma 4 6 3" xfId="3658"/>
    <cellStyle name="Comma 4 6 4" xfId="9095"/>
    <cellStyle name="Comma 4 7" xfId="3659"/>
    <cellStyle name="Comma 4 7 2" xfId="3660"/>
    <cellStyle name="Comma 4 8" xfId="3661"/>
    <cellStyle name="Comma 4 9" xfId="3662"/>
    <cellStyle name="Comma 4_183302" xfId="8769"/>
    <cellStyle name="Comma 40" xfId="3663"/>
    <cellStyle name="Comma 41" xfId="3664"/>
    <cellStyle name="Comma 42" xfId="3665"/>
    <cellStyle name="Comma 43" xfId="3666"/>
    <cellStyle name="Comma 44" xfId="3667"/>
    <cellStyle name="Comma 45" xfId="3668"/>
    <cellStyle name="Comma 46" xfId="3669"/>
    <cellStyle name="Comma 47" xfId="3670"/>
    <cellStyle name="Comma 48" xfId="3671"/>
    <cellStyle name="Comma 49" xfId="3672"/>
    <cellStyle name="Comma 5" xfId="3673"/>
    <cellStyle name="Comma 5 2" xfId="3674"/>
    <cellStyle name="Comma 5 2 2" xfId="3675"/>
    <cellStyle name="Comma 5 2 3" xfId="3676"/>
    <cellStyle name="Comma 5 3" xfId="9609"/>
    <cellStyle name="Comma 5 3 2" xfId="44768"/>
    <cellStyle name="Comma 50" xfId="3677"/>
    <cellStyle name="Comma 50 2" xfId="58874"/>
    <cellStyle name="Comma 51" xfId="3678"/>
    <cellStyle name="Comma 52" xfId="3679"/>
    <cellStyle name="Comma 53" xfId="3680"/>
    <cellStyle name="Comma 54" xfId="3681"/>
    <cellStyle name="Comma 55" xfId="3682"/>
    <cellStyle name="Comma 56" xfId="3683"/>
    <cellStyle name="Comma 57" xfId="3684"/>
    <cellStyle name="Comma 58" xfId="3685"/>
    <cellStyle name="Comma 59" xfId="3686"/>
    <cellStyle name="Comma 6" xfId="3687"/>
    <cellStyle name="Comma 6 10" xfId="44769"/>
    <cellStyle name="Comma 6 10 2" xfId="44770"/>
    <cellStyle name="Comma 6 10 2 2" xfId="44771"/>
    <cellStyle name="Comma 6 10 2 3" xfId="44772"/>
    <cellStyle name="Comma 6 10 3" xfId="44773"/>
    <cellStyle name="Comma 6 10 3 2" xfId="44774"/>
    <cellStyle name="Comma 6 10 4" xfId="44775"/>
    <cellStyle name="Comma 6 10 5" xfId="44776"/>
    <cellStyle name="Comma 6 11" xfId="44777"/>
    <cellStyle name="Comma 6 11 2" xfId="44778"/>
    <cellStyle name="Comma 6 11 3" xfId="44779"/>
    <cellStyle name="Comma 6 12" xfId="44780"/>
    <cellStyle name="Comma 6 12 2" xfId="44781"/>
    <cellStyle name="Comma 6 12 3" xfId="44782"/>
    <cellStyle name="Comma 6 13" xfId="44783"/>
    <cellStyle name="Comma 6 13 2" xfId="44784"/>
    <cellStyle name="Comma 6 14" xfId="44785"/>
    <cellStyle name="Comma 6 15" xfId="44786"/>
    <cellStyle name="Comma 6 16" xfId="44787"/>
    <cellStyle name="Comma 6 2" xfId="3688"/>
    <cellStyle name="Comma 6 2 10" xfId="44788"/>
    <cellStyle name="Comma 6 2 10 2" xfId="44789"/>
    <cellStyle name="Comma 6 2 10 3" xfId="44790"/>
    <cellStyle name="Comma 6 2 11" xfId="44791"/>
    <cellStyle name="Comma 6 2 11 2" xfId="44792"/>
    <cellStyle name="Comma 6 2 11 3" xfId="44793"/>
    <cellStyle name="Comma 6 2 12" xfId="44794"/>
    <cellStyle name="Comma 6 2 12 2" xfId="44795"/>
    <cellStyle name="Comma 6 2 13" xfId="44796"/>
    <cellStyle name="Comma 6 2 14" xfId="44797"/>
    <cellStyle name="Comma 6 2 15" xfId="44798"/>
    <cellStyle name="Comma 6 2 2" xfId="8364"/>
    <cellStyle name="Comma 6 2 2 10" xfId="44799"/>
    <cellStyle name="Comma 6 2 2 10 2" xfId="44800"/>
    <cellStyle name="Comma 6 2 2 10 3" xfId="44801"/>
    <cellStyle name="Comma 6 2 2 11" xfId="44802"/>
    <cellStyle name="Comma 6 2 2 11 2" xfId="44803"/>
    <cellStyle name="Comma 6 2 2 12" xfId="44804"/>
    <cellStyle name="Comma 6 2 2 13" xfId="44805"/>
    <cellStyle name="Comma 6 2 2 14" xfId="44806"/>
    <cellStyle name="Comma 6 2 2 2" xfId="9610"/>
    <cellStyle name="Comma 6 2 2 2 10" xfId="44807"/>
    <cellStyle name="Comma 6 2 2 2 10 2" xfId="44808"/>
    <cellStyle name="Comma 6 2 2 2 11" xfId="44809"/>
    <cellStyle name="Comma 6 2 2 2 12" xfId="44810"/>
    <cellStyle name="Comma 6 2 2 2 13" xfId="44811"/>
    <cellStyle name="Comma 6 2 2 2 2" xfId="44812"/>
    <cellStyle name="Comma 6 2 2 2 2 10" xfId="44813"/>
    <cellStyle name="Comma 6 2 2 2 2 2" xfId="44814"/>
    <cellStyle name="Comma 6 2 2 2 2 2 2" xfId="44815"/>
    <cellStyle name="Comma 6 2 2 2 2 2 2 2" xfId="44816"/>
    <cellStyle name="Comma 6 2 2 2 2 2 2 2 2" xfId="44817"/>
    <cellStyle name="Comma 6 2 2 2 2 2 2 2 3" xfId="44818"/>
    <cellStyle name="Comma 6 2 2 2 2 2 2 3" xfId="44819"/>
    <cellStyle name="Comma 6 2 2 2 2 2 2 3 2" xfId="44820"/>
    <cellStyle name="Comma 6 2 2 2 2 2 2 3 3" xfId="44821"/>
    <cellStyle name="Comma 6 2 2 2 2 2 2 4" xfId="44822"/>
    <cellStyle name="Comma 6 2 2 2 2 2 2 4 2" xfId="44823"/>
    <cellStyle name="Comma 6 2 2 2 2 2 2 5" xfId="44824"/>
    <cellStyle name="Comma 6 2 2 2 2 2 2 6" xfId="44825"/>
    <cellStyle name="Comma 6 2 2 2 2 2 3" xfId="44826"/>
    <cellStyle name="Comma 6 2 2 2 2 2 3 2" xfId="44827"/>
    <cellStyle name="Comma 6 2 2 2 2 2 3 2 2" xfId="44828"/>
    <cellStyle name="Comma 6 2 2 2 2 2 3 2 3" xfId="44829"/>
    <cellStyle name="Comma 6 2 2 2 2 2 3 3" xfId="44830"/>
    <cellStyle name="Comma 6 2 2 2 2 2 3 3 2" xfId="44831"/>
    <cellStyle name="Comma 6 2 2 2 2 2 3 3 3" xfId="44832"/>
    <cellStyle name="Comma 6 2 2 2 2 2 3 4" xfId="44833"/>
    <cellStyle name="Comma 6 2 2 2 2 2 3 4 2" xfId="44834"/>
    <cellStyle name="Comma 6 2 2 2 2 2 3 5" xfId="44835"/>
    <cellStyle name="Comma 6 2 2 2 2 2 3 6" xfId="44836"/>
    <cellStyle name="Comma 6 2 2 2 2 2 4" xfId="44837"/>
    <cellStyle name="Comma 6 2 2 2 2 2 4 2" xfId="44838"/>
    <cellStyle name="Comma 6 2 2 2 2 2 4 2 2" xfId="44839"/>
    <cellStyle name="Comma 6 2 2 2 2 2 4 2 3" xfId="44840"/>
    <cellStyle name="Comma 6 2 2 2 2 2 4 3" xfId="44841"/>
    <cellStyle name="Comma 6 2 2 2 2 2 4 3 2" xfId="44842"/>
    <cellStyle name="Comma 6 2 2 2 2 2 4 4" xfId="44843"/>
    <cellStyle name="Comma 6 2 2 2 2 2 4 5" xfId="44844"/>
    <cellStyle name="Comma 6 2 2 2 2 2 5" xfId="44845"/>
    <cellStyle name="Comma 6 2 2 2 2 2 5 2" xfId="44846"/>
    <cellStyle name="Comma 6 2 2 2 2 2 5 3" xfId="44847"/>
    <cellStyle name="Comma 6 2 2 2 2 2 6" xfId="44848"/>
    <cellStyle name="Comma 6 2 2 2 2 2 6 2" xfId="44849"/>
    <cellStyle name="Comma 6 2 2 2 2 2 6 3" xfId="44850"/>
    <cellStyle name="Comma 6 2 2 2 2 2 7" xfId="44851"/>
    <cellStyle name="Comma 6 2 2 2 2 2 7 2" xfId="44852"/>
    <cellStyle name="Comma 6 2 2 2 2 2 8" xfId="44853"/>
    <cellStyle name="Comma 6 2 2 2 2 2 9" xfId="44854"/>
    <cellStyle name="Comma 6 2 2 2 2 3" xfId="44855"/>
    <cellStyle name="Comma 6 2 2 2 2 3 2" xfId="44856"/>
    <cellStyle name="Comma 6 2 2 2 2 3 2 2" xfId="44857"/>
    <cellStyle name="Comma 6 2 2 2 2 3 2 3" xfId="44858"/>
    <cellStyle name="Comma 6 2 2 2 2 3 3" xfId="44859"/>
    <cellStyle name="Comma 6 2 2 2 2 3 3 2" xfId="44860"/>
    <cellStyle name="Comma 6 2 2 2 2 3 3 3" xfId="44861"/>
    <cellStyle name="Comma 6 2 2 2 2 3 4" xfId="44862"/>
    <cellStyle name="Comma 6 2 2 2 2 3 4 2" xfId="44863"/>
    <cellStyle name="Comma 6 2 2 2 2 3 5" xfId="44864"/>
    <cellStyle name="Comma 6 2 2 2 2 3 6" xfId="44865"/>
    <cellStyle name="Comma 6 2 2 2 2 4" xfId="44866"/>
    <cellStyle name="Comma 6 2 2 2 2 4 2" xfId="44867"/>
    <cellStyle name="Comma 6 2 2 2 2 4 2 2" xfId="44868"/>
    <cellStyle name="Comma 6 2 2 2 2 4 2 3" xfId="44869"/>
    <cellStyle name="Comma 6 2 2 2 2 4 3" xfId="44870"/>
    <cellStyle name="Comma 6 2 2 2 2 4 3 2" xfId="44871"/>
    <cellStyle name="Comma 6 2 2 2 2 4 3 3" xfId="44872"/>
    <cellStyle name="Comma 6 2 2 2 2 4 4" xfId="44873"/>
    <cellStyle name="Comma 6 2 2 2 2 4 4 2" xfId="44874"/>
    <cellStyle name="Comma 6 2 2 2 2 4 5" xfId="44875"/>
    <cellStyle name="Comma 6 2 2 2 2 4 6" xfId="44876"/>
    <cellStyle name="Comma 6 2 2 2 2 5" xfId="44877"/>
    <cellStyle name="Comma 6 2 2 2 2 5 2" xfId="44878"/>
    <cellStyle name="Comma 6 2 2 2 2 5 2 2" xfId="44879"/>
    <cellStyle name="Comma 6 2 2 2 2 5 2 3" xfId="44880"/>
    <cellStyle name="Comma 6 2 2 2 2 5 3" xfId="44881"/>
    <cellStyle name="Comma 6 2 2 2 2 5 3 2" xfId="44882"/>
    <cellStyle name="Comma 6 2 2 2 2 5 4" xfId="44883"/>
    <cellStyle name="Comma 6 2 2 2 2 5 5" xfId="44884"/>
    <cellStyle name="Comma 6 2 2 2 2 6" xfId="44885"/>
    <cellStyle name="Comma 6 2 2 2 2 6 2" xfId="44886"/>
    <cellStyle name="Comma 6 2 2 2 2 6 3" xfId="44887"/>
    <cellStyle name="Comma 6 2 2 2 2 7" xfId="44888"/>
    <cellStyle name="Comma 6 2 2 2 2 7 2" xfId="44889"/>
    <cellStyle name="Comma 6 2 2 2 2 7 3" xfId="44890"/>
    <cellStyle name="Comma 6 2 2 2 2 8" xfId="44891"/>
    <cellStyle name="Comma 6 2 2 2 2 8 2" xfId="44892"/>
    <cellStyle name="Comma 6 2 2 2 2 9" xfId="44893"/>
    <cellStyle name="Comma 6 2 2 2 3" xfId="44894"/>
    <cellStyle name="Comma 6 2 2 2 3 2" xfId="44895"/>
    <cellStyle name="Comma 6 2 2 2 3 2 2" xfId="44896"/>
    <cellStyle name="Comma 6 2 2 2 3 2 2 2" xfId="44897"/>
    <cellStyle name="Comma 6 2 2 2 3 2 2 3" xfId="44898"/>
    <cellStyle name="Comma 6 2 2 2 3 2 3" xfId="44899"/>
    <cellStyle name="Comma 6 2 2 2 3 2 3 2" xfId="44900"/>
    <cellStyle name="Comma 6 2 2 2 3 2 3 3" xfId="44901"/>
    <cellStyle name="Comma 6 2 2 2 3 2 4" xfId="44902"/>
    <cellStyle name="Comma 6 2 2 2 3 2 4 2" xfId="44903"/>
    <cellStyle name="Comma 6 2 2 2 3 2 5" xfId="44904"/>
    <cellStyle name="Comma 6 2 2 2 3 2 6" xfId="44905"/>
    <cellStyle name="Comma 6 2 2 2 3 3" xfId="44906"/>
    <cellStyle name="Comma 6 2 2 2 3 3 2" xfId="44907"/>
    <cellStyle name="Comma 6 2 2 2 3 3 2 2" xfId="44908"/>
    <cellStyle name="Comma 6 2 2 2 3 3 2 3" xfId="44909"/>
    <cellStyle name="Comma 6 2 2 2 3 3 3" xfId="44910"/>
    <cellStyle name="Comma 6 2 2 2 3 3 3 2" xfId="44911"/>
    <cellStyle name="Comma 6 2 2 2 3 3 3 3" xfId="44912"/>
    <cellStyle name="Comma 6 2 2 2 3 3 4" xfId="44913"/>
    <cellStyle name="Comma 6 2 2 2 3 3 4 2" xfId="44914"/>
    <cellStyle name="Comma 6 2 2 2 3 3 5" xfId="44915"/>
    <cellStyle name="Comma 6 2 2 2 3 3 6" xfId="44916"/>
    <cellStyle name="Comma 6 2 2 2 3 4" xfId="44917"/>
    <cellStyle name="Comma 6 2 2 2 3 4 2" xfId="44918"/>
    <cellStyle name="Comma 6 2 2 2 3 4 2 2" xfId="44919"/>
    <cellStyle name="Comma 6 2 2 2 3 4 2 3" xfId="44920"/>
    <cellStyle name="Comma 6 2 2 2 3 4 3" xfId="44921"/>
    <cellStyle name="Comma 6 2 2 2 3 4 3 2" xfId="44922"/>
    <cellStyle name="Comma 6 2 2 2 3 4 4" xfId="44923"/>
    <cellStyle name="Comma 6 2 2 2 3 4 5" xfId="44924"/>
    <cellStyle name="Comma 6 2 2 2 3 5" xfId="44925"/>
    <cellStyle name="Comma 6 2 2 2 3 5 2" xfId="44926"/>
    <cellStyle name="Comma 6 2 2 2 3 5 3" xfId="44927"/>
    <cellStyle name="Comma 6 2 2 2 3 6" xfId="44928"/>
    <cellStyle name="Comma 6 2 2 2 3 6 2" xfId="44929"/>
    <cellStyle name="Comma 6 2 2 2 3 6 3" xfId="44930"/>
    <cellStyle name="Comma 6 2 2 2 3 7" xfId="44931"/>
    <cellStyle name="Comma 6 2 2 2 3 7 2" xfId="44932"/>
    <cellStyle name="Comma 6 2 2 2 3 8" xfId="44933"/>
    <cellStyle name="Comma 6 2 2 2 3 9" xfId="44934"/>
    <cellStyle name="Comma 6 2 2 2 4" xfId="44935"/>
    <cellStyle name="Comma 6 2 2 2 4 2" xfId="44936"/>
    <cellStyle name="Comma 6 2 2 2 4 2 2" xfId="44937"/>
    <cellStyle name="Comma 6 2 2 2 4 2 2 2" xfId="44938"/>
    <cellStyle name="Comma 6 2 2 2 4 2 2 3" xfId="44939"/>
    <cellStyle name="Comma 6 2 2 2 4 2 3" xfId="44940"/>
    <cellStyle name="Comma 6 2 2 2 4 2 3 2" xfId="44941"/>
    <cellStyle name="Comma 6 2 2 2 4 2 3 3" xfId="44942"/>
    <cellStyle name="Comma 6 2 2 2 4 2 4" xfId="44943"/>
    <cellStyle name="Comma 6 2 2 2 4 2 4 2" xfId="44944"/>
    <cellStyle name="Comma 6 2 2 2 4 2 5" xfId="44945"/>
    <cellStyle name="Comma 6 2 2 2 4 2 6" xfId="44946"/>
    <cellStyle name="Comma 6 2 2 2 4 3" xfId="44947"/>
    <cellStyle name="Comma 6 2 2 2 4 3 2" xfId="44948"/>
    <cellStyle name="Comma 6 2 2 2 4 3 2 2" xfId="44949"/>
    <cellStyle name="Comma 6 2 2 2 4 3 2 3" xfId="44950"/>
    <cellStyle name="Comma 6 2 2 2 4 3 3" xfId="44951"/>
    <cellStyle name="Comma 6 2 2 2 4 3 3 2" xfId="44952"/>
    <cellStyle name="Comma 6 2 2 2 4 3 3 3" xfId="44953"/>
    <cellStyle name="Comma 6 2 2 2 4 3 4" xfId="44954"/>
    <cellStyle name="Comma 6 2 2 2 4 3 4 2" xfId="44955"/>
    <cellStyle name="Comma 6 2 2 2 4 3 5" xfId="44956"/>
    <cellStyle name="Comma 6 2 2 2 4 3 6" xfId="44957"/>
    <cellStyle name="Comma 6 2 2 2 4 4" xfId="44958"/>
    <cellStyle name="Comma 6 2 2 2 4 4 2" xfId="44959"/>
    <cellStyle name="Comma 6 2 2 2 4 4 2 2" xfId="44960"/>
    <cellStyle name="Comma 6 2 2 2 4 4 2 3" xfId="44961"/>
    <cellStyle name="Comma 6 2 2 2 4 4 3" xfId="44962"/>
    <cellStyle name="Comma 6 2 2 2 4 4 3 2" xfId="44963"/>
    <cellStyle name="Comma 6 2 2 2 4 4 4" xfId="44964"/>
    <cellStyle name="Comma 6 2 2 2 4 4 5" xfId="44965"/>
    <cellStyle name="Comma 6 2 2 2 4 5" xfId="44966"/>
    <cellStyle name="Comma 6 2 2 2 4 5 2" xfId="44967"/>
    <cellStyle name="Comma 6 2 2 2 4 5 3" xfId="44968"/>
    <cellStyle name="Comma 6 2 2 2 4 6" xfId="44969"/>
    <cellStyle name="Comma 6 2 2 2 4 6 2" xfId="44970"/>
    <cellStyle name="Comma 6 2 2 2 4 6 3" xfId="44971"/>
    <cellStyle name="Comma 6 2 2 2 4 7" xfId="44972"/>
    <cellStyle name="Comma 6 2 2 2 4 7 2" xfId="44973"/>
    <cellStyle name="Comma 6 2 2 2 4 8" xfId="44974"/>
    <cellStyle name="Comma 6 2 2 2 4 9" xfId="44975"/>
    <cellStyle name="Comma 6 2 2 2 5" xfId="44976"/>
    <cellStyle name="Comma 6 2 2 2 5 2" xfId="44977"/>
    <cellStyle name="Comma 6 2 2 2 5 2 2" xfId="44978"/>
    <cellStyle name="Comma 6 2 2 2 5 2 3" xfId="44979"/>
    <cellStyle name="Comma 6 2 2 2 5 3" xfId="44980"/>
    <cellStyle name="Comma 6 2 2 2 5 3 2" xfId="44981"/>
    <cellStyle name="Comma 6 2 2 2 5 3 3" xfId="44982"/>
    <cellStyle name="Comma 6 2 2 2 5 4" xfId="44983"/>
    <cellStyle name="Comma 6 2 2 2 5 4 2" xfId="44984"/>
    <cellStyle name="Comma 6 2 2 2 5 5" xfId="44985"/>
    <cellStyle name="Comma 6 2 2 2 5 6" xfId="44986"/>
    <cellStyle name="Comma 6 2 2 2 6" xfId="44987"/>
    <cellStyle name="Comma 6 2 2 2 6 2" xfId="44988"/>
    <cellStyle name="Comma 6 2 2 2 6 2 2" xfId="44989"/>
    <cellStyle name="Comma 6 2 2 2 6 2 3" xfId="44990"/>
    <cellStyle name="Comma 6 2 2 2 6 3" xfId="44991"/>
    <cellStyle name="Comma 6 2 2 2 6 3 2" xfId="44992"/>
    <cellStyle name="Comma 6 2 2 2 6 3 3" xfId="44993"/>
    <cellStyle name="Comma 6 2 2 2 6 4" xfId="44994"/>
    <cellStyle name="Comma 6 2 2 2 6 4 2" xfId="44995"/>
    <cellStyle name="Comma 6 2 2 2 6 5" xfId="44996"/>
    <cellStyle name="Comma 6 2 2 2 6 6" xfId="44997"/>
    <cellStyle name="Comma 6 2 2 2 7" xfId="44998"/>
    <cellStyle name="Comma 6 2 2 2 7 2" xfId="44999"/>
    <cellStyle name="Comma 6 2 2 2 7 2 2" xfId="45000"/>
    <cellStyle name="Comma 6 2 2 2 7 2 3" xfId="45001"/>
    <cellStyle name="Comma 6 2 2 2 7 3" xfId="45002"/>
    <cellStyle name="Comma 6 2 2 2 7 3 2" xfId="45003"/>
    <cellStyle name="Comma 6 2 2 2 7 4" xfId="45004"/>
    <cellStyle name="Comma 6 2 2 2 7 5" xfId="45005"/>
    <cellStyle name="Comma 6 2 2 2 8" xfId="45006"/>
    <cellStyle name="Comma 6 2 2 2 8 2" xfId="45007"/>
    <cellStyle name="Comma 6 2 2 2 8 3" xfId="45008"/>
    <cellStyle name="Comma 6 2 2 2 9" xfId="45009"/>
    <cellStyle name="Comma 6 2 2 2 9 2" xfId="45010"/>
    <cellStyle name="Comma 6 2 2 2 9 3" xfId="45011"/>
    <cellStyle name="Comma 6 2 2 3" xfId="45012"/>
    <cellStyle name="Comma 6 2 2 3 10" xfId="45013"/>
    <cellStyle name="Comma 6 2 2 3 2" xfId="45014"/>
    <cellStyle name="Comma 6 2 2 3 2 2" xfId="45015"/>
    <cellStyle name="Comma 6 2 2 3 2 2 2" xfId="45016"/>
    <cellStyle name="Comma 6 2 2 3 2 2 2 2" xfId="45017"/>
    <cellStyle name="Comma 6 2 2 3 2 2 2 3" xfId="45018"/>
    <cellStyle name="Comma 6 2 2 3 2 2 3" xfId="45019"/>
    <cellStyle name="Comma 6 2 2 3 2 2 3 2" xfId="45020"/>
    <cellStyle name="Comma 6 2 2 3 2 2 3 3" xfId="45021"/>
    <cellStyle name="Comma 6 2 2 3 2 2 4" xfId="45022"/>
    <cellStyle name="Comma 6 2 2 3 2 2 4 2" xfId="45023"/>
    <cellStyle name="Comma 6 2 2 3 2 2 5" xfId="45024"/>
    <cellStyle name="Comma 6 2 2 3 2 2 6" xfId="45025"/>
    <cellStyle name="Comma 6 2 2 3 2 3" xfId="45026"/>
    <cellStyle name="Comma 6 2 2 3 2 3 2" xfId="45027"/>
    <cellStyle name="Comma 6 2 2 3 2 3 2 2" xfId="45028"/>
    <cellStyle name="Comma 6 2 2 3 2 3 2 3" xfId="45029"/>
    <cellStyle name="Comma 6 2 2 3 2 3 3" xfId="45030"/>
    <cellStyle name="Comma 6 2 2 3 2 3 3 2" xfId="45031"/>
    <cellStyle name="Comma 6 2 2 3 2 3 3 3" xfId="45032"/>
    <cellStyle name="Comma 6 2 2 3 2 3 4" xfId="45033"/>
    <cellStyle name="Comma 6 2 2 3 2 3 4 2" xfId="45034"/>
    <cellStyle name="Comma 6 2 2 3 2 3 5" xfId="45035"/>
    <cellStyle name="Comma 6 2 2 3 2 3 6" xfId="45036"/>
    <cellStyle name="Comma 6 2 2 3 2 4" xfId="45037"/>
    <cellStyle name="Comma 6 2 2 3 2 4 2" xfId="45038"/>
    <cellStyle name="Comma 6 2 2 3 2 4 2 2" xfId="45039"/>
    <cellStyle name="Comma 6 2 2 3 2 4 2 3" xfId="45040"/>
    <cellStyle name="Comma 6 2 2 3 2 4 3" xfId="45041"/>
    <cellStyle name="Comma 6 2 2 3 2 4 3 2" xfId="45042"/>
    <cellStyle name="Comma 6 2 2 3 2 4 4" xfId="45043"/>
    <cellStyle name="Comma 6 2 2 3 2 4 5" xfId="45044"/>
    <cellStyle name="Comma 6 2 2 3 2 5" xfId="45045"/>
    <cellStyle name="Comma 6 2 2 3 2 5 2" xfId="45046"/>
    <cellStyle name="Comma 6 2 2 3 2 5 3" xfId="45047"/>
    <cellStyle name="Comma 6 2 2 3 2 6" xfId="45048"/>
    <cellStyle name="Comma 6 2 2 3 2 6 2" xfId="45049"/>
    <cellStyle name="Comma 6 2 2 3 2 6 3" xfId="45050"/>
    <cellStyle name="Comma 6 2 2 3 2 7" xfId="45051"/>
    <cellStyle name="Comma 6 2 2 3 2 7 2" xfId="45052"/>
    <cellStyle name="Comma 6 2 2 3 2 8" xfId="45053"/>
    <cellStyle name="Comma 6 2 2 3 2 9" xfId="45054"/>
    <cellStyle name="Comma 6 2 2 3 3" xfId="45055"/>
    <cellStyle name="Comma 6 2 2 3 3 2" xfId="45056"/>
    <cellStyle name="Comma 6 2 2 3 3 2 2" xfId="45057"/>
    <cellStyle name="Comma 6 2 2 3 3 2 3" xfId="45058"/>
    <cellStyle name="Comma 6 2 2 3 3 3" xfId="45059"/>
    <cellStyle name="Comma 6 2 2 3 3 3 2" xfId="45060"/>
    <cellStyle name="Comma 6 2 2 3 3 3 3" xfId="45061"/>
    <cellStyle name="Comma 6 2 2 3 3 4" xfId="45062"/>
    <cellStyle name="Comma 6 2 2 3 3 4 2" xfId="45063"/>
    <cellStyle name="Comma 6 2 2 3 3 5" xfId="45064"/>
    <cellStyle name="Comma 6 2 2 3 3 6" xfId="45065"/>
    <cellStyle name="Comma 6 2 2 3 4" xfId="45066"/>
    <cellStyle name="Comma 6 2 2 3 4 2" xfId="45067"/>
    <cellStyle name="Comma 6 2 2 3 4 2 2" xfId="45068"/>
    <cellStyle name="Comma 6 2 2 3 4 2 3" xfId="45069"/>
    <cellStyle name="Comma 6 2 2 3 4 3" xfId="45070"/>
    <cellStyle name="Comma 6 2 2 3 4 3 2" xfId="45071"/>
    <cellStyle name="Comma 6 2 2 3 4 3 3" xfId="45072"/>
    <cellStyle name="Comma 6 2 2 3 4 4" xfId="45073"/>
    <cellStyle name="Comma 6 2 2 3 4 4 2" xfId="45074"/>
    <cellStyle name="Comma 6 2 2 3 4 5" xfId="45075"/>
    <cellStyle name="Comma 6 2 2 3 4 6" xfId="45076"/>
    <cellStyle name="Comma 6 2 2 3 5" xfId="45077"/>
    <cellStyle name="Comma 6 2 2 3 5 2" xfId="45078"/>
    <cellStyle name="Comma 6 2 2 3 5 2 2" xfId="45079"/>
    <cellStyle name="Comma 6 2 2 3 5 2 3" xfId="45080"/>
    <cellStyle name="Comma 6 2 2 3 5 3" xfId="45081"/>
    <cellStyle name="Comma 6 2 2 3 5 3 2" xfId="45082"/>
    <cellStyle name="Comma 6 2 2 3 5 4" xfId="45083"/>
    <cellStyle name="Comma 6 2 2 3 5 5" xfId="45084"/>
    <cellStyle name="Comma 6 2 2 3 6" xfId="45085"/>
    <cellStyle name="Comma 6 2 2 3 6 2" xfId="45086"/>
    <cellStyle name="Comma 6 2 2 3 6 3" xfId="45087"/>
    <cellStyle name="Comma 6 2 2 3 7" xfId="45088"/>
    <cellStyle name="Comma 6 2 2 3 7 2" xfId="45089"/>
    <cellStyle name="Comma 6 2 2 3 7 3" xfId="45090"/>
    <cellStyle name="Comma 6 2 2 3 8" xfId="45091"/>
    <cellStyle name="Comma 6 2 2 3 8 2" xfId="45092"/>
    <cellStyle name="Comma 6 2 2 3 9" xfId="45093"/>
    <cellStyle name="Comma 6 2 2 4" xfId="45094"/>
    <cellStyle name="Comma 6 2 2 4 2" xfId="45095"/>
    <cellStyle name="Comma 6 2 2 4 2 2" xfId="45096"/>
    <cellStyle name="Comma 6 2 2 4 2 2 2" xfId="45097"/>
    <cellStyle name="Comma 6 2 2 4 2 2 3" xfId="45098"/>
    <cellStyle name="Comma 6 2 2 4 2 3" xfId="45099"/>
    <cellStyle name="Comma 6 2 2 4 2 3 2" xfId="45100"/>
    <cellStyle name="Comma 6 2 2 4 2 3 3" xfId="45101"/>
    <cellStyle name="Comma 6 2 2 4 2 4" xfId="45102"/>
    <cellStyle name="Comma 6 2 2 4 2 4 2" xfId="45103"/>
    <cellStyle name="Comma 6 2 2 4 2 5" xfId="45104"/>
    <cellStyle name="Comma 6 2 2 4 2 6" xfId="45105"/>
    <cellStyle name="Comma 6 2 2 4 3" xfId="45106"/>
    <cellStyle name="Comma 6 2 2 4 3 2" xfId="45107"/>
    <cellStyle name="Comma 6 2 2 4 3 2 2" xfId="45108"/>
    <cellStyle name="Comma 6 2 2 4 3 2 3" xfId="45109"/>
    <cellStyle name="Comma 6 2 2 4 3 3" xfId="45110"/>
    <cellStyle name="Comma 6 2 2 4 3 3 2" xfId="45111"/>
    <cellStyle name="Comma 6 2 2 4 3 3 3" xfId="45112"/>
    <cellStyle name="Comma 6 2 2 4 3 4" xfId="45113"/>
    <cellStyle name="Comma 6 2 2 4 3 4 2" xfId="45114"/>
    <cellStyle name="Comma 6 2 2 4 3 5" xfId="45115"/>
    <cellStyle name="Comma 6 2 2 4 3 6" xfId="45116"/>
    <cellStyle name="Comma 6 2 2 4 4" xfId="45117"/>
    <cellStyle name="Comma 6 2 2 4 4 2" xfId="45118"/>
    <cellStyle name="Comma 6 2 2 4 4 2 2" xfId="45119"/>
    <cellStyle name="Comma 6 2 2 4 4 2 3" xfId="45120"/>
    <cellStyle name="Comma 6 2 2 4 4 3" xfId="45121"/>
    <cellStyle name="Comma 6 2 2 4 4 3 2" xfId="45122"/>
    <cellStyle name="Comma 6 2 2 4 4 4" xfId="45123"/>
    <cellStyle name="Comma 6 2 2 4 4 5" xfId="45124"/>
    <cellStyle name="Comma 6 2 2 4 5" xfId="45125"/>
    <cellStyle name="Comma 6 2 2 4 5 2" xfId="45126"/>
    <cellStyle name="Comma 6 2 2 4 5 3" xfId="45127"/>
    <cellStyle name="Comma 6 2 2 4 6" xfId="45128"/>
    <cellStyle name="Comma 6 2 2 4 6 2" xfId="45129"/>
    <cellStyle name="Comma 6 2 2 4 6 3" xfId="45130"/>
    <cellStyle name="Comma 6 2 2 4 7" xfId="45131"/>
    <cellStyle name="Comma 6 2 2 4 7 2" xfId="45132"/>
    <cellStyle name="Comma 6 2 2 4 8" xfId="45133"/>
    <cellStyle name="Comma 6 2 2 4 9" xfId="45134"/>
    <cellStyle name="Comma 6 2 2 5" xfId="45135"/>
    <cellStyle name="Comma 6 2 2 5 2" xfId="45136"/>
    <cellStyle name="Comma 6 2 2 5 2 2" xfId="45137"/>
    <cellStyle name="Comma 6 2 2 5 2 2 2" xfId="45138"/>
    <cellStyle name="Comma 6 2 2 5 2 2 3" xfId="45139"/>
    <cellStyle name="Comma 6 2 2 5 2 3" xfId="45140"/>
    <cellStyle name="Comma 6 2 2 5 2 3 2" xfId="45141"/>
    <cellStyle name="Comma 6 2 2 5 2 3 3" xfId="45142"/>
    <cellStyle name="Comma 6 2 2 5 2 4" xfId="45143"/>
    <cellStyle name="Comma 6 2 2 5 2 4 2" xfId="45144"/>
    <cellStyle name="Comma 6 2 2 5 2 5" xfId="45145"/>
    <cellStyle name="Comma 6 2 2 5 2 6" xfId="45146"/>
    <cellStyle name="Comma 6 2 2 5 3" xfId="45147"/>
    <cellStyle name="Comma 6 2 2 5 3 2" xfId="45148"/>
    <cellStyle name="Comma 6 2 2 5 3 2 2" xfId="45149"/>
    <cellStyle name="Comma 6 2 2 5 3 2 3" xfId="45150"/>
    <cellStyle name="Comma 6 2 2 5 3 3" xfId="45151"/>
    <cellStyle name="Comma 6 2 2 5 3 3 2" xfId="45152"/>
    <cellStyle name="Comma 6 2 2 5 3 3 3" xfId="45153"/>
    <cellStyle name="Comma 6 2 2 5 3 4" xfId="45154"/>
    <cellStyle name="Comma 6 2 2 5 3 4 2" xfId="45155"/>
    <cellStyle name="Comma 6 2 2 5 3 5" xfId="45156"/>
    <cellStyle name="Comma 6 2 2 5 3 6" xfId="45157"/>
    <cellStyle name="Comma 6 2 2 5 4" xfId="45158"/>
    <cellStyle name="Comma 6 2 2 5 4 2" xfId="45159"/>
    <cellStyle name="Comma 6 2 2 5 4 2 2" xfId="45160"/>
    <cellStyle name="Comma 6 2 2 5 4 2 3" xfId="45161"/>
    <cellStyle name="Comma 6 2 2 5 4 3" xfId="45162"/>
    <cellStyle name="Comma 6 2 2 5 4 3 2" xfId="45163"/>
    <cellStyle name="Comma 6 2 2 5 4 4" xfId="45164"/>
    <cellStyle name="Comma 6 2 2 5 4 5" xfId="45165"/>
    <cellStyle name="Comma 6 2 2 5 5" xfId="45166"/>
    <cellStyle name="Comma 6 2 2 5 5 2" xfId="45167"/>
    <cellStyle name="Comma 6 2 2 5 5 3" xfId="45168"/>
    <cellStyle name="Comma 6 2 2 5 6" xfId="45169"/>
    <cellStyle name="Comma 6 2 2 5 6 2" xfId="45170"/>
    <cellStyle name="Comma 6 2 2 5 6 3" xfId="45171"/>
    <cellStyle name="Comma 6 2 2 5 7" xfId="45172"/>
    <cellStyle name="Comma 6 2 2 5 7 2" xfId="45173"/>
    <cellStyle name="Comma 6 2 2 5 8" xfId="45174"/>
    <cellStyle name="Comma 6 2 2 5 9" xfId="45175"/>
    <cellStyle name="Comma 6 2 2 6" xfId="45176"/>
    <cellStyle name="Comma 6 2 2 6 2" xfId="45177"/>
    <cellStyle name="Comma 6 2 2 6 2 2" xfId="45178"/>
    <cellStyle name="Comma 6 2 2 6 2 3" xfId="45179"/>
    <cellStyle name="Comma 6 2 2 6 3" xfId="45180"/>
    <cellStyle name="Comma 6 2 2 6 3 2" xfId="45181"/>
    <cellStyle name="Comma 6 2 2 6 3 3" xfId="45182"/>
    <cellStyle name="Comma 6 2 2 6 4" xfId="45183"/>
    <cellStyle name="Comma 6 2 2 6 4 2" xfId="45184"/>
    <cellStyle name="Comma 6 2 2 6 5" xfId="45185"/>
    <cellStyle name="Comma 6 2 2 6 6" xfId="45186"/>
    <cellStyle name="Comma 6 2 2 7" xfId="45187"/>
    <cellStyle name="Comma 6 2 2 7 2" xfId="45188"/>
    <cellStyle name="Comma 6 2 2 7 2 2" xfId="45189"/>
    <cellStyle name="Comma 6 2 2 7 2 3" xfId="45190"/>
    <cellStyle name="Comma 6 2 2 7 3" xfId="45191"/>
    <cellStyle name="Comma 6 2 2 7 3 2" xfId="45192"/>
    <cellStyle name="Comma 6 2 2 7 3 3" xfId="45193"/>
    <cellStyle name="Comma 6 2 2 7 4" xfId="45194"/>
    <cellStyle name="Comma 6 2 2 7 4 2" xfId="45195"/>
    <cellStyle name="Comma 6 2 2 7 5" xfId="45196"/>
    <cellStyle name="Comma 6 2 2 7 6" xfId="45197"/>
    <cellStyle name="Comma 6 2 2 8" xfId="45198"/>
    <cellStyle name="Comma 6 2 2 8 2" xfId="45199"/>
    <cellStyle name="Comma 6 2 2 8 2 2" xfId="45200"/>
    <cellStyle name="Comma 6 2 2 8 2 3" xfId="45201"/>
    <cellStyle name="Comma 6 2 2 8 3" xfId="45202"/>
    <cellStyle name="Comma 6 2 2 8 3 2" xfId="45203"/>
    <cellStyle name="Comma 6 2 2 8 4" xfId="45204"/>
    <cellStyle name="Comma 6 2 2 8 5" xfId="45205"/>
    <cellStyle name="Comma 6 2 2 9" xfId="45206"/>
    <cellStyle name="Comma 6 2 2 9 2" xfId="45207"/>
    <cellStyle name="Comma 6 2 2 9 3" xfId="45208"/>
    <cellStyle name="Comma 6 2 3" xfId="9611"/>
    <cellStyle name="Comma 6 2 3 10" xfId="45209"/>
    <cellStyle name="Comma 6 2 3 10 2" xfId="45210"/>
    <cellStyle name="Comma 6 2 3 11" xfId="45211"/>
    <cellStyle name="Comma 6 2 3 12" xfId="45212"/>
    <cellStyle name="Comma 6 2 3 13" xfId="45213"/>
    <cellStyle name="Comma 6 2 3 2" xfId="45214"/>
    <cellStyle name="Comma 6 2 3 2 10" xfId="45215"/>
    <cellStyle name="Comma 6 2 3 2 2" xfId="45216"/>
    <cellStyle name="Comma 6 2 3 2 2 2" xfId="45217"/>
    <cellStyle name="Comma 6 2 3 2 2 2 2" xfId="45218"/>
    <cellStyle name="Comma 6 2 3 2 2 2 2 2" xfId="45219"/>
    <cellStyle name="Comma 6 2 3 2 2 2 2 3" xfId="45220"/>
    <cellStyle name="Comma 6 2 3 2 2 2 3" xfId="45221"/>
    <cellStyle name="Comma 6 2 3 2 2 2 3 2" xfId="45222"/>
    <cellStyle name="Comma 6 2 3 2 2 2 3 3" xfId="45223"/>
    <cellStyle name="Comma 6 2 3 2 2 2 4" xfId="45224"/>
    <cellStyle name="Comma 6 2 3 2 2 2 4 2" xfId="45225"/>
    <cellStyle name="Comma 6 2 3 2 2 2 5" xfId="45226"/>
    <cellStyle name="Comma 6 2 3 2 2 2 6" xfId="45227"/>
    <cellStyle name="Comma 6 2 3 2 2 3" xfId="45228"/>
    <cellStyle name="Comma 6 2 3 2 2 3 2" xfId="45229"/>
    <cellStyle name="Comma 6 2 3 2 2 3 2 2" xfId="45230"/>
    <cellStyle name="Comma 6 2 3 2 2 3 2 3" xfId="45231"/>
    <cellStyle name="Comma 6 2 3 2 2 3 3" xfId="45232"/>
    <cellStyle name="Comma 6 2 3 2 2 3 3 2" xfId="45233"/>
    <cellStyle name="Comma 6 2 3 2 2 3 3 3" xfId="45234"/>
    <cellStyle name="Comma 6 2 3 2 2 3 4" xfId="45235"/>
    <cellStyle name="Comma 6 2 3 2 2 3 4 2" xfId="45236"/>
    <cellStyle name="Comma 6 2 3 2 2 3 5" xfId="45237"/>
    <cellStyle name="Comma 6 2 3 2 2 3 6" xfId="45238"/>
    <cellStyle name="Comma 6 2 3 2 2 4" xfId="45239"/>
    <cellStyle name="Comma 6 2 3 2 2 4 2" xfId="45240"/>
    <cellStyle name="Comma 6 2 3 2 2 4 2 2" xfId="45241"/>
    <cellStyle name="Comma 6 2 3 2 2 4 2 3" xfId="45242"/>
    <cellStyle name="Comma 6 2 3 2 2 4 3" xfId="45243"/>
    <cellStyle name="Comma 6 2 3 2 2 4 3 2" xfId="45244"/>
    <cellStyle name="Comma 6 2 3 2 2 4 4" xfId="45245"/>
    <cellStyle name="Comma 6 2 3 2 2 4 5" xfId="45246"/>
    <cellStyle name="Comma 6 2 3 2 2 5" xfId="45247"/>
    <cellStyle name="Comma 6 2 3 2 2 5 2" xfId="45248"/>
    <cellStyle name="Comma 6 2 3 2 2 5 3" xfId="45249"/>
    <cellStyle name="Comma 6 2 3 2 2 6" xfId="45250"/>
    <cellStyle name="Comma 6 2 3 2 2 6 2" xfId="45251"/>
    <cellStyle name="Comma 6 2 3 2 2 6 3" xfId="45252"/>
    <cellStyle name="Comma 6 2 3 2 2 7" xfId="45253"/>
    <cellStyle name="Comma 6 2 3 2 2 7 2" xfId="45254"/>
    <cellStyle name="Comma 6 2 3 2 2 8" xfId="45255"/>
    <cellStyle name="Comma 6 2 3 2 2 9" xfId="45256"/>
    <cellStyle name="Comma 6 2 3 2 3" xfId="45257"/>
    <cellStyle name="Comma 6 2 3 2 3 2" xfId="45258"/>
    <cellStyle name="Comma 6 2 3 2 3 2 2" xfId="45259"/>
    <cellStyle name="Comma 6 2 3 2 3 2 3" xfId="45260"/>
    <cellStyle name="Comma 6 2 3 2 3 3" xfId="45261"/>
    <cellStyle name="Comma 6 2 3 2 3 3 2" xfId="45262"/>
    <cellStyle name="Comma 6 2 3 2 3 3 3" xfId="45263"/>
    <cellStyle name="Comma 6 2 3 2 3 4" xfId="45264"/>
    <cellStyle name="Comma 6 2 3 2 3 4 2" xfId="45265"/>
    <cellStyle name="Comma 6 2 3 2 3 5" xfId="45266"/>
    <cellStyle name="Comma 6 2 3 2 3 6" xfId="45267"/>
    <cellStyle name="Comma 6 2 3 2 4" xfId="45268"/>
    <cellStyle name="Comma 6 2 3 2 4 2" xfId="45269"/>
    <cellStyle name="Comma 6 2 3 2 4 2 2" xfId="45270"/>
    <cellStyle name="Comma 6 2 3 2 4 2 3" xfId="45271"/>
    <cellStyle name="Comma 6 2 3 2 4 3" xfId="45272"/>
    <cellStyle name="Comma 6 2 3 2 4 3 2" xfId="45273"/>
    <cellStyle name="Comma 6 2 3 2 4 3 3" xfId="45274"/>
    <cellStyle name="Comma 6 2 3 2 4 4" xfId="45275"/>
    <cellStyle name="Comma 6 2 3 2 4 4 2" xfId="45276"/>
    <cellStyle name="Comma 6 2 3 2 4 5" xfId="45277"/>
    <cellStyle name="Comma 6 2 3 2 4 6" xfId="45278"/>
    <cellStyle name="Comma 6 2 3 2 5" xfId="45279"/>
    <cellStyle name="Comma 6 2 3 2 5 2" xfId="45280"/>
    <cellStyle name="Comma 6 2 3 2 5 2 2" xfId="45281"/>
    <cellStyle name="Comma 6 2 3 2 5 2 3" xfId="45282"/>
    <cellStyle name="Comma 6 2 3 2 5 3" xfId="45283"/>
    <cellStyle name="Comma 6 2 3 2 5 3 2" xfId="45284"/>
    <cellStyle name="Comma 6 2 3 2 5 4" xfId="45285"/>
    <cellStyle name="Comma 6 2 3 2 5 5" xfId="45286"/>
    <cellStyle name="Comma 6 2 3 2 6" xfId="45287"/>
    <cellStyle name="Comma 6 2 3 2 6 2" xfId="45288"/>
    <cellStyle name="Comma 6 2 3 2 6 3" xfId="45289"/>
    <cellStyle name="Comma 6 2 3 2 7" xfId="45290"/>
    <cellStyle name="Comma 6 2 3 2 7 2" xfId="45291"/>
    <cellStyle name="Comma 6 2 3 2 7 3" xfId="45292"/>
    <cellStyle name="Comma 6 2 3 2 8" xfId="45293"/>
    <cellStyle name="Comma 6 2 3 2 8 2" xfId="45294"/>
    <cellStyle name="Comma 6 2 3 2 9" xfId="45295"/>
    <cellStyle name="Comma 6 2 3 3" xfId="45296"/>
    <cellStyle name="Comma 6 2 3 3 2" xfId="45297"/>
    <cellStyle name="Comma 6 2 3 3 2 2" xfId="45298"/>
    <cellStyle name="Comma 6 2 3 3 2 2 2" xfId="45299"/>
    <cellStyle name="Comma 6 2 3 3 2 2 3" xfId="45300"/>
    <cellStyle name="Comma 6 2 3 3 2 3" xfId="45301"/>
    <cellStyle name="Comma 6 2 3 3 2 3 2" xfId="45302"/>
    <cellStyle name="Comma 6 2 3 3 2 3 3" xfId="45303"/>
    <cellStyle name="Comma 6 2 3 3 2 4" xfId="45304"/>
    <cellStyle name="Comma 6 2 3 3 2 4 2" xfId="45305"/>
    <cellStyle name="Comma 6 2 3 3 2 5" xfId="45306"/>
    <cellStyle name="Comma 6 2 3 3 2 6" xfId="45307"/>
    <cellStyle name="Comma 6 2 3 3 3" xfId="45308"/>
    <cellStyle name="Comma 6 2 3 3 3 2" xfId="45309"/>
    <cellStyle name="Comma 6 2 3 3 3 2 2" xfId="45310"/>
    <cellStyle name="Comma 6 2 3 3 3 2 3" xfId="45311"/>
    <cellStyle name="Comma 6 2 3 3 3 3" xfId="45312"/>
    <cellStyle name="Comma 6 2 3 3 3 3 2" xfId="45313"/>
    <cellStyle name="Comma 6 2 3 3 3 3 3" xfId="45314"/>
    <cellStyle name="Comma 6 2 3 3 3 4" xfId="45315"/>
    <cellStyle name="Comma 6 2 3 3 3 4 2" xfId="45316"/>
    <cellStyle name="Comma 6 2 3 3 3 5" xfId="45317"/>
    <cellStyle name="Comma 6 2 3 3 3 6" xfId="45318"/>
    <cellStyle name="Comma 6 2 3 3 4" xfId="45319"/>
    <cellStyle name="Comma 6 2 3 3 4 2" xfId="45320"/>
    <cellStyle name="Comma 6 2 3 3 4 2 2" xfId="45321"/>
    <cellStyle name="Comma 6 2 3 3 4 2 3" xfId="45322"/>
    <cellStyle name="Comma 6 2 3 3 4 3" xfId="45323"/>
    <cellStyle name="Comma 6 2 3 3 4 3 2" xfId="45324"/>
    <cellStyle name="Comma 6 2 3 3 4 4" xfId="45325"/>
    <cellStyle name="Comma 6 2 3 3 4 5" xfId="45326"/>
    <cellStyle name="Comma 6 2 3 3 5" xfId="45327"/>
    <cellStyle name="Comma 6 2 3 3 5 2" xfId="45328"/>
    <cellStyle name="Comma 6 2 3 3 5 3" xfId="45329"/>
    <cellStyle name="Comma 6 2 3 3 6" xfId="45330"/>
    <cellStyle name="Comma 6 2 3 3 6 2" xfId="45331"/>
    <cellStyle name="Comma 6 2 3 3 6 3" xfId="45332"/>
    <cellStyle name="Comma 6 2 3 3 7" xfId="45333"/>
    <cellStyle name="Comma 6 2 3 3 7 2" xfId="45334"/>
    <cellStyle name="Comma 6 2 3 3 8" xfId="45335"/>
    <cellStyle name="Comma 6 2 3 3 9" xfId="45336"/>
    <cellStyle name="Comma 6 2 3 4" xfId="45337"/>
    <cellStyle name="Comma 6 2 3 4 2" xfId="45338"/>
    <cellStyle name="Comma 6 2 3 4 2 2" xfId="45339"/>
    <cellStyle name="Comma 6 2 3 4 2 2 2" xfId="45340"/>
    <cellStyle name="Comma 6 2 3 4 2 2 3" xfId="45341"/>
    <cellStyle name="Comma 6 2 3 4 2 3" xfId="45342"/>
    <cellStyle name="Comma 6 2 3 4 2 3 2" xfId="45343"/>
    <cellStyle name="Comma 6 2 3 4 2 3 3" xfId="45344"/>
    <cellStyle name="Comma 6 2 3 4 2 4" xfId="45345"/>
    <cellStyle name="Comma 6 2 3 4 2 4 2" xfId="45346"/>
    <cellStyle name="Comma 6 2 3 4 2 5" xfId="45347"/>
    <cellStyle name="Comma 6 2 3 4 2 6" xfId="45348"/>
    <cellStyle name="Comma 6 2 3 4 3" xfId="45349"/>
    <cellStyle name="Comma 6 2 3 4 3 2" xfId="45350"/>
    <cellStyle name="Comma 6 2 3 4 3 2 2" xfId="45351"/>
    <cellStyle name="Comma 6 2 3 4 3 2 3" xfId="45352"/>
    <cellStyle name="Comma 6 2 3 4 3 3" xfId="45353"/>
    <cellStyle name="Comma 6 2 3 4 3 3 2" xfId="45354"/>
    <cellStyle name="Comma 6 2 3 4 3 3 3" xfId="45355"/>
    <cellStyle name="Comma 6 2 3 4 3 4" xfId="45356"/>
    <cellStyle name="Comma 6 2 3 4 3 4 2" xfId="45357"/>
    <cellStyle name="Comma 6 2 3 4 3 5" xfId="45358"/>
    <cellStyle name="Comma 6 2 3 4 3 6" xfId="45359"/>
    <cellStyle name="Comma 6 2 3 4 4" xfId="45360"/>
    <cellStyle name="Comma 6 2 3 4 4 2" xfId="45361"/>
    <cellStyle name="Comma 6 2 3 4 4 2 2" xfId="45362"/>
    <cellStyle name="Comma 6 2 3 4 4 2 3" xfId="45363"/>
    <cellStyle name="Comma 6 2 3 4 4 3" xfId="45364"/>
    <cellStyle name="Comma 6 2 3 4 4 3 2" xfId="45365"/>
    <cellStyle name="Comma 6 2 3 4 4 4" xfId="45366"/>
    <cellStyle name="Comma 6 2 3 4 4 5" xfId="45367"/>
    <cellStyle name="Comma 6 2 3 4 5" xfId="45368"/>
    <cellStyle name="Comma 6 2 3 4 5 2" xfId="45369"/>
    <cellStyle name="Comma 6 2 3 4 5 3" xfId="45370"/>
    <cellStyle name="Comma 6 2 3 4 6" xfId="45371"/>
    <cellStyle name="Comma 6 2 3 4 6 2" xfId="45372"/>
    <cellStyle name="Comma 6 2 3 4 6 3" xfId="45373"/>
    <cellStyle name="Comma 6 2 3 4 7" xfId="45374"/>
    <cellStyle name="Comma 6 2 3 4 7 2" xfId="45375"/>
    <cellStyle name="Comma 6 2 3 4 8" xfId="45376"/>
    <cellStyle name="Comma 6 2 3 4 9" xfId="45377"/>
    <cellStyle name="Comma 6 2 3 5" xfId="45378"/>
    <cellStyle name="Comma 6 2 3 5 2" xfId="45379"/>
    <cellStyle name="Comma 6 2 3 5 2 2" xfId="45380"/>
    <cellStyle name="Comma 6 2 3 5 2 3" xfId="45381"/>
    <cellStyle name="Comma 6 2 3 5 3" xfId="45382"/>
    <cellStyle name="Comma 6 2 3 5 3 2" xfId="45383"/>
    <cellStyle name="Comma 6 2 3 5 3 3" xfId="45384"/>
    <cellStyle name="Comma 6 2 3 5 4" xfId="45385"/>
    <cellStyle name="Comma 6 2 3 5 4 2" xfId="45386"/>
    <cellStyle name="Comma 6 2 3 5 5" xfId="45387"/>
    <cellStyle name="Comma 6 2 3 5 6" xfId="45388"/>
    <cellStyle name="Comma 6 2 3 6" xfId="45389"/>
    <cellStyle name="Comma 6 2 3 6 2" xfId="45390"/>
    <cellStyle name="Comma 6 2 3 6 2 2" xfId="45391"/>
    <cellStyle name="Comma 6 2 3 6 2 3" xfId="45392"/>
    <cellStyle name="Comma 6 2 3 6 3" xfId="45393"/>
    <cellStyle name="Comma 6 2 3 6 3 2" xfId="45394"/>
    <cellStyle name="Comma 6 2 3 6 3 3" xfId="45395"/>
    <cellStyle name="Comma 6 2 3 6 4" xfId="45396"/>
    <cellStyle name="Comma 6 2 3 6 4 2" xfId="45397"/>
    <cellStyle name="Comma 6 2 3 6 5" xfId="45398"/>
    <cellStyle name="Comma 6 2 3 6 6" xfId="45399"/>
    <cellStyle name="Comma 6 2 3 7" xfId="45400"/>
    <cellStyle name="Comma 6 2 3 7 2" xfId="45401"/>
    <cellStyle name="Comma 6 2 3 7 2 2" xfId="45402"/>
    <cellStyle name="Comma 6 2 3 7 2 3" xfId="45403"/>
    <cellStyle name="Comma 6 2 3 7 3" xfId="45404"/>
    <cellStyle name="Comma 6 2 3 7 3 2" xfId="45405"/>
    <cellStyle name="Comma 6 2 3 7 4" xfId="45406"/>
    <cellStyle name="Comma 6 2 3 7 5" xfId="45407"/>
    <cellStyle name="Comma 6 2 3 8" xfId="45408"/>
    <cellStyle name="Comma 6 2 3 8 2" xfId="45409"/>
    <cellStyle name="Comma 6 2 3 8 3" xfId="45410"/>
    <cellStyle name="Comma 6 2 3 9" xfId="45411"/>
    <cellStyle name="Comma 6 2 3 9 2" xfId="45412"/>
    <cellStyle name="Comma 6 2 3 9 3" xfId="45413"/>
    <cellStyle name="Comma 6 2 4" xfId="45414"/>
    <cellStyle name="Comma 6 2 4 10" xfId="45415"/>
    <cellStyle name="Comma 6 2 4 2" xfId="45416"/>
    <cellStyle name="Comma 6 2 4 2 2" xfId="45417"/>
    <cellStyle name="Comma 6 2 4 2 2 2" xfId="45418"/>
    <cellStyle name="Comma 6 2 4 2 2 2 2" xfId="45419"/>
    <cellStyle name="Comma 6 2 4 2 2 2 3" xfId="45420"/>
    <cellStyle name="Comma 6 2 4 2 2 3" xfId="45421"/>
    <cellStyle name="Comma 6 2 4 2 2 3 2" xfId="45422"/>
    <cellStyle name="Comma 6 2 4 2 2 3 3" xfId="45423"/>
    <cellStyle name="Comma 6 2 4 2 2 4" xfId="45424"/>
    <cellStyle name="Comma 6 2 4 2 2 4 2" xfId="45425"/>
    <cellStyle name="Comma 6 2 4 2 2 5" xfId="45426"/>
    <cellStyle name="Comma 6 2 4 2 2 6" xfId="45427"/>
    <cellStyle name="Comma 6 2 4 2 3" xfId="45428"/>
    <cellStyle name="Comma 6 2 4 2 3 2" xfId="45429"/>
    <cellStyle name="Comma 6 2 4 2 3 2 2" xfId="45430"/>
    <cellStyle name="Comma 6 2 4 2 3 2 3" xfId="45431"/>
    <cellStyle name="Comma 6 2 4 2 3 3" xfId="45432"/>
    <cellStyle name="Comma 6 2 4 2 3 3 2" xfId="45433"/>
    <cellStyle name="Comma 6 2 4 2 3 3 3" xfId="45434"/>
    <cellStyle name="Comma 6 2 4 2 3 4" xfId="45435"/>
    <cellStyle name="Comma 6 2 4 2 3 4 2" xfId="45436"/>
    <cellStyle name="Comma 6 2 4 2 3 5" xfId="45437"/>
    <cellStyle name="Comma 6 2 4 2 3 6" xfId="45438"/>
    <cellStyle name="Comma 6 2 4 2 4" xfId="45439"/>
    <cellStyle name="Comma 6 2 4 2 4 2" xfId="45440"/>
    <cellStyle name="Comma 6 2 4 2 4 2 2" xfId="45441"/>
    <cellStyle name="Comma 6 2 4 2 4 2 3" xfId="45442"/>
    <cellStyle name="Comma 6 2 4 2 4 3" xfId="45443"/>
    <cellStyle name="Comma 6 2 4 2 4 3 2" xfId="45444"/>
    <cellStyle name="Comma 6 2 4 2 4 4" xfId="45445"/>
    <cellStyle name="Comma 6 2 4 2 4 5" xfId="45446"/>
    <cellStyle name="Comma 6 2 4 2 5" xfId="45447"/>
    <cellStyle name="Comma 6 2 4 2 5 2" xfId="45448"/>
    <cellStyle name="Comma 6 2 4 2 5 3" xfId="45449"/>
    <cellStyle name="Comma 6 2 4 2 6" xfId="45450"/>
    <cellStyle name="Comma 6 2 4 2 6 2" xfId="45451"/>
    <cellStyle name="Comma 6 2 4 2 6 3" xfId="45452"/>
    <cellStyle name="Comma 6 2 4 2 7" xfId="45453"/>
    <cellStyle name="Comma 6 2 4 2 7 2" xfId="45454"/>
    <cellStyle name="Comma 6 2 4 2 8" xfId="45455"/>
    <cellStyle name="Comma 6 2 4 2 9" xfId="45456"/>
    <cellStyle name="Comma 6 2 4 3" xfId="45457"/>
    <cellStyle name="Comma 6 2 4 3 2" xfId="45458"/>
    <cellStyle name="Comma 6 2 4 3 2 2" xfId="45459"/>
    <cellStyle name="Comma 6 2 4 3 2 3" xfId="45460"/>
    <cellStyle name="Comma 6 2 4 3 3" xfId="45461"/>
    <cellStyle name="Comma 6 2 4 3 3 2" xfId="45462"/>
    <cellStyle name="Comma 6 2 4 3 3 3" xfId="45463"/>
    <cellStyle name="Comma 6 2 4 3 4" xfId="45464"/>
    <cellStyle name="Comma 6 2 4 3 4 2" xfId="45465"/>
    <cellStyle name="Comma 6 2 4 3 5" xfId="45466"/>
    <cellStyle name="Comma 6 2 4 3 6" xfId="45467"/>
    <cellStyle name="Comma 6 2 4 4" xfId="45468"/>
    <cellStyle name="Comma 6 2 4 4 2" xfId="45469"/>
    <cellStyle name="Comma 6 2 4 4 2 2" xfId="45470"/>
    <cellStyle name="Comma 6 2 4 4 2 3" xfId="45471"/>
    <cellStyle name="Comma 6 2 4 4 3" xfId="45472"/>
    <cellStyle name="Comma 6 2 4 4 3 2" xfId="45473"/>
    <cellStyle name="Comma 6 2 4 4 3 3" xfId="45474"/>
    <cellStyle name="Comma 6 2 4 4 4" xfId="45475"/>
    <cellStyle name="Comma 6 2 4 4 4 2" xfId="45476"/>
    <cellStyle name="Comma 6 2 4 4 5" xfId="45477"/>
    <cellStyle name="Comma 6 2 4 4 6" xfId="45478"/>
    <cellStyle name="Comma 6 2 4 5" xfId="45479"/>
    <cellStyle name="Comma 6 2 4 5 2" xfId="45480"/>
    <cellStyle name="Comma 6 2 4 5 2 2" xfId="45481"/>
    <cellStyle name="Comma 6 2 4 5 2 3" xfId="45482"/>
    <cellStyle name="Comma 6 2 4 5 3" xfId="45483"/>
    <cellStyle name="Comma 6 2 4 5 3 2" xfId="45484"/>
    <cellStyle name="Comma 6 2 4 5 4" xfId="45485"/>
    <cellStyle name="Comma 6 2 4 5 5" xfId="45486"/>
    <cellStyle name="Comma 6 2 4 6" xfId="45487"/>
    <cellStyle name="Comma 6 2 4 6 2" xfId="45488"/>
    <cellStyle name="Comma 6 2 4 6 3" xfId="45489"/>
    <cellStyle name="Comma 6 2 4 7" xfId="45490"/>
    <cellStyle name="Comma 6 2 4 7 2" xfId="45491"/>
    <cellStyle name="Comma 6 2 4 7 3" xfId="45492"/>
    <cellStyle name="Comma 6 2 4 8" xfId="45493"/>
    <cellStyle name="Comma 6 2 4 8 2" xfId="45494"/>
    <cellStyle name="Comma 6 2 4 9" xfId="45495"/>
    <cellStyle name="Comma 6 2 5" xfId="45496"/>
    <cellStyle name="Comma 6 2 5 2" xfId="45497"/>
    <cellStyle name="Comma 6 2 5 2 2" xfId="45498"/>
    <cellStyle name="Comma 6 2 5 2 2 2" xfId="45499"/>
    <cellStyle name="Comma 6 2 5 2 2 3" xfId="45500"/>
    <cellStyle name="Comma 6 2 5 2 3" xfId="45501"/>
    <cellStyle name="Comma 6 2 5 2 3 2" xfId="45502"/>
    <cellStyle name="Comma 6 2 5 2 3 3" xfId="45503"/>
    <cellStyle name="Comma 6 2 5 2 4" xfId="45504"/>
    <cellStyle name="Comma 6 2 5 2 4 2" xfId="45505"/>
    <cellStyle name="Comma 6 2 5 2 5" xfId="45506"/>
    <cellStyle name="Comma 6 2 5 2 6" xfId="45507"/>
    <cellStyle name="Comma 6 2 5 3" xfId="45508"/>
    <cellStyle name="Comma 6 2 5 3 2" xfId="45509"/>
    <cellStyle name="Comma 6 2 5 3 2 2" xfId="45510"/>
    <cellStyle name="Comma 6 2 5 3 2 3" xfId="45511"/>
    <cellStyle name="Comma 6 2 5 3 3" xfId="45512"/>
    <cellStyle name="Comma 6 2 5 3 3 2" xfId="45513"/>
    <cellStyle name="Comma 6 2 5 3 3 3" xfId="45514"/>
    <cellStyle name="Comma 6 2 5 3 4" xfId="45515"/>
    <cellStyle name="Comma 6 2 5 3 4 2" xfId="45516"/>
    <cellStyle name="Comma 6 2 5 3 5" xfId="45517"/>
    <cellStyle name="Comma 6 2 5 3 6" xfId="45518"/>
    <cellStyle name="Comma 6 2 5 4" xfId="45519"/>
    <cellStyle name="Comma 6 2 5 4 2" xfId="45520"/>
    <cellStyle name="Comma 6 2 5 4 2 2" xfId="45521"/>
    <cellStyle name="Comma 6 2 5 4 2 3" xfId="45522"/>
    <cellStyle name="Comma 6 2 5 4 3" xfId="45523"/>
    <cellStyle name="Comma 6 2 5 4 3 2" xfId="45524"/>
    <cellStyle name="Comma 6 2 5 4 4" xfId="45525"/>
    <cellStyle name="Comma 6 2 5 4 5" xfId="45526"/>
    <cellStyle name="Comma 6 2 5 5" xfId="45527"/>
    <cellStyle name="Comma 6 2 5 5 2" xfId="45528"/>
    <cellStyle name="Comma 6 2 5 5 3" xfId="45529"/>
    <cellStyle name="Comma 6 2 5 6" xfId="45530"/>
    <cellStyle name="Comma 6 2 5 6 2" xfId="45531"/>
    <cellStyle name="Comma 6 2 5 6 3" xfId="45532"/>
    <cellStyle name="Comma 6 2 5 7" xfId="45533"/>
    <cellStyle name="Comma 6 2 5 7 2" xfId="45534"/>
    <cellStyle name="Comma 6 2 5 8" xfId="45535"/>
    <cellStyle name="Comma 6 2 5 9" xfId="45536"/>
    <cellStyle name="Comma 6 2 6" xfId="45537"/>
    <cellStyle name="Comma 6 2 6 2" xfId="45538"/>
    <cellStyle name="Comma 6 2 6 2 2" xfId="45539"/>
    <cellStyle name="Comma 6 2 6 2 2 2" xfId="45540"/>
    <cellStyle name="Comma 6 2 6 2 2 3" xfId="45541"/>
    <cellStyle name="Comma 6 2 6 2 3" xfId="45542"/>
    <cellStyle name="Comma 6 2 6 2 3 2" xfId="45543"/>
    <cellStyle name="Comma 6 2 6 2 3 3" xfId="45544"/>
    <cellStyle name="Comma 6 2 6 2 4" xfId="45545"/>
    <cellStyle name="Comma 6 2 6 2 4 2" xfId="45546"/>
    <cellStyle name="Comma 6 2 6 2 5" xfId="45547"/>
    <cellStyle name="Comma 6 2 6 2 6" xfId="45548"/>
    <cellStyle name="Comma 6 2 6 3" xfId="45549"/>
    <cellStyle name="Comma 6 2 6 3 2" xfId="45550"/>
    <cellStyle name="Comma 6 2 6 3 2 2" xfId="45551"/>
    <cellStyle name="Comma 6 2 6 3 2 3" xfId="45552"/>
    <cellStyle name="Comma 6 2 6 3 3" xfId="45553"/>
    <cellStyle name="Comma 6 2 6 3 3 2" xfId="45554"/>
    <cellStyle name="Comma 6 2 6 3 3 3" xfId="45555"/>
    <cellStyle name="Comma 6 2 6 3 4" xfId="45556"/>
    <cellStyle name="Comma 6 2 6 3 4 2" xfId="45557"/>
    <cellStyle name="Comma 6 2 6 3 5" xfId="45558"/>
    <cellStyle name="Comma 6 2 6 3 6" xfId="45559"/>
    <cellStyle name="Comma 6 2 6 4" xfId="45560"/>
    <cellStyle name="Comma 6 2 6 4 2" xfId="45561"/>
    <cellStyle name="Comma 6 2 6 4 2 2" xfId="45562"/>
    <cellStyle name="Comma 6 2 6 4 2 3" xfId="45563"/>
    <cellStyle name="Comma 6 2 6 4 3" xfId="45564"/>
    <cellStyle name="Comma 6 2 6 4 3 2" xfId="45565"/>
    <cellStyle name="Comma 6 2 6 4 4" xfId="45566"/>
    <cellStyle name="Comma 6 2 6 4 5" xfId="45567"/>
    <cellStyle name="Comma 6 2 6 5" xfId="45568"/>
    <cellStyle name="Comma 6 2 6 5 2" xfId="45569"/>
    <cellStyle name="Comma 6 2 6 5 3" xfId="45570"/>
    <cellStyle name="Comma 6 2 6 6" xfId="45571"/>
    <cellStyle name="Comma 6 2 6 6 2" xfId="45572"/>
    <cellStyle name="Comma 6 2 6 6 3" xfId="45573"/>
    <cellStyle name="Comma 6 2 6 7" xfId="45574"/>
    <cellStyle name="Comma 6 2 6 7 2" xfId="45575"/>
    <cellStyle name="Comma 6 2 6 8" xfId="45576"/>
    <cellStyle name="Comma 6 2 6 9" xfId="45577"/>
    <cellStyle name="Comma 6 2 7" xfId="45578"/>
    <cellStyle name="Comma 6 2 7 2" xfId="45579"/>
    <cellStyle name="Comma 6 2 7 2 2" xfId="45580"/>
    <cellStyle name="Comma 6 2 7 2 3" xfId="45581"/>
    <cellStyle name="Comma 6 2 7 3" xfId="45582"/>
    <cellStyle name="Comma 6 2 7 3 2" xfId="45583"/>
    <cellStyle name="Comma 6 2 7 3 3" xfId="45584"/>
    <cellStyle name="Comma 6 2 7 4" xfId="45585"/>
    <cellStyle name="Comma 6 2 7 4 2" xfId="45586"/>
    <cellStyle name="Comma 6 2 7 5" xfId="45587"/>
    <cellStyle name="Comma 6 2 7 6" xfId="45588"/>
    <cellStyle name="Comma 6 2 8" xfId="45589"/>
    <cellStyle name="Comma 6 2 8 2" xfId="45590"/>
    <cellStyle name="Comma 6 2 8 2 2" xfId="45591"/>
    <cellStyle name="Comma 6 2 8 2 3" xfId="45592"/>
    <cellStyle name="Comma 6 2 8 3" xfId="45593"/>
    <cellStyle name="Comma 6 2 8 3 2" xfId="45594"/>
    <cellStyle name="Comma 6 2 8 3 3" xfId="45595"/>
    <cellStyle name="Comma 6 2 8 4" xfId="45596"/>
    <cellStyle name="Comma 6 2 8 4 2" xfId="45597"/>
    <cellStyle name="Comma 6 2 8 5" xfId="45598"/>
    <cellStyle name="Comma 6 2 8 6" xfId="45599"/>
    <cellStyle name="Comma 6 2 9" xfId="45600"/>
    <cellStyle name="Comma 6 2 9 2" xfId="45601"/>
    <cellStyle name="Comma 6 2 9 2 2" xfId="45602"/>
    <cellStyle name="Comma 6 2 9 2 3" xfId="45603"/>
    <cellStyle name="Comma 6 2 9 3" xfId="45604"/>
    <cellStyle name="Comma 6 2 9 3 2" xfId="45605"/>
    <cellStyle name="Comma 6 2 9 4" xfId="45606"/>
    <cellStyle name="Comma 6 2 9 5" xfId="45607"/>
    <cellStyle name="Comma 6 3" xfId="8365"/>
    <cellStyle name="Comma 6 3 10" xfId="45608"/>
    <cellStyle name="Comma 6 3 10 2" xfId="45609"/>
    <cellStyle name="Comma 6 3 10 3" xfId="45610"/>
    <cellStyle name="Comma 6 3 11" xfId="45611"/>
    <cellStyle name="Comma 6 3 11 2" xfId="45612"/>
    <cellStyle name="Comma 6 3 12" xfId="45613"/>
    <cellStyle name="Comma 6 3 13" xfId="45614"/>
    <cellStyle name="Comma 6 3 14" xfId="45615"/>
    <cellStyle name="Comma 6 3 2" xfId="8366"/>
    <cellStyle name="Comma 6 3 2 10" xfId="45616"/>
    <cellStyle name="Comma 6 3 2 10 2" xfId="45617"/>
    <cellStyle name="Comma 6 3 2 11" xfId="45618"/>
    <cellStyle name="Comma 6 3 2 12" xfId="45619"/>
    <cellStyle name="Comma 6 3 2 13" xfId="45620"/>
    <cellStyle name="Comma 6 3 2 2" xfId="8367"/>
    <cellStyle name="Comma 6 3 2 2 10" xfId="45621"/>
    <cellStyle name="Comma 6 3 2 2 11" xfId="45622"/>
    <cellStyle name="Comma 6 3 2 2 2" xfId="8368"/>
    <cellStyle name="Comma 6 3 2 2 2 10" xfId="45623"/>
    <cellStyle name="Comma 6 3 2 2 2 2" xfId="8369"/>
    <cellStyle name="Comma 6 3 2 2 2 2 2" xfId="45624"/>
    <cellStyle name="Comma 6 3 2 2 2 2 2 2" xfId="45625"/>
    <cellStyle name="Comma 6 3 2 2 2 2 2 3" xfId="45626"/>
    <cellStyle name="Comma 6 3 2 2 2 2 3" xfId="45627"/>
    <cellStyle name="Comma 6 3 2 2 2 2 3 2" xfId="45628"/>
    <cellStyle name="Comma 6 3 2 2 2 2 3 3" xfId="45629"/>
    <cellStyle name="Comma 6 3 2 2 2 2 4" xfId="45630"/>
    <cellStyle name="Comma 6 3 2 2 2 2 4 2" xfId="45631"/>
    <cellStyle name="Comma 6 3 2 2 2 2 5" xfId="45632"/>
    <cellStyle name="Comma 6 3 2 2 2 2 6" xfId="45633"/>
    <cellStyle name="Comma 6 3 2 2 2 3" xfId="45634"/>
    <cellStyle name="Comma 6 3 2 2 2 3 2" xfId="45635"/>
    <cellStyle name="Comma 6 3 2 2 2 3 2 2" xfId="45636"/>
    <cellStyle name="Comma 6 3 2 2 2 3 2 3" xfId="45637"/>
    <cellStyle name="Comma 6 3 2 2 2 3 3" xfId="45638"/>
    <cellStyle name="Comma 6 3 2 2 2 3 3 2" xfId="45639"/>
    <cellStyle name="Comma 6 3 2 2 2 3 3 3" xfId="45640"/>
    <cellStyle name="Comma 6 3 2 2 2 3 4" xfId="45641"/>
    <cellStyle name="Comma 6 3 2 2 2 3 4 2" xfId="45642"/>
    <cellStyle name="Comma 6 3 2 2 2 3 5" xfId="45643"/>
    <cellStyle name="Comma 6 3 2 2 2 3 6" xfId="45644"/>
    <cellStyle name="Comma 6 3 2 2 2 4" xfId="45645"/>
    <cellStyle name="Comma 6 3 2 2 2 4 2" xfId="45646"/>
    <cellStyle name="Comma 6 3 2 2 2 4 2 2" xfId="45647"/>
    <cellStyle name="Comma 6 3 2 2 2 4 2 3" xfId="45648"/>
    <cellStyle name="Comma 6 3 2 2 2 4 3" xfId="45649"/>
    <cellStyle name="Comma 6 3 2 2 2 4 3 2" xfId="45650"/>
    <cellStyle name="Comma 6 3 2 2 2 4 4" xfId="45651"/>
    <cellStyle name="Comma 6 3 2 2 2 4 5" xfId="45652"/>
    <cellStyle name="Comma 6 3 2 2 2 5" xfId="45653"/>
    <cellStyle name="Comma 6 3 2 2 2 5 2" xfId="45654"/>
    <cellStyle name="Comma 6 3 2 2 2 5 3" xfId="45655"/>
    <cellStyle name="Comma 6 3 2 2 2 6" xfId="45656"/>
    <cellStyle name="Comma 6 3 2 2 2 6 2" xfId="45657"/>
    <cellStyle name="Comma 6 3 2 2 2 6 3" xfId="45658"/>
    <cellStyle name="Comma 6 3 2 2 2 7" xfId="45659"/>
    <cellStyle name="Comma 6 3 2 2 2 7 2" xfId="45660"/>
    <cellStyle name="Comma 6 3 2 2 2 8" xfId="45661"/>
    <cellStyle name="Comma 6 3 2 2 2 9" xfId="45662"/>
    <cellStyle name="Comma 6 3 2 2 3" xfId="8370"/>
    <cellStyle name="Comma 6 3 2 2 3 2" xfId="45663"/>
    <cellStyle name="Comma 6 3 2 2 3 2 2" xfId="45664"/>
    <cellStyle name="Comma 6 3 2 2 3 2 3" xfId="45665"/>
    <cellStyle name="Comma 6 3 2 2 3 3" xfId="45666"/>
    <cellStyle name="Comma 6 3 2 2 3 3 2" xfId="45667"/>
    <cellStyle name="Comma 6 3 2 2 3 3 3" xfId="45668"/>
    <cellStyle name="Comma 6 3 2 2 3 4" xfId="45669"/>
    <cellStyle name="Comma 6 3 2 2 3 4 2" xfId="45670"/>
    <cellStyle name="Comma 6 3 2 2 3 5" xfId="45671"/>
    <cellStyle name="Comma 6 3 2 2 3 6" xfId="45672"/>
    <cellStyle name="Comma 6 3 2 2 3 7" xfId="45673"/>
    <cellStyle name="Comma 6 3 2 2 4" xfId="45674"/>
    <cellStyle name="Comma 6 3 2 2 4 2" xfId="45675"/>
    <cellStyle name="Comma 6 3 2 2 4 2 2" xfId="45676"/>
    <cellStyle name="Comma 6 3 2 2 4 2 3" xfId="45677"/>
    <cellStyle name="Comma 6 3 2 2 4 3" xfId="45678"/>
    <cellStyle name="Comma 6 3 2 2 4 3 2" xfId="45679"/>
    <cellStyle name="Comma 6 3 2 2 4 3 3" xfId="45680"/>
    <cellStyle name="Comma 6 3 2 2 4 4" xfId="45681"/>
    <cellStyle name="Comma 6 3 2 2 4 4 2" xfId="45682"/>
    <cellStyle name="Comma 6 3 2 2 4 5" xfId="45683"/>
    <cellStyle name="Comma 6 3 2 2 4 6" xfId="45684"/>
    <cellStyle name="Comma 6 3 2 2 5" xfId="45685"/>
    <cellStyle name="Comma 6 3 2 2 5 2" xfId="45686"/>
    <cellStyle name="Comma 6 3 2 2 5 2 2" xfId="45687"/>
    <cellStyle name="Comma 6 3 2 2 5 2 3" xfId="45688"/>
    <cellStyle name="Comma 6 3 2 2 5 3" xfId="45689"/>
    <cellStyle name="Comma 6 3 2 2 5 3 2" xfId="45690"/>
    <cellStyle name="Comma 6 3 2 2 5 4" xfId="45691"/>
    <cellStyle name="Comma 6 3 2 2 5 5" xfId="45692"/>
    <cellStyle name="Comma 6 3 2 2 6" xfId="45693"/>
    <cellStyle name="Comma 6 3 2 2 6 2" xfId="45694"/>
    <cellStyle name="Comma 6 3 2 2 6 3" xfId="45695"/>
    <cellStyle name="Comma 6 3 2 2 7" xfId="45696"/>
    <cellStyle name="Comma 6 3 2 2 7 2" xfId="45697"/>
    <cellStyle name="Comma 6 3 2 2 7 3" xfId="45698"/>
    <cellStyle name="Comma 6 3 2 2 8" xfId="45699"/>
    <cellStyle name="Comma 6 3 2 2 8 2" xfId="45700"/>
    <cellStyle name="Comma 6 3 2 2 9" xfId="45701"/>
    <cellStyle name="Comma 6 3 2 3" xfId="8371"/>
    <cellStyle name="Comma 6 3 2 3 10" xfId="45702"/>
    <cellStyle name="Comma 6 3 2 3 2" xfId="8372"/>
    <cellStyle name="Comma 6 3 2 3 2 2" xfId="45703"/>
    <cellStyle name="Comma 6 3 2 3 2 2 2" xfId="45704"/>
    <cellStyle name="Comma 6 3 2 3 2 2 3" xfId="45705"/>
    <cellStyle name="Comma 6 3 2 3 2 3" xfId="45706"/>
    <cellStyle name="Comma 6 3 2 3 2 3 2" xfId="45707"/>
    <cellStyle name="Comma 6 3 2 3 2 3 3" xfId="45708"/>
    <cellStyle name="Comma 6 3 2 3 2 4" xfId="45709"/>
    <cellStyle name="Comma 6 3 2 3 2 4 2" xfId="45710"/>
    <cellStyle name="Comma 6 3 2 3 2 5" xfId="45711"/>
    <cellStyle name="Comma 6 3 2 3 2 6" xfId="45712"/>
    <cellStyle name="Comma 6 3 2 3 3" xfId="45713"/>
    <cellStyle name="Comma 6 3 2 3 3 2" xfId="45714"/>
    <cellStyle name="Comma 6 3 2 3 3 2 2" xfId="45715"/>
    <cellStyle name="Comma 6 3 2 3 3 2 3" xfId="45716"/>
    <cellStyle name="Comma 6 3 2 3 3 3" xfId="45717"/>
    <cellStyle name="Comma 6 3 2 3 3 3 2" xfId="45718"/>
    <cellStyle name="Comma 6 3 2 3 3 3 3" xfId="45719"/>
    <cellStyle name="Comma 6 3 2 3 3 4" xfId="45720"/>
    <cellStyle name="Comma 6 3 2 3 3 4 2" xfId="45721"/>
    <cellStyle name="Comma 6 3 2 3 3 5" xfId="45722"/>
    <cellStyle name="Comma 6 3 2 3 3 6" xfId="45723"/>
    <cellStyle name="Comma 6 3 2 3 4" xfId="45724"/>
    <cellStyle name="Comma 6 3 2 3 4 2" xfId="45725"/>
    <cellStyle name="Comma 6 3 2 3 4 2 2" xfId="45726"/>
    <cellStyle name="Comma 6 3 2 3 4 2 3" xfId="45727"/>
    <cellStyle name="Comma 6 3 2 3 4 3" xfId="45728"/>
    <cellStyle name="Comma 6 3 2 3 4 3 2" xfId="45729"/>
    <cellStyle name="Comma 6 3 2 3 4 4" xfId="45730"/>
    <cellStyle name="Comma 6 3 2 3 4 5" xfId="45731"/>
    <cellStyle name="Comma 6 3 2 3 5" xfId="45732"/>
    <cellStyle name="Comma 6 3 2 3 5 2" xfId="45733"/>
    <cellStyle name="Comma 6 3 2 3 5 3" xfId="45734"/>
    <cellStyle name="Comma 6 3 2 3 6" xfId="45735"/>
    <cellStyle name="Comma 6 3 2 3 6 2" xfId="45736"/>
    <cellStyle name="Comma 6 3 2 3 6 3" xfId="45737"/>
    <cellStyle name="Comma 6 3 2 3 7" xfId="45738"/>
    <cellStyle name="Comma 6 3 2 3 7 2" xfId="45739"/>
    <cellStyle name="Comma 6 3 2 3 8" xfId="45740"/>
    <cellStyle name="Comma 6 3 2 3 9" xfId="45741"/>
    <cellStyle name="Comma 6 3 2 4" xfId="8373"/>
    <cellStyle name="Comma 6 3 2 4 10" xfId="45742"/>
    <cellStyle name="Comma 6 3 2 4 2" xfId="45743"/>
    <cellStyle name="Comma 6 3 2 4 2 2" xfId="45744"/>
    <cellStyle name="Comma 6 3 2 4 2 2 2" xfId="45745"/>
    <cellStyle name="Comma 6 3 2 4 2 2 3" xfId="45746"/>
    <cellStyle name="Comma 6 3 2 4 2 3" xfId="45747"/>
    <cellStyle name="Comma 6 3 2 4 2 3 2" xfId="45748"/>
    <cellStyle name="Comma 6 3 2 4 2 3 3" xfId="45749"/>
    <cellStyle name="Comma 6 3 2 4 2 4" xfId="45750"/>
    <cellStyle name="Comma 6 3 2 4 2 4 2" xfId="45751"/>
    <cellStyle name="Comma 6 3 2 4 2 5" xfId="45752"/>
    <cellStyle name="Comma 6 3 2 4 2 6" xfId="45753"/>
    <cellStyle name="Comma 6 3 2 4 3" xfId="45754"/>
    <cellStyle name="Comma 6 3 2 4 3 2" xfId="45755"/>
    <cellStyle name="Comma 6 3 2 4 3 2 2" xfId="45756"/>
    <cellStyle name="Comma 6 3 2 4 3 2 3" xfId="45757"/>
    <cellStyle name="Comma 6 3 2 4 3 3" xfId="45758"/>
    <cellStyle name="Comma 6 3 2 4 3 3 2" xfId="45759"/>
    <cellStyle name="Comma 6 3 2 4 3 3 3" xfId="45760"/>
    <cellStyle name="Comma 6 3 2 4 3 4" xfId="45761"/>
    <cellStyle name="Comma 6 3 2 4 3 4 2" xfId="45762"/>
    <cellStyle name="Comma 6 3 2 4 3 5" xfId="45763"/>
    <cellStyle name="Comma 6 3 2 4 3 6" xfId="45764"/>
    <cellStyle name="Comma 6 3 2 4 4" xfId="45765"/>
    <cellStyle name="Comma 6 3 2 4 4 2" xfId="45766"/>
    <cellStyle name="Comma 6 3 2 4 4 2 2" xfId="45767"/>
    <cellStyle name="Comma 6 3 2 4 4 2 3" xfId="45768"/>
    <cellStyle name="Comma 6 3 2 4 4 3" xfId="45769"/>
    <cellStyle name="Comma 6 3 2 4 4 3 2" xfId="45770"/>
    <cellStyle name="Comma 6 3 2 4 4 4" xfId="45771"/>
    <cellStyle name="Comma 6 3 2 4 4 5" xfId="45772"/>
    <cellStyle name="Comma 6 3 2 4 5" xfId="45773"/>
    <cellStyle name="Comma 6 3 2 4 5 2" xfId="45774"/>
    <cellStyle name="Comma 6 3 2 4 5 3" xfId="45775"/>
    <cellStyle name="Comma 6 3 2 4 6" xfId="45776"/>
    <cellStyle name="Comma 6 3 2 4 6 2" xfId="45777"/>
    <cellStyle name="Comma 6 3 2 4 6 3" xfId="45778"/>
    <cellStyle name="Comma 6 3 2 4 7" xfId="45779"/>
    <cellStyle name="Comma 6 3 2 4 7 2" xfId="45780"/>
    <cellStyle name="Comma 6 3 2 4 8" xfId="45781"/>
    <cellStyle name="Comma 6 3 2 4 9" xfId="45782"/>
    <cellStyle name="Comma 6 3 2 5" xfId="45783"/>
    <cellStyle name="Comma 6 3 2 5 2" xfId="45784"/>
    <cellStyle name="Comma 6 3 2 5 2 2" xfId="45785"/>
    <cellStyle name="Comma 6 3 2 5 2 3" xfId="45786"/>
    <cellStyle name="Comma 6 3 2 5 3" xfId="45787"/>
    <cellStyle name="Comma 6 3 2 5 3 2" xfId="45788"/>
    <cellStyle name="Comma 6 3 2 5 3 3" xfId="45789"/>
    <cellStyle name="Comma 6 3 2 5 4" xfId="45790"/>
    <cellStyle name="Comma 6 3 2 5 4 2" xfId="45791"/>
    <cellStyle name="Comma 6 3 2 5 5" xfId="45792"/>
    <cellStyle name="Comma 6 3 2 5 6" xfId="45793"/>
    <cellStyle name="Comma 6 3 2 6" xfId="45794"/>
    <cellStyle name="Comma 6 3 2 6 2" xfId="45795"/>
    <cellStyle name="Comma 6 3 2 6 2 2" xfId="45796"/>
    <cellStyle name="Comma 6 3 2 6 2 3" xfId="45797"/>
    <cellStyle name="Comma 6 3 2 6 3" xfId="45798"/>
    <cellStyle name="Comma 6 3 2 6 3 2" xfId="45799"/>
    <cellStyle name="Comma 6 3 2 6 3 3" xfId="45800"/>
    <cellStyle name="Comma 6 3 2 6 4" xfId="45801"/>
    <cellStyle name="Comma 6 3 2 6 4 2" xfId="45802"/>
    <cellStyle name="Comma 6 3 2 6 5" xfId="45803"/>
    <cellStyle name="Comma 6 3 2 6 6" xfId="45804"/>
    <cellStyle name="Comma 6 3 2 7" xfId="45805"/>
    <cellStyle name="Comma 6 3 2 7 2" xfId="45806"/>
    <cellStyle name="Comma 6 3 2 7 2 2" xfId="45807"/>
    <cellStyle name="Comma 6 3 2 7 2 3" xfId="45808"/>
    <cellStyle name="Comma 6 3 2 7 3" xfId="45809"/>
    <cellStyle name="Comma 6 3 2 7 3 2" xfId="45810"/>
    <cellStyle name="Comma 6 3 2 7 4" xfId="45811"/>
    <cellStyle name="Comma 6 3 2 7 5" xfId="45812"/>
    <cellStyle name="Comma 6 3 2 8" xfId="45813"/>
    <cellStyle name="Comma 6 3 2 8 2" xfId="45814"/>
    <cellStyle name="Comma 6 3 2 8 3" xfId="45815"/>
    <cellStyle name="Comma 6 3 2 9" xfId="45816"/>
    <cellStyle name="Comma 6 3 2 9 2" xfId="45817"/>
    <cellStyle name="Comma 6 3 2 9 3" xfId="45818"/>
    <cellStyle name="Comma 6 3 3" xfId="8374"/>
    <cellStyle name="Comma 6 3 3 10" xfId="45819"/>
    <cellStyle name="Comma 6 3 3 11" xfId="45820"/>
    <cellStyle name="Comma 6 3 3 2" xfId="8375"/>
    <cellStyle name="Comma 6 3 3 2 10" xfId="45821"/>
    <cellStyle name="Comma 6 3 3 2 2" xfId="8376"/>
    <cellStyle name="Comma 6 3 3 2 2 2" xfId="45822"/>
    <cellStyle name="Comma 6 3 3 2 2 2 2" xfId="45823"/>
    <cellStyle name="Comma 6 3 3 2 2 2 3" xfId="45824"/>
    <cellStyle name="Comma 6 3 3 2 2 3" xfId="45825"/>
    <cellStyle name="Comma 6 3 3 2 2 3 2" xfId="45826"/>
    <cellStyle name="Comma 6 3 3 2 2 3 3" xfId="45827"/>
    <cellStyle name="Comma 6 3 3 2 2 4" xfId="45828"/>
    <cellStyle name="Comma 6 3 3 2 2 4 2" xfId="45829"/>
    <cellStyle name="Comma 6 3 3 2 2 5" xfId="45830"/>
    <cellStyle name="Comma 6 3 3 2 2 6" xfId="45831"/>
    <cellStyle name="Comma 6 3 3 2 2 7" xfId="45832"/>
    <cellStyle name="Comma 6 3 3 2 3" xfId="45833"/>
    <cellStyle name="Comma 6 3 3 2 3 2" xfId="45834"/>
    <cellStyle name="Comma 6 3 3 2 3 2 2" xfId="45835"/>
    <cellStyle name="Comma 6 3 3 2 3 2 3" xfId="45836"/>
    <cellStyle name="Comma 6 3 3 2 3 3" xfId="45837"/>
    <cellStyle name="Comma 6 3 3 2 3 3 2" xfId="45838"/>
    <cellStyle name="Comma 6 3 3 2 3 3 3" xfId="45839"/>
    <cellStyle name="Comma 6 3 3 2 3 4" xfId="45840"/>
    <cellStyle name="Comma 6 3 3 2 3 4 2" xfId="45841"/>
    <cellStyle name="Comma 6 3 3 2 3 5" xfId="45842"/>
    <cellStyle name="Comma 6 3 3 2 3 6" xfId="45843"/>
    <cellStyle name="Comma 6 3 3 2 4" xfId="45844"/>
    <cellStyle name="Comma 6 3 3 2 4 2" xfId="45845"/>
    <cellStyle name="Comma 6 3 3 2 4 2 2" xfId="45846"/>
    <cellStyle name="Comma 6 3 3 2 4 2 3" xfId="45847"/>
    <cellStyle name="Comma 6 3 3 2 4 3" xfId="45848"/>
    <cellStyle name="Comma 6 3 3 2 4 3 2" xfId="45849"/>
    <cellStyle name="Comma 6 3 3 2 4 4" xfId="45850"/>
    <cellStyle name="Comma 6 3 3 2 4 5" xfId="45851"/>
    <cellStyle name="Comma 6 3 3 2 5" xfId="45852"/>
    <cellStyle name="Comma 6 3 3 2 5 2" xfId="45853"/>
    <cellStyle name="Comma 6 3 3 2 5 3" xfId="45854"/>
    <cellStyle name="Comma 6 3 3 2 6" xfId="45855"/>
    <cellStyle name="Comma 6 3 3 2 6 2" xfId="45856"/>
    <cellStyle name="Comma 6 3 3 2 6 3" xfId="45857"/>
    <cellStyle name="Comma 6 3 3 2 7" xfId="45858"/>
    <cellStyle name="Comma 6 3 3 2 7 2" xfId="45859"/>
    <cellStyle name="Comma 6 3 3 2 8" xfId="45860"/>
    <cellStyle name="Comma 6 3 3 2 9" xfId="45861"/>
    <cellStyle name="Comma 6 3 3 3" xfId="8377"/>
    <cellStyle name="Comma 6 3 3 3 2" xfId="45862"/>
    <cellStyle name="Comma 6 3 3 3 2 2" xfId="45863"/>
    <cellStyle name="Comma 6 3 3 3 2 3" xfId="45864"/>
    <cellStyle name="Comma 6 3 3 3 3" xfId="45865"/>
    <cellStyle name="Comma 6 3 3 3 3 2" xfId="45866"/>
    <cellStyle name="Comma 6 3 3 3 3 3" xfId="45867"/>
    <cellStyle name="Comma 6 3 3 3 4" xfId="45868"/>
    <cellStyle name="Comma 6 3 3 3 4 2" xfId="45869"/>
    <cellStyle name="Comma 6 3 3 3 5" xfId="45870"/>
    <cellStyle name="Comma 6 3 3 3 6" xfId="45871"/>
    <cellStyle name="Comma 6 3 3 3 7" xfId="45872"/>
    <cellStyle name="Comma 6 3 3 4" xfId="45873"/>
    <cellStyle name="Comma 6 3 3 4 2" xfId="45874"/>
    <cellStyle name="Comma 6 3 3 4 2 2" xfId="45875"/>
    <cellStyle name="Comma 6 3 3 4 2 3" xfId="45876"/>
    <cellStyle name="Comma 6 3 3 4 3" xfId="45877"/>
    <cellStyle name="Comma 6 3 3 4 3 2" xfId="45878"/>
    <cellStyle name="Comma 6 3 3 4 3 3" xfId="45879"/>
    <cellStyle name="Comma 6 3 3 4 4" xfId="45880"/>
    <cellStyle name="Comma 6 3 3 4 4 2" xfId="45881"/>
    <cellStyle name="Comma 6 3 3 4 5" xfId="45882"/>
    <cellStyle name="Comma 6 3 3 4 6" xfId="45883"/>
    <cellStyle name="Comma 6 3 3 5" xfId="45884"/>
    <cellStyle name="Comma 6 3 3 5 2" xfId="45885"/>
    <cellStyle name="Comma 6 3 3 5 2 2" xfId="45886"/>
    <cellStyle name="Comma 6 3 3 5 2 3" xfId="45887"/>
    <cellStyle name="Comma 6 3 3 5 3" xfId="45888"/>
    <cellStyle name="Comma 6 3 3 5 3 2" xfId="45889"/>
    <cellStyle name="Comma 6 3 3 5 4" xfId="45890"/>
    <cellStyle name="Comma 6 3 3 5 5" xfId="45891"/>
    <cellStyle name="Comma 6 3 3 6" xfId="45892"/>
    <cellStyle name="Comma 6 3 3 6 2" xfId="45893"/>
    <cellStyle name="Comma 6 3 3 6 3" xfId="45894"/>
    <cellStyle name="Comma 6 3 3 7" xfId="45895"/>
    <cellStyle name="Comma 6 3 3 7 2" xfId="45896"/>
    <cellStyle name="Comma 6 3 3 7 3" xfId="45897"/>
    <cellStyle name="Comma 6 3 3 8" xfId="45898"/>
    <cellStyle name="Comma 6 3 3 8 2" xfId="45899"/>
    <cellStyle name="Comma 6 3 3 9" xfId="45900"/>
    <cellStyle name="Comma 6 3 4" xfId="8378"/>
    <cellStyle name="Comma 6 3 4 10" xfId="45901"/>
    <cellStyle name="Comma 6 3 4 2" xfId="8379"/>
    <cellStyle name="Comma 6 3 4 2 2" xfId="45902"/>
    <cellStyle name="Comma 6 3 4 2 2 2" xfId="45903"/>
    <cellStyle name="Comma 6 3 4 2 2 3" xfId="45904"/>
    <cellStyle name="Comma 6 3 4 2 3" xfId="45905"/>
    <cellStyle name="Comma 6 3 4 2 3 2" xfId="45906"/>
    <cellStyle name="Comma 6 3 4 2 3 3" xfId="45907"/>
    <cellStyle name="Comma 6 3 4 2 4" xfId="45908"/>
    <cellStyle name="Comma 6 3 4 2 4 2" xfId="45909"/>
    <cellStyle name="Comma 6 3 4 2 5" xfId="45910"/>
    <cellStyle name="Comma 6 3 4 2 6" xfId="45911"/>
    <cellStyle name="Comma 6 3 4 2 7" xfId="45912"/>
    <cellStyle name="Comma 6 3 4 3" xfId="45913"/>
    <cellStyle name="Comma 6 3 4 3 2" xfId="45914"/>
    <cellStyle name="Comma 6 3 4 3 2 2" xfId="45915"/>
    <cellStyle name="Comma 6 3 4 3 2 3" xfId="45916"/>
    <cellStyle name="Comma 6 3 4 3 3" xfId="45917"/>
    <cellStyle name="Comma 6 3 4 3 3 2" xfId="45918"/>
    <cellStyle name="Comma 6 3 4 3 3 3" xfId="45919"/>
    <cellStyle name="Comma 6 3 4 3 4" xfId="45920"/>
    <cellStyle name="Comma 6 3 4 3 4 2" xfId="45921"/>
    <cellStyle name="Comma 6 3 4 3 5" xfId="45922"/>
    <cellStyle name="Comma 6 3 4 3 6" xfId="45923"/>
    <cellStyle name="Comma 6 3 4 4" xfId="45924"/>
    <cellStyle name="Comma 6 3 4 4 2" xfId="45925"/>
    <cellStyle name="Comma 6 3 4 4 2 2" xfId="45926"/>
    <cellStyle name="Comma 6 3 4 4 2 3" xfId="45927"/>
    <cellStyle name="Comma 6 3 4 4 3" xfId="45928"/>
    <cellStyle name="Comma 6 3 4 4 3 2" xfId="45929"/>
    <cellStyle name="Comma 6 3 4 4 4" xfId="45930"/>
    <cellStyle name="Comma 6 3 4 4 5" xfId="45931"/>
    <cellStyle name="Comma 6 3 4 5" xfId="45932"/>
    <cellStyle name="Comma 6 3 4 5 2" xfId="45933"/>
    <cellStyle name="Comma 6 3 4 5 3" xfId="45934"/>
    <cellStyle name="Comma 6 3 4 6" xfId="45935"/>
    <cellStyle name="Comma 6 3 4 6 2" xfId="45936"/>
    <cellStyle name="Comma 6 3 4 6 3" xfId="45937"/>
    <cellStyle name="Comma 6 3 4 7" xfId="45938"/>
    <cellStyle name="Comma 6 3 4 7 2" xfId="45939"/>
    <cellStyle name="Comma 6 3 4 8" xfId="45940"/>
    <cellStyle name="Comma 6 3 4 9" xfId="45941"/>
    <cellStyle name="Comma 6 3 5" xfId="8380"/>
    <cellStyle name="Comma 6 3 5 10" xfId="45942"/>
    <cellStyle name="Comma 6 3 5 2" xfId="8381"/>
    <cellStyle name="Comma 6 3 5 2 2" xfId="45943"/>
    <cellStyle name="Comma 6 3 5 2 2 2" xfId="45944"/>
    <cellStyle name="Comma 6 3 5 2 2 3" xfId="45945"/>
    <cellStyle name="Comma 6 3 5 2 3" xfId="45946"/>
    <cellStyle name="Comma 6 3 5 2 3 2" xfId="45947"/>
    <cellStyle name="Comma 6 3 5 2 3 3" xfId="45948"/>
    <cellStyle name="Comma 6 3 5 2 4" xfId="45949"/>
    <cellStyle name="Comma 6 3 5 2 4 2" xfId="45950"/>
    <cellStyle name="Comma 6 3 5 2 5" xfId="45951"/>
    <cellStyle name="Comma 6 3 5 2 6" xfId="45952"/>
    <cellStyle name="Comma 6 3 5 2 7" xfId="45953"/>
    <cellStyle name="Comma 6 3 5 3" xfId="45954"/>
    <cellStyle name="Comma 6 3 5 3 2" xfId="45955"/>
    <cellStyle name="Comma 6 3 5 3 2 2" xfId="45956"/>
    <cellStyle name="Comma 6 3 5 3 2 3" xfId="45957"/>
    <cellStyle name="Comma 6 3 5 3 3" xfId="45958"/>
    <cellStyle name="Comma 6 3 5 3 3 2" xfId="45959"/>
    <cellStyle name="Comma 6 3 5 3 3 3" xfId="45960"/>
    <cellStyle name="Comma 6 3 5 3 4" xfId="45961"/>
    <cellStyle name="Comma 6 3 5 3 4 2" xfId="45962"/>
    <cellStyle name="Comma 6 3 5 3 5" xfId="45963"/>
    <cellStyle name="Comma 6 3 5 3 6" xfId="45964"/>
    <cellStyle name="Comma 6 3 5 4" xfId="45965"/>
    <cellStyle name="Comma 6 3 5 4 2" xfId="45966"/>
    <cellStyle name="Comma 6 3 5 4 2 2" xfId="45967"/>
    <cellStyle name="Comma 6 3 5 4 2 3" xfId="45968"/>
    <cellStyle name="Comma 6 3 5 4 3" xfId="45969"/>
    <cellStyle name="Comma 6 3 5 4 3 2" xfId="45970"/>
    <cellStyle name="Comma 6 3 5 4 4" xfId="45971"/>
    <cellStyle name="Comma 6 3 5 4 5" xfId="45972"/>
    <cellStyle name="Comma 6 3 5 5" xfId="45973"/>
    <cellStyle name="Comma 6 3 5 5 2" xfId="45974"/>
    <cellStyle name="Comma 6 3 5 5 3" xfId="45975"/>
    <cellStyle name="Comma 6 3 5 6" xfId="45976"/>
    <cellStyle name="Comma 6 3 5 6 2" xfId="45977"/>
    <cellStyle name="Comma 6 3 5 6 3" xfId="45978"/>
    <cellStyle name="Comma 6 3 5 7" xfId="45979"/>
    <cellStyle name="Comma 6 3 5 7 2" xfId="45980"/>
    <cellStyle name="Comma 6 3 5 8" xfId="45981"/>
    <cellStyle name="Comma 6 3 5 9" xfId="45982"/>
    <cellStyle name="Comma 6 3 6" xfId="8382"/>
    <cellStyle name="Comma 6 3 6 2" xfId="45983"/>
    <cellStyle name="Comma 6 3 6 2 2" xfId="45984"/>
    <cellStyle name="Comma 6 3 6 2 3" xfId="45985"/>
    <cellStyle name="Comma 6 3 6 3" xfId="45986"/>
    <cellStyle name="Comma 6 3 6 3 2" xfId="45987"/>
    <cellStyle name="Comma 6 3 6 3 3" xfId="45988"/>
    <cellStyle name="Comma 6 3 6 4" xfId="45989"/>
    <cellStyle name="Comma 6 3 6 4 2" xfId="45990"/>
    <cellStyle name="Comma 6 3 6 5" xfId="45991"/>
    <cellStyle name="Comma 6 3 6 6" xfId="45992"/>
    <cellStyle name="Comma 6 3 6 7" xfId="45993"/>
    <cellStyle name="Comma 6 3 7" xfId="45994"/>
    <cellStyle name="Comma 6 3 7 2" xfId="45995"/>
    <cellStyle name="Comma 6 3 7 2 2" xfId="45996"/>
    <cellStyle name="Comma 6 3 7 2 3" xfId="45997"/>
    <cellStyle name="Comma 6 3 7 3" xfId="45998"/>
    <cellStyle name="Comma 6 3 7 3 2" xfId="45999"/>
    <cellStyle name="Comma 6 3 7 3 3" xfId="46000"/>
    <cellStyle name="Comma 6 3 7 4" xfId="46001"/>
    <cellStyle name="Comma 6 3 7 4 2" xfId="46002"/>
    <cellStyle name="Comma 6 3 7 5" xfId="46003"/>
    <cellStyle name="Comma 6 3 7 6" xfId="46004"/>
    <cellStyle name="Comma 6 3 8" xfId="46005"/>
    <cellStyle name="Comma 6 3 8 2" xfId="46006"/>
    <cellStyle name="Comma 6 3 8 2 2" xfId="46007"/>
    <cellStyle name="Comma 6 3 8 2 3" xfId="46008"/>
    <cellStyle name="Comma 6 3 8 3" xfId="46009"/>
    <cellStyle name="Comma 6 3 8 3 2" xfId="46010"/>
    <cellStyle name="Comma 6 3 8 4" xfId="46011"/>
    <cellStyle name="Comma 6 3 8 5" xfId="46012"/>
    <cellStyle name="Comma 6 3 9" xfId="46013"/>
    <cellStyle name="Comma 6 3 9 2" xfId="46014"/>
    <cellStyle name="Comma 6 3 9 3" xfId="46015"/>
    <cellStyle name="Comma 6 4" xfId="8383"/>
    <cellStyle name="Comma 6 4 10" xfId="46016"/>
    <cellStyle name="Comma 6 4 10 2" xfId="46017"/>
    <cellStyle name="Comma 6 4 11" xfId="46018"/>
    <cellStyle name="Comma 6 4 12" xfId="46019"/>
    <cellStyle name="Comma 6 4 13" xfId="46020"/>
    <cellStyle name="Comma 6 4 2" xfId="8384"/>
    <cellStyle name="Comma 6 4 2 10" xfId="46021"/>
    <cellStyle name="Comma 6 4 2 11" xfId="46022"/>
    <cellStyle name="Comma 6 4 2 2" xfId="8385"/>
    <cellStyle name="Comma 6 4 2 2 10" xfId="46023"/>
    <cellStyle name="Comma 6 4 2 2 2" xfId="8386"/>
    <cellStyle name="Comma 6 4 2 2 2 2" xfId="46024"/>
    <cellStyle name="Comma 6 4 2 2 2 2 2" xfId="46025"/>
    <cellStyle name="Comma 6 4 2 2 2 2 3" xfId="46026"/>
    <cellStyle name="Comma 6 4 2 2 2 3" xfId="46027"/>
    <cellStyle name="Comma 6 4 2 2 2 3 2" xfId="46028"/>
    <cellStyle name="Comma 6 4 2 2 2 3 3" xfId="46029"/>
    <cellStyle name="Comma 6 4 2 2 2 4" xfId="46030"/>
    <cellStyle name="Comma 6 4 2 2 2 4 2" xfId="46031"/>
    <cellStyle name="Comma 6 4 2 2 2 5" xfId="46032"/>
    <cellStyle name="Comma 6 4 2 2 2 6" xfId="46033"/>
    <cellStyle name="Comma 6 4 2 2 3" xfId="46034"/>
    <cellStyle name="Comma 6 4 2 2 3 2" xfId="46035"/>
    <cellStyle name="Comma 6 4 2 2 3 2 2" xfId="46036"/>
    <cellStyle name="Comma 6 4 2 2 3 2 3" xfId="46037"/>
    <cellStyle name="Comma 6 4 2 2 3 3" xfId="46038"/>
    <cellStyle name="Comma 6 4 2 2 3 3 2" xfId="46039"/>
    <cellStyle name="Comma 6 4 2 2 3 3 3" xfId="46040"/>
    <cellStyle name="Comma 6 4 2 2 3 4" xfId="46041"/>
    <cellStyle name="Comma 6 4 2 2 3 4 2" xfId="46042"/>
    <cellStyle name="Comma 6 4 2 2 3 5" xfId="46043"/>
    <cellStyle name="Comma 6 4 2 2 3 6" xfId="46044"/>
    <cellStyle name="Comma 6 4 2 2 4" xfId="46045"/>
    <cellStyle name="Comma 6 4 2 2 4 2" xfId="46046"/>
    <cellStyle name="Comma 6 4 2 2 4 2 2" xfId="46047"/>
    <cellStyle name="Comma 6 4 2 2 4 2 3" xfId="46048"/>
    <cellStyle name="Comma 6 4 2 2 4 3" xfId="46049"/>
    <cellStyle name="Comma 6 4 2 2 4 3 2" xfId="46050"/>
    <cellStyle name="Comma 6 4 2 2 4 4" xfId="46051"/>
    <cellStyle name="Comma 6 4 2 2 4 5" xfId="46052"/>
    <cellStyle name="Comma 6 4 2 2 5" xfId="46053"/>
    <cellStyle name="Comma 6 4 2 2 5 2" xfId="46054"/>
    <cellStyle name="Comma 6 4 2 2 5 3" xfId="46055"/>
    <cellStyle name="Comma 6 4 2 2 6" xfId="46056"/>
    <cellStyle name="Comma 6 4 2 2 6 2" xfId="46057"/>
    <cellStyle name="Comma 6 4 2 2 6 3" xfId="46058"/>
    <cellStyle name="Comma 6 4 2 2 7" xfId="46059"/>
    <cellStyle name="Comma 6 4 2 2 7 2" xfId="46060"/>
    <cellStyle name="Comma 6 4 2 2 8" xfId="46061"/>
    <cellStyle name="Comma 6 4 2 2 9" xfId="46062"/>
    <cellStyle name="Comma 6 4 2 3" xfId="8387"/>
    <cellStyle name="Comma 6 4 2 3 2" xfId="46063"/>
    <cellStyle name="Comma 6 4 2 3 2 2" xfId="46064"/>
    <cellStyle name="Comma 6 4 2 3 2 3" xfId="46065"/>
    <cellStyle name="Comma 6 4 2 3 3" xfId="46066"/>
    <cellStyle name="Comma 6 4 2 3 3 2" xfId="46067"/>
    <cellStyle name="Comma 6 4 2 3 3 3" xfId="46068"/>
    <cellStyle name="Comma 6 4 2 3 4" xfId="46069"/>
    <cellStyle name="Comma 6 4 2 3 4 2" xfId="46070"/>
    <cellStyle name="Comma 6 4 2 3 5" xfId="46071"/>
    <cellStyle name="Comma 6 4 2 3 6" xfId="46072"/>
    <cellStyle name="Comma 6 4 2 3 7" xfId="46073"/>
    <cellStyle name="Comma 6 4 2 4" xfId="46074"/>
    <cellStyle name="Comma 6 4 2 4 2" xfId="46075"/>
    <cellStyle name="Comma 6 4 2 4 2 2" xfId="46076"/>
    <cellStyle name="Comma 6 4 2 4 2 3" xfId="46077"/>
    <cellStyle name="Comma 6 4 2 4 3" xfId="46078"/>
    <cellStyle name="Comma 6 4 2 4 3 2" xfId="46079"/>
    <cellStyle name="Comma 6 4 2 4 3 3" xfId="46080"/>
    <cellStyle name="Comma 6 4 2 4 4" xfId="46081"/>
    <cellStyle name="Comma 6 4 2 4 4 2" xfId="46082"/>
    <cellStyle name="Comma 6 4 2 4 5" xfId="46083"/>
    <cellStyle name="Comma 6 4 2 4 6" xfId="46084"/>
    <cellStyle name="Comma 6 4 2 5" xfId="46085"/>
    <cellStyle name="Comma 6 4 2 5 2" xfId="46086"/>
    <cellStyle name="Comma 6 4 2 5 2 2" xfId="46087"/>
    <cellStyle name="Comma 6 4 2 5 2 3" xfId="46088"/>
    <cellStyle name="Comma 6 4 2 5 3" xfId="46089"/>
    <cellStyle name="Comma 6 4 2 5 3 2" xfId="46090"/>
    <cellStyle name="Comma 6 4 2 5 4" xfId="46091"/>
    <cellStyle name="Comma 6 4 2 5 5" xfId="46092"/>
    <cellStyle name="Comma 6 4 2 6" xfId="46093"/>
    <cellStyle name="Comma 6 4 2 6 2" xfId="46094"/>
    <cellStyle name="Comma 6 4 2 6 3" xfId="46095"/>
    <cellStyle name="Comma 6 4 2 7" xfId="46096"/>
    <cellStyle name="Comma 6 4 2 7 2" xfId="46097"/>
    <cellStyle name="Comma 6 4 2 7 3" xfId="46098"/>
    <cellStyle name="Comma 6 4 2 8" xfId="46099"/>
    <cellStyle name="Comma 6 4 2 8 2" xfId="46100"/>
    <cellStyle name="Comma 6 4 2 9" xfId="46101"/>
    <cellStyle name="Comma 6 4 3" xfId="8388"/>
    <cellStyle name="Comma 6 4 3 10" xfId="46102"/>
    <cellStyle name="Comma 6 4 3 2" xfId="8389"/>
    <cellStyle name="Comma 6 4 3 2 2" xfId="46103"/>
    <cellStyle name="Comma 6 4 3 2 2 2" xfId="46104"/>
    <cellStyle name="Comma 6 4 3 2 2 3" xfId="46105"/>
    <cellStyle name="Comma 6 4 3 2 3" xfId="46106"/>
    <cellStyle name="Comma 6 4 3 2 3 2" xfId="46107"/>
    <cellStyle name="Comma 6 4 3 2 3 3" xfId="46108"/>
    <cellStyle name="Comma 6 4 3 2 4" xfId="46109"/>
    <cellStyle name="Comma 6 4 3 2 4 2" xfId="46110"/>
    <cellStyle name="Comma 6 4 3 2 5" xfId="46111"/>
    <cellStyle name="Comma 6 4 3 2 6" xfId="46112"/>
    <cellStyle name="Comma 6 4 3 3" xfId="46113"/>
    <cellStyle name="Comma 6 4 3 3 2" xfId="46114"/>
    <cellStyle name="Comma 6 4 3 3 2 2" xfId="46115"/>
    <cellStyle name="Comma 6 4 3 3 2 3" xfId="46116"/>
    <cellStyle name="Comma 6 4 3 3 3" xfId="46117"/>
    <cellStyle name="Comma 6 4 3 3 3 2" xfId="46118"/>
    <cellStyle name="Comma 6 4 3 3 3 3" xfId="46119"/>
    <cellStyle name="Comma 6 4 3 3 4" xfId="46120"/>
    <cellStyle name="Comma 6 4 3 3 4 2" xfId="46121"/>
    <cellStyle name="Comma 6 4 3 3 5" xfId="46122"/>
    <cellStyle name="Comma 6 4 3 3 6" xfId="46123"/>
    <cellStyle name="Comma 6 4 3 4" xfId="46124"/>
    <cellStyle name="Comma 6 4 3 4 2" xfId="46125"/>
    <cellStyle name="Comma 6 4 3 4 2 2" xfId="46126"/>
    <cellStyle name="Comma 6 4 3 4 2 3" xfId="46127"/>
    <cellStyle name="Comma 6 4 3 4 3" xfId="46128"/>
    <cellStyle name="Comma 6 4 3 4 3 2" xfId="46129"/>
    <cellStyle name="Comma 6 4 3 4 4" xfId="46130"/>
    <cellStyle name="Comma 6 4 3 4 5" xfId="46131"/>
    <cellStyle name="Comma 6 4 3 5" xfId="46132"/>
    <cellStyle name="Comma 6 4 3 5 2" xfId="46133"/>
    <cellStyle name="Comma 6 4 3 5 3" xfId="46134"/>
    <cellStyle name="Comma 6 4 3 6" xfId="46135"/>
    <cellStyle name="Comma 6 4 3 6 2" xfId="46136"/>
    <cellStyle name="Comma 6 4 3 6 3" xfId="46137"/>
    <cellStyle name="Comma 6 4 3 7" xfId="46138"/>
    <cellStyle name="Comma 6 4 3 7 2" xfId="46139"/>
    <cellStyle name="Comma 6 4 3 8" xfId="46140"/>
    <cellStyle name="Comma 6 4 3 9" xfId="46141"/>
    <cellStyle name="Comma 6 4 4" xfId="8390"/>
    <cellStyle name="Comma 6 4 4 10" xfId="46142"/>
    <cellStyle name="Comma 6 4 4 2" xfId="46143"/>
    <cellStyle name="Comma 6 4 4 2 2" xfId="46144"/>
    <cellStyle name="Comma 6 4 4 2 2 2" xfId="46145"/>
    <cellStyle name="Comma 6 4 4 2 2 3" xfId="46146"/>
    <cellStyle name="Comma 6 4 4 2 3" xfId="46147"/>
    <cellStyle name="Comma 6 4 4 2 3 2" xfId="46148"/>
    <cellStyle name="Comma 6 4 4 2 3 3" xfId="46149"/>
    <cellStyle name="Comma 6 4 4 2 4" xfId="46150"/>
    <cellStyle name="Comma 6 4 4 2 4 2" xfId="46151"/>
    <cellStyle name="Comma 6 4 4 2 5" xfId="46152"/>
    <cellStyle name="Comma 6 4 4 2 6" xfId="46153"/>
    <cellStyle name="Comma 6 4 4 3" xfId="46154"/>
    <cellStyle name="Comma 6 4 4 3 2" xfId="46155"/>
    <cellStyle name="Comma 6 4 4 3 2 2" xfId="46156"/>
    <cellStyle name="Comma 6 4 4 3 2 3" xfId="46157"/>
    <cellStyle name="Comma 6 4 4 3 3" xfId="46158"/>
    <cellStyle name="Comma 6 4 4 3 3 2" xfId="46159"/>
    <cellStyle name="Comma 6 4 4 3 3 3" xfId="46160"/>
    <cellStyle name="Comma 6 4 4 3 4" xfId="46161"/>
    <cellStyle name="Comma 6 4 4 3 4 2" xfId="46162"/>
    <cellStyle name="Comma 6 4 4 3 5" xfId="46163"/>
    <cellStyle name="Comma 6 4 4 3 6" xfId="46164"/>
    <cellStyle name="Comma 6 4 4 4" xfId="46165"/>
    <cellStyle name="Comma 6 4 4 4 2" xfId="46166"/>
    <cellStyle name="Comma 6 4 4 4 2 2" xfId="46167"/>
    <cellStyle name="Comma 6 4 4 4 2 3" xfId="46168"/>
    <cellStyle name="Comma 6 4 4 4 3" xfId="46169"/>
    <cellStyle name="Comma 6 4 4 4 3 2" xfId="46170"/>
    <cellStyle name="Comma 6 4 4 4 4" xfId="46171"/>
    <cellStyle name="Comma 6 4 4 4 5" xfId="46172"/>
    <cellStyle name="Comma 6 4 4 5" xfId="46173"/>
    <cellStyle name="Comma 6 4 4 5 2" xfId="46174"/>
    <cellStyle name="Comma 6 4 4 5 3" xfId="46175"/>
    <cellStyle name="Comma 6 4 4 6" xfId="46176"/>
    <cellStyle name="Comma 6 4 4 6 2" xfId="46177"/>
    <cellStyle name="Comma 6 4 4 6 3" xfId="46178"/>
    <cellStyle name="Comma 6 4 4 7" xfId="46179"/>
    <cellStyle name="Comma 6 4 4 7 2" xfId="46180"/>
    <cellStyle name="Comma 6 4 4 8" xfId="46181"/>
    <cellStyle name="Comma 6 4 4 9" xfId="46182"/>
    <cellStyle name="Comma 6 4 5" xfId="46183"/>
    <cellStyle name="Comma 6 4 5 2" xfId="46184"/>
    <cellStyle name="Comma 6 4 5 2 2" xfId="46185"/>
    <cellStyle name="Comma 6 4 5 2 3" xfId="46186"/>
    <cellStyle name="Comma 6 4 5 3" xfId="46187"/>
    <cellStyle name="Comma 6 4 5 3 2" xfId="46188"/>
    <cellStyle name="Comma 6 4 5 3 3" xfId="46189"/>
    <cellStyle name="Comma 6 4 5 4" xfId="46190"/>
    <cellStyle name="Comma 6 4 5 4 2" xfId="46191"/>
    <cellStyle name="Comma 6 4 5 5" xfId="46192"/>
    <cellStyle name="Comma 6 4 5 6" xfId="46193"/>
    <cellStyle name="Comma 6 4 6" xfId="46194"/>
    <cellStyle name="Comma 6 4 6 2" xfId="46195"/>
    <cellStyle name="Comma 6 4 6 2 2" xfId="46196"/>
    <cellStyle name="Comma 6 4 6 2 3" xfId="46197"/>
    <cellStyle name="Comma 6 4 6 3" xfId="46198"/>
    <cellStyle name="Comma 6 4 6 3 2" xfId="46199"/>
    <cellStyle name="Comma 6 4 6 3 3" xfId="46200"/>
    <cellStyle name="Comma 6 4 6 4" xfId="46201"/>
    <cellStyle name="Comma 6 4 6 4 2" xfId="46202"/>
    <cellStyle name="Comma 6 4 6 5" xfId="46203"/>
    <cellStyle name="Comma 6 4 6 6" xfId="46204"/>
    <cellStyle name="Comma 6 4 7" xfId="46205"/>
    <cellStyle name="Comma 6 4 7 2" xfId="46206"/>
    <cellStyle name="Comma 6 4 7 2 2" xfId="46207"/>
    <cellStyle name="Comma 6 4 7 2 3" xfId="46208"/>
    <cellStyle name="Comma 6 4 7 3" xfId="46209"/>
    <cellStyle name="Comma 6 4 7 3 2" xfId="46210"/>
    <cellStyle name="Comma 6 4 7 4" xfId="46211"/>
    <cellStyle name="Comma 6 4 7 5" xfId="46212"/>
    <cellStyle name="Comma 6 4 8" xfId="46213"/>
    <cellStyle name="Comma 6 4 8 2" xfId="46214"/>
    <cellStyle name="Comma 6 4 8 3" xfId="46215"/>
    <cellStyle name="Comma 6 4 9" xfId="46216"/>
    <cellStyle name="Comma 6 4 9 2" xfId="46217"/>
    <cellStyle name="Comma 6 4 9 3" xfId="46218"/>
    <cellStyle name="Comma 6 5" xfId="8391"/>
    <cellStyle name="Comma 6 5 10" xfId="46219"/>
    <cellStyle name="Comma 6 5 11" xfId="46220"/>
    <cellStyle name="Comma 6 5 2" xfId="8392"/>
    <cellStyle name="Comma 6 5 2 10" xfId="46221"/>
    <cellStyle name="Comma 6 5 2 2" xfId="8393"/>
    <cellStyle name="Comma 6 5 2 2 2" xfId="46222"/>
    <cellStyle name="Comma 6 5 2 2 2 2" xfId="46223"/>
    <cellStyle name="Comma 6 5 2 2 2 3" xfId="46224"/>
    <cellStyle name="Comma 6 5 2 2 3" xfId="46225"/>
    <cellStyle name="Comma 6 5 2 2 3 2" xfId="46226"/>
    <cellStyle name="Comma 6 5 2 2 3 3" xfId="46227"/>
    <cellStyle name="Comma 6 5 2 2 4" xfId="46228"/>
    <cellStyle name="Comma 6 5 2 2 4 2" xfId="46229"/>
    <cellStyle name="Comma 6 5 2 2 5" xfId="46230"/>
    <cellStyle name="Comma 6 5 2 2 6" xfId="46231"/>
    <cellStyle name="Comma 6 5 2 2 7" xfId="46232"/>
    <cellStyle name="Comma 6 5 2 3" xfId="46233"/>
    <cellStyle name="Comma 6 5 2 3 2" xfId="46234"/>
    <cellStyle name="Comma 6 5 2 3 2 2" xfId="46235"/>
    <cellStyle name="Comma 6 5 2 3 2 3" xfId="46236"/>
    <cellStyle name="Comma 6 5 2 3 3" xfId="46237"/>
    <cellStyle name="Comma 6 5 2 3 3 2" xfId="46238"/>
    <cellStyle name="Comma 6 5 2 3 3 3" xfId="46239"/>
    <cellStyle name="Comma 6 5 2 3 4" xfId="46240"/>
    <cellStyle name="Comma 6 5 2 3 4 2" xfId="46241"/>
    <cellStyle name="Comma 6 5 2 3 5" xfId="46242"/>
    <cellStyle name="Comma 6 5 2 3 6" xfId="46243"/>
    <cellStyle name="Comma 6 5 2 4" xfId="46244"/>
    <cellStyle name="Comma 6 5 2 4 2" xfId="46245"/>
    <cellStyle name="Comma 6 5 2 4 2 2" xfId="46246"/>
    <cellStyle name="Comma 6 5 2 4 2 3" xfId="46247"/>
    <cellStyle name="Comma 6 5 2 4 3" xfId="46248"/>
    <cellStyle name="Comma 6 5 2 4 3 2" xfId="46249"/>
    <cellStyle name="Comma 6 5 2 4 4" xfId="46250"/>
    <cellStyle name="Comma 6 5 2 4 5" xfId="46251"/>
    <cellStyle name="Comma 6 5 2 5" xfId="46252"/>
    <cellStyle name="Comma 6 5 2 5 2" xfId="46253"/>
    <cellStyle name="Comma 6 5 2 5 3" xfId="46254"/>
    <cellStyle name="Comma 6 5 2 6" xfId="46255"/>
    <cellStyle name="Comma 6 5 2 6 2" xfId="46256"/>
    <cellStyle name="Comma 6 5 2 6 3" xfId="46257"/>
    <cellStyle name="Comma 6 5 2 7" xfId="46258"/>
    <cellStyle name="Comma 6 5 2 7 2" xfId="46259"/>
    <cellStyle name="Comma 6 5 2 8" xfId="46260"/>
    <cellStyle name="Comma 6 5 2 9" xfId="46261"/>
    <cellStyle name="Comma 6 5 3" xfId="8394"/>
    <cellStyle name="Comma 6 5 3 2" xfId="46262"/>
    <cellStyle name="Comma 6 5 3 2 2" xfId="46263"/>
    <cellStyle name="Comma 6 5 3 2 3" xfId="46264"/>
    <cellStyle name="Comma 6 5 3 3" xfId="46265"/>
    <cellStyle name="Comma 6 5 3 3 2" xfId="46266"/>
    <cellStyle name="Comma 6 5 3 3 3" xfId="46267"/>
    <cellStyle name="Comma 6 5 3 4" xfId="46268"/>
    <cellStyle name="Comma 6 5 3 4 2" xfId="46269"/>
    <cellStyle name="Comma 6 5 3 5" xfId="46270"/>
    <cellStyle name="Comma 6 5 3 6" xfId="46271"/>
    <cellStyle name="Comma 6 5 3 7" xfId="46272"/>
    <cellStyle name="Comma 6 5 4" xfId="46273"/>
    <cellStyle name="Comma 6 5 4 2" xfId="46274"/>
    <cellStyle name="Comma 6 5 4 2 2" xfId="46275"/>
    <cellStyle name="Comma 6 5 4 2 3" xfId="46276"/>
    <cellStyle name="Comma 6 5 4 3" xfId="46277"/>
    <cellStyle name="Comma 6 5 4 3 2" xfId="46278"/>
    <cellStyle name="Comma 6 5 4 3 3" xfId="46279"/>
    <cellStyle name="Comma 6 5 4 4" xfId="46280"/>
    <cellStyle name="Comma 6 5 4 4 2" xfId="46281"/>
    <cellStyle name="Comma 6 5 4 5" xfId="46282"/>
    <cellStyle name="Comma 6 5 4 6" xfId="46283"/>
    <cellStyle name="Comma 6 5 5" xfId="46284"/>
    <cellStyle name="Comma 6 5 5 2" xfId="46285"/>
    <cellStyle name="Comma 6 5 5 2 2" xfId="46286"/>
    <cellStyle name="Comma 6 5 5 2 3" xfId="46287"/>
    <cellStyle name="Comma 6 5 5 3" xfId="46288"/>
    <cellStyle name="Comma 6 5 5 3 2" xfId="46289"/>
    <cellStyle name="Comma 6 5 5 4" xfId="46290"/>
    <cellStyle name="Comma 6 5 5 5" xfId="46291"/>
    <cellStyle name="Comma 6 5 6" xfId="46292"/>
    <cellStyle name="Comma 6 5 6 2" xfId="46293"/>
    <cellStyle name="Comma 6 5 6 3" xfId="46294"/>
    <cellStyle name="Comma 6 5 7" xfId="46295"/>
    <cellStyle name="Comma 6 5 7 2" xfId="46296"/>
    <cellStyle name="Comma 6 5 7 3" xfId="46297"/>
    <cellStyle name="Comma 6 5 8" xfId="46298"/>
    <cellStyle name="Comma 6 5 8 2" xfId="46299"/>
    <cellStyle name="Comma 6 5 9" xfId="46300"/>
    <cellStyle name="Comma 6 6" xfId="8395"/>
    <cellStyle name="Comma 6 6 10" xfId="46301"/>
    <cellStyle name="Comma 6 6 2" xfId="8396"/>
    <cellStyle name="Comma 6 6 2 2" xfId="46302"/>
    <cellStyle name="Comma 6 6 2 2 2" xfId="46303"/>
    <cellStyle name="Comma 6 6 2 2 3" xfId="46304"/>
    <cellStyle name="Comma 6 6 2 3" xfId="46305"/>
    <cellStyle name="Comma 6 6 2 3 2" xfId="46306"/>
    <cellStyle name="Comma 6 6 2 3 3" xfId="46307"/>
    <cellStyle name="Comma 6 6 2 4" xfId="46308"/>
    <cellStyle name="Comma 6 6 2 4 2" xfId="46309"/>
    <cellStyle name="Comma 6 6 2 5" xfId="46310"/>
    <cellStyle name="Comma 6 6 2 6" xfId="46311"/>
    <cellStyle name="Comma 6 6 2 7" xfId="46312"/>
    <cellStyle name="Comma 6 6 3" xfId="46313"/>
    <cellStyle name="Comma 6 6 3 2" xfId="46314"/>
    <cellStyle name="Comma 6 6 3 2 2" xfId="46315"/>
    <cellStyle name="Comma 6 6 3 2 3" xfId="46316"/>
    <cellStyle name="Comma 6 6 3 3" xfId="46317"/>
    <cellStyle name="Comma 6 6 3 3 2" xfId="46318"/>
    <cellStyle name="Comma 6 6 3 3 3" xfId="46319"/>
    <cellStyle name="Comma 6 6 3 4" xfId="46320"/>
    <cellStyle name="Comma 6 6 3 4 2" xfId="46321"/>
    <cellStyle name="Comma 6 6 3 5" xfId="46322"/>
    <cellStyle name="Comma 6 6 3 6" xfId="46323"/>
    <cellStyle name="Comma 6 6 4" xfId="46324"/>
    <cellStyle name="Comma 6 6 4 2" xfId="46325"/>
    <cellStyle name="Comma 6 6 4 2 2" xfId="46326"/>
    <cellStyle name="Comma 6 6 4 2 3" xfId="46327"/>
    <cellStyle name="Comma 6 6 4 3" xfId="46328"/>
    <cellStyle name="Comma 6 6 4 3 2" xfId="46329"/>
    <cellStyle name="Comma 6 6 4 4" xfId="46330"/>
    <cellStyle name="Comma 6 6 4 5" xfId="46331"/>
    <cellStyle name="Comma 6 6 5" xfId="46332"/>
    <cellStyle name="Comma 6 6 5 2" xfId="46333"/>
    <cellStyle name="Comma 6 6 5 3" xfId="46334"/>
    <cellStyle name="Comma 6 6 6" xfId="46335"/>
    <cellStyle name="Comma 6 6 6 2" xfId="46336"/>
    <cellStyle name="Comma 6 6 6 3" xfId="46337"/>
    <cellStyle name="Comma 6 6 7" xfId="46338"/>
    <cellStyle name="Comma 6 6 7 2" xfId="46339"/>
    <cellStyle name="Comma 6 6 8" xfId="46340"/>
    <cellStyle name="Comma 6 6 9" xfId="46341"/>
    <cellStyle name="Comma 6 7" xfId="8397"/>
    <cellStyle name="Comma 6 7 10" xfId="46342"/>
    <cellStyle name="Comma 6 7 2" xfId="8398"/>
    <cellStyle name="Comma 6 7 2 2" xfId="46343"/>
    <cellStyle name="Comma 6 7 2 2 2" xfId="46344"/>
    <cellStyle name="Comma 6 7 2 2 3" xfId="46345"/>
    <cellStyle name="Comma 6 7 2 3" xfId="46346"/>
    <cellStyle name="Comma 6 7 2 3 2" xfId="46347"/>
    <cellStyle name="Comma 6 7 2 3 3" xfId="46348"/>
    <cellStyle name="Comma 6 7 2 4" xfId="46349"/>
    <cellStyle name="Comma 6 7 2 4 2" xfId="46350"/>
    <cellStyle name="Comma 6 7 2 5" xfId="46351"/>
    <cellStyle name="Comma 6 7 2 6" xfId="46352"/>
    <cellStyle name="Comma 6 7 2 7" xfId="46353"/>
    <cellStyle name="Comma 6 7 3" xfId="46354"/>
    <cellStyle name="Comma 6 7 3 2" xfId="46355"/>
    <cellStyle name="Comma 6 7 3 2 2" xfId="46356"/>
    <cellStyle name="Comma 6 7 3 2 3" xfId="46357"/>
    <cellStyle name="Comma 6 7 3 3" xfId="46358"/>
    <cellStyle name="Comma 6 7 3 3 2" xfId="46359"/>
    <cellStyle name="Comma 6 7 3 3 3" xfId="46360"/>
    <cellStyle name="Comma 6 7 3 4" xfId="46361"/>
    <cellStyle name="Comma 6 7 3 4 2" xfId="46362"/>
    <cellStyle name="Comma 6 7 3 5" xfId="46363"/>
    <cellStyle name="Comma 6 7 3 6" xfId="46364"/>
    <cellStyle name="Comma 6 7 4" xfId="46365"/>
    <cellStyle name="Comma 6 7 4 2" xfId="46366"/>
    <cellStyle name="Comma 6 7 4 2 2" xfId="46367"/>
    <cellStyle name="Comma 6 7 4 2 3" xfId="46368"/>
    <cellStyle name="Comma 6 7 4 3" xfId="46369"/>
    <cellStyle name="Comma 6 7 4 3 2" xfId="46370"/>
    <cellStyle name="Comma 6 7 4 4" xfId="46371"/>
    <cellStyle name="Comma 6 7 4 5" xfId="46372"/>
    <cellStyle name="Comma 6 7 5" xfId="46373"/>
    <cellStyle name="Comma 6 7 5 2" xfId="46374"/>
    <cellStyle name="Comma 6 7 5 3" xfId="46375"/>
    <cellStyle name="Comma 6 7 6" xfId="46376"/>
    <cellStyle name="Comma 6 7 6 2" xfId="46377"/>
    <cellStyle name="Comma 6 7 6 3" xfId="46378"/>
    <cellStyle name="Comma 6 7 7" xfId="46379"/>
    <cellStyle name="Comma 6 7 7 2" xfId="46380"/>
    <cellStyle name="Comma 6 7 8" xfId="46381"/>
    <cellStyle name="Comma 6 7 9" xfId="46382"/>
    <cellStyle name="Comma 6 8" xfId="8399"/>
    <cellStyle name="Comma 6 8 2" xfId="46383"/>
    <cellStyle name="Comma 6 8 2 2" xfId="46384"/>
    <cellStyle name="Comma 6 8 2 3" xfId="46385"/>
    <cellStyle name="Comma 6 8 3" xfId="46386"/>
    <cellStyle name="Comma 6 8 3 2" xfId="46387"/>
    <cellStyle name="Comma 6 8 3 3" xfId="46388"/>
    <cellStyle name="Comma 6 8 4" xfId="46389"/>
    <cellStyle name="Comma 6 8 4 2" xfId="46390"/>
    <cellStyle name="Comma 6 8 5" xfId="46391"/>
    <cellStyle name="Comma 6 8 6" xfId="46392"/>
    <cellStyle name="Comma 6 8 7" xfId="46393"/>
    <cellStyle name="Comma 6 9" xfId="46394"/>
    <cellStyle name="Comma 6 9 2" xfId="46395"/>
    <cellStyle name="Comma 6 9 2 2" xfId="46396"/>
    <cellStyle name="Comma 6 9 2 3" xfId="46397"/>
    <cellStyle name="Comma 6 9 3" xfId="46398"/>
    <cellStyle name="Comma 6 9 3 2" xfId="46399"/>
    <cellStyle name="Comma 6 9 3 3" xfId="46400"/>
    <cellStyle name="Comma 6 9 4" xfId="46401"/>
    <cellStyle name="Comma 6 9 4 2" xfId="46402"/>
    <cellStyle name="Comma 6 9 5" xfId="46403"/>
    <cellStyle name="Comma 6 9 6" xfId="46404"/>
    <cellStyle name="Comma 60" xfId="3689"/>
    <cellStyle name="Comma 61" xfId="3690"/>
    <cellStyle name="Comma 62" xfId="3691"/>
    <cellStyle name="Comma 62 2" xfId="3692"/>
    <cellStyle name="Comma 62 2 2" xfId="3693"/>
    <cellStyle name="Comma 62 3" xfId="3694"/>
    <cellStyle name="Comma 63" xfId="3695"/>
    <cellStyle name="Comma 63 2" xfId="3696"/>
    <cellStyle name="Comma 63 2 2" xfId="3697"/>
    <cellStyle name="Comma 63 3" xfId="3698"/>
    <cellStyle name="Comma 64" xfId="3699"/>
    <cellStyle name="Comma 64 2" xfId="3700"/>
    <cellStyle name="Comma 64 2 2" xfId="3701"/>
    <cellStyle name="Comma 64 3" xfId="3702"/>
    <cellStyle name="Comma 65" xfId="3703"/>
    <cellStyle name="Comma 65 2" xfId="3704"/>
    <cellStyle name="Comma 66" xfId="3705"/>
    <cellStyle name="Comma 66 2" xfId="3706"/>
    <cellStyle name="Comma 67" xfId="3707"/>
    <cellStyle name="Comma 68" xfId="3708"/>
    <cellStyle name="Comma 69" xfId="3709"/>
    <cellStyle name="Comma 7" xfId="3710"/>
    <cellStyle name="Comma 7 10" xfId="9096"/>
    <cellStyle name="Comma 7 10 2" xfId="46405"/>
    <cellStyle name="Comma 7 10 2 2" xfId="46406"/>
    <cellStyle name="Comma 7 10 2 3" xfId="46407"/>
    <cellStyle name="Comma 7 10 3" xfId="46408"/>
    <cellStyle name="Comma 7 10 3 2" xfId="46409"/>
    <cellStyle name="Comma 7 10 4" xfId="46410"/>
    <cellStyle name="Comma 7 10 5" xfId="46411"/>
    <cellStyle name="Comma 7 11" xfId="46412"/>
    <cellStyle name="Comma 7 11 2" xfId="46413"/>
    <cellStyle name="Comma 7 11 3" xfId="46414"/>
    <cellStyle name="Comma 7 12" xfId="46415"/>
    <cellStyle name="Comma 7 12 2" xfId="46416"/>
    <cellStyle name="Comma 7 12 3" xfId="46417"/>
    <cellStyle name="Comma 7 13" xfId="46418"/>
    <cellStyle name="Comma 7 13 2" xfId="46419"/>
    <cellStyle name="Comma 7 14" xfId="46420"/>
    <cellStyle name="Comma 7 15" xfId="46421"/>
    <cellStyle name="Comma 7 16" xfId="46422"/>
    <cellStyle name="Comma 7 2" xfId="3711"/>
    <cellStyle name="Comma 7 2 10" xfId="46423"/>
    <cellStyle name="Comma 7 2 10 2" xfId="46424"/>
    <cellStyle name="Comma 7 2 10 3" xfId="46425"/>
    <cellStyle name="Comma 7 2 11" xfId="46426"/>
    <cellStyle name="Comma 7 2 11 2" xfId="46427"/>
    <cellStyle name="Comma 7 2 11 3" xfId="46428"/>
    <cellStyle name="Comma 7 2 12" xfId="46429"/>
    <cellStyle name="Comma 7 2 12 2" xfId="46430"/>
    <cellStyle name="Comma 7 2 13" xfId="46431"/>
    <cellStyle name="Comma 7 2 14" xfId="46432"/>
    <cellStyle name="Comma 7 2 15" xfId="46433"/>
    <cellStyle name="Comma 7 2 2" xfId="3712"/>
    <cellStyle name="Comma 7 2 2 10" xfId="46434"/>
    <cellStyle name="Comma 7 2 2 10 2" xfId="46435"/>
    <cellStyle name="Comma 7 2 2 10 3" xfId="46436"/>
    <cellStyle name="Comma 7 2 2 11" xfId="46437"/>
    <cellStyle name="Comma 7 2 2 11 2" xfId="46438"/>
    <cellStyle name="Comma 7 2 2 12" xfId="46439"/>
    <cellStyle name="Comma 7 2 2 13" xfId="46440"/>
    <cellStyle name="Comma 7 2 2 14" xfId="46441"/>
    <cellStyle name="Comma 7 2 2 2" xfId="3713"/>
    <cellStyle name="Comma 7 2 2 2 10" xfId="46442"/>
    <cellStyle name="Comma 7 2 2 2 10 2" xfId="46443"/>
    <cellStyle name="Comma 7 2 2 2 11" xfId="46444"/>
    <cellStyle name="Comma 7 2 2 2 12" xfId="46445"/>
    <cellStyle name="Comma 7 2 2 2 13" xfId="46446"/>
    <cellStyle name="Comma 7 2 2 2 2" xfId="9097"/>
    <cellStyle name="Comma 7 2 2 2 2 10" xfId="46447"/>
    <cellStyle name="Comma 7 2 2 2 2 2" xfId="46448"/>
    <cellStyle name="Comma 7 2 2 2 2 2 2" xfId="46449"/>
    <cellStyle name="Comma 7 2 2 2 2 2 2 2" xfId="46450"/>
    <cellStyle name="Comma 7 2 2 2 2 2 2 2 2" xfId="46451"/>
    <cellStyle name="Comma 7 2 2 2 2 2 2 2 3" xfId="46452"/>
    <cellStyle name="Comma 7 2 2 2 2 2 2 3" xfId="46453"/>
    <cellStyle name="Comma 7 2 2 2 2 2 2 3 2" xfId="46454"/>
    <cellStyle name="Comma 7 2 2 2 2 2 2 3 3" xfId="46455"/>
    <cellStyle name="Comma 7 2 2 2 2 2 2 4" xfId="46456"/>
    <cellStyle name="Comma 7 2 2 2 2 2 2 4 2" xfId="46457"/>
    <cellStyle name="Comma 7 2 2 2 2 2 2 5" xfId="46458"/>
    <cellStyle name="Comma 7 2 2 2 2 2 2 6" xfId="46459"/>
    <cellStyle name="Comma 7 2 2 2 2 2 3" xfId="46460"/>
    <cellStyle name="Comma 7 2 2 2 2 2 3 2" xfId="46461"/>
    <cellStyle name="Comma 7 2 2 2 2 2 3 2 2" xfId="46462"/>
    <cellStyle name="Comma 7 2 2 2 2 2 3 2 3" xfId="46463"/>
    <cellStyle name="Comma 7 2 2 2 2 2 3 3" xfId="46464"/>
    <cellStyle name="Comma 7 2 2 2 2 2 3 3 2" xfId="46465"/>
    <cellStyle name="Comma 7 2 2 2 2 2 3 3 3" xfId="46466"/>
    <cellStyle name="Comma 7 2 2 2 2 2 3 4" xfId="46467"/>
    <cellStyle name="Comma 7 2 2 2 2 2 3 4 2" xfId="46468"/>
    <cellStyle name="Comma 7 2 2 2 2 2 3 5" xfId="46469"/>
    <cellStyle name="Comma 7 2 2 2 2 2 3 6" xfId="46470"/>
    <cellStyle name="Comma 7 2 2 2 2 2 4" xfId="46471"/>
    <cellStyle name="Comma 7 2 2 2 2 2 4 2" xfId="46472"/>
    <cellStyle name="Comma 7 2 2 2 2 2 4 2 2" xfId="46473"/>
    <cellStyle name="Comma 7 2 2 2 2 2 4 2 3" xfId="46474"/>
    <cellStyle name="Comma 7 2 2 2 2 2 4 3" xfId="46475"/>
    <cellStyle name="Comma 7 2 2 2 2 2 4 3 2" xfId="46476"/>
    <cellStyle name="Comma 7 2 2 2 2 2 4 4" xfId="46477"/>
    <cellStyle name="Comma 7 2 2 2 2 2 4 5" xfId="46478"/>
    <cellStyle name="Comma 7 2 2 2 2 2 5" xfId="46479"/>
    <cellStyle name="Comma 7 2 2 2 2 2 5 2" xfId="46480"/>
    <cellStyle name="Comma 7 2 2 2 2 2 5 3" xfId="46481"/>
    <cellStyle name="Comma 7 2 2 2 2 2 6" xfId="46482"/>
    <cellStyle name="Comma 7 2 2 2 2 2 6 2" xfId="46483"/>
    <cellStyle name="Comma 7 2 2 2 2 2 6 3" xfId="46484"/>
    <cellStyle name="Comma 7 2 2 2 2 2 7" xfId="46485"/>
    <cellStyle name="Comma 7 2 2 2 2 2 7 2" xfId="46486"/>
    <cellStyle name="Comma 7 2 2 2 2 2 8" xfId="46487"/>
    <cellStyle name="Comma 7 2 2 2 2 2 9" xfId="46488"/>
    <cellStyle name="Comma 7 2 2 2 2 3" xfId="46489"/>
    <cellStyle name="Comma 7 2 2 2 2 3 2" xfId="46490"/>
    <cellStyle name="Comma 7 2 2 2 2 3 2 2" xfId="46491"/>
    <cellStyle name="Comma 7 2 2 2 2 3 2 3" xfId="46492"/>
    <cellStyle name="Comma 7 2 2 2 2 3 3" xfId="46493"/>
    <cellStyle name="Comma 7 2 2 2 2 3 3 2" xfId="46494"/>
    <cellStyle name="Comma 7 2 2 2 2 3 3 3" xfId="46495"/>
    <cellStyle name="Comma 7 2 2 2 2 3 4" xfId="46496"/>
    <cellStyle name="Comma 7 2 2 2 2 3 4 2" xfId="46497"/>
    <cellStyle name="Comma 7 2 2 2 2 3 5" xfId="46498"/>
    <cellStyle name="Comma 7 2 2 2 2 3 6" xfId="46499"/>
    <cellStyle name="Comma 7 2 2 2 2 4" xfId="46500"/>
    <cellStyle name="Comma 7 2 2 2 2 4 2" xfId="46501"/>
    <cellStyle name="Comma 7 2 2 2 2 4 2 2" xfId="46502"/>
    <cellStyle name="Comma 7 2 2 2 2 4 2 3" xfId="46503"/>
    <cellStyle name="Comma 7 2 2 2 2 4 3" xfId="46504"/>
    <cellStyle name="Comma 7 2 2 2 2 4 3 2" xfId="46505"/>
    <cellStyle name="Comma 7 2 2 2 2 4 3 3" xfId="46506"/>
    <cellStyle name="Comma 7 2 2 2 2 4 4" xfId="46507"/>
    <cellStyle name="Comma 7 2 2 2 2 4 4 2" xfId="46508"/>
    <cellStyle name="Comma 7 2 2 2 2 4 5" xfId="46509"/>
    <cellStyle name="Comma 7 2 2 2 2 4 6" xfId="46510"/>
    <cellStyle name="Comma 7 2 2 2 2 5" xfId="46511"/>
    <cellStyle name="Comma 7 2 2 2 2 5 2" xfId="46512"/>
    <cellStyle name="Comma 7 2 2 2 2 5 2 2" xfId="46513"/>
    <cellStyle name="Comma 7 2 2 2 2 5 2 3" xfId="46514"/>
    <cellStyle name="Comma 7 2 2 2 2 5 3" xfId="46515"/>
    <cellStyle name="Comma 7 2 2 2 2 5 3 2" xfId="46516"/>
    <cellStyle name="Comma 7 2 2 2 2 5 4" xfId="46517"/>
    <cellStyle name="Comma 7 2 2 2 2 5 5" xfId="46518"/>
    <cellStyle name="Comma 7 2 2 2 2 6" xfId="46519"/>
    <cellStyle name="Comma 7 2 2 2 2 6 2" xfId="46520"/>
    <cellStyle name="Comma 7 2 2 2 2 6 3" xfId="46521"/>
    <cellStyle name="Comma 7 2 2 2 2 7" xfId="46522"/>
    <cellStyle name="Comma 7 2 2 2 2 7 2" xfId="46523"/>
    <cellStyle name="Comma 7 2 2 2 2 7 3" xfId="46524"/>
    <cellStyle name="Comma 7 2 2 2 2 8" xfId="46525"/>
    <cellStyle name="Comma 7 2 2 2 2 8 2" xfId="46526"/>
    <cellStyle name="Comma 7 2 2 2 2 9" xfId="46527"/>
    <cellStyle name="Comma 7 2 2 2 3" xfId="9098"/>
    <cellStyle name="Comma 7 2 2 2 3 2" xfId="46528"/>
    <cellStyle name="Comma 7 2 2 2 3 2 2" xfId="46529"/>
    <cellStyle name="Comma 7 2 2 2 3 2 2 2" xfId="46530"/>
    <cellStyle name="Comma 7 2 2 2 3 2 2 3" xfId="46531"/>
    <cellStyle name="Comma 7 2 2 2 3 2 3" xfId="46532"/>
    <cellStyle name="Comma 7 2 2 2 3 2 3 2" xfId="46533"/>
    <cellStyle name="Comma 7 2 2 2 3 2 3 3" xfId="46534"/>
    <cellStyle name="Comma 7 2 2 2 3 2 4" xfId="46535"/>
    <cellStyle name="Comma 7 2 2 2 3 2 4 2" xfId="46536"/>
    <cellStyle name="Comma 7 2 2 2 3 2 5" xfId="46537"/>
    <cellStyle name="Comma 7 2 2 2 3 2 6" xfId="46538"/>
    <cellStyle name="Comma 7 2 2 2 3 3" xfId="46539"/>
    <cellStyle name="Comma 7 2 2 2 3 3 2" xfId="46540"/>
    <cellStyle name="Comma 7 2 2 2 3 3 2 2" xfId="46541"/>
    <cellStyle name="Comma 7 2 2 2 3 3 2 3" xfId="46542"/>
    <cellStyle name="Comma 7 2 2 2 3 3 3" xfId="46543"/>
    <cellStyle name="Comma 7 2 2 2 3 3 3 2" xfId="46544"/>
    <cellStyle name="Comma 7 2 2 2 3 3 3 3" xfId="46545"/>
    <cellStyle name="Comma 7 2 2 2 3 3 4" xfId="46546"/>
    <cellStyle name="Comma 7 2 2 2 3 3 4 2" xfId="46547"/>
    <cellStyle name="Comma 7 2 2 2 3 3 5" xfId="46548"/>
    <cellStyle name="Comma 7 2 2 2 3 3 6" xfId="46549"/>
    <cellStyle name="Comma 7 2 2 2 3 4" xfId="46550"/>
    <cellStyle name="Comma 7 2 2 2 3 4 2" xfId="46551"/>
    <cellStyle name="Comma 7 2 2 2 3 4 2 2" xfId="46552"/>
    <cellStyle name="Comma 7 2 2 2 3 4 2 3" xfId="46553"/>
    <cellStyle name="Comma 7 2 2 2 3 4 3" xfId="46554"/>
    <cellStyle name="Comma 7 2 2 2 3 4 3 2" xfId="46555"/>
    <cellStyle name="Comma 7 2 2 2 3 4 4" xfId="46556"/>
    <cellStyle name="Comma 7 2 2 2 3 4 5" xfId="46557"/>
    <cellStyle name="Comma 7 2 2 2 3 5" xfId="46558"/>
    <cellStyle name="Comma 7 2 2 2 3 5 2" xfId="46559"/>
    <cellStyle name="Comma 7 2 2 2 3 5 3" xfId="46560"/>
    <cellStyle name="Comma 7 2 2 2 3 6" xfId="46561"/>
    <cellStyle name="Comma 7 2 2 2 3 6 2" xfId="46562"/>
    <cellStyle name="Comma 7 2 2 2 3 6 3" xfId="46563"/>
    <cellStyle name="Comma 7 2 2 2 3 7" xfId="46564"/>
    <cellStyle name="Comma 7 2 2 2 3 7 2" xfId="46565"/>
    <cellStyle name="Comma 7 2 2 2 3 8" xfId="46566"/>
    <cellStyle name="Comma 7 2 2 2 3 9" xfId="46567"/>
    <cellStyle name="Comma 7 2 2 2 4" xfId="46568"/>
    <cellStyle name="Comma 7 2 2 2 4 2" xfId="46569"/>
    <cellStyle name="Comma 7 2 2 2 4 2 2" xfId="46570"/>
    <cellStyle name="Comma 7 2 2 2 4 2 2 2" xfId="46571"/>
    <cellStyle name="Comma 7 2 2 2 4 2 2 3" xfId="46572"/>
    <cellStyle name="Comma 7 2 2 2 4 2 3" xfId="46573"/>
    <cellStyle name="Comma 7 2 2 2 4 2 3 2" xfId="46574"/>
    <cellStyle name="Comma 7 2 2 2 4 2 3 3" xfId="46575"/>
    <cellStyle name="Comma 7 2 2 2 4 2 4" xfId="46576"/>
    <cellStyle name="Comma 7 2 2 2 4 2 4 2" xfId="46577"/>
    <cellStyle name="Comma 7 2 2 2 4 2 5" xfId="46578"/>
    <cellStyle name="Comma 7 2 2 2 4 2 6" xfId="46579"/>
    <cellStyle name="Comma 7 2 2 2 4 3" xfId="46580"/>
    <cellStyle name="Comma 7 2 2 2 4 3 2" xfId="46581"/>
    <cellStyle name="Comma 7 2 2 2 4 3 2 2" xfId="46582"/>
    <cellStyle name="Comma 7 2 2 2 4 3 2 3" xfId="46583"/>
    <cellStyle name="Comma 7 2 2 2 4 3 3" xfId="46584"/>
    <cellStyle name="Comma 7 2 2 2 4 3 3 2" xfId="46585"/>
    <cellStyle name="Comma 7 2 2 2 4 3 3 3" xfId="46586"/>
    <cellStyle name="Comma 7 2 2 2 4 3 4" xfId="46587"/>
    <cellStyle name="Comma 7 2 2 2 4 3 4 2" xfId="46588"/>
    <cellStyle name="Comma 7 2 2 2 4 3 5" xfId="46589"/>
    <cellStyle name="Comma 7 2 2 2 4 3 6" xfId="46590"/>
    <cellStyle name="Comma 7 2 2 2 4 4" xfId="46591"/>
    <cellStyle name="Comma 7 2 2 2 4 4 2" xfId="46592"/>
    <cellStyle name="Comma 7 2 2 2 4 4 2 2" xfId="46593"/>
    <cellStyle name="Comma 7 2 2 2 4 4 2 3" xfId="46594"/>
    <cellStyle name="Comma 7 2 2 2 4 4 3" xfId="46595"/>
    <cellStyle name="Comma 7 2 2 2 4 4 3 2" xfId="46596"/>
    <cellStyle name="Comma 7 2 2 2 4 4 4" xfId="46597"/>
    <cellStyle name="Comma 7 2 2 2 4 4 5" xfId="46598"/>
    <cellStyle name="Comma 7 2 2 2 4 5" xfId="46599"/>
    <cellStyle name="Comma 7 2 2 2 4 5 2" xfId="46600"/>
    <cellStyle name="Comma 7 2 2 2 4 5 3" xfId="46601"/>
    <cellStyle name="Comma 7 2 2 2 4 6" xfId="46602"/>
    <cellStyle name="Comma 7 2 2 2 4 6 2" xfId="46603"/>
    <cellStyle name="Comma 7 2 2 2 4 6 3" xfId="46604"/>
    <cellStyle name="Comma 7 2 2 2 4 7" xfId="46605"/>
    <cellStyle name="Comma 7 2 2 2 4 7 2" xfId="46606"/>
    <cellStyle name="Comma 7 2 2 2 4 8" xfId="46607"/>
    <cellStyle name="Comma 7 2 2 2 4 9" xfId="46608"/>
    <cellStyle name="Comma 7 2 2 2 5" xfId="46609"/>
    <cellStyle name="Comma 7 2 2 2 5 2" xfId="46610"/>
    <cellStyle name="Comma 7 2 2 2 5 2 2" xfId="46611"/>
    <cellStyle name="Comma 7 2 2 2 5 2 3" xfId="46612"/>
    <cellStyle name="Comma 7 2 2 2 5 3" xfId="46613"/>
    <cellStyle name="Comma 7 2 2 2 5 3 2" xfId="46614"/>
    <cellStyle name="Comma 7 2 2 2 5 3 3" xfId="46615"/>
    <cellStyle name="Comma 7 2 2 2 5 4" xfId="46616"/>
    <cellStyle name="Comma 7 2 2 2 5 4 2" xfId="46617"/>
    <cellStyle name="Comma 7 2 2 2 5 5" xfId="46618"/>
    <cellStyle name="Comma 7 2 2 2 5 6" xfId="46619"/>
    <cellStyle name="Comma 7 2 2 2 6" xfId="46620"/>
    <cellStyle name="Comma 7 2 2 2 6 2" xfId="46621"/>
    <cellStyle name="Comma 7 2 2 2 6 2 2" xfId="46622"/>
    <cellStyle name="Comma 7 2 2 2 6 2 3" xfId="46623"/>
    <cellStyle name="Comma 7 2 2 2 6 3" xfId="46624"/>
    <cellStyle name="Comma 7 2 2 2 6 3 2" xfId="46625"/>
    <cellStyle name="Comma 7 2 2 2 6 3 3" xfId="46626"/>
    <cellStyle name="Comma 7 2 2 2 6 4" xfId="46627"/>
    <cellStyle name="Comma 7 2 2 2 6 4 2" xfId="46628"/>
    <cellStyle name="Comma 7 2 2 2 6 5" xfId="46629"/>
    <cellStyle name="Comma 7 2 2 2 6 6" xfId="46630"/>
    <cellStyle name="Comma 7 2 2 2 7" xfId="46631"/>
    <cellStyle name="Comma 7 2 2 2 7 2" xfId="46632"/>
    <cellStyle name="Comma 7 2 2 2 7 2 2" xfId="46633"/>
    <cellStyle name="Comma 7 2 2 2 7 2 3" xfId="46634"/>
    <cellStyle name="Comma 7 2 2 2 7 3" xfId="46635"/>
    <cellStyle name="Comma 7 2 2 2 7 3 2" xfId="46636"/>
    <cellStyle name="Comma 7 2 2 2 7 4" xfId="46637"/>
    <cellStyle name="Comma 7 2 2 2 7 5" xfId="46638"/>
    <cellStyle name="Comma 7 2 2 2 8" xfId="46639"/>
    <cellStyle name="Comma 7 2 2 2 8 2" xfId="46640"/>
    <cellStyle name="Comma 7 2 2 2 8 3" xfId="46641"/>
    <cellStyle name="Comma 7 2 2 2 9" xfId="46642"/>
    <cellStyle name="Comma 7 2 2 2 9 2" xfId="46643"/>
    <cellStyle name="Comma 7 2 2 2 9 3" xfId="46644"/>
    <cellStyle name="Comma 7 2 2 3" xfId="9099"/>
    <cellStyle name="Comma 7 2 2 3 10" xfId="46645"/>
    <cellStyle name="Comma 7 2 2 3 2" xfId="46646"/>
    <cellStyle name="Comma 7 2 2 3 2 2" xfId="46647"/>
    <cellStyle name="Comma 7 2 2 3 2 2 2" xfId="46648"/>
    <cellStyle name="Comma 7 2 2 3 2 2 2 2" xfId="46649"/>
    <cellStyle name="Comma 7 2 2 3 2 2 2 3" xfId="46650"/>
    <cellStyle name="Comma 7 2 2 3 2 2 3" xfId="46651"/>
    <cellStyle name="Comma 7 2 2 3 2 2 3 2" xfId="46652"/>
    <cellStyle name="Comma 7 2 2 3 2 2 3 3" xfId="46653"/>
    <cellStyle name="Comma 7 2 2 3 2 2 4" xfId="46654"/>
    <cellStyle name="Comma 7 2 2 3 2 2 4 2" xfId="46655"/>
    <cellStyle name="Comma 7 2 2 3 2 2 5" xfId="46656"/>
    <cellStyle name="Comma 7 2 2 3 2 2 6" xfId="46657"/>
    <cellStyle name="Comma 7 2 2 3 2 3" xfId="46658"/>
    <cellStyle name="Comma 7 2 2 3 2 3 2" xfId="46659"/>
    <cellStyle name="Comma 7 2 2 3 2 3 2 2" xfId="46660"/>
    <cellStyle name="Comma 7 2 2 3 2 3 2 3" xfId="46661"/>
    <cellStyle name="Comma 7 2 2 3 2 3 3" xfId="46662"/>
    <cellStyle name="Comma 7 2 2 3 2 3 3 2" xfId="46663"/>
    <cellStyle name="Comma 7 2 2 3 2 3 3 3" xfId="46664"/>
    <cellStyle name="Comma 7 2 2 3 2 3 4" xfId="46665"/>
    <cellStyle name="Comma 7 2 2 3 2 3 4 2" xfId="46666"/>
    <cellStyle name="Comma 7 2 2 3 2 3 5" xfId="46667"/>
    <cellStyle name="Comma 7 2 2 3 2 3 6" xfId="46668"/>
    <cellStyle name="Comma 7 2 2 3 2 4" xfId="46669"/>
    <cellStyle name="Comma 7 2 2 3 2 4 2" xfId="46670"/>
    <cellStyle name="Comma 7 2 2 3 2 4 2 2" xfId="46671"/>
    <cellStyle name="Comma 7 2 2 3 2 4 2 3" xfId="46672"/>
    <cellStyle name="Comma 7 2 2 3 2 4 3" xfId="46673"/>
    <cellStyle name="Comma 7 2 2 3 2 4 3 2" xfId="46674"/>
    <cellStyle name="Comma 7 2 2 3 2 4 4" xfId="46675"/>
    <cellStyle name="Comma 7 2 2 3 2 4 5" xfId="46676"/>
    <cellStyle name="Comma 7 2 2 3 2 5" xfId="46677"/>
    <cellStyle name="Comma 7 2 2 3 2 5 2" xfId="46678"/>
    <cellStyle name="Comma 7 2 2 3 2 5 3" xfId="46679"/>
    <cellStyle name="Comma 7 2 2 3 2 6" xfId="46680"/>
    <cellStyle name="Comma 7 2 2 3 2 6 2" xfId="46681"/>
    <cellStyle name="Comma 7 2 2 3 2 6 3" xfId="46682"/>
    <cellStyle name="Comma 7 2 2 3 2 7" xfId="46683"/>
    <cellStyle name="Comma 7 2 2 3 2 7 2" xfId="46684"/>
    <cellStyle name="Comma 7 2 2 3 2 8" xfId="46685"/>
    <cellStyle name="Comma 7 2 2 3 2 9" xfId="46686"/>
    <cellStyle name="Comma 7 2 2 3 3" xfId="46687"/>
    <cellStyle name="Comma 7 2 2 3 3 2" xfId="46688"/>
    <cellStyle name="Comma 7 2 2 3 3 2 2" xfId="46689"/>
    <cellStyle name="Comma 7 2 2 3 3 2 3" xfId="46690"/>
    <cellStyle name="Comma 7 2 2 3 3 3" xfId="46691"/>
    <cellStyle name="Comma 7 2 2 3 3 3 2" xfId="46692"/>
    <cellStyle name="Comma 7 2 2 3 3 3 3" xfId="46693"/>
    <cellStyle name="Comma 7 2 2 3 3 4" xfId="46694"/>
    <cellStyle name="Comma 7 2 2 3 3 4 2" xfId="46695"/>
    <cellStyle name="Comma 7 2 2 3 3 5" xfId="46696"/>
    <cellStyle name="Comma 7 2 2 3 3 6" xfId="46697"/>
    <cellStyle name="Comma 7 2 2 3 4" xfId="46698"/>
    <cellStyle name="Comma 7 2 2 3 4 2" xfId="46699"/>
    <cellStyle name="Comma 7 2 2 3 4 2 2" xfId="46700"/>
    <cellStyle name="Comma 7 2 2 3 4 2 3" xfId="46701"/>
    <cellStyle name="Comma 7 2 2 3 4 3" xfId="46702"/>
    <cellStyle name="Comma 7 2 2 3 4 3 2" xfId="46703"/>
    <cellStyle name="Comma 7 2 2 3 4 3 3" xfId="46704"/>
    <cellStyle name="Comma 7 2 2 3 4 4" xfId="46705"/>
    <cellStyle name="Comma 7 2 2 3 4 4 2" xfId="46706"/>
    <cellStyle name="Comma 7 2 2 3 4 5" xfId="46707"/>
    <cellStyle name="Comma 7 2 2 3 4 6" xfId="46708"/>
    <cellStyle name="Comma 7 2 2 3 5" xfId="46709"/>
    <cellStyle name="Comma 7 2 2 3 5 2" xfId="46710"/>
    <cellStyle name="Comma 7 2 2 3 5 2 2" xfId="46711"/>
    <cellStyle name="Comma 7 2 2 3 5 2 3" xfId="46712"/>
    <cellStyle name="Comma 7 2 2 3 5 3" xfId="46713"/>
    <cellStyle name="Comma 7 2 2 3 5 3 2" xfId="46714"/>
    <cellStyle name="Comma 7 2 2 3 5 4" xfId="46715"/>
    <cellStyle name="Comma 7 2 2 3 5 5" xfId="46716"/>
    <cellStyle name="Comma 7 2 2 3 6" xfId="46717"/>
    <cellStyle name="Comma 7 2 2 3 6 2" xfId="46718"/>
    <cellStyle name="Comma 7 2 2 3 6 3" xfId="46719"/>
    <cellStyle name="Comma 7 2 2 3 7" xfId="46720"/>
    <cellStyle name="Comma 7 2 2 3 7 2" xfId="46721"/>
    <cellStyle name="Comma 7 2 2 3 7 3" xfId="46722"/>
    <cellStyle name="Comma 7 2 2 3 8" xfId="46723"/>
    <cellStyle name="Comma 7 2 2 3 8 2" xfId="46724"/>
    <cellStyle name="Comma 7 2 2 3 9" xfId="46725"/>
    <cellStyle name="Comma 7 2 2 4" xfId="9100"/>
    <cellStyle name="Comma 7 2 2 4 2" xfId="46726"/>
    <cellStyle name="Comma 7 2 2 4 2 2" xfId="46727"/>
    <cellStyle name="Comma 7 2 2 4 2 2 2" xfId="46728"/>
    <cellStyle name="Comma 7 2 2 4 2 2 3" xfId="46729"/>
    <cellStyle name="Comma 7 2 2 4 2 3" xfId="46730"/>
    <cellStyle name="Comma 7 2 2 4 2 3 2" xfId="46731"/>
    <cellStyle name="Comma 7 2 2 4 2 3 3" xfId="46732"/>
    <cellStyle name="Comma 7 2 2 4 2 4" xfId="46733"/>
    <cellStyle name="Comma 7 2 2 4 2 4 2" xfId="46734"/>
    <cellStyle name="Comma 7 2 2 4 2 5" xfId="46735"/>
    <cellStyle name="Comma 7 2 2 4 2 6" xfId="46736"/>
    <cellStyle name="Comma 7 2 2 4 3" xfId="46737"/>
    <cellStyle name="Comma 7 2 2 4 3 2" xfId="46738"/>
    <cellStyle name="Comma 7 2 2 4 3 2 2" xfId="46739"/>
    <cellStyle name="Comma 7 2 2 4 3 2 3" xfId="46740"/>
    <cellStyle name="Comma 7 2 2 4 3 3" xfId="46741"/>
    <cellStyle name="Comma 7 2 2 4 3 3 2" xfId="46742"/>
    <cellStyle name="Comma 7 2 2 4 3 3 3" xfId="46743"/>
    <cellStyle name="Comma 7 2 2 4 3 4" xfId="46744"/>
    <cellStyle name="Comma 7 2 2 4 3 4 2" xfId="46745"/>
    <cellStyle name="Comma 7 2 2 4 3 5" xfId="46746"/>
    <cellStyle name="Comma 7 2 2 4 3 6" xfId="46747"/>
    <cellStyle name="Comma 7 2 2 4 4" xfId="46748"/>
    <cellStyle name="Comma 7 2 2 4 4 2" xfId="46749"/>
    <cellStyle name="Comma 7 2 2 4 4 2 2" xfId="46750"/>
    <cellStyle name="Comma 7 2 2 4 4 2 3" xfId="46751"/>
    <cellStyle name="Comma 7 2 2 4 4 3" xfId="46752"/>
    <cellStyle name="Comma 7 2 2 4 4 3 2" xfId="46753"/>
    <cellStyle name="Comma 7 2 2 4 4 4" xfId="46754"/>
    <cellStyle name="Comma 7 2 2 4 4 5" xfId="46755"/>
    <cellStyle name="Comma 7 2 2 4 5" xfId="46756"/>
    <cellStyle name="Comma 7 2 2 4 5 2" xfId="46757"/>
    <cellStyle name="Comma 7 2 2 4 5 3" xfId="46758"/>
    <cellStyle name="Comma 7 2 2 4 6" xfId="46759"/>
    <cellStyle name="Comma 7 2 2 4 6 2" xfId="46760"/>
    <cellStyle name="Comma 7 2 2 4 6 3" xfId="46761"/>
    <cellStyle name="Comma 7 2 2 4 7" xfId="46762"/>
    <cellStyle name="Comma 7 2 2 4 7 2" xfId="46763"/>
    <cellStyle name="Comma 7 2 2 4 8" xfId="46764"/>
    <cellStyle name="Comma 7 2 2 4 9" xfId="46765"/>
    <cellStyle name="Comma 7 2 2 5" xfId="46766"/>
    <cellStyle name="Comma 7 2 2 5 2" xfId="46767"/>
    <cellStyle name="Comma 7 2 2 5 2 2" xfId="46768"/>
    <cellStyle name="Comma 7 2 2 5 2 2 2" xfId="46769"/>
    <cellStyle name="Comma 7 2 2 5 2 2 3" xfId="46770"/>
    <cellStyle name="Comma 7 2 2 5 2 3" xfId="46771"/>
    <cellStyle name="Comma 7 2 2 5 2 3 2" xfId="46772"/>
    <cellStyle name="Comma 7 2 2 5 2 3 3" xfId="46773"/>
    <cellStyle name="Comma 7 2 2 5 2 4" xfId="46774"/>
    <cellStyle name="Comma 7 2 2 5 2 4 2" xfId="46775"/>
    <cellStyle name="Comma 7 2 2 5 2 5" xfId="46776"/>
    <cellStyle name="Comma 7 2 2 5 2 6" xfId="46777"/>
    <cellStyle name="Comma 7 2 2 5 3" xfId="46778"/>
    <cellStyle name="Comma 7 2 2 5 3 2" xfId="46779"/>
    <cellStyle name="Comma 7 2 2 5 3 2 2" xfId="46780"/>
    <cellStyle name="Comma 7 2 2 5 3 2 3" xfId="46781"/>
    <cellStyle name="Comma 7 2 2 5 3 3" xfId="46782"/>
    <cellStyle name="Comma 7 2 2 5 3 3 2" xfId="46783"/>
    <cellStyle name="Comma 7 2 2 5 3 3 3" xfId="46784"/>
    <cellStyle name="Comma 7 2 2 5 3 4" xfId="46785"/>
    <cellStyle name="Comma 7 2 2 5 3 4 2" xfId="46786"/>
    <cellStyle name="Comma 7 2 2 5 3 5" xfId="46787"/>
    <cellStyle name="Comma 7 2 2 5 3 6" xfId="46788"/>
    <cellStyle name="Comma 7 2 2 5 4" xfId="46789"/>
    <cellStyle name="Comma 7 2 2 5 4 2" xfId="46790"/>
    <cellStyle name="Comma 7 2 2 5 4 2 2" xfId="46791"/>
    <cellStyle name="Comma 7 2 2 5 4 2 3" xfId="46792"/>
    <cellStyle name="Comma 7 2 2 5 4 3" xfId="46793"/>
    <cellStyle name="Comma 7 2 2 5 4 3 2" xfId="46794"/>
    <cellStyle name="Comma 7 2 2 5 4 4" xfId="46795"/>
    <cellStyle name="Comma 7 2 2 5 4 5" xfId="46796"/>
    <cellStyle name="Comma 7 2 2 5 5" xfId="46797"/>
    <cellStyle name="Comma 7 2 2 5 5 2" xfId="46798"/>
    <cellStyle name="Comma 7 2 2 5 5 3" xfId="46799"/>
    <cellStyle name="Comma 7 2 2 5 6" xfId="46800"/>
    <cellStyle name="Comma 7 2 2 5 6 2" xfId="46801"/>
    <cellStyle name="Comma 7 2 2 5 6 3" xfId="46802"/>
    <cellStyle name="Comma 7 2 2 5 7" xfId="46803"/>
    <cellStyle name="Comma 7 2 2 5 7 2" xfId="46804"/>
    <cellStyle name="Comma 7 2 2 5 8" xfId="46805"/>
    <cellStyle name="Comma 7 2 2 5 9" xfId="46806"/>
    <cellStyle name="Comma 7 2 2 6" xfId="46807"/>
    <cellStyle name="Comma 7 2 2 6 2" xfId="46808"/>
    <cellStyle name="Comma 7 2 2 6 2 2" xfId="46809"/>
    <cellStyle name="Comma 7 2 2 6 2 3" xfId="46810"/>
    <cellStyle name="Comma 7 2 2 6 3" xfId="46811"/>
    <cellStyle name="Comma 7 2 2 6 3 2" xfId="46812"/>
    <cellStyle name="Comma 7 2 2 6 3 3" xfId="46813"/>
    <cellStyle name="Comma 7 2 2 6 4" xfId="46814"/>
    <cellStyle name="Comma 7 2 2 6 4 2" xfId="46815"/>
    <cellStyle name="Comma 7 2 2 6 5" xfId="46816"/>
    <cellStyle name="Comma 7 2 2 6 6" xfId="46817"/>
    <cellStyle name="Comma 7 2 2 7" xfId="46818"/>
    <cellStyle name="Comma 7 2 2 7 2" xfId="46819"/>
    <cellStyle name="Comma 7 2 2 7 2 2" xfId="46820"/>
    <cellStyle name="Comma 7 2 2 7 2 3" xfId="46821"/>
    <cellStyle name="Comma 7 2 2 7 3" xfId="46822"/>
    <cellStyle name="Comma 7 2 2 7 3 2" xfId="46823"/>
    <cellStyle name="Comma 7 2 2 7 3 3" xfId="46824"/>
    <cellStyle name="Comma 7 2 2 7 4" xfId="46825"/>
    <cellStyle name="Comma 7 2 2 7 4 2" xfId="46826"/>
    <cellStyle name="Comma 7 2 2 7 5" xfId="46827"/>
    <cellStyle name="Comma 7 2 2 7 6" xfId="46828"/>
    <cellStyle name="Comma 7 2 2 8" xfId="46829"/>
    <cellStyle name="Comma 7 2 2 8 2" xfId="46830"/>
    <cellStyle name="Comma 7 2 2 8 2 2" xfId="46831"/>
    <cellStyle name="Comma 7 2 2 8 2 3" xfId="46832"/>
    <cellStyle name="Comma 7 2 2 8 3" xfId="46833"/>
    <cellStyle name="Comma 7 2 2 8 3 2" xfId="46834"/>
    <cellStyle name="Comma 7 2 2 8 4" xfId="46835"/>
    <cellStyle name="Comma 7 2 2 8 5" xfId="46836"/>
    <cellStyle name="Comma 7 2 2 9" xfId="46837"/>
    <cellStyle name="Comma 7 2 2 9 2" xfId="46838"/>
    <cellStyle name="Comma 7 2 2 9 3" xfId="46839"/>
    <cellStyle name="Comma 7 2 3" xfId="3714"/>
    <cellStyle name="Comma 7 2 3 10" xfId="46840"/>
    <cellStyle name="Comma 7 2 3 10 2" xfId="46841"/>
    <cellStyle name="Comma 7 2 3 11" xfId="46842"/>
    <cellStyle name="Comma 7 2 3 12" xfId="46843"/>
    <cellStyle name="Comma 7 2 3 13" xfId="46844"/>
    <cellStyle name="Comma 7 2 3 2" xfId="9101"/>
    <cellStyle name="Comma 7 2 3 2 10" xfId="46845"/>
    <cellStyle name="Comma 7 2 3 2 2" xfId="46846"/>
    <cellStyle name="Comma 7 2 3 2 2 2" xfId="46847"/>
    <cellStyle name="Comma 7 2 3 2 2 2 2" xfId="46848"/>
    <cellStyle name="Comma 7 2 3 2 2 2 2 2" xfId="46849"/>
    <cellStyle name="Comma 7 2 3 2 2 2 2 3" xfId="46850"/>
    <cellStyle name="Comma 7 2 3 2 2 2 3" xfId="46851"/>
    <cellStyle name="Comma 7 2 3 2 2 2 3 2" xfId="46852"/>
    <cellStyle name="Comma 7 2 3 2 2 2 3 3" xfId="46853"/>
    <cellStyle name="Comma 7 2 3 2 2 2 4" xfId="46854"/>
    <cellStyle name="Comma 7 2 3 2 2 2 4 2" xfId="46855"/>
    <cellStyle name="Comma 7 2 3 2 2 2 5" xfId="46856"/>
    <cellStyle name="Comma 7 2 3 2 2 2 6" xfId="46857"/>
    <cellStyle name="Comma 7 2 3 2 2 3" xfId="46858"/>
    <cellStyle name="Comma 7 2 3 2 2 3 2" xfId="46859"/>
    <cellStyle name="Comma 7 2 3 2 2 3 2 2" xfId="46860"/>
    <cellStyle name="Comma 7 2 3 2 2 3 2 3" xfId="46861"/>
    <cellStyle name="Comma 7 2 3 2 2 3 3" xfId="46862"/>
    <cellStyle name="Comma 7 2 3 2 2 3 3 2" xfId="46863"/>
    <cellStyle name="Comma 7 2 3 2 2 3 3 3" xfId="46864"/>
    <cellStyle name="Comma 7 2 3 2 2 3 4" xfId="46865"/>
    <cellStyle name="Comma 7 2 3 2 2 3 4 2" xfId="46866"/>
    <cellStyle name="Comma 7 2 3 2 2 3 5" xfId="46867"/>
    <cellStyle name="Comma 7 2 3 2 2 3 6" xfId="46868"/>
    <cellStyle name="Comma 7 2 3 2 2 4" xfId="46869"/>
    <cellStyle name="Comma 7 2 3 2 2 4 2" xfId="46870"/>
    <cellStyle name="Comma 7 2 3 2 2 4 2 2" xfId="46871"/>
    <cellStyle name="Comma 7 2 3 2 2 4 2 3" xfId="46872"/>
    <cellStyle name="Comma 7 2 3 2 2 4 3" xfId="46873"/>
    <cellStyle name="Comma 7 2 3 2 2 4 3 2" xfId="46874"/>
    <cellStyle name="Comma 7 2 3 2 2 4 4" xfId="46875"/>
    <cellStyle name="Comma 7 2 3 2 2 4 5" xfId="46876"/>
    <cellStyle name="Comma 7 2 3 2 2 5" xfId="46877"/>
    <cellStyle name="Comma 7 2 3 2 2 5 2" xfId="46878"/>
    <cellStyle name="Comma 7 2 3 2 2 5 3" xfId="46879"/>
    <cellStyle name="Comma 7 2 3 2 2 6" xfId="46880"/>
    <cellStyle name="Comma 7 2 3 2 2 6 2" xfId="46881"/>
    <cellStyle name="Comma 7 2 3 2 2 6 3" xfId="46882"/>
    <cellStyle name="Comma 7 2 3 2 2 7" xfId="46883"/>
    <cellStyle name="Comma 7 2 3 2 2 7 2" xfId="46884"/>
    <cellStyle name="Comma 7 2 3 2 2 8" xfId="46885"/>
    <cellStyle name="Comma 7 2 3 2 2 9" xfId="46886"/>
    <cellStyle name="Comma 7 2 3 2 3" xfId="46887"/>
    <cellStyle name="Comma 7 2 3 2 3 2" xfId="46888"/>
    <cellStyle name="Comma 7 2 3 2 3 2 2" xfId="46889"/>
    <cellStyle name="Comma 7 2 3 2 3 2 3" xfId="46890"/>
    <cellStyle name="Comma 7 2 3 2 3 3" xfId="46891"/>
    <cellStyle name="Comma 7 2 3 2 3 3 2" xfId="46892"/>
    <cellStyle name="Comma 7 2 3 2 3 3 3" xfId="46893"/>
    <cellStyle name="Comma 7 2 3 2 3 4" xfId="46894"/>
    <cellStyle name="Comma 7 2 3 2 3 4 2" xfId="46895"/>
    <cellStyle name="Comma 7 2 3 2 3 5" xfId="46896"/>
    <cellStyle name="Comma 7 2 3 2 3 6" xfId="46897"/>
    <cellStyle name="Comma 7 2 3 2 4" xfId="46898"/>
    <cellStyle name="Comma 7 2 3 2 4 2" xfId="46899"/>
    <cellStyle name="Comma 7 2 3 2 4 2 2" xfId="46900"/>
    <cellStyle name="Comma 7 2 3 2 4 2 3" xfId="46901"/>
    <cellStyle name="Comma 7 2 3 2 4 3" xfId="46902"/>
    <cellStyle name="Comma 7 2 3 2 4 3 2" xfId="46903"/>
    <cellStyle name="Comma 7 2 3 2 4 3 3" xfId="46904"/>
    <cellStyle name="Comma 7 2 3 2 4 4" xfId="46905"/>
    <cellStyle name="Comma 7 2 3 2 4 4 2" xfId="46906"/>
    <cellStyle name="Comma 7 2 3 2 4 5" xfId="46907"/>
    <cellStyle name="Comma 7 2 3 2 4 6" xfId="46908"/>
    <cellStyle name="Comma 7 2 3 2 5" xfId="46909"/>
    <cellStyle name="Comma 7 2 3 2 5 2" xfId="46910"/>
    <cellStyle name="Comma 7 2 3 2 5 2 2" xfId="46911"/>
    <cellStyle name="Comma 7 2 3 2 5 2 3" xfId="46912"/>
    <cellStyle name="Comma 7 2 3 2 5 3" xfId="46913"/>
    <cellStyle name="Comma 7 2 3 2 5 3 2" xfId="46914"/>
    <cellStyle name="Comma 7 2 3 2 5 4" xfId="46915"/>
    <cellStyle name="Comma 7 2 3 2 5 5" xfId="46916"/>
    <cellStyle name="Comma 7 2 3 2 6" xfId="46917"/>
    <cellStyle name="Comma 7 2 3 2 6 2" xfId="46918"/>
    <cellStyle name="Comma 7 2 3 2 6 3" xfId="46919"/>
    <cellStyle name="Comma 7 2 3 2 7" xfId="46920"/>
    <cellStyle name="Comma 7 2 3 2 7 2" xfId="46921"/>
    <cellStyle name="Comma 7 2 3 2 7 3" xfId="46922"/>
    <cellStyle name="Comma 7 2 3 2 8" xfId="46923"/>
    <cellStyle name="Comma 7 2 3 2 8 2" xfId="46924"/>
    <cellStyle name="Comma 7 2 3 2 9" xfId="46925"/>
    <cellStyle name="Comma 7 2 3 3" xfId="9102"/>
    <cellStyle name="Comma 7 2 3 3 2" xfId="46926"/>
    <cellStyle name="Comma 7 2 3 3 2 2" xfId="46927"/>
    <cellStyle name="Comma 7 2 3 3 2 2 2" xfId="46928"/>
    <cellStyle name="Comma 7 2 3 3 2 2 3" xfId="46929"/>
    <cellStyle name="Comma 7 2 3 3 2 3" xfId="46930"/>
    <cellStyle name="Comma 7 2 3 3 2 3 2" xfId="46931"/>
    <cellStyle name="Comma 7 2 3 3 2 3 3" xfId="46932"/>
    <cellStyle name="Comma 7 2 3 3 2 4" xfId="46933"/>
    <cellStyle name="Comma 7 2 3 3 2 4 2" xfId="46934"/>
    <cellStyle name="Comma 7 2 3 3 2 5" xfId="46935"/>
    <cellStyle name="Comma 7 2 3 3 2 6" xfId="46936"/>
    <cellStyle name="Comma 7 2 3 3 3" xfId="46937"/>
    <cellStyle name="Comma 7 2 3 3 3 2" xfId="46938"/>
    <cellStyle name="Comma 7 2 3 3 3 2 2" xfId="46939"/>
    <cellStyle name="Comma 7 2 3 3 3 2 3" xfId="46940"/>
    <cellStyle name="Comma 7 2 3 3 3 3" xfId="46941"/>
    <cellStyle name="Comma 7 2 3 3 3 3 2" xfId="46942"/>
    <cellStyle name="Comma 7 2 3 3 3 3 3" xfId="46943"/>
    <cellStyle name="Comma 7 2 3 3 3 4" xfId="46944"/>
    <cellStyle name="Comma 7 2 3 3 3 4 2" xfId="46945"/>
    <cellStyle name="Comma 7 2 3 3 3 5" xfId="46946"/>
    <cellStyle name="Comma 7 2 3 3 3 6" xfId="46947"/>
    <cellStyle name="Comma 7 2 3 3 4" xfId="46948"/>
    <cellStyle name="Comma 7 2 3 3 4 2" xfId="46949"/>
    <cellStyle name="Comma 7 2 3 3 4 2 2" xfId="46950"/>
    <cellStyle name="Comma 7 2 3 3 4 2 3" xfId="46951"/>
    <cellStyle name="Comma 7 2 3 3 4 3" xfId="46952"/>
    <cellStyle name="Comma 7 2 3 3 4 3 2" xfId="46953"/>
    <cellStyle name="Comma 7 2 3 3 4 4" xfId="46954"/>
    <cellStyle name="Comma 7 2 3 3 4 5" xfId="46955"/>
    <cellStyle name="Comma 7 2 3 3 5" xfId="46956"/>
    <cellStyle name="Comma 7 2 3 3 5 2" xfId="46957"/>
    <cellStyle name="Comma 7 2 3 3 5 3" xfId="46958"/>
    <cellStyle name="Comma 7 2 3 3 6" xfId="46959"/>
    <cellStyle name="Comma 7 2 3 3 6 2" xfId="46960"/>
    <cellStyle name="Comma 7 2 3 3 6 3" xfId="46961"/>
    <cellStyle name="Comma 7 2 3 3 7" xfId="46962"/>
    <cellStyle name="Comma 7 2 3 3 7 2" xfId="46963"/>
    <cellStyle name="Comma 7 2 3 3 8" xfId="46964"/>
    <cellStyle name="Comma 7 2 3 3 9" xfId="46965"/>
    <cellStyle name="Comma 7 2 3 4" xfId="46966"/>
    <cellStyle name="Comma 7 2 3 4 2" xfId="46967"/>
    <cellStyle name="Comma 7 2 3 4 2 2" xfId="46968"/>
    <cellStyle name="Comma 7 2 3 4 2 2 2" xfId="46969"/>
    <cellStyle name="Comma 7 2 3 4 2 2 3" xfId="46970"/>
    <cellStyle name="Comma 7 2 3 4 2 3" xfId="46971"/>
    <cellStyle name="Comma 7 2 3 4 2 3 2" xfId="46972"/>
    <cellStyle name="Comma 7 2 3 4 2 3 3" xfId="46973"/>
    <cellStyle name="Comma 7 2 3 4 2 4" xfId="46974"/>
    <cellStyle name="Comma 7 2 3 4 2 4 2" xfId="46975"/>
    <cellStyle name="Comma 7 2 3 4 2 5" xfId="46976"/>
    <cellStyle name="Comma 7 2 3 4 2 6" xfId="46977"/>
    <cellStyle name="Comma 7 2 3 4 3" xfId="46978"/>
    <cellStyle name="Comma 7 2 3 4 3 2" xfId="46979"/>
    <cellStyle name="Comma 7 2 3 4 3 2 2" xfId="46980"/>
    <cellStyle name="Comma 7 2 3 4 3 2 3" xfId="46981"/>
    <cellStyle name="Comma 7 2 3 4 3 3" xfId="46982"/>
    <cellStyle name="Comma 7 2 3 4 3 3 2" xfId="46983"/>
    <cellStyle name="Comma 7 2 3 4 3 3 3" xfId="46984"/>
    <cellStyle name="Comma 7 2 3 4 3 4" xfId="46985"/>
    <cellStyle name="Comma 7 2 3 4 3 4 2" xfId="46986"/>
    <cellStyle name="Comma 7 2 3 4 3 5" xfId="46987"/>
    <cellStyle name="Comma 7 2 3 4 3 6" xfId="46988"/>
    <cellStyle name="Comma 7 2 3 4 4" xfId="46989"/>
    <cellStyle name="Comma 7 2 3 4 4 2" xfId="46990"/>
    <cellStyle name="Comma 7 2 3 4 4 2 2" xfId="46991"/>
    <cellStyle name="Comma 7 2 3 4 4 2 3" xfId="46992"/>
    <cellStyle name="Comma 7 2 3 4 4 3" xfId="46993"/>
    <cellStyle name="Comma 7 2 3 4 4 3 2" xfId="46994"/>
    <cellStyle name="Comma 7 2 3 4 4 4" xfId="46995"/>
    <cellStyle name="Comma 7 2 3 4 4 5" xfId="46996"/>
    <cellStyle name="Comma 7 2 3 4 5" xfId="46997"/>
    <cellStyle name="Comma 7 2 3 4 5 2" xfId="46998"/>
    <cellStyle name="Comma 7 2 3 4 5 3" xfId="46999"/>
    <cellStyle name="Comma 7 2 3 4 6" xfId="47000"/>
    <cellStyle name="Comma 7 2 3 4 6 2" xfId="47001"/>
    <cellStyle name="Comma 7 2 3 4 6 3" xfId="47002"/>
    <cellStyle name="Comma 7 2 3 4 7" xfId="47003"/>
    <cellStyle name="Comma 7 2 3 4 7 2" xfId="47004"/>
    <cellStyle name="Comma 7 2 3 4 8" xfId="47005"/>
    <cellStyle name="Comma 7 2 3 4 9" xfId="47006"/>
    <cellStyle name="Comma 7 2 3 5" xfId="47007"/>
    <cellStyle name="Comma 7 2 3 5 2" xfId="47008"/>
    <cellStyle name="Comma 7 2 3 5 2 2" xfId="47009"/>
    <cellStyle name="Comma 7 2 3 5 2 3" xfId="47010"/>
    <cellStyle name="Comma 7 2 3 5 3" xfId="47011"/>
    <cellStyle name="Comma 7 2 3 5 3 2" xfId="47012"/>
    <cellStyle name="Comma 7 2 3 5 3 3" xfId="47013"/>
    <cellStyle name="Comma 7 2 3 5 4" xfId="47014"/>
    <cellStyle name="Comma 7 2 3 5 4 2" xfId="47015"/>
    <cellStyle name="Comma 7 2 3 5 5" xfId="47016"/>
    <cellStyle name="Comma 7 2 3 5 6" xfId="47017"/>
    <cellStyle name="Comma 7 2 3 6" xfId="47018"/>
    <cellStyle name="Comma 7 2 3 6 2" xfId="47019"/>
    <cellStyle name="Comma 7 2 3 6 2 2" xfId="47020"/>
    <cellStyle name="Comma 7 2 3 6 2 3" xfId="47021"/>
    <cellStyle name="Comma 7 2 3 6 3" xfId="47022"/>
    <cellStyle name="Comma 7 2 3 6 3 2" xfId="47023"/>
    <cellStyle name="Comma 7 2 3 6 3 3" xfId="47024"/>
    <cellStyle name="Comma 7 2 3 6 4" xfId="47025"/>
    <cellStyle name="Comma 7 2 3 6 4 2" xfId="47026"/>
    <cellStyle name="Comma 7 2 3 6 5" xfId="47027"/>
    <cellStyle name="Comma 7 2 3 6 6" xfId="47028"/>
    <cellStyle name="Comma 7 2 3 7" xfId="47029"/>
    <cellStyle name="Comma 7 2 3 7 2" xfId="47030"/>
    <cellStyle name="Comma 7 2 3 7 2 2" xfId="47031"/>
    <cellStyle name="Comma 7 2 3 7 2 3" xfId="47032"/>
    <cellStyle name="Comma 7 2 3 7 3" xfId="47033"/>
    <cellStyle name="Comma 7 2 3 7 3 2" xfId="47034"/>
    <cellStyle name="Comma 7 2 3 7 4" xfId="47035"/>
    <cellStyle name="Comma 7 2 3 7 5" xfId="47036"/>
    <cellStyle name="Comma 7 2 3 8" xfId="47037"/>
    <cellStyle name="Comma 7 2 3 8 2" xfId="47038"/>
    <cellStyle name="Comma 7 2 3 8 3" xfId="47039"/>
    <cellStyle name="Comma 7 2 3 9" xfId="47040"/>
    <cellStyle name="Comma 7 2 3 9 2" xfId="47041"/>
    <cellStyle name="Comma 7 2 3 9 3" xfId="47042"/>
    <cellStyle name="Comma 7 2 4" xfId="9103"/>
    <cellStyle name="Comma 7 2 4 10" xfId="47043"/>
    <cellStyle name="Comma 7 2 4 2" xfId="47044"/>
    <cellStyle name="Comma 7 2 4 2 2" xfId="47045"/>
    <cellStyle name="Comma 7 2 4 2 2 2" xfId="47046"/>
    <cellStyle name="Comma 7 2 4 2 2 2 2" xfId="47047"/>
    <cellStyle name="Comma 7 2 4 2 2 2 3" xfId="47048"/>
    <cellStyle name="Comma 7 2 4 2 2 3" xfId="47049"/>
    <cellStyle name="Comma 7 2 4 2 2 3 2" xfId="47050"/>
    <cellStyle name="Comma 7 2 4 2 2 3 3" xfId="47051"/>
    <cellStyle name="Comma 7 2 4 2 2 4" xfId="47052"/>
    <cellStyle name="Comma 7 2 4 2 2 4 2" xfId="47053"/>
    <cellStyle name="Comma 7 2 4 2 2 5" xfId="47054"/>
    <cellStyle name="Comma 7 2 4 2 2 6" xfId="47055"/>
    <cellStyle name="Comma 7 2 4 2 3" xfId="47056"/>
    <cellStyle name="Comma 7 2 4 2 3 2" xfId="47057"/>
    <cellStyle name="Comma 7 2 4 2 3 2 2" xfId="47058"/>
    <cellStyle name="Comma 7 2 4 2 3 2 3" xfId="47059"/>
    <cellStyle name="Comma 7 2 4 2 3 3" xfId="47060"/>
    <cellStyle name="Comma 7 2 4 2 3 3 2" xfId="47061"/>
    <cellStyle name="Comma 7 2 4 2 3 3 3" xfId="47062"/>
    <cellStyle name="Comma 7 2 4 2 3 4" xfId="47063"/>
    <cellStyle name="Comma 7 2 4 2 3 4 2" xfId="47064"/>
    <cellStyle name="Comma 7 2 4 2 3 5" xfId="47065"/>
    <cellStyle name="Comma 7 2 4 2 3 6" xfId="47066"/>
    <cellStyle name="Comma 7 2 4 2 4" xfId="47067"/>
    <cellStyle name="Comma 7 2 4 2 4 2" xfId="47068"/>
    <cellStyle name="Comma 7 2 4 2 4 2 2" xfId="47069"/>
    <cellStyle name="Comma 7 2 4 2 4 2 3" xfId="47070"/>
    <cellStyle name="Comma 7 2 4 2 4 3" xfId="47071"/>
    <cellStyle name="Comma 7 2 4 2 4 3 2" xfId="47072"/>
    <cellStyle name="Comma 7 2 4 2 4 4" xfId="47073"/>
    <cellStyle name="Comma 7 2 4 2 4 5" xfId="47074"/>
    <cellStyle name="Comma 7 2 4 2 5" xfId="47075"/>
    <cellStyle name="Comma 7 2 4 2 5 2" xfId="47076"/>
    <cellStyle name="Comma 7 2 4 2 5 3" xfId="47077"/>
    <cellStyle name="Comma 7 2 4 2 6" xfId="47078"/>
    <cellStyle name="Comma 7 2 4 2 6 2" xfId="47079"/>
    <cellStyle name="Comma 7 2 4 2 6 3" xfId="47080"/>
    <cellStyle name="Comma 7 2 4 2 7" xfId="47081"/>
    <cellStyle name="Comma 7 2 4 2 7 2" xfId="47082"/>
    <cellStyle name="Comma 7 2 4 2 8" xfId="47083"/>
    <cellStyle name="Comma 7 2 4 2 9" xfId="47084"/>
    <cellStyle name="Comma 7 2 4 3" xfId="47085"/>
    <cellStyle name="Comma 7 2 4 3 2" xfId="47086"/>
    <cellStyle name="Comma 7 2 4 3 2 2" xfId="47087"/>
    <cellStyle name="Comma 7 2 4 3 2 3" xfId="47088"/>
    <cellStyle name="Comma 7 2 4 3 3" xfId="47089"/>
    <cellStyle name="Comma 7 2 4 3 3 2" xfId="47090"/>
    <cellStyle name="Comma 7 2 4 3 3 3" xfId="47091"/>
    <cellStyle name="Comma 7 2 4 3 4" xfId="47092"/>
    <cellStyle name="Comma 7 2 4 3 4 2" xfId="47093"/>
    <cellStyle name="Comma 7 2 4 3 5" xfId="47094"/>
    <cellStyle name="Comma 7 2 4 3 6" xfId="47095"/>
    <cellStyle name="Comma 7 2 4 4" xfId="47096"/>
    <cellStyle name="Comma 7 2 4 4 2" xfId="47097"/>
    <cellStyle name="Comma 7 2 4 4 2 2" xfId="47098"/>
    <cellStyle name="Comma 7 2 4 4 2 3" xfId="47099"/>
    <cellStyle name="Comma 7 2 4 4 3" xfId="47100"/>
    <cellStyle name="Comma 7 2 4 4 3 2" xfId="47101"/>
    <cellStyle name="Comma 7 2 4 4 3 3" xfId="47102"/>
    <cellStyle name="Comma 7 2 4 4 4" xfId="47103"/>
    <cellStyle name="Comma 7 2 4 4 4 2" xfId="47104"/>
    <cellStyle name="Comma 7 2 4 4 5" xfId="47105"/>
    <cellStyle name="Comma 7 2 4 4 6" xfId="47106"/>
    <cellStyle name="Comma 7 2 4 5" xfId="47107"/>
    <cellStyle name="Comma 7 2 4 5 2" xfId="47108"/>
    <cellStyle name="Comma 7 2 4 5 2 2" xfId="47109"/>
    <cellStyle name="Comma 7 2 4 5 2 3" xfId="47110"/>
    <cellStyle name="Comma 7 2 4 5 3" xfId="47111"/>
    <cellStyle name="Comma 7 2 4 5 3 2" xfId="47112"/>
    <cellStyle name="Comma 7 2 4 5 4" xfId="47113"/>
    <cellStyle name="Comma 7 2 4 5 5" xfId="47114"/>
    <cellStyle name="Comma 7 2 4 6" xfId="47115"/>
    <cellStyle name="Comma 7 2 4 6 2" xfId="47116"/>
    <cellStyle name="Comma 7 2 4 6 3" xfId="47117"/>
    <cellStyle name="Comma 7 2 4 7" xfId="47118"/>
    <cellStyle name="Comma 7 2 4 7 2" xfId="47119"/>
    <cellStyle name="Comma 7 2 4 7 3" xfId="47120"/>
    <cellStyle name="Comma 7 2 4 8" xfId="47121"/>
    <cellStyle name="Comma 7 2 4 8 2" xfId="47122"/>
    <cellStyle name="Comma 7 2 4 9" xfId="47123"/>
    <cellStyle name="Comma 7 2 5" xfId="9104"/>
    <cellStyle name="Comma 7 2 5 2" xfId="47124"/>
    <cellStyle name="Comma 7 2 5 2 2" xfId="47125"/>
    <cellStyle name="Comma 7 2 5 2 2 2" xfId="47126"/>
    <cellStyle name="Comma 7 2 5 2 2 3" xfId="47127"/>
    <cellStyle name="Comma 7 2 5 2 3" xfId="47128"/>
    <cellStyle name="Comma 7 2 5 2 3 2" xfId="47129"/>
    <cellStyle name="Comma 7 2 5 2 3 3" xfId="47130"/>
    <cellStyle name="Comma 7 2 5 2 4" xfId="47131"/>
    <cellStyle name="Comma 7 2 5 2 4 2" xfId="47132"/>
    <cellStyle name="Comma 7 2 5 2 5" xfId="47133"/>
    <cellStyle name="Comma 7 2 5 2 6" xfId="47134"/>
    <cellStyle name="Comma 7 2 5 3" xfId="47135"/>
    <cellStyle name="Comma 7 2 5 3 2" xfId="47136"/>
    <cellStyle name="Comma 7 2 5 3 2 2" xfId="47137"/>
    <cellStyle name="Comma 7 2 5 3 2 3" xfId="47138"/>
    <cellStyle name="Comma 7 2 5 3 3" xfId="47139"/>
    <cellStyle name="Comma 7 2 5 3 3 2" xfId="47140"/>
    <cellStyle name="Comma 7 2 5 3 3 3" xfId="47141"/>
    <cellStyle name="Comma 7 2 5 3 4" xfId="47142"/>
    <cellStyle name="Comma 7 2 5 3 4 2" xfId="47143"/>
    <cellStyle name="Comma 7 2 5 3 5" xfId="47144"/>
    <cellStyle name="Comma 7 2 5 3 6" xfId="47145"/>
    <cellStyle name="Comma 7 2 5 4" xfId="47146"/>
    <cellStyle name="Comma 7 2 5 4 2" xfId="47147"/>
    <cellStyle name="Comma 7 2 5 4 2 2" xfId="47148"/>
    <cellStyle name="Comma 7 2 5 4 2 3" xfId="47149"/>
    <cellStyle name="Comma 7 2 5 4 3" xfId="47150"/>
    <cellStyle name="Comma 7 2 5 4 3 2" xfId="47151"/>
    <cellStyle name="Comma 7 2 5 4 4" xfId="47152"/>
    <cellStyle name="Comma 7 2 5 4 5" xfId="47153"/>
    <cellStyle name="Comma 7 2 5 5" xfId="47154"/>
    <cellStyle name="Comma 7 2 5 5 2" xfId="47155"/>
    <cellStyle name="Comma 7 2 5 5 3" xfId="47156"/>
    <cellStyle name="Comma 7 2 5 6" xfId="47157"/>
    <cellStyle name="Comma 7 2 5 6 2" xfId="47158"/>
    <cellStyle name="Comma 7 2 5 6 3" xfId="47159"/>
    <cellStyle name="Comma 7 2 5 7" xfId="47160"/>
    <cellStyle name="Comma 7 2 5 7 2" xfId="47161"/>
    <cellStyle name="Comma 7 2 5 8" xfId="47162"/>
    <cellStyle name="Comma 7 2 5 9" xfId="47163"/>
    <cellStyle name="Comma 7 2 6" xfId="47164"/>
    <cellStyle name="Comma 7 2 6 2" xfId="47165"/>
    <cellStyle name="Comma 7 2 6 2 2" xfId="47166"/>
    <cellStyle name="Comma 7 2 6 2 2 2" xfId="47167"/>
    <cellStyle name="Comma 7 2 6 2 2 3" xfId="47168"/>
    <cellStyle name="Comma 7 2 6 2 3" xfId="47169"/>
    <cellStyle name="Comma 7 2 6 2 3 2" xfId="47170"/>
    <cellStyle name="Comma 7 2 6 2 3 3" xfId="47171"/>
    <cellStyle name="Comma 7 2 6 2 4" xfId="47172"/>
    <cellStyle name="Comma 7 2 6 2 4 2" xfId="47173"/>
    <cellStyle name="Comma 7 2 6 2 5" xfId="47174"/>
    <cellStyle name="Comma 7 2 6 2 6" xfId="47175"/>
    <cellStyle name="Comma 7 2 6 3" xfId="47176"/>
    <cellStyle name="Comma 7 2 6 3 2" xfId="47177"/>
    <cellStyle name="Comma 7 2 6 3 2 2" xfId="47178"/>
    <cellStyle name="Comma 7 2 6 3 2 3" xfId="47179"/>
    <cellStyle name="Comma 7 2 6 3 3" xfId="47180"/>
    <cellStyle name="Comma 7 2 6 3 3 2" xfId="47181"/>
    <cellStyle name="Comma 7 2 6 3 3 3" xfId="47182"/>
    <cellStyle name="Comma 7 2 6 3 4" xfId="47183"/>
    <cellStyle name="Comma 7 2 6 3 4 2" xfId="47184"/>
    <cellStyle name="Comma 7 2 6 3 5" xfId="47185"/>
    <cellStyle name="Comma 7 2 6 3 6" xfId="47186"/>
    <cellStyle name="Comma 7 2 6 4" xfId="47187"/>
    <cellStyle name="Comma 7 2 6 4 2" xfId="47188"/>
    <cellStyle name="Comma 7 2 6 4 2 2" xfId="47189"/>
    <cellStyle name="Comma 7 2 6 4 2 3" xfId="47190"/>
    <cellStyle name="Comma 7 2 6 4 3" xfId="47191"/>
    <cellStyle name="Comma 7 2 6 4 3 2" xfId="47192"/>
    <cellStyle name="Comma 7 2 6 4 4" xfId="47193"/>
    <cellStyle name="Comma 7 2 6 4 5" xfId="47194"/>
    <cellStyle name="Comma 7 2 6 5" xfId="47195"/>
    <cellStyle name="Comma 7 2 6 5 2" xfId="47196"/>
    <cellStyle name="Comma 7 2 6 5 3" xfId="47197"/>
    <cellStyle name="Comma 7 2 6 6" xfId="47198"/>
    <cellStyle name="Comma 7 2 6 6 2" xfId="47199"/>
    <cellStyle name="Comma 7 2 6 6 3" xfId="47200"/>
    <cellStyle name="Comma 7 2 6 7" xfId="47201"/>
    <cellStyle name="Comma 7 2 6 7 2" xfId="47202"/>
    <cellStyle name="Comma 7 2 6 8" xfId="47203"/>
    <cellStyle name="Comma 7 2 6 9" xfId="47204"/>
    <cellStyle name="Comma 7 2 7" xfId="47205"/>
    <cellStyle name="Comma 7 2 7 2" xfId="47206"/>
    <cellStyle name="Comma 7 2 7 2 2" xfId="47207"/>
    <cellStyle name="Comma 7 2 7 2 3" xfId="47208"/>
    <cellStyle name="Comma 7 2 7 3" xfId="47209"/>
    <cellStyle name="Comma 7 2 7 3 2" xfId="47210"/>
    <cellStyle name="Comma 7 2 7 3 3" xfId="47211"/>
    <cellStyle name="Comma 7 2 7 4" xfId="47212"/>
    <cellStyle name="Comma 7 2 7 4 2" xfId="47213"/>
    <cellStyle name="Comma 7 2 7 5" xfId="47214"/>
    <cellStyle name="Comma 7 2 7 6" xfId="47215"/>
    <cellStyle name="Comma 7 2 8" xfId="47216"/>
    <cellStyle name="Comma 7 2 8 2" xfId="47217"/>
    <cellStyle name="Comma 7 2 8 2 2" xfId="47218"/>
    <cellStyle name="Comma 7 2 8 2 3" xfId="47219"/>
    <cellStyle name="Comma 7 2 8 3" xfId="47220"/>
    <cellStyle name="Comma 7 2 8 3 2" xfId="47221"/>
    <cellStyle name="Comma 7 2 8 3 3" xfId="47222"/>
    <cellStyle name="Comma 7 2 8 4" xfId="47223"/>
    <cellStyle name="Comma 7 2 8 4 2" xfId="47224"/>
    <cellStyle name="Comma 7 2 8 5" xfId="47225"/>
    <cellStyle name="Comma 7 2 8 6" xfId="47226"/>
    <cellStyle name="Comma 7 2 9" xfId="47227"/>
    <cellStyle name="Comma 7 2 9 2" xfId="47228"/>
    <cellStyle name="Comma 7 2 9 2 2" xfId="47229"/>
    <cellStyle name="Comma 7 2 9 2 3" xfId="47230"/>
    <cellStyle name="Comma 7 2 9 3" xfId="47231"/>
    <cellStyle name="Comma 7 2 9 3 2" xfId="47232"/>
    <cellStyle name="Comma 7 2 9 4" xfId="47233"/>
    <cellStyle name="Comma 7 2 9 5" xfId="47234"/>
    <cellStyle name="Comma 7 3" xfId="3715"/>
    <cellStyle name="Comma 7 3 10" xfId="47235"/>
    <cellStyle name="Comma 7 3 10 2" xfId="47236"/>
    <cellStyle name="Comma 7 3 10 3" xfId="47237"/>
    <cellStyle name="Comma 7 3 11" xfId="47238"/>
    <cellStyle name="Comma 7 3 11 2" xfId="47239"/>
    <cellStyle name="Comma 7 3 12" xfId="47240"/>
    <cellStyle name="Comma 7 3 13" xfId="47241"/>
    <cellStyle name="Comma 7 3 14" xfId="47242"/>
    <cellStyle name="Comma 7 3 2" xfId="3716"/>
    <cellStyle name="Comma 7 3 2 10" xfId="47243"/>
    <cellStyle name="Comma 7 3 2 10 2" xfId="47244"/>
    <cellStyle name="Comma 7 3 2 11" xfId="47245"/>
    <cellStyle name="Comma 7 3 2 12" xfId="47246"/>
    <cellStyle name="Comma 7 3 2 2" xfId="9105"/>
    <cellStyle name="Comma 7 3 2 2 10" xfId="47247"/>
    <cellStyle name="Comma 7 3 2 2 2" xfId="9106"/>
    <cellStyle name="Comma 7 3 2 2 2 2" xfId="47248"/>
    <cellStyle name="Comma 7 3 2 2 2 2 2" xfId="47249"/>
    <cellStyle name="Comma 7 3 2 2 2 2 2 2" xfId="47250"/>
    <cellStyle name="Comma 7 3 2 2 2 2 2 3" xfId="47251"/>
    <cellStyle name="Comma 7 3 2 2 2 2 3" xfId="47252"/>
    <cellStyle name="Comma 7 3 2 2 2 2 3 2" xfId="47253"/>
    <cellStyle name="Comma 7 3 2 2 2 2 3 3" xfId="47254"/>
    <cellStyle name="Comma 7 3 2 2 2 2 4" xfId="47255"/>
    <cellStyle name="Comma 7 3 2 2 2 2 4 2" xfId="47256"/>
    <cellStyle name="Comma 7 3 2 2 2 2 5" xfId="47257"/>
    <cellStyle name="Comma 7 3 2 2 2 2 6" xfId="47258"/>
    <cellStyle name="Comma 7 3 2 2 2 3" xfId="47259"/>
    <cellStyle name="Comma 7 3 2 2 2 3 2" xfId="47260"/>
    <cellStyle name="Comma 7 3 2 2 2 3 2 2" xfId="47261"/>
    <cellStyle name="Comma 7 3 2 2 2 3 2 3" xfId="47262"/>
    <cellStyle name="Comma 7 3 2 2 2 3 3" xfId="47263"/>
    <cellStyle name="Comma 7 3 2 2 2 3 3 2" xfId="47264"/>
    <cellStyle name="Comma 7 3 2 2 2 3 3 3" xfId="47265"/>
    <cellStyle name="Comma 7 3 2 2 2 3 4" xfId="47266"/>
    <cellStyle name="Comma 7 3 2 2 2 3 4 2" xfId="47267"/>
    <cellStyle name="Comma 7 3 2 2 2 3 5" xfId="47268"/>
    <cellStyle name="Comma 7 3 2 2 2 3 6" xfId="47269"/>
    <cellStyle name="Comma 7 3 2 2 2 4" xfId="47270"/>
    <cellStyle name="Comma 7 3 2 2 2 4 2" xfId="47271"/>
    <cellStyle name="Comma 7 3 2 2 2 4 2 2" xfId="47272"/>
    <cellStyle name="Comma 7 3 2 2 2 4 2 3" xfId="47273"/>
    <cellStyle name="Comma 7 3 2 2 2 4 3" xfId="47274"/>
    <cellStyle name="Comma 7 3 2 2 2 4 3 2" xfId="47275"/>
    <cellStyle name="Comma 7 3 2 2 2 4 4" xfId="47276"/>
    <cellStyle name="Comma 7 3 2 2 2 4 5" xfId="47277"/>
    <cellStyle name="Comma 7 3 2 2 2 5" xfId="47278"/>
    <cellStyle name="Comma 7 3 2 2 2 5 2" xfId="47279"/>
    <cellStyle name="Comma 7 3 2 2 2 5 3" xfId="47280"/>
    <cellStyle name="Comma 7 3 2 2 2 6" xfId="47281"/>
    <cellStyle name="Comma 7 3 2 2 2 6 2" xfId="47282"/>
    <cellStyle name="Comma 7 3 2 2 2 6 3" xfId="47283"/>
    <cellStyle name="Comma 7 3 2 2 2 7" xfId="47284"/>
    <cellStyle name="Comma 7 3 2 2 2 7 2" xfId="47285"/>
    <cellStyle name="Comma 7 3 2 2 2 8" xfId="47286"/>
    <cellStyle name="Comma 7 3 2 2 2 9" xfId="47287"/>
    <cellStyle name="Comma 7 3 2 2 3" xfId="47288"/>
    <cellStyle name="Comma 7 3 2 2 3 2" xfId="47289"/>
    <cellStyle name="Comma 7 3 2 2 3 2 2" xfId="47290"/>
    <cellStyle name="Comma 7 3 2 2 3 2 3" xfId="47291"/>
    <cellStyle name="Comma 7 3 2 2 3 3" xfId="47292"/>
    <cellStyle name="Comma 7 3 2 2 3 3 2" xfId="47293"/>
    <cellStyle name="Comma 7 3 2 2 3 3 3" xfId="47294"/>
    <cellStyle name="Comma 7 3 2 2 3 4" xfId="47295"/>
    <cellStyle name="Comma 7 3 2 2 3 4 2" xfId="47296"/>
    <cellStyle name="Comma 7 3 2 2 3 5" xfId="47297"/>
    <cellStyle name="Comma 7 3 2 2 3 6" xfId="47298"/>
    <cellStyle name="Comma 7 3 2 2 4" xfId="47299"/>
    <cellStyle name="Comma 7 3 2 2 4 2" xfId="47300"/>
    <cellStyle name="Comma 7 3 2 2 4 2 2" xfId="47301"/>
    <cellStyle name="Comma 7 3 2 2 4 2 3" xfId="47302"/>
    <cellStyle name="Comma 7 3 2 2 4 3" xfId="47303"/>
    <cellStyle name="Comma 7 3 2 2 4 3 2" xfId="47304"/>
    <cellStyle name="Comma 7 3 2 2 4 3 3" xfId="47305"/>
    <cellStyle name="Comma 7 3 2 2 4 4" xfId="47306"/>
    <cellStyle name="Comma 7 3 2 2 4 4 2" xfId="47307"/>
    <cellStyle name="Comma 7 3 2 2 4 5" xfId="47308"/>
    <cellStyle name="Comma 7 3 2 2 4 6" xfId="47309"/>
    <cellStyle name="Comma 7 3 2 2 5" xfId="47310"/>
    <cellStyle name="Comma 7 3 2 2 5 2" xfId="47311"/>
    <cellStyle name="Comma 7 3 2 2 5 2 2" xfId="47312"/>
    <cellStyle name="Comma 7 3 2 2 5 2 3" xfId="47313"/>
    <cellStyle name="Comma 7 3 2 2 5 3" xfId="47314"/>
    <cellStyle name="Comma 7 3 2 2 5 3 2" xfId="47315"/>
    <cellStyle name="Comma 7 3 2 2 5 4" xfId="47316"/>
    <cellStyle name="Comma 7 3 2 2 5 5" xfId="47317"/>
    <cellStyle name="Comma 7 3 2 2 6" xfId="47318"/>
    <cellStyle name="Comma 7 3 2 2 6 2" xfId="47319"/>
    <cellStyle name="Comma 7 3 2 2 6 3" xfId="47320"/>
    <cellStyle name="Comma 7 3 2 2 7" xfId="47321"/>
    <cellStyle name="Comma 7 3 2 2 7 2" xfId="47322"/>
    <cellStyle name="Comma 7 3 2 2 7 3" xfId="47323"/>
    <cellStyle name="Comma 7 3 2 2 8" xfId="47324"/>
    <cellStyle name="Comma 7 3 2 2 8 2" xfId="47325"/>
    <cellStyle name="Comma 7 3 2 2 9" xfId="47326"/>
    <cellStyle name="Comma 7 3 2 3" xfId="9107"/>
    <cellStyle name="Comma 7 3 2 3 2" xfId="47327"/>
    <cellStyle name="Comma 7 3 2 3 2 2" xfId="47328"/>
    <cellStyle name="Comma 7 3 2 3 2 2 2" xfId="47329"/>
    <cellStyle name="Comma 7 3 2 3 2 2 3" xfId="47330"/>
    <cellStyle name="Comma 7 3 2 3 2 3" xfId="47331"/>
    <cellStyle name="Comma 7 3 2 3 2 3 2" xfId="47332"/>
    <cellStyle name="Comma 7 3 2 3 2 3 3" xfId="47333"/>
    <cellStyle name="Comma 7 3 2 3 2 4" xfId="47334"/>
    <cellStyle name="Comma 7 3 2 3 2 4 2" xfId="47335"/>
    <cellStyle name="Comma 7 3 2 3 2 5" xfId="47336"/>
    <cellStyle name="Comma 7 3 2 3 2 6" xfId="47337"/>
    <cellStyle name="Comma 7 3 2 3 3" xfId="47338"/>
    <cellStyle name="Comma 7 3 2 3 3 2" xfId="47339"/>
    <cellStyle name="Comma 7 3 2 3 3 2 2" xfId="47340"/>
    <cellStyle name="Comma 7 3 2 3 3 2 3" xfId="47341"/>
    <cellStyle name="Comma 7 3 2 3 3 3" xfId="47342"/>
    <cellStyle name="Comma 7 3 2 3 3 3 2" xfId="47343"/>
    <cellStyle name="Comma 7 3 2 3 3 3 3" xfId="47344"/>
    <cellStyle name="Comma 7 3 2 3 3 4" xfId="47345"/>
    <cellStyle name="Comma 7 3 2 3 3 4 2" xfId="47346"/>
    <cellStyle name="Comma 7 3 2 3 3 5" xfId="47347"/>
    <cellStyle name="Comma 7 3 2 3 3 6" xfId="47348"/>
    <cellStyle name="Comma 7 3 2 3 4" xfId="47349"/>
    <cellStyle name="Comma 7 3 2 3 4 2" xfId="47350"/>
    <cellStyle name="Comma 7 3 2 3 4 2 2" xfId="47351"/>
    <cellStyle name="Comma 7 3 2 3 4 2 3" xfId="47352"/>
    <cellStyle name="Comma 7 3 2 3 4 3" xfId="47353"/>
    <cellStyle name="Comma 7 3 2 3 4 3 2" xfId="47354"/>
    <cellStyle name="Comma 7 3 2 3 4 4" xfId="47355"/>
    <cellStyle name="Comma 7 3 2 3 4 5" xfId="47356"/>
    <cellStyle name="Comma 7 3 2 3 5" xfId="47357"/>
    <cellStyle name="Comma 7 3 2 3 5 2" xfId="47358"/>
    <cellStyle name="Comma 7 3 2 3 5 3" xfId="47359"/>
    <cellStyle name="Comma 7 3 2 3 6" xfId="47360"/>
    <cellStyle name="Comma 7 3 2 3 6 2" xfId="47361"/>
    <cellStyle name="Comma 7 3 2 3 6 3" xfId="47362"/>
    <cellStyle name="Comma 7 3 2 3 7" xfId="47363"/>
    <cellStyle name="Comma 7 3 2 3 7 2" xfId="47364"/>
    <cellStyle name="Comma 7 3 2 3 8" xfId="47365"/>
    <cellStyle name="Comma 7 3 2 3 9" xfId="47366"/>
    <cellStyle name="Comma 7 3 2 4" xfId="9108"/>
    <cellStyle name="Comma 7 3 2 4 2" xfId="47367"/>
    <cellStyle name="Comma 7 3 2 4 2 2" xfId="47368"/>
    <cellStyle name="Comma 7 3 2 4 2 2 2" xfId="47369"/>
    <cellStyle name="Comma 7 3 2 4 2 2 3" xfId="47370"/>
    <cellStyle name="Comma 7 3 2 4 2 3" xfId="47371"/>
    <cellStyle name="Comma 7 3 2 4 2 3 2" xfId="47372"/>
    <cellStyle name="Comma 7 3 2 4 2 3 3" xfId="47373"/>
    <cellStyle name="Comma 7 3 2 4 2 4" xfId="47374"/>
    <cellStyle name="Comma 7 3 2 4 2 4 2" xfId="47375"/>
    <cellStyle name="Comma 7 3 2 4 2 5" xfId="47376"/>
    <cellStyle name="Comma 7 3 2 4 2 6" xfId="47377"/>
    <cellStyle name="Comma 7 3 2 4 3" xfId="47378"/>
    <cellStyle name="Comma 7 3 2 4 3 2" xfId="47379"/>
    <cellStyle name="Comma 7 3 2 4 3 2 2" xfId="47380"/>
    <cellStyle name="Comma 7 3 2 4 3 2 3" xfId="47381"/>
    <cellStyle name="Comma 7 3 2 4 3 3" xfId="47382"/>
    <cellStyle name="Comma 7 3 2 4 3 3 2" xfId="47383"/>
    <cellStyle name="Comma 7 3 2 4 3 3 3" xfId="47384"/>
    <cellStyle name="Comma 7 3 2 4 3 4" xfId="47385"/>
    <cellStyle name="Comma 7 3 2 4 3 4 2" xfId="47386"/>
    <cellStyle name="Comma 7 3 2 4 3 5" xfId="47387"/>
    <cellStyle name="Comma 7 3 2 4 3 6" xfId="47388"/>
    <cellStyle name="Comma 7 3 2 4 4" xfId="47389"/>
    <cellStyle name="Comma 7 3 2 4 4 2" xfId="47390"/>
    <cellStyle name="Comma 7 3 2 4 4 2 2" xfId="47391"/>
    <cellStyle name="Comma 7 3 2 4 4 2 3" xfId="47392"/>
    <cellStyle name="Comma 7 3 2 4 4 3" xfId="47393"/>
    <cellStyle name="Comma 7 3 2 4 4 3 2" xfId="47394"/>
    <cellStyle name="Comma 7 3 2 4 4 4" xfId="47395"/>
    <cellStyle name="Comma 7 3 2 4 4 5" xfId="47396"/>
    <cellStyle name="Comma 7 3 2 4 5" xfId="47397"/>
    <cellStyle name="Comma 7 3 2 4 5 2" xfId="47398"/>
    <cellStyle name="Comma 7 3 2 4 5 3" xfId="47399"/>
    <cellStyle name="Comma 7 3 2 4 6" xfId="47400"/>
    <cellStyle name="Comma 7 3 2 4 6 2" xfId="47401"/>
    <cellStyle name="Comma 7 3 2 4 6 3" xfId="47402"/>
    <cellStyle name="Comma 7 3 2 4 7" xfId="47403"/>
    <cellStyle name="Comma 7 3 2 4 7 2" xfId="47404"/>
    <cellStyle name="Comma 7 3 2 4 8" xfId="47405"/>
    <cellStyle name="Comma 7 3 2 4 9" xfId="47406"/>
    <cellStyle name="Comma 7 3 2 5" xfId="47407"/>
    <cellStyle name="Comma 7 3 2 5 2" xfId="47408"/>
    <cellStyle name="Comma 7 3 2 5 2 2" xfId="47409"/>
    <cellStyle name="Comma 7 3 2 5 2 3" xfId="47410"/>
    <cellStyle name="Comma 7 3 2 5 3" xfId="47411"/>
    <cellStyle name="Comma 7 3 2 5 3 2" xfId="47412"/>
    <cellStyle name="Comma 7 3 2 5 3 3" xfId="47413"/>
    <cellStyle name="Comma 7 3 2 5 4" xfId="47414"/>
    <cellStyle name="Comma 7 3 2 5 4 2" xfId="47415"/>
    <cellStyle name="Comma 7 3 2 5 5" xfId="47416"/>
    <cellStyle name="Comma 7 3 2 5 6" xfId="47417"/>
    <cellStyle name="Comma 7 3 2 6" xfId="47418"/>
    <cellStyle name="Comma 7 3 2 6 2" xfId="47419"/>
    <cellStyle name="Comma 7 3 2 6 2 2" xfId="47420"/>
    <cellStyle name="Comma 7 3 2 6 2 3" xfId="47421"/>
    <cellStyle name="Comma 7 3 2 6 3" xfId="47422"/>
    <cellStyle name="Comma 7 3 2 6 3 2" xfId="47423"/>
    <cellStyle name="Comma 7 3 2 6 3 3" xfId="47424"/>
    <cellStyle name="Comma 7 3 2 6 4" xfId="47425"/>
    <cellStyle name="Comma 7 3 2 6 4 2" xfId="47426"/>
    <cellStyle name="Comma 7 3 2 6 5" xfId="47427"/>
    <cellStyle name="Comma 7 3 2 6 6" xfId="47428"/>
    <cellStyle name="Comma 7 3 2 7" xfId="47429"/>
    <cellStyle name="Comma 7 3 2 7 2" xfId="47430"/>
    <cellStyle name="Comma 7 3 2 7 2 2" xfId="47431"/>
    <cellStyle name="Comma 7 3 2 7 2 3" xfId="47432"/>
    <cellStyle name="Comma 7 3 2 7 3" xfId="47433"/>
    <cellStyle name="Comma 7 3 2 7 3 2" xfId="47434"/>
    <cellStyle name="Comma 7 3 2 7 4" xfId="47435"/>
    <cellStyle name="Comma 7 3 2 7 5" xfId="47436"/>
    <cellStyle name="Comma 7 3 2 8" xfId="47437"/>
    <cellStyle name="Comma 7 3 2 8 2" xfId="47438"/>
    <cellStyle name="Comma 7 3 2 8 3" xfId="47439"/>
    <cellStyle name="Comma 7 3 2 9" xfId="47440"/>
    <cellStyle name="Comma 7 3 2 9 2" xfId="47441"/>
    <cellStyle name="Comma 7 3 2 9 3" xfId="47442"/>
    <cellStyle name="Comma 7 3 3" xfId="9109"/>
    <cellStyle name="Comma 7 3 3 10" xfId="47443"/>
    <cellStyle name="Comma 7 3 3 2" xfId="9110"/>
    <cellStyle name="Comma 7 3 3 2 2" xfId="47444"/>
    <cellStyle name="Comma 7 3 3 2 2 2" xfId="47445"/>
    <cellStyle name="Comma 7 3 3 2 2 2 2" xfId="47446"/>
    <cellStyle name="Comma 7 3 3 2 2 2 3" xfId="47447"/>
    <cellStyle name="Comma 7 3 3 2 2 3" xfId="47448"/>
    <cellStyle name="Comma 7 3 3 2 2 3 2" xfId="47449"/>
    <cellStyle name="Comma 7 3 3 2 2 3 3" xfId="47450"/>
    <cellStyle name="Comma 7 3 3 2 2 4" xfId="47451"/>
    <cellStyle name="Comma 7 3 3 2 2 4 2" xfId="47452"/>
    <cellStyle name="Comma 7 3 3 2 2 5" xfId="47453"/>
    <cellStyle name="Comma 7 3 3 2 2 6" xfId="47454"/>
    <cellStyle name="Comma 7 3 3 2 3" xfId="47455"/>
    <cellStyle name="Comma 7 3 3 2 3 2" xfId="47456"/>
    <cellStyle name="Comma 7 3 3 2 3 2 2" xfId="47457"/>
    <cellStyle name="Comma 7 3 3 2 3 2 3" xfId="47458"/>
    <cellStyle name="Comma 7 3 3 2 3 3" xfId="47459"/>
    <cellStyle name="Comma 7 3 3 2 3 3 2" xfId="47460"/>
    <cellStyle name="Comma 7 3 3 2 3 3 3" xfId="47461"/>
    <cellStyle name="Comma 7 3 3 2 3 4" xfId="47462"/>
    <cellStyle name="Comma 7 3 3 2 3 4 2" xfId="47463"/>
    <cellStyle name="Comma 7 3 3 2 3 5" xfId="47464"/>
    <cellStyle name="Comma 7 3 3 2 3 6" xfId="47465"/>
    <cellStyle name="Comma 7 3 3 2 4" xfId="47466"/>
    <cellStyle name="Comma 7 3 3 2 4 2" xfId="47467"/>
    <cellStyle name="Comma 7 3 3 2 4 2 2" xfId="47468"/>
    <cellStyle name="Comma 7 3 3 2 4 2 3" xfId="47469"/>
    <cellStyle name="Comma 7 3 3 2 4 3" xfId="47470"/>
    <cellStyle name="Comma 7 3 3 2 4 3 2" xfId="47471"/>
    <cellStyle name="Comma 7 3 3 2 4 4" xfId="47472"/>
    <cellStyle name="Comma 7 3 3 2 4 5" xfId="47473"/>
    <cellStyle name="Comma 7 3 3 2 5" xfId="47474"/>
    <cellStyle name="Comma 7 3 3 2 5 2" xfId="47475"/>
    <cellStyle name="Comma 7 3 3 2 5 3" xfId="47476"/>
    <cellStyle name="Comma 7 3 3 2 6" xfId="47477"/>
    <cellStyle name="Comma 7 3 3 2 6 2" xfId="47478"/>
    <cellStyle name="Comma 7 3 3 2 6 3" xfId="47479"/>
    <cellStyle name="Comma 7 3 3 2 7" xfId="47480"/>
    <cellStyle name="Comma 7 3 3 2 7 2" xfId="47481"/>
    <cellStyle name="Comma 7 3 3 2 8" xfId="47482"/>
    <cellStyle name="Comma 7 3 3 2 9" xfId="47483"/>
    <cellStyle name="Comma 7 3 3 3" xfId="47484"/>
    <cellStyle name="Comma 7 3 3 3 2" xfId="47485"/>
    <cellStyle name="Comma 7 3 3 3 2 2" xfId="47486"/>
    <cellStyle name="Comma 7 3 3 3 2 3" xfId="47487"/>
    <cellStyle name="Comma 7 3 3 3 3" xfId="47488"/>
    <cellStyle name="Comma 7 3 3 3 3 2" xfId="47489"/>
    <cellStyle name="Comma 7 3 3 3 3 3" xfId="47490"/>
    <cellStyle name="Comma 7 3 3 3 4" xfId="47491"/>
    <cellStyle name="Comma 7 3 3 3 4 2" xfId="47492"/>
    <cellStyle name="Comma 7 3 3 3 5" xfId="47493"/>
    <cellStyle name="Comma 7 3 3 3 6" xfId="47494"/>
    <cellStyle name="Comma 7 3 3 4" xfId="47495"/>
    <cellStyle name="Comma 7 3 3 4 2" xfId="47496"/>
    <cellStyle name="Comma 7 3 3 4 2 2" xfId="47497"/>
    <cellStyle name="Comma 7 3 3 4 2 3" xfId="47498"/>
    <cellStyle name="Comma 7 3 3 4 3" xfId="47499"/>
    <cellStyle name="Comma 7 3 3 4 3 2" xfId="47500"/>
    <cellStyle name="Comma 7 3 3 4 3 3" xfId="47501"/>
    <cellStyle name="Comma 7 3 3 4 4" xfId="47502"/>
    <cellStyle name="Comma 7 3 3 4 4 2" xfId="47503"/>
    <cellStyle name="Comma 7 3 3 4 5" xfId="47504"/>
    <cellStyle name="Comma 7 3 3 4 6" xfId="47505"/>
    <cellStyle name="Comma 7 3 3 5" xfId="47506"/>
    <cellStyle name="Comma 7 3 3 5 2" xfId="47507"/>
    <cellStyle name="Comma 7 3 3 5 2 2" xfId="47508"/>
    <cellStyle name="Comma 7 3 3 5 2 3" xfId="47509"/>
    <cellStyle name="Comma 7 3 3 5 3" xfId="47510"/>
    <cellStyle name="Comma 7 3 3 5 3 2" xfId="47511"/>
    <cellStyle name="Comma 7 3 3 5 4" xfId="47512"/>
    <cellStyle name="Comma 7 3 3 5 5" xfId="47513"/>
    <cellStyle name="Comma 7 3 3 6" xfId="47514"/>
    <cellStyle name="Comma 7 3 3 6 2" xfId="47515"/>
    <cellStyle name="Comma 7 3 3 6 3" xfId="47516"/>
    <cellStyle name="Comma 7 3 3 7" xfId="47517"/>
    <cellStyle name="Comma 7 3 3 7 2" xfId="47518"/>
    <cellStyle name="Comma 7 3 3 7 3" xfId="47519"/>
    <cellStyle name="Comma 7 3 3 8" xfId="47520"/>
    <cellStyle name="Comma 7 3 3 8 2" xfId="47521"/>
    <cellStyle name="Comma 7 3 3 9" xfId="47522"/>
    <cellStyle name="Comma 7 3 4" xfId="9111"/>
    <cellStyle name="Comma 7 3 4 2" xfId="47523"/>
    <cellStyle name="Comma 7 3 4 2 2" xfId="47524"/>
    <cellStyle name="Comma 7 3 4 2 2 2" xfId="47525"/>
    <cellStyle name="Comma 7 3 4 2 2 3" xfId="47526"/>
    <cellStyle name="Comma 7 3 4 2 3" xfId="47527"/>
    <cellStyle name="Comma 7 3 4 2 3 2" xfId="47528"/>
    <cellStyle name="Comma 7 3 4 2 3 3" xfId="47529"/>
    <cellStyle name="Comma 7 3 4 2 4" xfId="47530"/>
    <cellStyle name="Comma 7 3 4 2 4 2" xfId="47531"/>
    <cellStyle name="Comma 7 3 4 2 5" xfId="47532"/>
    <cellStyle name="Comma 7 3 4 2 6" xfId="47533"/>
    <cellStyle name="Comma 7 3 4 3" xfId="47534"/>
    <cellStyle name="Comma 7 3 4 3 2" xfId="47535"/>
    <cellStyle name="Comma 7 3 4 3 2 2" xfId="47536"/>
    <cellStyle name="Comma 7 3 4 3 2 3" xfId="47537"/>
    <cellStyle name="Comma 7 3 4 3 3" xfId="47538"/>
    <cellStyle name="Comma 7 3 4 3 3 2" xfId="47539"/>
    <cellStyle name="Comma 7 3 4 3 3 3" xfId="47540"/>
    <cellStyle name="Comma 7 3 4 3 4" xfId="47541"/>
    <cellStyle name="Comma 7 3 4 3 4 2" xfId="47542"/>
    <cellStyle name="Comma 7 3 4 3 5" xfId="47543"/>
    <cellStyle name="Comma 7 3 4 3 6" xfId="47544"/>
    <cellStyle name="Comma 7 3 4 4" xfId="47545"/>
    <cellStyle name="Comma 7 3 4 4 2" xfId="47546"/>
    <cellStyle name="Comma 7 3 4 4 2 2" xfId="47547"/>
    <cellStyle name="Comma 7 3 4 4 2 3" xfId="47548"/>
    <cellStyle name="Comma 7 3 4 4 3" xfId="47549"/>
    <cellStyle name="Comma 7 3 4 4 3 2" xfId="47550"/>
    <cellStyle name="Comma 7 3 4 4 4" xfId="47551"/>
    <cellStyle name="Comma 7 3 4 4 5" xfId="47552"/>
    <cellStyle name="Comma 7 3 4 5" xfId="47553"/>
    <cellStyle name="Comma 7 3 4 5 2" xfId="47554"/>
    <cellStyle name="Comma 7 3 4 5 3" xfId="47555"/>
    <cellStyle name="Comma 7 3 4 6" xfId="47556"/>
    <cellStyle name="Comma 7 3 4 6 2" xfId="47557"/>
    <cellStyle name="Comma 7 3 4 6 3" xfId="47558"/>
    <cellStyle name="Comma 7 3 4 7" xfId="47559"/>
    <cellStyle name="Comma 7 3 4 7 2" xfId="47560"/>
    <cellStyle name="Comma 7 3 4 8" xfId="47561"/>
    <cellStyle name="Comma 7 3 4 9" xfId="47562"/>
    <cellStyle name="Comma 7 3 5" xfId="9112"/>
    <cellStyle name="Comma 7 3 5 2" xfId="47563"/>
    <cellStyle name="Comma 7 3 5 2 2" xfId="47564"/>
    <cellStyle name="Comma 7 3 5 2 2 2" xfId="47565"/>
    <cellStyle name="Comma 7 3 5 2 2 3" xfId="47566"/>
    <cellStyle name="Comma 7 3 5 2 3" xfId="47567"/>
    <cellStyle name="Comma 7 3 5 2 3 2" xfId="47568"/>
    <cellStyle name="Comma 7 3 5 2 3 3" xfId="47569"/>
    <cellStyle name="Comma 7 3 5 2 4" xfId="47570"/>
    <cellStyle name="Comma 7 3 5 2 4 2" xfId="47571"/>
    <cellStyle name="Comma 7 3 5 2 5" xfId="47572"/>
    <cellStyle name="Comma 7 3 5 2 6" xfId="47573"/>
    <cellStyle name="Comma 7 3 5 3" xfId="47574"/>
    <cellStyle name="Comma 7 3 5 3 2" xfId="47575"/>
    <cellStyle name="Comma 7 3 5 3 2 2" xfId="47576"/>
    <cellStyle name="Comma 7 3 5 3 2 3" xfId="47577"/>
    <cellStyle name="Comma 7 3 5 3 3" xfId="47578"/>
    <cellStyle name="Comma 7 3 5 3 3 2" xfId="47579"/>
    <cellStyle name="Comma 7 3 5 3 3 3" xfId="47580"/>
    <cellStyle name="Comma 7 3 5 3 4" xfId="47581"/>
    <cellStyle name="Comma 7 3 5 3 4 2" xfId="47582"/>
    <cellStyle name="Comma 7 3 5 3 5" xfId="47583"/>
    <cellStyle name="Comma 7 3 5 3 6" xfId="47584"/>
    <cellStyle name="Comma 7 3 5 4" xfId="47585"/>
    <cellStyle name="Comma 7 3 5 4 2" xfId="47586"/>
    <cellStyle name="Comma 7 3 5 4 2 2" xfId="47587"/>
    <cellStyle name="Comma 7 3 5 4 2 3" xfId="47588"/>
    <cellStyle name="Comma 7 3 5 4 3" xfId="47589"/>
    <cellStyle name="Comma 7 3 5 4 3 2" xfId="47590"/>
    <cellStyle name="Comma 7 3 5 4 4" xfId="47591"/>
    <cellStyle name="Comma 7 3 5 4 5" xfId="47592"/>
    <cellStyle name="Comma 7 3 5 5" xfId="47593"/>
    <cellStyle name="Comma 7 3 5 5 2" xfId="47594"/>
    <cellStyle name="Comma 7 3 5 5 3" xfId="47595"/>
    <cellStyle name="Comma 7 3 5 6" xfId="47596"/>
    <cellStyle name="Comma 7 3 5 6 2" xfId="47597"/>
    <cellStyle name="Comma 7 3 5 6 3" xfId="47598"/>
    <cellStyle name="Comma 7 3 5 7" xfId="47599"/>
    <cellStyle name="Comma 7 3 5 7 2" xfId="47600"/>
    <cellStyle name="Comma 7 3 5 8" xfId="47601"/>
    <cellStyle name="Comma 7 3 5 9" xfId="47602"/>
    <cellStyle name="Comma 7 3 6" xfId="47603"/>
    <cellStyle name="Comma 7 3 6 2" xfId="47604"/>
    <cellStyle name="Comma 7 3 6 2 2" xfId="47605"/>
    <cellStyle name="Comma 7 3 6 2 3" xfId="47606"/>
    <cellStyle name="Comma 7 3 6 3" xfId="47607"/>
    <cellStyle name="Comma 7 3 6 3 2" xfId="47608"/>
    <cellStyle name="Comma 7 3 6 3 3" xfId="47609"/>
    <cellStyle name="Comma 7 3 6 4" xfId="47610"/>
    <cellStyle name="Comma 7 3 6 4 2" xfId="47611"/>
    <cellStyle name="Comma 7 3 6 5" xfId="47612"/>
    <cellStyle name="Comma 7 3 6 6" xfId="47613"/>
    <cellStyle name="Comma 7 3 7" xfId="47614"/>
    <cellStyle name="Comma 7 3 7 2" xfId="47615"/>
    <cellStyle name="Comma 7 3 7 2 2" xfId="47616"/>
    <cellStyle name="Comma 7 3 7 2 3" xfId="47617"/>
    <cellStyle name="Comma 7 3 7 3" xfId="47618"/>
    <cellStyle name="Comma 7 3 7 3 2" xfId="47619"/>
    <cellStyle name="Comma 7 3 7 3 3" xfId="47620"/>
    <cellStyle name="Comma 7 3 7 4" xfId="47621"/>
    <cellStyle name="Comma 7 3 7 4 2" xfId="47622"/>
    <cellStyle name="Comma 7 3 7 5" xfId="47623"/>
    <cellStyle name="Comma 7 3 7 6" xfId="47624"/>
    <cellStyle name="Comma 7 3 8" xfId="47625"/>
    <cellStyle name="Comma 7 3 8 2" xfId="47626"/>
    <cellStyle name="Comma 7 3 8 2 2" xfId="47627"/>
    <cellStyle name="Comma 7 3 8 2 3" xfId="47628"/>
    <cellStyle name="Comma 7 3 8 3" xfId="47629"/>
    <cellStyle name="Comma 7 3 8 3 2" xfId="47630"/>
    <cellStyle name="Comma 7 3 8 4" xfId="47631"/>
    <cellStyle name="Comma 7 3 8 5" xfId="47632"/>
    <cellStyle name="Comma 7 3 9" xfId="47633"/>
    <cellStyle name="Comma 7 3 9 2" xfId="47634"/>
    <cellStyle name="Comma 7 3 9 3" xfId="47635"/>
    <cellStyle name="Comma 7 4" xfId="3717"/>
    <cellStyle name="Comma 7 4 10" xfId="47636"/>
    <cellStyle name="Comma 7 4 10 2" xfId="47637"/>
    <cellStyle name="Comma 7 4 11" xfId="47638"/>
    <cellStyle name="Comma 7 4 12" xfId="47639"/>
    <cellStyle name="Comma 7 4 2" xfId="3718"/>
    <cellStyle name="Comma 7 4 2 10" xfId="47640"/>
    <cellStyle name="Comma 7 4 2 2" xfId="9113"/>
    <cellStyle name="Comma 7 4 2 2 2" xfId="9114"/>
    <cellStyle name="Comma 7 4 2 2 2 2" xfId="47641"/>
    <cellStyle name="Comma 7 4 2 2 2 2 2" xfId="47642"/>
    <cellStyle name="Comma 7 4 2 2 2 2 3" xfId="47643"/>
    <cellStyle name="Comma 7 4 2 2 2 3" xfId="47644"/>
    <cellStyle name="Comma 7 4 2 2 2 3 2" xfId="47645"/>
    <cellStyle name="Comma 7 4 2 2 2 3 3" xfId="47646"/>
    <cellStyle name="Comma 7 4 2 2 2 4" xfId="47647"/>
    <cellStyle name="Comma 7 4 2 2 2 4 2" xfId="47648"/>
    <cellStyle name="Comma 7 4 2 2 2 5" xfId="47649"/>
    <cellStyle name="Comma 7 4 2 2 2 6" xfId="47650"/>
    <cellStyle name="Comma 7 4 2 2 3" xfId="47651"/>
    <cellStyle name="Comma 7 4 2 2 3 2" xfId="47652"/>
    <cellStyle name="Comma 7 4 2 2 3 2 2" xfId="47653"/>
    <cellStyle name="Comma 7 4 2 2 3 2 3" xfId="47654"/>
    <cellStyle name="Comma 7 4 2 2 3 3" xfId="47655"/>
    <cellStyle name="Comma 7 4 2 2 3 3 2" xfId="47656"/>
    <cellStyle name="Comma 7 4 2 2 3 3 3" xfId="47657"/>
    <cellStyle name="Comma 7 4 2 2 3 4" xfId="47658"/>
    <cellStyle name="Comma 7 4 2 2 3 4 2" xfId="47659"/>
    <cellStyle name="Comma 7 4 2 2 3 5" xfId="47660"/>
    <cellStyle name="Comma 7 4 2 2 3 6" xfId="47661"/>
    <cellStyle name="Comma 7 4 2 2 4" xfId="47662"/>
    <cellStyle name="Comma 7 4 2 2 4 2" xfId="47663"/>
    <cellStyle name="Comma 7 4 2 2 4 2 2" xfId="47664"/>
    <cellStyle name="Comma 7 4 2 2 4 2 3" xfId="47665"/>
    <cellStyle name="Comma 7 4 2 2 4 3" xfId="47666"/>
    <cellStyle name="Comma 7 4 2 2 4 3 2" xfId="47667"/>
    <cellStyle name="Comma 7 4 2 2 4 4" xfId="47668"/>
    <cellStyle name="Comma 7 4 2 2 4 5" xfId="47669"/>
    <cellStyle name="Comma 7 4 2 2 5" xfId="47670"/>
    <cellStyle name="Comma 7 4 2 2 5 2" xfId="47671"/>
    <cellStyle name="Comma 7 4 2 2 5 3" xfId="47672"/>
    <cellStyle name="Comma 7 4 2 2 6" xfId="47673"/>
    <cellStyle name="Comma 7 4 2 2 6 2" xfId="47674"/>
    <cellStyle name="Comma 7 4 2 2 6 3" xfId="47675"/>
    <cellStyle name="Comma 7 4 2 2 7" xfId="47676"/>
    <cellStyle name="Comma 7 4 2 2 7 2" xfId="47677"/>
    <cellStyle name="Comma 7 4 2 2 8" xfId="47678"/>
    <cellStyle name="Comma 7 4 2 2 9" xfId="47679"/>
    <cellStyle name="Comma 7 4 2 3" xfId="9115"/>
    <cellStyle name="Comma 7 4 2 3 2" xfId="47680"/>
    <cellStyle name="Comma 7 4 2 3 2 2" xfId="47681"/>
    <cellStyle name="Comma 7 4 2 3 2 3" xfId="47682"/>
    <cellStyle name="Comma 7 4 2 3 3" xfId="47683"/>
    <cellStyle name="Comma 7 4 2 3 3 2" xfId="47684"/>
    <cellStyle name="Comma 7 4 2 3 3 3" xfId="47685"/>
    <cellStyle name="Comma 7 4 2 3 4" xfId="47686"/>
    <cellStyle name="Comma 7 4 2 3 4 2" xfId="47687"/>
    <cellStyle name="Comma 7 4 2 3 5" xfId="47688"/>
    <cellStyle name="Comma 7 4 2 3 6" xfId="47689"/>
    <cellStyle name="Comma 7 4 2 4" xfId="9116"/>
    <cellStyle name="Comma 7 4 2 4 2" xfId="47690"/>
    <cellStyle name="Comma 7 4 2 4 2 2" xfId="47691"/>
    <cellStyle name="Comma 7 4 2 4 2 3" xfId="47692"/>
    <cellStyle name="Comma 7 4 2 4 3" xfId="47693"/>
    <cellStyle name="Comma 7 4 2 4 3 2" xfId="47694"/>
    <cellStyle name="Comma 7 4 2 4 3 3" xfId="47695"/>
    <cellStyle name="Comma 7 4 2 4 4" xfId="47696"/>
    <cellStyle name="Comma 7 4 2 4 4 2" xfId="47697"/>
    <cellStyle name="Comma 7 4 2 4 5" xfId="47698"/>
    <cellStyle name="Comma 7 4 2 4 6" xfId="47699"/>
    <cellStyle name="Comma 7 4 2 5" xfId="47700"/>
    <cellStyle name="Comma 7 4 2 5 2" xfId="47701"/>
    <cellStyle name="Comma 7 4 2 5 2 2" xfId="47702"/>
    <cellStyle name="Comma 7 4 2 5 2 3" xfId="47703"/>
    <cellStyle name="Comma 7 4 2 5 3" xfId="47704"/>
    <cellStyle name="Comma 7 4 2 5 3 2" xfId="47705"/>
    <cellStyle name="Comma 7 4 2 5 4" xfId="47706"/>
    <cellStyle name="Comma 7 4 2 5 5" xfId="47707"/>
    <cellStyle name="Comma 7 4 2 6" xfId="47708"/>
    <cellStyle name="Comma 7 4 2 6 2" xfId="47709"/>
    <cellStyle name="Comma 7 4 2 6 3" xfId="47710"/>
    <cellStyle name="Comma 7 4 2 7" xfId="47711"/>
    <cellStyle name="Comma 7 4 2 7 2" xfId="47712"/>
    <cellStyle name="Comma 7 4 2 7 3" xfId="47713"/>
    <cellStyle name="Comma 7 4 2 8" xfId="47714"/>
    <cellStyle name="Comma 7 4 2 8 2" xfId="47715"/>
    <cellStyle name="Comma 7 4 2 9" xfId="47716"/>
    <cellStyle name="Comma 7 4 3" xfId="9117"/>
    <cellStyle name="Comma 7 4 3 2" xfId="9118"/>
    <cellStyle name="Comma 7 4 3 2 2" xfId="47717"/>
    <cellStyle name="Comma 7 4 3 2 2 2" xfId="47718"/>
    <cellStyle name="Comma 7 4 3 2 2 3" xfId="47719"/>
    <cellStyle name="Comma 7 4 3 2 3" xfId="47720"/>
    <cellStyle name="Comma 7 4 3 2 3 2" xfId="47721"/>
    <cellStyle name="Comma 7 4 3 2 3 3" xfId="47722"/>
    <cellStyle name="Comma 7 4 3 2 4" xfId="47723"/>
    <cellStyle name="Comma 7 4 3 2 4 2" xfId="47724"/>
    <cellStyle name="Comma 7 4 3 2 5" xfId="47725"/>
    <cellStyle name="Comma 7 4 3 2 6" xfId="47726"/>
    <cellStyle name="Comma 7 4 3 3" xfId="47727"/>
    <cellStyle name="Comma 7 4 3 3 2" xfId="47728"/>
    <cellStyle name="Comma 7 4 3 3 2 2" xfId="47729"/>
    <cellStyle name="Comma 7 4 3 3 2 3" xfId="47730"/>
    <cellStyle name="Comma 7 4 3 3 3" xfId="47731"/>
    <cellStyle name="Comma 7 4 3 3 3 2" xfId="47732"/>
    <cellStyle name="Comma 7 4 3 3 3 3" xfId="47733"/>
    <cellStyle name="Comma 7 4 3 3 4" xfId="47734"/>
    <cellStyle name="Comma 7 4 3 3 4 2" xfId="47735"/>
    <cellStyle name="Comma 7 4 3 3 5" xfId="47736"/>
    <cellStyle name="Comma 7 4 3 3 6" xfId="47737"/>
    <cellStyle name="Comma 7 4 3 4" xfId="47738"/>
    <cellStyle name="Comma 7 4 3 4 2" xfId="47739"/>
    <cellStyle name="Comma 7 4 3 4 2 2" xfId="47740"/>
    <cellStyle name="Comma 7 4 3 4 2 3" xfId="47741"/>
    <cellStyle name="Comma 7 4 3 4 3" xfId="47742"/>
    <cellStyle name="Comma 7 4 3 4 3 2" xfId="47743"/>
    <cellStyle name="Comma 7 4 3 4 4" xfId="47744"/>
    <cellStyle name="Comma 7 4 3 4 5" xfId="47745"/>
    <cellStyle name="Comma 7 4 3 5" xfId="47746"/>
    <cellStyle name="Comma 7 4 3 5 2" xfId="47747"/>
    <cellStyle name="Comma 7 4 3 5 3" xfId="47748"/>
    <cellStyle name="Comma 7 4 3 6" xfId="47749"/>
    <cellStyle name="Comma 7 4 3 6 2" xfId="47750"/>
    <cellStyle name="Comma 7 4 3 6 3" xfId="47751"/>
    <cellStyle name="Comma 7 4 3 7" xfId="47752"/>
    <cellStyle name="Comma 7 4 3 7 2" xfId="47753"/>
    <cellStyle name="Comma 7 4 3 8" xfId="47754"/>
    <cellStyle name="Comma 7 4 3 9" xfId="47755"/>
    <cellStyle name="Comma 7 4 4" xfId="9119"/>
    <cellStyle name="Comma 7 4 4 2" xfId="47756"/>
    <cellStyle name="Comma 7 4 4 2 2" xfId="47757"/>
    <cellStyle name="Comma 7 4 4 2 2 2" xfId="47758"/>
    <cellStyle name="Comma 7 4 4 2 2 3" xfId="47759"/>
    <cellStyle name="Comma 7 4 4 2 3" xfId="47760"/>
    <cellStyle name="Comma 7 4 4 2 3 2" xfId="47761"/>
    <cellStyle name="Comma 7 4 4 2 3 3" xfId="47762"/>
    <cellStyle name="Comma 7 4 4 2 4" xfId="47763"/>
    <cellStyle name="Comma 7 4 4 2 4 2" xfId="47764"/>
    <cellStyle name="Comma 7 4 4 2 5" xfId="47765"/>
    <cellStyle name="Comma 7 4 4 2 6" xfId="47766"/>
    <cellStyle name="Comma 7 4 4 3" xfId="47767"/>
    <cellStyle name="Comma 7 4 4 3 2" xfId="47768"/>
    <cellStyle name="Comma 7 4 4 3 2 2" xfId="47769"/>
    <cellStyle name="Comma 7 4 4 3 2 3" xfId="47770"/>
    <cellStyle name="Comma 7 4 4 3 3" xfId="47771"/>
    <cellStyle name="Comma 7 4 4 3 3 2" xfId="47772"/>
    <cellStyle name="Comma 7 4 4 3 3 3" xfId="47773"/>
    <cellStyle name="Comma 7 4 4 3 4" xfId="47774"/>
    <cellStyle name="Comma 7 4 4 3 4 2" xfId="47775"/>
    <cellStyle name="Comma 7 4 4 3 5" xfId="47776"/>
    <cellStyle name="Comma 7 4 4 3 6" xfId="47777"/>
    <cellStyle name="Comma 7 4 4 4" xfId="47778"/>
    <cellStyle name="Comma 7 4 4 4 2" xfId="47779"/>
    <cellStyle name="Comma 7 4 4 4 2 2" xfId="47780"/>
    <cellStyle name="Comma 7 4 4 4 2 3" xfId="47781"/>
    <cellStyle name="Comma 7 4 4 4 3" xfId="47782"/>
    <cellStyle name="Comma 7 4 4 4 3 2" xfId="47783"/>
    <cellStyle name="Comma 7 4 4 4 4" xfId="47784"/>
    <cellStyle name="Comma 7 4 4 4 5" xfId="47785"/>
    <cellStyle name="Comma 7 4 4 5" xfId="47786"/>
    <cellStyle name="Comma 7 4 4 5 2" xfId="47787"/>
    <cellStyle name="Comma 7 4 4 5 3" xfId="47788"/>
    <cellStyle name="Comma 7 4 4 6" xfId="47789"/>
    <cellStyle name="Comma 7 4 4 6 2" xfId="47790"/>
    <cellStyle name="Comma 7 4 4 6 3" xfId="47791"/>
    <cellStyle name="Comma 7 4 4 7" xfId="47792"/>
    <cellStyle name="Comma 7 4 4 7 2" xfId="47793"/>
    <cellStyle name="Comma 7 4 4 8" xfId="47794"/>
    <cellStyle name="Comma 7 4 4 9" xfId="47795"/>
    <cellStyle name="Comma 7 4 5" xfId="9120"/>
    <cellStyle name="Comma 7 4 5 2" xfId="47796"/>
    <cellStyle name="Comma 7 4 5 2 2" xfId="47797"/>
    <cellStyle name="Comma 7 4 5 2 3" xfId="47798"/>
    <cellStyle name="Comma 7 4 5 3" xfId="47799"/>
    <cellStyle name="Comma 7 4 5 3 2" xfId="47800"/>
    <cellStyle name="Comma 7 4 5 3 3" xfId="47801"/>
    <cellStyle name="Comma 7 4 5 4" xfId="47802"/>
    <cellStyle name="Comma 7 4 5 4 2" xfId="47803"/>
    <cellStyle name="Comma 7 4 5 5" xfId="47804"/>
    <cellStyle name="Comma 7 4 5 6" xfId="47805"/>
    <cellStyle name="Comma 7 4 6" xfId="47806"/>
    <cellStyle name="Comma 7 4 6 2" xfId="47807"/>
    <cellStyle name="Comma 7 4 6 2 2" xfId="47808"/>
    <cellStyle name="Comma 7 4 6 2 3" xfId="47809"/>
    <cellStyle name="Comma 7 4 6 3" xfId="47810"/>
    <cellStyle name="Comma 7 4 6 3 2" xfId="47811"/>
    <cellStyle name="Comma 7 4 6 3 3" xfId="47812"/>
    <cellStyle name="Comma 7 4 6 4" xfId="47813"/>
    <cellStyle name="Comma 7 4 6 4 2" xfId="47814"/>
    <cellStyle name="Comma 7 4 6 5" xfId="47815"/>
    <cellStyle name="Comma 7 4 6 6" xfId="47816"/>
    <cellStyle name="Comma 7 4 7" xfId="47817"/>
    <cellStyle name="Comma 7 4 7 2" xfId="47818"/>
    <cellStyle name="Comma 7 4 7 2 2" xfId="47819"/>
    <cellStyle name="Comma 7 4 7 2 3" xfId="47820"/>
    <cellStyle name="Comma 7 4 7 3" xfId="47821"/>
    <cellStyle name="Comma 7 4 7 3 2" xfId="47822"/>
    <cellStyle name="Comma 7 4 7 4" xfId="47823"/>
    <cellStyle name="Comma 7 4 7 5" xfId="47824"/>
    <cellStyle name="Comma 7 4 8" xfId="47825"/>
    <cellStyle name="Comma 7 4 8 2" xfId="47826"/>
    <cellStyle name="Comma 7 4 8 3" xfId="47827"/>
    <cellStyle name="Comma 7 4 9" xfId="47828"/>
    <cellStyle name="Comma 7 4 9 2" xfId="47829"/>
    <cellStyle name="Comma 7 4 9 3" xfId="47830"/>
    <cellStyle name="Comma 7 5" xfId="3719"/>
    <cellStyle name="Comma 7 5 10" xfId="47831"/>
    <cellStyle name="Comma 7 5 2" xfId="3720"/>
    <cellStyle name="Comma 7 5 2 2" xfId="9121"/>
    <cellStyle name="Comma 7 5 2 2 2" xfId="9122"/>
    <cellStyle name="Comma 7 5 2 2 2 2" xfId="47832"/>
    <cellStyle name="Comma 7 5 2 2 2 3" xfId="47833"/>
    <cellStyle name="Comma 7 5 2 2 3" xfId="47834"/>
    <cellStyle name="Comma 7 5 2 2 3 2" xfId="47835"/>
    <cellStyle name="Comma 7 5 2 2 3 3" xfId="47836"/>
    <cellStyle name="Comma 7 5 2 2 4" xfId="47837"/>
    <cellStyle name="Comma 7 5 2 2 4 2" xfId="47838"/>
    <cellStyle name="Comma 7 5 2 2 5" xfId="47839"/>
    <cellStyle name="Comma 7 5 2 2 6" xfId="47840"/>
    <cellStyle name="Comma 7 5 2 3" xfId="9123"/>
    <cellStyle name="Comma 7 5 2 3 2" xfId="47841"/>
    <cellStyle name="Comma 7 5 2 3 2 2" xfId="47842"/>
    <cellStyle name="Comma 7 5 2 3 2 3" xfId="47843"/>
    <cellStyle name="Comma 7 5 2 3 3" xfId="47844"/>
    <cellStyle name="Comma 7 5 2 3 3 2" xfId="47845"/>
    <cellStyle name="Comma 7 5 2 3 3 3" xfId="47846"/>
    <cellStyle name="Comma 7 5 2 3 4" xfId="47847"/>
    <cellStyle name="Comma 7 5 2 3 4 2" xfId="47848"/>
    <cellStyle name="Comma 7 5 2 3 5" xfId="47849"/>
    <cellStyle name="Comma 7 5 2 3 6" xfId="47850"/>
    <cellStyle name="Comma 7 5 2 4" xfId="9124"/>
    <cellStyle name="Comma 7 5 2 4 2" xfId="47851"/>
    <cellStyle name="Comma 7 5 2 4 2 2" xfId="47852"/>
    <cellStyle name="Comma 7 5 2 4 2 3" xfId="47853"/>
    <cellStyle name="Comma 7 5 2 4 3" xfId="47854"/>
    <cellStyle name="Comma 7 5 2 4 3 2" xfId="47855"/>
    <cellStyle name="Comma 7 5 2 4 4" xfId="47856"/>
    <cellStyle name="Comma 7 5 2 4 5" xfId="47857"/>
    <cellStyle name="Comma 7 5 2 5" xfId="47858"/>
    <cellStyle name="Comma 7 5 2 5 2" xfId="47859"/>
    <cellStyle name="Comma 7 5 2 5 3" xfId="47860"/>
    <cellStyle name="Comma 7 5 2 6" xfId="47861"/>
    <cellStyle name="Comma 7 5 2 6 2" xfId="47862"/>
    <cellStyle name="Comma 7 5 2 6 3" xfId="47863"/>
    <cellStyle name="Comma 7 5 2 7" xfId="47864"/>
    <cellStyle name="Comma 7 5 2 7 2" xfId="47865"/>
    <cellStyle name="Comma 7 5 2 8" xfId="47866"/>
    <cellStyle name="Comma 7 5 2 9" xfId="47867"/>
    <cellStyle name="Comma 7 5 3" xfId="9125"/>
    <cellStyle name="Comma 7 5 3 2" xfId="9126"/>
    <cellStyle name="Comma 7 5 3 2 2" xfId="47868"/>
    <cellStyle name="Comma 7 5 3 2 3" xfId="47869"/>
    <cellStyle name="Comma 7 5 3 3" xfId="47870"/>
    <cellStyle name="Comma 7 5 3 3 2" xfId="47871"/>
    <cellStyle name="Comma 7 5 3 3 3" xfId="47872"/>
    <cellStyle name="Comma 7 5 3 4" xfId="47873"/>
    <cellStyle name="Comma 7 5 3 4 2" xfId="47874"/>
    <cellStyle name="Comma 7 5 3 5" xfId="47875"/>
    <cellStyle name="Comma 7 5 3 6" xfId="47876"/>
    <cellStyle name="Comma 7 5 4" xfId="9127"/>
    <cellStyle name="Comma 7 5 4 2" xfId="47877"/>
    <cellStyle name="Comma 7 5 4 2 2" xfId="47878"/>
    <cellStyle name="Comma 7 5 4 2 3" xfId="47879"/>
    <cellStyle name="Comma 7 5 4 3" xfId="47880"/>
    <cellStyle name="Comma 7 5 4 3 2" xfId="47881"/>
    <cellStyle name="Comma 7 5 4 3 3" xfId="47882"/>
    <cellStyle name="Comma 7 5 4 4" xfId="47883"/>
    <cellStyle name="Comma 7 5 4 4 2" xfId="47884"/>
    <cellStyle name="Comma 7 5 4 5" xfId="47885"/>
    <cellStyle name="Comma 7 5 4 6" xfId="47886"/>
    <cellStyle name="Comma 7 5 5" xfId="9128"/>
    <cellStyle name="Comma 7 5 5 2" xfId="47887"/>
    <cellStyle name="Comma 7 5 5 2 2" xfId="47888"/>
    <cellStyle name="Comma 7 5 5 2 3" xfId="47889"/>
    <cellStyle name="Comma 7 5 5 3" xfId="47890"/>
    <cellStyle name="Comma 7 5 5 3 2" xfId="47891"/>
    <cellStyle name="Comma 7 5 5 4" xfId="47892"/>
    <cellStyle name="Comma 7 5 5 5" xfId="47893"/>
    <cellStyle name="Comma 7 5 6" xfId="47894"/>
    <cellStyle name="Comma 7 5 6 2" xfId="47895"/>
    <cellStyle name="Comma 7 5 6 3" xfId="47896"/>
    <cellStyle name="Comma 7 5 7" xfId="47897"/>
    <cellStyle name="Comma 7 5 7 2" xfId="47898"/>
    <cellStyle name="Comma 7 5 7 3" xfId="47899"/>
    <cellStyle name="Comma 7 5 8" xfId="47900"/>
    <cellStyle name="Comma 7 5 8 2" xfId="47901"/>
    <cellStyle name="Comma 7 5 9" xfId="47902"/>
    <cellStyle name="Comma 7 6" xfId="3721"/>
    <cellStyle name="Comma 7 6 2" xfId="3722"/>
    <cellStyle name="Comma 7 6 2 2" xfId="9129"/>
    <cellStyle name="Comma 7 6 2 2 2" xfId="9130"/>
    <cellStyle name="Comma 7 6 2 2 3" xfId="47903"/>
    <cellStyle name="Comma 7 6 2 3" xfId="9131"/>
    <cellStyle name="Comma 7 6 2 3 2" xfId="47904"/>
    <cellStyle name="Comma 7 6 2 3 3" xfId="47905"/>
    <cellStyle name="Comma 7 6 2 4" xfId="9132"/>
    <cellStyle name="Comma 7 6 2 4 2" xfId="47906"/>
    <cellStyle name="Comma 7 6 2 5" xfId="47907"/>
    <cellStyle name="Comma 7 6 2 6" xfId="47908"/>
    <cellStyle name="Comma 7 6 3" xfId="9133"/>
    <cellStyle name="Comma 7 6 3 2" xfId="9134"/>
    <cellStyle name="Comma 7 6 3 2 2" xfId="47909"/>
    <cellStyle name="Comma 7 6 3 2 3" xfId="47910"/>
    <cellStyle name="Comma 7 6 3 3" xfId="47911"/>
    <cellStyle name="Comma 7 6 3 3 2" xfId="47912"/>
    <cellStyle name="Comma 7 6 3 3 3" xfId="47913"/>
    <cellStyle name="Comma 7 6 3 4" xfId="47914"/>
    <cellStyle name="Comma 7 6 3 4 2" xfId="47915"/>
    <cellStyle name="Comma 7 6 3 5" xfId="47916"/>
    <cellStyle name="Comma 7 6 3 6" xfId="47917"/>
    <cellStyle name="Comma 7 6 4" xfId="9135"/>
    <cellStyle name="Comma 7 6 4 2" xfId="47918"/>
    <cellStyle name="Comma 7 6 4 2 2" xfId="47919"/>
    <cellStyle name="Comma 7 6 4 2 3" xfId="47920"/>
    <cellStyle name="Comma 7 6 4 3" xfId="47921"/>
    <cellStyle name="Comma 7 6 4 3 2" xfId="47922"/>
    <cellStyle name="Comma 7 6 4 4" xfId="47923"/>
    <cellStyle name="Comma 7 6 4 5" xfId="47924"/>
    <cellStyle name="Comma 7 6 5" xfId="9136"/>
    <cellStyle name="Comma 7 6 5 2" xfId="47925"/>
    <cellStyle name="Comma 7 6 5 3" xfId="47926"/>
    <cellStyle name="Comma 7 6 6" xfId="47927"/>
    <cellStyle name="Comma 7 6 6 2" xfId="47928"/>
    <cellStyle name="Comma 7 6 6 3" xfId="47929"/>
    <cellStyle name="Comma 7 6 7" xfId="47930"/>
    <cellStyle name="Comma 7 6 7 2" xfId="47931"/>
    <cellStyle name="Comma 7 6 8" xfId="47932"/>
    <cellStyle name="Comma 7 6 9" xfId="47933"/>
    <cellStyle name="Comma 7 7" xfId="3723"/>
    <cellStyle name="Comma 7 7 2" xfId="9137"/>
    <cellStyle name="Comma 7 7 2 2" xfId="9138"/>
    <cellStyle name="Comma 7 7 2 2 2" xfId="47934"/>
    <cellStyle name="Comma 7 7 2 2 3" xfId="47935"/>
    <cellStyle name="Comma 7 7 2 3" xfId="47936"/>
    <cellStyle name="Comma 7 7 2 3 2" xfId="47937"/>
    <cellStyle name="Comma 7 7 2 3 3" xfId="47938"/>
    <cellStyle name="Comma 7 7 2 4" xfId="47939"/>
    <cellStyle name="Comma 7 7 2 4 2" xfId="47940"/>
    <cellStyle name="Comma 7 7 2 5" xfId="47941"/>
    <cellStyle name="Comma 7 7 2 6" xfId="47942"/>
    <cellStyle name="Comma 7 7 3" xfId="9139"/>
    <cellStyle name="Comma 7 7 3 2" xfId="47943"/>
    <cellStyle name="Comma 7 7 3 2 2" xfId="47944"/>
    <cellStyle name="Comma 7 7 3 2 3" xfId="47945"/>
    <cellStyle name="Comma 7 7 3 3" xfId="47946"/>
    <cellStyle name="Comma 7 7 3 3 2" xfId="47947"/>
    <cellStyle name="Comma 7 7 3 3 3" xfId="47948"/>
    <cellStyle name="Comma 7 7 3 4" xfId="47949"/>
    <cellStyle name="Comma 7 7 3 4 2" xfId="47950"/>
    <cellStyle name="Comma 7 7 3 5" xfId="47951"/>
    <cellStyle name="Comma 7 7 3 6" xfId="47952"/>
    <cellStyle name="Comma 7 7 4" xfId="9140"/>
    <cellStyle name="Comma 7 7 4 2" xfId="47953"/>
    <cellStyle name="Comma 7 7 4 2 2" xfId="47954"/>
    <cellStyle name="Comma 7 7 4 2 3" xfId="47955"/>
    <cellStyle name="Comma 7 7 4 3" xfId="47956"/>
    <cellStyle name="Comma 7 7 4 3 2" xfId="47957"/>
    <cellStyle name="Comma 7 7 4 4" xfId="47958"/>
    <cellStyle name="Comma 7 7 4 5" xfId="47959"/>
    <cellStyle name="Comma 7 7 5" xfId="47960"/>
    <cellStyle name="Comma 7 7 5 2" xfId="47961"/>
    <cellStyle name="Comma 7 7 5 3" xfId="47962"/>
    <cellStyle name="Comma 7 7 6" xfId="47963"/>
    <cellStyle name="Comma 7 7 6 2" xfId="47964"/>
    <cellStyle name="Comma 7 7 6 3" xfId="47965"/>
    <cellStyle name="Comma 7 7 7" xfId="47966"/>
    <cellStyle name="Comma 7 7 7 2" xfId="47967"/>
    <cellStyle name="Comma 7 7 8" xfId="47968"/>
    <cellStyle name="Comma 7 7 9" xfId="47969"/>
    <cellStyle name="Comma 7 8" xfId="3724"/>
    <cellStyle name="Comma 7 8 2" xfId="9141"/>
    <cellStyle name="Comma 7 8 2 2" xfId="47970"/>
    <cellStyle name="Comma 7 8 2 3" xfId="47971"/>
    <cellStyle name="Comma 7 8 3" xfId="9142"/>
    <cellStyle name="Comma 7 8 3 2" xfId="47972"/>
    <cellStyle name="Comma 7 8 3 3" xfId="47973"/>
    <cellStyle name="Comma 7 8 4" xfId="47974"/>
    <cellStyle name="Comma 7 8 4 2" xfId="47975"/>
    <cellStyle name="Comma 7 8 5" xfId="47976"/>
    <cellStyle name="Comma 7 8 6" xfId="47977"/>
    <cellStyle name="Comma 7 9" xfId="9143"/>
    <cellStyle name="Comma 7 9 2" xfId="47978"/>
    <cellStyle name="Comma 7 9 2 2" xfId="47979"/>
    <cellStyle name="Comma 7 9 2 3" xfId="47980"/>
    <cellStyle name="Comma 7 9 3" xfId="47981"/>
    <cellStyle name="Comma 7 9 3 2" xfId="47982"/>
    <cellStyle name="Comma 7 9 3 3" xfId="47983"/>
    <cellStyle name="Comma 7 9 4" xfId="47984"/>
    <cellStyle name="Comma 7 9 4 2" xfId="47985"/>
    <cellStyle name="Comma 7 9 5" xfId="47986"/>
    <cellStyle name="Comma 7 9 6" xfId="47987"/>
    <cellStyle name="Comma 70" xfId="3725"/>
    <cellStyle name="Comma 71" xfId="3726"/>
    <cellStyle name="Comma 71 2" xfId="3727"/>
    <cellStyle name="Comma 72" xfId="3728"/>
    <cellStyle name="Comma 73" xfId="3729"/>
    <cellStyle name="Comma 73 2" xfId="3730"/>
    <cellStyle name="Comma 73 3" xfId="3731"/>
    <cellStyle name="Comma 74" xfId="3732"/>
    <cellStyle name="Comma 74 2" xfId="3733"/>
    <cellStyle name="Comma 74 3" xfId="3734"/>
    <cellStyle name="Comma 75" xfId="3735"/>
    <cellStyle name="Comma 76" xfId="3736"/>
    <cellStyle name="Comma 77" xfId="3737"/>
    <cellStyle name="Comma 78" xfId="3738"/>
    <cellStyle name="Comma 79" xfId="3739"/>
    <cellStyle name="Comma 8" xfId="3740"/>
    <cellStyle name="Comma 8 10" xfId="47988"/>
    <cellStyle name="Comma 8 10 2" xfId="47989"/>
    <cellStyle name="Comma 8 10 2 2" xfId="47990"/>
    <cellStyle name="Comma 8 10 2 3" xfId="47991"/>
    <cellStyle name="Comma 8 10 3" xfId="47992"/>
    <cellStyle name="Comma 8 10 3 2" xfId="47993"/>
    <cellStyle name="Comma 8 10 4" xfId="47994"/>
    <cellStyle name="Comma 8 10 5" xfId="47995"/>
    <cellStyle name="Comma 8 11" xfId="47996"/>
    <cellStyle name="Comma 8 11 2" xfId="47997"/>
    <cellStyle name="Comma 8 11 3" xfId="47998"/>
    <cellStyle name="Comma 8 12" xfId="47999"/>
    <cellStyle name="Comma 8 12 2" xfId="48000"/>
    <cellStyle name="Comma 8 12 3" xfId="48001"/>
    <cellStyle name="Comma 8 13" xfId="48002"/>
    <cellStyle name="Comma 8 13 2" xfId="48003"/>
    <cellStyle name="Comma 8 14" xfId="48004"/>
    <cellStyle name="Comma 8 15" xfId="48005"/>
    <cellStyle name="Comma 8 16" xfId="48006"/>
    <cellStyle name="Comma 8 2" xfId="3741"/>
    <cellStyle name="Comma 8 2 10" xfId="48007"/>
    <cellStyle name="Comma 8 2 10 2" xfId="48008"/>
    <cellStyle name="Comma 8 2 10 3" xfId="48009"/>
    <cellStyle name="Comma 8 2 11" xfId="48010"/>
    <cellStyle name="Comma 8 2 11 2" xfId="48011"/>
    <cellStyle name="Comma 8 2 11 3" xfId="48012"/>
    <cellStyle name="Comma 8 2 12" xfId="48013"/>
    <cellStyle name="Comma 8 2 12 2" xfId="48014"/>
    <cellStyle name="Comma 8 2 13" xfId="48015"/>
    <cellStyle name="Comma 8 2 14" xfId="48016"/>
    <cellStyle name="Comma 8 2 15" xfId="48017"/>
    <cellStyle name="Comma 8 2 2" xfId="3742"/>
    <cellStyle name="Comma 8 2 2 10" xfId="48018"/>
    <cellStyle name="Comma 8 2 2 10 2" xfId="48019"/>
    <cellStyle name="Comma 8 2 2 10 3" xfId="48020"/>
    <cellStyle name="Comma 8 2 2 11" xfId="48021"/>
    <cellStyle name="Comma 8 2 2 11 2" xfId="48022"/>
    <cellStyle name="Comma 8 2 2 12" xfId="48023"/>
    <cellStyle name="Comma 8 2 2 13" xfId="48024"/>
    <cellStyle name="Comma 8 2 2 14" xfId="48025"/>
    <cellStyle name="Comma 8 2 2 2" xfId="9144"/>
    <cellStyle name="Comma 8 2 2 2 10" xfId="48026"/>
    <cellStyle name="Comma 8 2 2 2 10 2" xfId="48027"/>
    <cellStyle name="Comma 8 2 2 2 11" xfId="48028"/>
    <cellStyle name="Comma 8 2 2 2 12" xfId="48029"/>
    <cellStyle name="Comma 8 2 2 2 13" xfId="48030"/>
    <cellStyle name="Comma 8 2 2 2 2" xfId="48031"/>
    <cellStyle name="Comma 8 2 2 2 2 10" xfId="48032"/>
    <cellStyle name="Comma 8 2 2 2 2 2" xfId="48033"/>
    <cellStyle name="Comma 8 2 2 2 2 2 2" xfId="48034"/>
    <cellStyle name="Comma 8 2 2 2 2 2 2 2" xfId="48035"/>
    <cellStyle name="Comma 8 2 2 2 2 2 2 2 2" xfId="48036"/>
    <cellStyle name="Comma 8 2 2 2 2 2 2 2 3" xfId="48037"/>
    <cellStyle name="Comma 8 2 2 2 2 2 2 3" xfId="48038"/>
    <cellStyle name="Comma 8 2 2 2 2 2 2 3 2" xfId="48039"/>
    <cellStyle name="Comma 8 2 2 2 2 2 2 3 3" xfId="48040"/>
    <cellStyle name="Comma 8 2 2 2 2 2 2 4" xfId="48041"/>
    <cellStyle name="Comma 8 2 2 2 2 2 2 4 2" xfId="48042"/>
    <cellStyle name="Comma 8 2 2 2 2 2 2 5" xfId="48043"/>
    <cellStyle name="Comma 8 2 2 2 2 2 2 6" xfId="48044"/>
    <cellStyle name="Comma 8 2 2 2 2 2 3" xfId="48045"/>
    <cellStyle name="Comma 8 2 2 2 2 2 3 2" xfId="48046"/>
    <cellStyle name="Comma 8 2 2 2 2 2 3 2 2" xfId="48047"/>
    <cellStyle name="Comma 8 2 2 2 2 2 3 2 3" xfId="48048"/>
    <cellStyle name="Comma 8 2 2 2 2 2 3 3" xfId="48049"/>
    <cellStyle name="Comma 8 2 2 2 2 2 3 3 2" xfId="48050"/>
    <cellStyle name="Comma 8 2 2 2 2 2 3 3 3" xfId="48051"/>
    <cellStyle name="Comma 8 2 2 2 2 2 3 4" xfId="48052"/>
    <cellStyle name="Comma 8 2 2 2 2 2 3 4 2" xfId="48053"/>
    <cellStyle name="Comma 8 2 2 2 2 2 3 5" xfId="48054"/>
    <cellStyle name="Comma 8 2 2 2 2 2 3 6" xfId="48055"/>
    <cellStyle name="Comma 8 2 2 2 2 2 4" xfId="48056"/>
    <cellStyle name="Comma 8 2 2 2 2 2 4 2" xfId="48057"/>
    <cellStyle name="Comma 8 2 2 2 2 2 4 2 2" xfId="48058"/>
    <cellStyle name="Comma 8 2 2 2 2 2 4 2 3" xfId="48059"/>
    <cellStyle name="Comma 8 2 2 2 2 2 4 3" xfId="48060"/>
    <cellStyle name="Comma 8 2 2 2 2 2 4 3 2" xfId="48061"/>
    <cellStyle name="Comma 8 2 2 2 2 2 4 4" xfId="48062"/>
    <cellStyle name="Comma 8 2 2 2 2 2 4 5" xfId="48063"/>
    <cellStyle name="Comma 8 2 2 2 2 2 5" xfId="48064"/>
    <cellStyle name="Comma 8 2 2 2 2 2 5 2" xfId="48065"/>
    <cellStyle name="Comma 8 2 2 2 2 2 5 3" xfId="48066"/>
    <cellStyle name="Comma 8 2 2 2 2 2 6" xfId="48067"/>
    <cellStyle name="Comma 8 2 2 2 2 2 6 2" xfId="48068"/>
    <cellStyle name="Comma 8 2 2 2 2 2 6 3" xfId="48069"/>
    <cellStyle name="Comma 8 2 2 2 2 2 7" xfId="48070"/>
    <cellStyle name="Comma 8 2 2 2 2 2 7 2" xfId="48071"/>
    <cellStyle name="Comma 8 2 2 2 2 2 8" xfId="48072"/>
    <cellStyle name="Comma 8 2 2 2 2 2 9" xfId="48073"/>
    <cellStyle name="Comma 8 2 2 2 2 3" xfId="48074"/>
    <cellStyle name="Comma 8 2 2 2 2 3 2" xfId="48075"/>
    <cellStyle name="Comma 8 2 2 2 2 3 2 2" xfId="48076"/>
    <cellStyle name="Comma 8 2 2 2 2 3 2 3" xfId="48077"/>
    <cellStyle name="Comma 8 2 2 2 2 3 3" xfId="48078"/>
    <cellStyle name="Comma 8 2 2 2 2 3 3 2" xfId="48079"/>
    <cellStyle name="Comma 8 2 2 2 2 3 3 3" xfId="48080"/>
    <cellStyle name="Comma 8 2 2 2 2 3 4" xfId="48081"/>
    <cellStyle name="Comma 8 2 2 2 2 3 4 2" xfId="48082"/>
    <cellStyle name="Comma 8 2 2 2 2 3 5" xfId="48083"/>
    <cellStyle name="Comma 8 2 2 2 2 3 6" xfId="48084"/>
    <cellStyle name="Comma 8 2 2 2 2 4" xfId="48085"/>
    <cellStyle name="Comma 8 2 2 2 2 4 2" xfId="48086"/>
    <cellStyle name="Comma 8 2 2 2 2 4 2 2" xfId="48087"/>
    <cellStyle name="Comma 8 2 2 2 2 4 2 3" xfId="48088"/>
    <cellStyle name="Comma 8 2 2 2 2 4 3" xfId="48089"/>
    <cellStyle name="Comma 8 2 2 2 2 4 3 2" xfId="48090"/>
    <cellStyle name="Comma 8 2 2 2 2 4 3 3" xfId="48091"/>
    <cellStyle name="Comma 8 2 2 2 2 4 4" xfId="48092"/>
    <cellStyle name="Comma 8 2 2 2 2 4 4 2" xfId="48093"/>
    <cellStyle name="Comma 8 2 2 2 2 4 5" xfId="48094"/>
    <cellStyle name="Comma 8 2 2 2 2 4 6" xfId="48095"/>
    <cellStyle name="Comma 8 2 2 2 2 5" xfId="48096"/>
    <cellStyle name="Comma 8 2 2 2 2 5 2" xfId="48097"/>
    <cellStyle name="Comma 8 2 2 2 2 5 2 2" xfId="48098"/>
    <cellStyle name="Comma 8 2 2 2 2 5 2 3" xfId="48099"/>
    <cellStyle name="Comma 8 2 2 2 2 5 3" xfId="48100"/>
    <cellStyle name="Comma 8 2 2 2 2 5 3 2" xfId="48101"/>
    <cellStyle name="Comma 8 2 2 2 2 5 4" xfId="48102"/>
    <cellStyle name="Comma 8 2 2 2 2 5 5" xfId="48103"/>
    <cellStyle name="Comma 8 2 2 2 2 6" xfId="48104"/>
    <cellStyle name="Comma 8 2 2 2 2 6 2" xfId="48105"/>
    <cellStyle name="Comma 8 2 2 2 2 6 3" xfId="48106"/>
    <cellStyle name="Comma 8 2 2 2 2 7" xfId="48107"/>
    <cellStyle name="Comma 8 2 2 2 2 7 2" xfId="48108"/>
    <cellStyle name="Comma 8 2 2 2 2 7 3" xfId="48109"/>
    <cellStyle name="Comma 8 2 2 2 2 8" xfId="48110"/>
    <cellStyle name="Comma 8 2 2 2 2 8 2" xfId="48111"/>
    <cellStyle name="Comma 8 2 2 2 2 9" xfId="48112"/>
    <cellStyle name="Comma 8 2 2 2 3" xfId="48113"/>
    <cellStyle name="Comma 8 2 2 2 3 2" xfId="48114"/>
    <cellStyle name="Comma 8 2 2 2 3 2 2" xfId="48115"/>
    <cellStyle name="Comma 8 2 2 2 3 2 2 2" xfId="48116"/>
    <cellStyle name="Comma 8 2 2 2 3 2 2 3" xfId="48117"/>
    <cellStyle name="Comma 8 2 2 2 3 2 3" xfId="48118"/>
    <cellStyle name="Comma 8 2 2 2 3 2 3 2" xfId="48119"/>
    <cellStyle name="Comma 8 2 2 2 3 2 3 3" xfId="48120"/>
    <cellStyle name="Comma 8 2 2 2 3 2 4" xfId="48121"/>
    <cellStyle name="Comma 8 2 2 2 3 2 4 2" xfId="48122"/>
    <cellStyle name="Comma 8 2 2 2 3 2 5" xfId="48123"/>
    <cellStyle name="Comma 8 2 2 2 3 2 6" xfId="48124"/>
    <cellStyle name="Comma 8 2 2 2 3 3" xfId="48125"/>
    <cellStyle name="Comma 8 2 2 2 3 3 2" xfId="48126"/>
    <cellStyle name="Comma 8 2 2 2 3 3 2 2" xfId="48127"/>
    <cellStyle name="Comma 8 2 2 2 3 3 2 3" xfId="48128"/>
    <cellStyle name="Comma 8 2 2 2 3 3 3" xfId="48129"/>
    <cellStyle name="Comma 8 2 2 2 3 3 3 2" xfId="48130"/>
    <cellStyle name="Comma 8 2 2 2 3 3 3 3" xfId="48131"/>
    <cellStyle name="Comma 8 2 2 2 3 3 4" xfId="48132"/>
    <cellStyle name="Comma 8 2 2 2 3 3 4 2" xfId="48133"/>
    <cellStyle name="Comma 8 2 2 2 3 3 5" xfId="48134"/>
    <cellStyle name="Comma 8 2 2 2 3 3 6" xfId="48135"/>
    <cellStyle name="Comma 8 2 2 2 3 4" xfId="48136"/>
    <cellStyle name="Comma 8 2 2 2 3 4 2" xfId="48137"/>
    <cellStyle name="Comma 8 2 2 2 3 4 2 2" xfId="48138"/>
    <cellStyle name="Comma 8 2 2 2 3 4 2 3" xfId="48139"/>
    <cellStyle name="Comma 8 2 2 2 3 4 3" xfId="48140"/>
    <cellStyle name="Comma 8 2 2 2 3 4 3 2" xfId="48141"/>
    <cellStyle name="Comma 8 2 2 2 3 4 4" xfId="48142"/>
    <cellStyle name="Comma 8 2 2 2 3 4 5" xfId="48143"/>
    <cellStyle name="Comma 8 2 2 2 3 5" xfId="48144"/>
    <cellStyle name="Comma 8 2 2 2 3 5 2" xfId="48145"/>
    <cellStyle name="Comma 8 2 2 2 3 5 3" xfId="48146"/>
    <cellStyle name="Comma 8 2 2 2 3 6" xfId="48147"/>
    <cellStyle name="Comma 8 2 2 2 3 6 2" xfId="48148"/>
    <cellStyle name="Comma 8 2 2 2 3 6 3" xfId="48149"/>
    <cellStyle name="Comma 8 2 2 2 3 7" xfId="48150"/>
    <cellStyle name="Comma 8 2 2 2 3 7 2" xfId="48151"/>
    <cellStyle name="Comma 8 2 2 2 3 8" xfId="48152"/>
    <cellStyle name="Comma 8 2 2 2 3 9" xfId="48153"/>
    <cellStyle name="Comma 8 2 2 2 4" xfId="48154"/>
    <cellStyle name="Comma 8 2 2 2 4 2" xfId="48155"/>
    <cellStyle name="Comma 8 2 2 2 4 2 2" xfId="48156"/>
    <cellStyle name="Comma 8 2 2 2 4 2 2 2" xfId="48157"/>
    <cellStyle name="Comma 8 2 2 2 4 2 2 3" xfId="48158"/>
    <cellStyle name="Comma 8 2 2 2 4 2 3" xfId="48159"/>
    <cellStyle name="Comma 8 2 2 2 4 2 3 2" xfId="48160"/>
    <cellStyle name="Comma 8 2 2 2 4 2 3 3" xfId="48161"/>
    <cellStyle name="Comma 8 2 2 2 4 2 4" xfId="48162"/>
    <cellStyle name="Comma 8 2 2 2 4 2 4 2" xfId="48163"/>
    <cellStyle name="Comma 8 2 2 2 4 2 5" xfId="48164"/>
    <cellStyle name="Comma 8 2 2 2 4 2 6" xfId="48165"/>
    <cellStyle name="Comma 8 2 2 2 4 3" xfId="48166"/>
    <cellStyle name="Comma 8 2 2 2 4 3 2" xfId="48167"/>
    <cellStyle name="Comma 8 2 2 2 4 3 2 2" xfId="48168"/>
    <cellStyle name="Comma 8 2 2 2 4 3 2 3" xfId="48169"/>
    <cellStyle name="Comma 8 2 2 2 4 3 3" xfId="48170"/>
    <cellStyle name="Comma 8 2 2 2 4 3 3 2" xfId="48171"/>
    <cellStyle name="Comma 8 2 2 2 4 3 3 3" xfId="48172"/>
    <cellStyle name="Comma 8 2 2 2 4 3 4" xfId="48173"/>
    <cellStyle name="Comma 8 2 2 2 4 3 4 2" xfId="48174"/>
    <cellStyle name="Comma 8 2 2 2 4 3 5" xfId="48175"/>
    <cellStyle name="Comma 8 2 2 2 4 3 6" xfId="48176"/>
    <cellStyle name="Comma 8 2 2 2 4 4" xfId="48177"/>
    <cellStyle name="Comma 8 2 2 2 4 4 2" xfId="48178"/>
    <cellStyle name="Comma 8 2 2 2 4 4 2 2" xfId="48179"/>
    <cellStyle name="Comma 8 2 2 2 4 4 2 3" xfId="48180"/>
    <cellStyle name="Comma 8 2 2 2 4 4 3" xfId="48181"/>
    <cellStyle name="Comma 8 2 2 2 4 4 3 2" xfId="48182"/>
    <cellStyle name="Comma 8 2 2 2 4 4 4" xfId="48183"/>
    <cellStyle name="Comma 8 2 2 2 4 4 5" xfId="48184"/>
    <cellStyle name="Comma 8 2 2 2 4 5" xfId="48185"/>
    <cellStyle name="Comma 8 2 2 2 4 5 2" xfId="48186"/>
    <cellStyle name="Comma 8 2 2 2 4 5 3" xfId="48187"/>
    <cellStyle name="Comma 8 2 2 2 4 6" xfId="48188"/>
    <cellStyle name="Comma 8 2 2 2 4 6 2" xfId="48189"/>
    <cellStyle name="Comma 8 2 2 2 4 6 3" xfId="48190"/>
    <cellStyle name="Comma 8 2 2 2 4 7" xfId="48191"/>
    <cellStyle name="Comma 8 2 2 2 4 7 2" xfId="48192"/>
    <cellStyle name="Comma 8 2 2 2 4 8" xfId="48193"/>
    <cellStyle name="Comma 8 2 2 2 4 9" xfId="48194"/>
    <cellStyle name="Comma 8 2 2 2 5" xfId="48195"/>
    <cellStyle name="Comma 8 2 2 2 5 2" xfId="48196"/>
    <cellStyle name="Comma 8 2 2 2 5 2 2" xfId="48197"/>
    <cellStyle name="Comma 8 2 2 2 5 2 3" xfId="48198"/>
    <cellStyle name="Comma 8 2 2 2 5 3" xfId="48199"/>
    <cellStyle name="Comma 8 2 2 2 5 3 2" xfId="48200"/>
    <cellStyle name="Comma 8 2 2 2 5 3 3" xfId="48201"/>
    <cellStyle name="Comma 8 2 2 2 5 4" xfId="48202"/>
    <cellStyle name="Comma 8 2 2 2 5 4 2" xfId="48203"/>
    <cellStyle name="Comma 8 2 2 2 5 5" xfId="48204"/>
    <cellStyle name="Comma 8 2 2 2 5 6" xfId="48205"/>
    <cellStyle name="Comma 8 2 2 2 6" xfId="48206"/>
    <cellStyle name="Comma 8 2 2 2 6 2" xfId="48207"/>
    <cellStyle name="Comma 8 2 2 2 6 2 2" xfId="48208"/>
    <cellStyle name="Comma 8 2 2 2 6 2 3" xfId="48209"/>
    <cellStyle name="Comma 8 2 2 2 6 3" xfId="48210"/>
    <cellStyle name="Comma 8 2 2 2 6 3 2" xfId="48211"/>
    <cellStyle name="Comma 8 2 2 2 6 3 3" xfId="48212"/>
    <cellStyle name="Comma 8 2 2 2 6 4" xfId="48213"/>
    <cellStyle name="Comma 8 2 2 2 6 4 2" xfId="48214"/>
    <cellStyle name="Comma 8 2 2 2 6 5" xfId="48215"/>
    <cellStyle name="Comma 8 2 2 2 6 6" xfId="48216"/>
    <cellStyle name="Comma 8 2 2 2 7" xfId="48217"/>
    <cellStyle name="Comma 8 2 2 2 7 2" xfId="48218"/>
    <cellStyle name="Comma 8 2 2 2 7 2 2" xfId="48219"/>
    <cellStyle name="Comma 8 2 2 2 7 2 3" xfId="48220"/>
    <cellStyle name="Comma 8 2 2 2 7 3" xfId="48221"/>
    <cellStyle name="Comma 8 2 2 2 7 3 2" xfId="48222"/>
    <cellStyle name="Comma 8 2 2 2 7 4" xfId="48223"/>
    <cellStyle name="Comma 8 2 2 2 7 5" xfId="48224"/>
    <cellStyle name="Comma 8 2 2 2 8" xfId="48225"/>
    <cellStyle name="Comma 8 2 2 2 8 2" xfId="48226"/>
    <cellStyle name="Comma 8 2 2 2 8 3" xfId="48227"/>
    <cellStyle name="Comma 8 2 2 2 9" xfId="48228"/>
    <cellStyle name="Comma 8 2 2 2 9 2" xfId="48229"/>
    <cellStyle name="Comma 8 2 2 2 9 3" xfId="48230"/>
    <cellStyle name="Comma 8 2 2 3" xfId="9145"/>
    <cellStyle name="Comma 8 2 2 3 10" xfId="48231"/>
    <cellStyle name="Comma 8 2 2 3 2" xfId="48232"/>
    <cellStyle name="Comma 8 2 2 3 2 2" xfId="48233"/>
    <cellStyle name="Comma 8 2 2 3 2 2 2" xfId="48234"/>
    <cellStyle name="Comma 8 2 2 3 2 2 2 2" xfId="48235"/>
    <cellStyle name="Comma 8 2 2 3 2 2 2 3" xfId="48236"/>
    <cellStyle name="Comma 8 2 2 3 2 2 3" xfId="48237"/>
    <cellStyle name="Comma 8 2 2 3 2 2 3 2" xfId="48238"/>
    <cellStyle name="Comma 8 2 2 3 2 2 3 3" xfId="48239"/>
    <cellStyle name="Comma 8 2 2 3 2 2 4" xfId="48240"/>
    <cellStyle name="Comma 8 2 2 3 2 2 4 2" xfId="48241"/>
    <cellStyle name="Comma 8 2 2 3 2 2 5" xfId="48242"/>
    <cellStyle name="Comma 8 2 2 3 2 2 6" xfId="48243"/>
    <cellStyle name="Comma 8 2 2 3 2 3" xfId="48244"/>
    <cellStyle name="Comma 8 2 2 3 2 3 2" xfId="48245"/>
    <cellStyle name="Comma 8 2 2 3 2 3 2 2" xfId="48246"/>
    <cellStyle name="Comma 8 2 2 3 2 3 2 3" xfId="48247"/>
    <cellStyle name="Comma 8 2 2 3 2 3 3" xfId="48248"/>
    <cellStyle name="Comma 8 2 2 3 2 3 3 2" xfId="48249"/>
    <cellStyle name="Comma 8 2 2 3 2 3 3 3" xfId="48250"/>
    <cellStyle name="Comma 8 2 2 3 2 3 4" xfId="48251"/>
    <cellStyle name="Comma 8 2 2 3 2 3 4 2" xfId="48252"/>
    <cellStyle name="Comma 8 2 2 3 2 3 5" xfId="48253"/>
    <cellStyle name="Comma 8 2 2 3 2 3 6" xfId="48254"/>
    <cellStyle name="Comma 8 2 2 3 2 4" xfId="48255"/>
    <cellStyle name="Comma 8 2 2 3 2 4 2" xfId="48256"/>
    <cellStyle name="Comma 8 2 2 3 2 4 2 2" xfId="48257"/>
    <cellStyle name="Comma 8 2 2 3 2 4 2 3" xfId="48258"/>
    <cellStyle name="Comma 8 2 2 3 2 4 3" xfId="48259"/>
    <cellStyle name="Comma 8 2 2 3 2 4 3 2" xfId="48260"/>
    <cellStyle name="Comma 8 2 2 3 2 4 4" xfId="48261"/>
    <cellStyle name="Comma 8 2 2 3 2 4 5" xfId="48262"/>
    <cellStyle name="Comma 8 2 2 3 2 5" xfId="48263"/>
    <cellStyle name="Comma 8 2 2 3 2 5 2" xfId="48264"/>
    <cellStyle name="Comma 8 2 2 3 2 5 3" xfId="48265"/>
    <cellStyle name="Comma 8 2 2 3 2 6" xfId="48266"/>
    <cellStyle name="Comma 8 2 2 3 2 6 2" xfId="48267"/>
    <cellStyle name="Comma 8 2 2 3 2 6 3" xfId="48268"/>
    <cellStyle name="Comma 8 2 2 3 2 7" xfId="48269"/>
    <cellStyle name="Comma 8 2 2 3 2 7 2" xfId="48270"/>
    <cellStyle name="Comma 8 2 2 3 2 8" xfId="48271"/>
    <cellStyle name="Comma 8 2 2 3 2 9" xfId="48272"/>
    <cellStyle name="Comma 8 2 2 3 3" xfId="48273"/>
    <cellStyle name="Comma 8 2 2 3 3 2" xfId="48274"/>
    <cellStyle name="Comma 8 2 2 3 3 2 2" xfId="48275"/>
    <cellStyle name="Comma 8 2 2 3 3 2 3" xfId="48276"/>
    <cellStyle name="Comma 8 2 2 3 3 3" xfId="48277"/>
    <cellStyle name="Comma 8 2 2 3 3 3 2" xfId="48278"/>
    <cellStyle name="Comma 8 2 2 3 3 3 3" xfId="48279"/>
    <cellStyle name="Comma 8 2 2 3 3 4" xfId="48280"/>
    <cellStyle name="Comma 8 2 2 3 3 4 2" xfId="48281"/>
    <cellStyle name="Comma 8 2 2 3 3 5" xfId="48282"/>
    <cellStyle name="Comma 8 2 2 3 3 6" xfId="48283"/>
    <cellStyle name="Comma 8 2 2 3 4" xfId="48284"/>
    <cellStyle name="Comma 8 2 2 3 4 2" xfId="48285"/>
    <cellStyle name="Comma 8 2 2 3 4 2 2" xfId="48286"/>
    <cellStyle name="Comma 8 2 2 3 4 2 3" xfId="48287"/>
    <cellStyle name="Comma 8 2 2 3 4 3" xfId="48288"/>
    <cellStyle name="Comma 8 2 2 3 4 3 2" xfId="48289"/>
    <cellStyle name="Comma 8 2 2 3 4 3 3" xfId="48290"/>
    <cellStyle name="Comma 8 2 2 3 4 4" xfId="48291"/>
    <cellStyle name="Comma 8 2 2 3 4 4 2" xfId="48292"/>
    <cellStyle name="Comma 8 2 2 3 4 5" xfId="48293"/>
    <cellStyle name="Comma 8 2 2 3 4 6" xfId="48294"/>
    <cellStyle name="Comma 8 2 2 3 5" xfId="48295"/>
    <cellStyle name="Comma 8 2 2 3 5 2" xfId="48296"/>
    <cellStyle name="Comma 8 2 2 3 5 2 2" xfId="48297"/>
    <cellStyle name="Comma 8 2 2 3 5 2 3" xfId="48298"/>
    <cellStyle name="Comma 8 2 2 3 5 3" xfId="48299"/>
    <cellStyle name="Comma 8 2 2 3 5 3 2" xfId="48300"/>
    <cellStyle name="Comma 8 2 2 3 5 4" xfId="48301"/>
    <cellStyle name="Comma 8 2 2 3 5 5" xfId="48302"/>
    <cellStyle name="Comma 8 2 2 3 6" xfId="48303"/>
    <cellStyle name="Comma 8 2 2 3 6 2" xfId="48304"/>
    <cellStyle name="Comma 8 2 2 3 6 3" xfId="48305"/>
    <cellStyle name="Comma 8 2 2 3 7" xfId="48306"/>
    <cellStyle name="Comma 8 2 2 3 7 2" xfId="48307"/>
    <cellStyle name="Comma 8 2 2 3 7 3" xfId="48308"/>
    <cellStyle name="Comma 8 2 2 3 8" xfId="48309"/>
    <cellStyle name="Comma 8 2 2 3 8 2" xfId="48310"/>
    <cellStyle name="Comma 8 2 2 3 9" xfId="48311"/>
    <cellStyle name="Comma 8 2 2 4" xfId="48312"/>
    <cellStyle name="Comma 8 2 2 4 2" xfId="48313"/>
    <cellStyle name="Comma 8 2 2 4 2 2" xfId="48314"/>
    <cellStyle name="Comma 8 2 2 4 2 2 2" xfId="48315"/>
    <cellStyle name="Comma 8 2 2 4 2 2 3" xfId="48316"/>
    <cellStyle name="Comma 8 2 2 4 2 3" xfId="48317"/>
    <cellStyle name="Comma 8 2 2 4 2 3 2" xfId="48318"/>
    <cellStyle name="Comma 8 2 2 4 2 3 3" xfId="48319"/>
    <cellStyle name="Comma 8 2 2 4 2 4" xfId="48320"/>
    <cellStyle name="Comma 8 2 2 4 2 4 2" xfId="48321"/>
    <cellStyle name="Comma 8 2 2 4 2 5" xfId="48322"/>
    <cellStyle name="Comma 8 2 2 4 2 6" xfId="48323"/>
    <cellStyle name="Comma 8 2 2 4 3" xfId="48324"/>
    <cellStyle name="Comma 8 2 2 4 3 2" xfId="48325"/>
    <cellStyle name="Comma 8 2 2 4 3 2 2" xfId="48326"/>
    <cellStyle name="Comma 8 2 2 4 3 2 3" xfId="48327"/>
    <cellStyle name="Comma 8 2 2 4 3 3" xfId="48328"/>
    <cellStyle name="Comma 8 2 2 4 3 3 2" xfId="48329"/>
    <cellStyle name="Comma 8 2 2 4 3 3 3" xfId="48330"/>
    <cellStyle name="Comma 8 2 2 4 3 4" xfId="48331"/>
    <cellStyle name="Comma 8 2 2 4 3 4 2" xfId="48332"/>
    <cellStyle name="Comma 8 2 2 4 3 5" xfId="48333"/>
    <cellStyle name="Comma 8 2 2 4 3 6" xfId="48334"/>
    <cellStyle name="Comma 8 2 2 4 4" xfId="48335"/>
    <cellStyle name="Comma 8 2 2 4 4 2" xfId="48336"/>
    <cellStyle name="Comma 8 2 2 4 4 2 2" xfId="48337"/>
    <cellStyle name="Comma 8 2 2 4 4 2 3" xfId="48338"/>
    <cellStyle name="Comma 8 2 2 4 4 3" xfId="48339"/>
    <cellStyle name="Comma 8 2 2 4 4 3 2" xfId="48340"/>
    <cellStyle name="Comma 8 2 2 4 4 4" xfId="48341"/>
    <cellStyle name="Comma 8 2 2 4 4 5" xfId="48342"/>
    <cellStyle name="Comma 8 2 2 4 5" xfId="48343"/>
    <cellStyle name="Comma 8 2 2 4 5 2" xfId="48344"/>
    <cellStyle name="Comma 8 2 2 4 5 3" xfId="48345"/>
    <cellStyle name="Comma 8 2 2 4 6" xfId="48346"/>
    <cellStyle name="Comma 8 2 2 4 6 2" xfId="48347"/>
    <cellStyle name="Comma 8 2 2 4 6 3" xfId="48348"/>
    <cellStyle name="Comma 8 2 2 4 7" xfId="48349"/>
    <cellStyle name="Comma 8 2 2 4 7 2" xfId="48350"/>
    <cellStyle name="Comma 8 2 2 4 8" xfId="48351"/>
    <cellStyle name="Comma 8 2 2 4 9" xfId="48352"/>
    <cellStyle name="Comma 8 2 2 5" xfId="48353"/>
    <cellStyle name="Comma 8 2 2 5 2" xfId="48354"/>
    <cellStyle name="Comma 8 2 2 5 2 2" xfId="48355"/>
    <cellStyle name="Comma 8 2 2 5 2 2 2" xfId="48356"/>
    <cellStyle name="Comma 8 2 2 5 2 2 3" xfId="48357"/>
    <cellStyle name="Comma 8 2 2 5 2 3" xfId="48358"/>
    <cellStyle name="Comma 8 2 2 5 2 3 2" xfId="48359"/>
    <cellStyle name="Comma 8 2 2 5 2 3 3" xfId="48360"/>
    <cellStyle name="Comma 8 2 2 5 2 4" xfId="48361"/>
    <cellStyle name="Comma 8 2 2 5 2 4 2" xfId="48362"/>
    <cellStyle name="Comma 8 2 2 5 2 5" xfId="48363"/>
    <cellStyle name="Comma 8 2 2 5 2 6" xfId="48364"/>
    <cellStyle name="Comma 8 2 2 5 3" xfId="48365"/>
    <cellStyle name="Comma 8 2 2 5 3 2" xfId="48366"/>
    <cellStyle name="Comma 8 2 2 5 3 2 2" xfId="48367"/>
    <cellStyle name="Comma 8 2 2 5 3 2 3" xfId="48368"/>
    <cellStyle name="Comma 8 2 2 5 3 3" xfId="48369"/>
    <cellStyle name="Comma 8 2 2 5 3 3 2" xfId="48370"/>
    <cellStyle name="Comma 8 2 2 5 3 3 3" xfId="48371"/>
    <cellStyle name="Comma 8 2 2 5 3 4" xfId="48372"/>
    <cellStyle name="Comma 8 2 2 5 3 4 2" xfId="48373"/>
    <cellStyle name="Comma 8 2 2 5 3 5" xfId="48374"/>
    <cellStyle name="Comma 8 2 2 5 3 6" xfId="48375"/>
    <cellStyle name="Comma 8 2 2 5 4" xfId="48376"/>
    <cellStyle name="Comma 8 2 2 5 4 2" xfId="48377"/>
    <cellStyle name="Comma 8 2 2 5 4 2 2" xfId="48378"/>
    <cellStyle name="Comma 8 2 2 5 4 2 3" xfId="48379"/>
    <cellStyle name="Comma 8 2 2 5 4 3" xfId="48380"/>
    <cellStyle name="Comma 8 2 2 5 4 3 2" xfId="48381"/>
    <cellStyle name="Comma 8 2 2 5 4 4" xfId="48382"/>
    <cellStyle name="Comma 8 2 2 5 4 5" xfId="48383"/>
    <cellStyle name="Comma 8 2 2 5 5" xfId="48384"/>
    <cellStyle name="Comma 8 2 2 5 5 2" xfId="48385"/>
    <cellStyle name="Comma 8 2 2 5 5 3" xfId="48386"/>
    <cellStyle name="Comma 8 2 2 5 6" xfId="48387"/>
    <cellStyle name="Comma 8 2 2 5 6 2" xfId="48388"/>
    <cellStyle name="Comma 8 2 2 5 6 3" xfId="48389"/>
    <cellStyle name="Comma 8 2 2 5 7" xfId="48390"/>
    <cellStyle name="Comma 8 2 2 5 7 2" xfId="48391"/>
    <cellStyle name="Comma 8 2 2 5 8" xfId="48392"/>
    <cellStyle name="Comma 8 2 2 5 9" xfId="48393"/>
    <cellStyle name="Comma 8 2 2 6" xfId="48394"/>
    <cellStyle name="Comma 8 2 2 6 2" xfId="48395"/>
    <cellStyle name="Comma 8 2 2 6 2 2" xfId="48396"/>
    <cellStyle name="Comma 8 2 2 6 2 3" xfId="48397"/>
    <cellStyle name="Comma 8 2 2 6 3" xfId="48398"/>
    <cellStyle name="Comma 8 2 2 6 3 2" xfId="48399"/>
    <cellStyle name="Comma 8 2 2 6 3 3" xfId="48400"/>
    <cellStyle name="Comma 8 2 2 6 4" xfId="48401"/>
    <cellStyle name="Comma 8 2 2 6 4 2" xfId="48402"/>
    <cellStyle name="Comma 8 2 2 6 5" xfId="48403"/>
    <cellStyle name="Comma 8 2 2 6 6" xfId="48404"/>
    <cellStyle name="Comma 8 2 2 7" xfId="48405"/>
    <cellStyle name="Comma 8 2 2 7 2" xfId="48406"/>
    <cellStyle name="Comma 8 2 2 7 2 2" xfId="48407"/>
    <cellStyle name="Comma 8 2 2 7 2 3" xfId="48408"/>
    <cellStyle name="Comma 8 2 2 7 3" xfId="48409"/>
    <cellStyle name="Comma 8 2 2 7 3 2" xfId="48410"/>
    <cellStyle name="Comma 8 2 2 7 3 3" xfId="48411"/>
    <cellStyle name="Comma 8 2 2 7 4" xfId="48412"/>
    <cellStyle name="Comma 8 2 2 7 4 2" xfId="48413"/>
    <cellStyle name="Comma 8 2 2 7 5" xfId="48414"/>
    <cellStyle name="Comma 8 2 2 7 6" xfId="48415"/>
    <cellStyle name="Comma 8 2 2 8" xfId="48416"/>
    <cellStyle name="Comma 8 2 2 8 2" xfId="48417"/>
    <cellStyle name="Comma 8 2 2 8 2 2" xfId="48418"/>
    <cellStyle name="Comma 8 2 2 8 2 3" xfId="48419"/>
    <cellStyle name="Comma 8 2 2 8 3" xfId="48420"/>
    <cellStyle name="Comma 8 2 2 8 3 2" xfId="48421"/>
    <cellStyle name="Comma 8 2 2 8 4" xfId="48422"/>
    <cellStyle name="Comma 8 2 2 8 5" xfId="48423"/>
    <cellStyle name="Comma 8 2 2 9" xfId="48424"/>
    <cellStyle name="Comma 8 2 2 9 2" xfId="48425"/>
    <cellStyle name="Comma 8 2 2 9 3" xfId="48426"/>
    <cellStyle name="Comma 8 2 3" xfId="9146"/>
    <cellStyle name="Comma 8 2 3 10" xfId="48427"/>
    <cellStyle name="Comma 8 2 3 10 2" xfId="48428"/>
    <cellStyle name="Comma 8 2 3 11" xfId="48429"/>
    <cellStyle name="Comma 8 2 3 12" xfId="48430"/>
    <cellStyle name="Comma 8 2 3 13" xfId="48431"/>
    <cellStyle name="Comma 8 2 3 2" xfId="48432"/>
    <cellStyle name="Comma 8 2 3 2 10" xfId="48433"/>
    <cellStyle name="Comma 8 2 3 2 2" xfId="48434"/>
    <cellStyle name="Comma 8 2 3 2 2 2" xfId="48435"/>
    <cellStyle name="Comma 8 2 3 2 2 2 2" xfId="48436"/>
    <cellStyle name="Comma 8 2 3 2 2 2 2 2" xfId="48437"/>
    <cellStyle name="Comma 8 2 3 2 2 2 2 3" xfId="48438"/>
    <cellStyle name="Comma 8 2 3 2 2 2 3" xfId="48439"/>
    <cellStyle name="Comma 8 2 3 2 2 2 3 2" xfId="48440"/>
    <cellStyle name="Comma 8 2 3 2 2 2 3 3" xfId="48441"/>
    <cellStyle name="Comma 8 2 3 2 2 2 4" xfId="48442"/>
    <cellStyle name="Comma 8 2 3 2 2 2 4 2" xfId="48443"/>
    <cellStyle name="Comma 8 2 3 2 2 2 5" xfId="48444"/>
    <cellStyle name="Comma 8 2 3 2 2 2 6" xfId="48445"/>
    <cellStyle name="Comma 8 2 3 2 2 3" xfId="48446"/>
    <cellStyle name="Comma 8 2 3 2 2 3 2" xfId="48447"/>
    <cellStyle name="Comma 8 2 3 2 2 3 2 2" xfId="48448"/>
    <cellStyle name="Comma 8 2 3 2 2 3 2 3" xfId="48449"/>
    <cellStyle name="Comma 8 2 3 2 2 3 3" xfId="48450"/>
    <cellStyle name="Comma 8 2 3 2 2 3 3 2" xfId="48451"/>
    <cellStyle name="Comma 8 2 3 2 2 3 3 3" xfId="48452"/>
    <cellStyle name="Comma 8 2 3 2 2 3 4" xfId="48453"/>
    <cellStyle name="Comma 8 2 3 2 2 3 4 2" xfId="48454"/>
    <cellStyle name="Comma 8 2 3 2 2 3 5" xfId="48455"/>
    <cellStyle name="Comma 8 2 3 2 2 3 6" xfId="48456"/>
    <cellStyle name="Comma 8 2 3 2 2 4" xfId="48457"/>
    <cellStyle name="Comma 8 2 3 2 2 4 2" xfId="48458"/>
    <cellStyle name="Comma 8 2 3 2 2 4 2 2" xfId="48459"/>
    <cellStyle name="Comma 8 2 3 2 2 4 2 3" xfId="48460"/>
    <cellStyle name="Comma 8 2 3 2 2 4 3" xfId="48461"/>
    <cellStyle name="Comma 8 2 3 2 2 4 3 2" xfId="48462"/>
    <cellStyle name="Comma 8 2 3 2 2 4 4" xfId="48463"/>
    <cellStyle name="Comma 8 2 3 2 2 4 5" xfId="48464"/>
    <cellStyle name="Comma 8 2 3 2 2 5" xfId="48465"/>
    <cellStyle name="Comma 8 2 3 2 2 5 2" xfId="48466"/>
    <cellStyle name="Comma 8 2 3 2 2 5 3" xfId="48467"/>
    <cellStyle name="Comma 8 2 3 2 2 6" xfId="48468"/>
    <cellStyle name="Comma 8 2 3 2 2 6 2" xfId="48469"/>
    <cellStyle name="Comma 8 2 3 2 2 6 3" xfId="48470"/>
    <cellStyle name="Comma 8 2 3 2 2 7" xfId="48471"/>
    <cellStyle name="Comma 8 2 3 2 2 7 2" xfId="48472"/>
    <cellStyle name="Comma 8 2 3 2 2 8" xfId="48473"/>
    <cellStyle name="Comma 8 2 3 2 2 9" xfId="48474"/>
    <cellStyle name="Comma 8 2 3 2 3" xfId="48475"/>
    <cellStyle name="Comma 8 2 3 2 3 2" xfId="48476"/>
    <cellStyle name="Comma 8 2 3 2 3 2 2" xfId="48477"/>
    <cellStyle name="Comma 8 2 3 2 3 2 3" xfId="48478"/>
    <cellStyle name="Comma 8 2 3 2 3 3" xfId="48479"/>
    <cellStyle name="Comma 8 2 3 2 3 3 2" xfId="48480"/>
    <cellStyle name="Comma 8 2 3 2 3 3 3" xfId="48481"/>
    <cellStyle name="Comma 8 2 3 2 3 4" xfId="48482"/>
    <cellStyle name="Comma 8 2 3 2 3 4 2" xfId="48483"/>
    <cellStyle name="Comma 8 2 3 2 3 5" xfId="48484"/>
    <cellStyle name="Comma 8 2 3 2 3 6" xfId="48485"/>
    <cellStyle name="Comma 8 2 3 2 4" xfId="48486"/>
    <cellStyle name="Comma 8 2 3 2 4 2" xfId="48487"/>
    <cellStyle name="Comma 8 2 3 2 4 2 2" xfId="48488"/>
    <cellStyle name="Comma 8 2 3 2 4 2 3" xfId="48489"/>
    <cellStyle name="Comma 8 2 3 2 4 3" xfId="48490"/>
    <cellStyle name="Comma 8 2 3 2 4 3 2" xfId="48491"/>
    <cellStyle name="Comma 8 2 3 2 4 3 3" xfId="48492"/>
    <cellStyle name="Comma 8 2 3 2 4 4" xfId="48493"/>
    <cellStyle name="Comma 8 2 3 2 4 4 2" xfId="48494"/>
    <cellStyle name="Comma 8 2 3 2 4 5" xfId="48495"/>
    <cellStyle name="Comma 8 2 3 2 4 6" xfId="48496"/>
    <cellStyle name="Comma 8 2 3 2 5" xfId="48497"/>
    <cellStyle name="Comma 8 2 3 2 5 2" xfId="48498"/>
    <cellStyle name="Comma 8 2 3 2 5 2 2" xfId="48499"/>
    <cellStyle name="Comma 8 2 3 2 5 2 3" xfId="48500"/>
    <cellStyle name="Comma 8 2 3 2 5 3" xfId="48501"/>
    <cellStyle name="Comma 8 2 3 2 5 3 2" xfId="48502"/>
    <cellStyle name="Comma 8 2 3 2 5 4" xfId="48503"/>
    <cellStyle name="Comma 8 2 3 2 5 5" xfId="48504"/>
    <cellStyle name="Comma 8 2 3 2 6" xfId="48505"/>
    <cellStyle name="Comma 8 2 3 2 6 2" xfId="48506"/>
    <cellStyle name="Comma 8 2 3 2 6 3" xfId="48507"/>
    <cellStyle name="Comma 8 2 3 2 7" xfId="48508"/>
    <cellStyle name="Comma 8 2 3 2 7 2" xfId="48509"/>
    <cellStyle name="Comma 8 2 3 2 7 3" xfId="48510"/>
    <cellStyle name="Comma 8 2 3 2 8" xfId="48511"/>
    <cellStyle name="Comma 8 2 3 2 8 2" xfId="48512"/>
    <cellStyle name="Comma 8 2 3 2 9" xfId="48513"/>
    <cellStyle name="Comma 8 2 3 3" xfId="48514"/>
    <cellStyle name="Comma 8 2 3 3 2" xfId="48515"/>
    <cellStyle name="Comma 8 2 3 3 2 2" xfId="48516"/>
    <cellStyle name="Comma 8 2 3 3 2 2 2" xfId="48517"/>
    <cellStyle name="Comma 8 2 3 3 2 2 3" xfId="48518"/>
    <cellStyle name="Comma 8 2 3 3 2 3" xfId="48519"/>
    <cellStyle name="Comma 8 2 3 3 2 3 2" xfId="48520"/>
    <cellStyle name="Comma 8 2 3 3 2 3 3" xfId="48521"/>
    <cellStyle name="Comma 8 2 3 3 2 4" xfId="48522"/>
    <cellStyle name="Comma 8 2 3 3 2 4 2" xfId="48523"/>
    <cellStyle name="Comma 8 2 3 3 2 5" xfId="48524"/>
    <cellStyle name="Comma 8 2 3 3 2 6" xfId="48525"/>
    <cellStyle name="Comma 8 2 3 3 3" xfId="48526"/>
    <cellStyle name="Comma 8 2 3 3 3 2" xfId="48527"/>
    <cellStyle name="Comma 8 2 3 3 3 2 2" xfId="48528"/>
    <cellStyle name="Comma 8 2 3 3 3 2 3" xfId="48529"/>
    <cellStyle name="Comma 8 2 3 3 3 3" xfId="48530"/>
    <cellStyle name="Comma 8 2 3 3 3 3 2" xfId="48531"/>
    <cellStyle name="Comma 8 2 3 3 3 3 3" xfId="48532"/>
    <cellStyle name="Comma 8 2 3 3 3 4" xfId="48533"/>
    <cellStyle name="Comma 8 2 3 3 3 4 2" xfId="48534"/>
    <cellStyle name="Comma 8 2 3 3 3 5" xfId="48535"/>
    <cellStyle name="Comma 8 2 3 3 3 6" xfId="48536"/>
    <cellStyle name="Comma 8 2 3 3 4" xfId="48537"/>
    <cellStyle name="Comma 8 2 3 3 4 2" xfId="48538"/>
    <cellStyle name="Comma 8 2 3 3 4 2 2" xfId="48539"/>
    <cellStyle name="Comma 8 2 3 3 4 2 3" xfId="48540"/>
    <cellStyle name="Comma 8 2 3 3 4 3" xfId="48541"/>
    <cellStyle name="Comma 8 2 3 3 4 3 2" xfId="48542"/>
    <cellStyle name="Comma 8 2 3 3 4 4" xfId="48543"/>
    <cellStyle name="Comma 8 2 3 3 4 5" xfId="48544"/>
    <cellStyle name="Comma 8 2 3 3 5" xfId="48545"/>
    <cellStyle name="Comma 8 2 3 3 5 2" xfId="48546"/>
    <cellStyle name="Comma 8 2 3 3 5 3" xfId="48547"/>
    <cellStyle name="Comma 8 2 3 3 6" xfId="48548"/>
    <cellStyle name="Comma 8 2 3 3 6 2" xfId="48549"/>
    <cellStyle name="Comma 8 2 3 3 6 3" xfId="48550"/>
    <cellStyle name="Comma 8 2 3 3 7" xfId="48551"/>
    <cellStyle name="Comma 8 2 3 3 7 2" xfId="48552"/>
    <cellStyle name="Comma 8 2 3 3 8" xfId="48553"/>
    <cellStyle name="Comma 8 2 3 3 9" xfId="48554"/>
    <cellStyle name="Comma 8 2 3 4" xfId="48555"/>
    <cellStyle name="Comma 8 2 3 4 2" xfId="48556"/>
    <cellStyle name="Comma 8 2 3 4 2 2" xfId="48557"/>
    <cellStyle name="Comma 8 2 3 4 2 2 2" xfId="48558"/>
    <cellStyle name="Comma 8 2 3 4 2 2 3" xfId="48559"/>
    <cellStyle name="Comma 8 2 3 4 2 3" xfId="48560"/>
    <cellStyle name="Comma 8 2 3 4 2 3 2" xfId="48561"/>
    <cellStyle name="Comma 8 2 3 4 2 3 3" xfId="48562"/>
    <cellStyle name="Comma 8 2 3 4 2 4" xfId="48563"/>
    <cellStyle name="Comma 8 2 3 4 2 4 2" xfId="48564"/>
    <cellStyle name="Comma 8 2 3 4 2 5" xfId="48565"/>
    <cellStyle name="Comma 8 2 3 4 2 6" xfId="48566"/>
    <cellStyle name="Comma 8 2 3 4 3" xfId="48567"/>
    <cellStyle name="Comma 8 2 3 4 3 2" xfId="48568"/>
    <cellStyle name="Comma 8 2 3 4 3 2 2" xfId="48569"/>
    <cellStyle name="Comma 8 2 3 4 3 2 3" xfId="48570"/>
    <cellStyle name="Comma 8 2 3 4 3 3" xfId="48571"/>
    <cellStyle name="Comma 8 2 3 4 3 3 2" xfId="48572"/>
    <cellStyle name="Comma 8 2 3 4 3 3 3" xfId="48573"/>
    <cellStyle name="Comma 8 2 3 4 3 4" xfId="48574"/>
    <cellStyle name="Comma 8 2 3 4 3 4 2" xfId="48575"/>
    <cellStyle name="Comma 8 2 3 4 3 5" xfId="48576"/>
    <cellStyle name="Comma 8 2 3 4 3 6" xfId="48577"/>
    <cellStyle name="Comma 8 2 3 4 4" xfId="48578"/>
    <cellStyle name="Comma 8 2 3 4 4 2" xfId="48579"/>
    <cellStyle name="Comma 8 2 3 4 4 2 2" xfId="48580"/>
    <cellStyle name="Comma 8 2 3 4 4 2 3" xfId="48581"/>
    <cellStyle name="Comma 8 2 3 4 4 3" xfId="48582"/>
    <cellStyle name="Comma 8 2 3 4 4 3 2" xfId="48583"/>
    <cellStyle name="Comma 8 2 3 4 4 4" xfId="48584"/>
    <cellStyle name="Comma 8 2 3 4 4 5" xfId="48585"/>
    <cellStyle name="Comma 8 2 3 4 5" xfId="48586"/>
    <cellStyle name="Comma 8 2 3 4 5 2" xfId="48587"/>
    <cellStyle name="Comma 8 2 3 4 5 3" xfId="48588"/>
    <cellStyle name="Comma 8 2 3 4 6" xfId="48589"/>
    <cellStyle name="Comma 8 2 3 4 6 2" xfId="48590"/>
    <cellStyle name="Comma 8 2 3 4 6 3" xfId="48591"/>
    <cellStyle name="Comma 8 2 3 4 7" xfId="48592"/>
    <cellStyle name="Comma 8 2 3 4 7 2" xfId="48593"/>
    <cellStyle name="Comma 8 2 3 4 8" xfId="48594"/>
    <cellStyle name="Comma 8 2 3 4 9" xfId="48595"/>
    <cellStyle name="Comma 8 2 3 5" xfId="48596"/>
    <cellStyle name="Comma 8 2 3 5 2" xfId="48597"/>
    <cellStyle name="Comma 8 2 3 5 2 2" xfId="48598"/>
    <cellStyle name="Comma 8 2 3 5 2 3" xfId="48599"/>
    <cellStyle name="Comma 8 2 3 5 3" xfId="48600"/>
    <cellStyle name="Comma 8 2 3 5 3 2" xfId="48601"/>
    <cellStyle name="Comma 8 2 3 5 3 3" xfId="48602"/>
    <cellStyle name="Comma 8 2 3 5 4" xfId="48603"/>
    <cellStyle name="Comma 8 2 3 5 4 2" xfId="48604"/>
    <cellStyle name="Comma 8 2 3 5 5" xfId="48605"/>
    <cellStyle name="Comma 8 2 3 5 6" xfId="48606"/>
    <cellStyle name="Comma 8 2 3 6" xfId="48607"/>
    <cellStyle name="Comma 8 2 3 6 2" xfId="48608"/>
    <cellStyle name="Comma 8 2 3 6 2 2" xfId="48609"/>
    <cellStyle name="Comma 8 2 3 6 2 3" xfId="48610"/>
    <cellStyle name="Comma 8 2 3 6 3" xfId="48611"/>
    <cellStyle name="Comma 8 2 3 6 3 2" xfId="48612"/>
    <cellStyle name="Comma 8 2 3 6 3 3" xfId="48613"/>
    <cellStyle name="Comma 8 2 3 6 4" xfId="48614"/>
    <cellStyle name="Comma 8 2 3 6 4 2" xfId="48615"/>
    <cellStyle name="Comma 8 2 3 6 5" xfId="48616"/>
    <cellStyle name="Comma 8 2 3 6 6" xfId="48617"/>
    <cellStyle name="Comma 8 2 3 7" xfId="48618"/>
    <cellStyle name="Comma 8 2 3 7 2" xfId="48619"/>
    <cellStyle name="Comma 8 2 3 7 2 2" xfId="48620"/>
    <cellStyle name="Comma 8 2 3 7 2 3" xfId="48621"/>
    <cellStyle name="Comma 8 2 3 7 3" xfId="48622"/>
    <cellStyle name="Comma 8 2 3 7 3 2" xfId="48623"/>
    <cellStyle name="Comma 8 2 3 7 4" xfId="48624"/>
    <cellStyle name="Comma 8 2 3 7 5" xfId="48625"/>
    <cellStyle name="Comma 8 2 3 8" xfId="48626"/>
    <cellStyle name="Comma 8 2 3 8 2" xfId="48627"/>
    <cellStyle name="Comma 8 2 3 8 3" xfId="48628"/>
    <cellStyle name="Comma 8 2 3 9" xfId="48629"/>
    <cellStyle name="Comma 8 2 3 9 2" xfId="48630"/>
    <cellStyle name="Comma 8 2 3 9 3" xfId="48631"/>
    <cellStyle name="Comma 8 2 4" xfId="9147"/>
    <cellStyle name="Comma 8 2 4 10" xfId="48632"/>
    <cellStyle name="Comma 8 2 4 2" xfId="48633"/>
    <cellStyle name="Comma 8 2 4 2 2" xfId="48634"/>
    <cellStyle name="Comma 8 2 4 2 2 2" xfId="48635"/>
    <cellStyle name="Comma 8 2 4 2 2 2 2" xfId="48636"/>
    <cellStyle name="Comma 8 2 4 2 2 2 3" xfId="48637"/>
    <cellStyle name="Comma 8 2 4 2 2 3" xfId="48638"/>
    <cellStyle name="Comma 8 2 4 2 2 3 2" xfId="48639"/>
    <cellStyle name="Comma 8 2 4 2 2 3 3" xfId="48640"/>
    <cellStyle name="Comma 8 2 4 2 2 4" xfId="48641"/>
    <cellStyle name="Comma 8 2 4 2 2 4 2" xfId="48642"/>
    <cellStyle name="Comma 8 2 4 2 2 5" xfId="48643"/>
    <cellStyle name="Comma 8 2 4 2 2 6" xfId="48644"/>
    <cellStyle name="Comma 8 2 4 2 3" xfId="48645"/>
    <cellStyle name="Comma 8 2 4 2 3 2" xfId="48646"/>
    <cellStyle name="Comma 8 2 4 2 3 2 2" xfId="48647"/>
    <cellStyle name="Comma 8 2 4 2 3 2 3" xfId="48648"/>
    <cellStyle name="Comma 8 2 4 2 3 3" xfId="48649"/>
    <cellStyle name="Comma 8 2 4 2 3 3 2" xfId="48650"/>
    <cellStyle name="Comma 8 2 4 2 3 3 3" xfId="48651"/>
    <cellStyle name="Comma 8 2 4 2 3 4" xfId="48652"/>
    <cellStyle name="Comma 8 2 4 2 3 4 2" xfId="48653"/>
    <cellStyle name="Comma 8 2 4 2 3 5" xfId="48654"/>
    <cellStyle name="Comma 8 2 4 2 3 6" xfId="48655"/>
    <cellStyle name="Comma 8 2 4 2 4" xfId="48656"/>
    <cellStyle name="Comma 8 2 4 2 4 2" xfId="48657"/>
    <cellStyle name="Comma 8 2 4 2 4 2 2" xfId="48658"/>
    <cellStyle name="Comma 8 2 4 2 4 2 3" xfId="48659"/>
    <cellStyle name="Comma 8 2 4 2 4 3" xfId="48660"/>
    <cellStyle name="Comma 8 2 4 2 4 3 2" xfId="48661"/>
    <cellStyle name="Comma 8 2 4 2 4 4" xfId="48662"/>
    <cellStyle name="Comma 8 2 4 2 4 5" xfId="48663"/>
    <cellStyle name="Comma 8 2 4 2 5" xfId="48664"/>
    <cellStyle name="Comma 8 2 4 2 5 2" xfId="48665"/>
    <cellStyle name="Comma 8 2 4 2 5 3" xfId="48666"/>
    <cellStyle name="Comma 8 2 4 2 6" xfId="48667"/>
    <cellStyle name="Comma 8 2 4 2 6 2" xfId="48668"/>
    <cellStyle name="Comma 8 2 4 2 6 3" xfId="48669"/>
    <cellStyle name="Comma 8 2 4 2 7" xfId="48670"/>
    <cellStyle name="Comma 8 2 4 2 7 2" xfId="48671"/>
    <cellStyle name="Comma 8 2 4 2 8" xfId="48672"/>
    <cellStyle name="Comma 8 2 4 2 9" xfId="48673"/>
    <cellStyle name="Comma 8 2 4 3" xfId="48674"/>
    <cellStyle name="Comma 8 2 4 3 2" xfId="48675"/>
    <cellStyle name="Comma 8 2 4 3 2 2" xfId="48676"/>
    <cellStyle name="Comma 8 2 4 3 2 3" xfId="48677"/>
    <cellStyle name="Comma 8 2 4 3 3" xfId="48678"/>
    <cellStyle name="Comma 8 2 4 3 3 2" xfId="48679"/>
    <cellStyle name="Comma 8 2 4 3 3 3" xfId="48680"/>
    <cellStyle name="Comma 8 2 4 3 4" xfId="48681"/>
    <cellStyle name="Comma 8 2 4 3 4 2" xfId="48682"/>
    <cellStyle name="Comma 8 2 4 3 5" xfId="48683"/>
    <cellStyle name="Comma 8 2 4 3 6" xfId="48684"/>
    <cellStyle name="Comma 8 2 4 4" xfId="48685"/>
    <cellStyle name="Comma 8 2 4 4 2" xfId="48686"/>
    <cellStyle name="Comma 8 2 4 4 2 2" xfId="48687"/>
    <cellStyle name="Comma 8 2 4 4 2 3" xfId="48688"/>
    <cellStyle name="Comma 8 2 4 4 3" xfId="48689"/>
    <cellStyle name="Comma 8 2 4 4 3 2" xfId="48690"/>
    <cellStyle name="Comma 8 2 4 4 3 3" xfId="48691"/>
    <cellStyle name="Comma 8 2 4 4 4" xfId="48692"/>
    <cellStyle name="Comma 8 2 4 4 4 2" xfId="48693"/>
    <cellStyle name="Comma 8 2 4 4 5" xfId="48694"/>
    <cellStyle name="Comma 8 2 4 4 6" xfId="48695"/>
    <cellStyle name="Comma 8 2 4 5" xfId="48696"/>
    <cellStyle name="Comma 8 2 4 5 2" xfId="48697"/>
    <cellStyle name="Comma 8 2 4 5 2 2" xfId="48698"/>
    <cellStyle name="Comma 8 2 4 5 2 3" xfId="48699"/>
    <cellStyle name="Comma 8 2 4 5 3" xfId="48700"/>
    <cellStyle name="Comma 8 2 4 5 3 2" xfId="48701"/>
    <cellStyle name="Comma 8 2 4 5 4" xfId="48702"/>
    <cellStyle name="Comma 8 2 4 5 5" xfId="48703"/>
    <cellStyle name="Comma 8 2 4 6" xfId="48704"/>
    <cellStyle name="Comma 8 2 4 6 2" xfId="48705"/>
    <cellStyle name="Comma 8 2 4 6 3" xfId="48706"/>
    <cellStyle name="Comma 8 2 4 7" xfId="48707"/>
    <cellStyle name="Comma 8 2 4 7 2" xfId="48708"/>
    <cellStyle name="Comma 8 2 4 7 3" xfId="48709"/>
    <cellStyle name="Comma 8 2 4 8" xfId="48710"/>
    <cellStyle name="Comma 8 2 4 8 2" xfId="48711"/>
    <cellStyle name="Comma 8 2 4 9" xfId="48712"/>
    <cellStyle name="Comma 8 2 5" xfId="48713"/>
    <cellStyle name="Comma 8 2 5 2" xfId="48714"/>
    <cellStyle name="Comma 8 2 5 2 2" xfId="48715"/>
    <cellStyle name="Comma 8 2 5 2 2 2" xfId="48716"/>
    <cellStyle name="Comma 8 2 5 2 2 3" xfId="48717"/>
    <cellStyle name="Comma 8 2 5 2 3" xfId="48718"/>
    <cellStyle name="Comma 8 2 5 2 3 2" xfId="48719"/>
    <cellStyle name="Comma 8 2 5 2 3 3" xfId="48720"/>
    <cellStyle name="Comma 8 2 5 2 4" xfId="48721"/>
    <cellStyle name="Comma 8 2 5 2 4 2" xfId="48722"/>
    <cellStyle name="Comma 8 2 5 2 5" xfId="48723"/>
    <cellStyle name="Comma 8 2 5 2 6" xfId="48724"/>
    <cellStyle name="Comma 8 2 5 3" xfId="48725"/>
    <cellStyle name="Comma 8 2 5 3 2" xfId="48726"/>
    <cellStyle name="Comma 8 2 5 3 2 2" xfId="48727"/>
    <cellStyle name="Comma 8 2 5 3 2 3" xfId="48728"/>
    <cellStyle name="Comma 8 2 5 3 3" xfId="48729"/>
    <cellStyle name="Comma 8 2 5 3 3 2" xfId="48730"/>
    <cellStyle name="Comma 8 2 5 3 3 3" xfId="48731"/>
    <cellStyle name="Comma 8 2 5 3 4" xfId="48732"/>
    <cellStyle name="Comma 8 2 5 3 4 2" xfId="48733"/>
    <cellStyle name="Comma 8 2 5 3 5" xfId="48734"/>
    <cellStyle name="Comma 8 2 5 3 6" xfId="48735"/>
    <cellStyle name="Comma 8 2 5 4" xfId="48736"/>
    <cellStyle name="Comma 8 2 5 4 2" xfId="48737"/>
    <cellStyle name="Comma 8 2 5 4 2 2" xfId="48738"/>
    <cellStyle name="Comma 8 2 5 4 2 3" xfId="48739"/>
    <cellStyle name="Comma 8 2 5 4 3" xfId="48740"/>
    <cellStyle name="Comma 8 2 5 4 3 2" xfId="48741"/>
    <cellStyle name="Comma 8 2 5 4 4" xfId="48742"/>
    <cellStyle name="Comma 8 2 5 4 5" xfId="48743"/>
    <cellStyle name="Comma 8 2 5 5" xfId="48744"/>
    <cellStyle name="Comma 8 2 5 5 2" xfId="48745"/>
    <cellStyle name="Comma 8 2 5 5 3" xfId="48746"/>
    <cellStyle name="Comma 8 2 5 6" xfId="48747"/>
    <cellStyle name="Comma 8 2 5 6 2" xfId="48748"/>
    <cellStyle name="Comma 8 2 5 6 3" xfId="48749"/>
    <cellStyle name="Comma 8 2 5 7" xfId="48750"/>
    <cellStyle name="Comma 8 2 5 7 2" xfId="48751"/>
    <cellStyle name="Comma 8 2 5 8" xfId="48752"/>
    <cellStyle name="Comma 8 2 5 9" xfId="48753"/>
    <cellStyle name="Comma 8 2 6" xfId="48754"/>
    <cellStyle name="Comma 8 2 6 2" xfId="48755"/>
    <cellStyle name="Comma 8 2 6 2 2" xfId="48756"/>
    <cellStyle name="Comma 8 2 6 2 2 2" xfId="48757"/>
    <cellStyle name="Comma 8 2 6 2 2 3" xfId="48758"/>
    <cellStyle name="Comma 8 2 6 2 3" xfId="48759"/>
    <cellStyle name="Comma 8 2 6 2 3 2" xfId="48760"/>
    <cellStyle name="Comma 8 2 6 2 3 3" xfId="48761"/>
    <cellStyle name="Comma 8 2 6 2 4" xfId="48762"/>
    <cellStyle name="Comma 8 2 6 2 4 2" xfId="48763"/>
    <cellStyle name="Comma 8 2 6 2 5" xfId="48764"/>
    <cellStyle name="Comma 8 2 6 2 6" xfId="48765"/>
    <cellStyle name="Comma 8 2 6 3" xfId="48766"/>
    <cellStyle name="Comma 8 2 6 3 2" xfId="48767"/>
    <cellStyle name="Comma 8 2 6 3 2 2" xfId="48768"/>
    <cellStyle name="Comma 8 2 6 3 2 3" xfId="48769"/>
    <cellStyle name="Comma 8 2 6 3 3" xfId="48770"/>
    <cellStyle name="Comma 8 2 6 3 3 2" xfId="48771"/>
    <cellStyle name="Comma 8 2 6 3 3 3" xfId="48772"/>
    <cellStyle name="Comma 8 2 6 3 4" xfId="48773"/>
    <cellStyle name="Comma 8 2 6 3 4 2" xfId="48774"/>
    <cellStyle name="Comma 8 2 6 3 5" xfId="48775"/>
    <cellStyle name="Comma 8 2 6 3 6" xfId="48776"/>
    <cellStyle name="Comma 8 2 6 4" xfId="48777"/>
    <cellStyle name="Comma 8 2 6 4 2" xfId="48778"/>
    <cellStyle name="Comma 8 2 6 4 2 2" xfId="48779"/>
    <cellStyle name="Comma 8 2 6 4 2 3" xfId="48780"/>
    <cellStyle name="Comma 8 2 6 4 3" xfId="48781"/>
    <cellStyle name="Comma 8 2 6 4 3 2" xfId="48782"/>
    <cellStyle name="Comma 8 2 6 4 4" xfId="48783"/>
    <cellStyle name="Comma 8 2 6 4 5" xfId="48784"/>
    <cellStyle name="Comma 8 2 6 5" xfId="48785"/>
    <cellStyle name="Comma 8 2 6 5 2" xfId="48786"/>
    <cellStyle name="Comma 8 2 6 5 3" xfId="48787"/>
    <cellStyle name="Comma 8 2 6 6" xfId="48788"/>
    <cellStyle name="Comma 8 2 6 6 2" xfId="48789"/>
    <cellStyle name="Comma 8 2 6 6 3" xfId="48790"/>
    <cellStyle name="Comma 8 2 6 7" xfId="48791"/>
    <cellStyle name="Comma 8 2 6 7 2" xfId="48792"/>
    <cellStyle name="Comma 8 2 6 8" xfId="48793"/>
    <cellStyle name="Comma 8 2 6 9" xfId="48794"/>
    <cellStyle name="Comma 8 2 7" xfId="48795"/>
    <cellStyle name="Comma 8 2 7 2" xfId="48796"/>
    <cellStyle name="Comma 8 2 7 2 2" xfId="48797"/>
    <cellStyle name="Comma 8 2 7 2 3" xfId="48798"/>
    <cellStyle name="Comma 8 2 7 3" xfId="48799"/>
    <cellStyle name="Comma 8 2 7 3 2" xfId="48800"/>
    <cellStyle name="Comma 8 2 7 3 3" xfId="48801"/>
    <cellStyle name="Comma 8 2 7 4" xfId="48802"/>
    <cellStyle name="Comma 8 2 7 4 2" xfId="48803"/>
    <cellStyle name="Comma 8 2 7 5" xfId="48804"/>
    <cellStyle name="Comma 8 2 7 6" xfId="48805"/>
    <cellStyle name="Comma 8 2 8" xfId="48806"/>
    <cellStyle name="Comma 8 2 8 2" xfId="48807"/>
    <cellStyle name="Comma 8 2 8 2 2" xfId="48808"/>
    <cellStyle name="Comma 8 2 8 2 3" xfId="48809"/>
    <cellStyle name="Comma 8 2 8 3" xfId="48810"/>
    <cellStyle name="Comma 8 2 8 3 2" xfId="48811"/>
    <cellStyle name="Comma 8 2 8 3 3" xfId="48812"/>
    <cellStyle name="Comma 8 2 8 4" xfId="48813"/>
    <cellStyle name="Comma 8 2 8 4 2" xfId="48814"/>
    <cellStyle name="Comma 8 2 8 5" xfId="48815"/>
    <cellStyle name="Comma 8 2 8 6" xfId="48816"/>
    <cellStyle name="Comma 8 2 9" xfId="48817"/>
    <cellStyle name="Comma 8 2 9 2" xfId="48818"/>
    <cellStyle name="Comma 8 2 9 2 2" xfId="48819"/>
    <cellStyle name="Comma 8 2 9 2 3" xfId="48820"/>
    <cellStyle name="Comma 8 2 9 3" xfId="48821"/>
    <cellStyle name="Comma 8 2 9 3 2" xfId="48822"/>
    <cellStyle name="Comma 8 2 9 4" xfId="48823"/>
    <cellStyle name="Comma 8 2 9 5" xfId="48824"/>
    <cellStyle name="Comma 8 3" xfId="3743"/>
    <cellStyle name="Comma 8 3 10" xfId="48825"/>
    <cellStyle name="Comma 8 3 10 2" xfId="48826"/>
    <cellStyle name="Comma 8 3 10 3" xfId="48827"/>
    <cellStyle name="Comma 8 3 11" xfId="48828"/>
    <cellStyle name="Comma 8 3 11 2" xfId="48829"/>
    <cellStyle name="Comma 8 3 12" xfId="48830"/>
    <cellStyle name="Comma 8 3 13" xfId="48831"/>
    <cellStyle name="Comma 8 3 14" xfId="48832"/>
    <cellStyle name="Comma 8 3 2" xfId="9148"/>
    <cellStyle name="Comma 8 3 2 10" xfId="48833"/>
    <cellStyle name="Comma 8 3 2 10 2" xfId="48834"/>
    <cellStyle name="Comma 8 3 2 11" xfId="48835"/>
    <cellStyle name="Comma 8 3 2 12" xfId="48836"/>
    <cellStyle name="Comma 8 3 2 13" xfId="48837"/>
    <cellStyle name="Comma 8 3 2 2" xfId="48838"/>
    <cellStyle name="Comma 8 3 2 2 10" xfId="48839"/>
    <cellStyle name="Comma 8 3 2 2 2" xfId="48840"/>
    <cellStyle name="Comma 8 3 2 2 2 2" xfId="48841"/>
    <cellStyle name="Comma 8 3 2 2 2 2 2" xfId="48842"/>
    <cellStyle name="Comma 8 3 2 2 2 2 2 2" xfId="48843"/>
    <cellStyle name="Comma 8 3 2 2 2 2 2 3" xfId="48844"/>
    <cellStyle name="Comma 8 3 2 2 2 2 3" xfId="48845"/>
    <cellStyle name="Comma 8 3 2 2 2 2 3 2" xfId="48846"/>
    <cellStyle name="Comma 8 3 2 2 2 2 3 3" xfId="48847"/>
    <cellStyle name="Comma 8 3 2 2 2 2 4" xfId="48848"/>
    <cellStyle name="Comma 8 3 2 2 2 2 4 2" xfId="48849"/>
    <cellStyle name="Comma 8 3 2 2 2 2 5" xfId="48850"/>
    <cellStyle name="Comma 8 3 2 2 2 2 6" xfId="48851"/>
    <cellStyle name="Comma 8 3 2 2 2 3" xfId="48852"/>
    <cellStyle name="Comma 8 3 2 2 2 3 2" xfId="48853"/>
    <cellStyle name="Comma 8 3 2 2 2 3 2 2" xfId="48854"/>
    <cellStyle name="Comma 8 3 2 2 2 3 2 3" xfId="48855"/>
    <cellStyle name="Comma 8 3 2 2 2 3 3" xfId="48856"/>
    <cellStyle name="Comma 8 3 2 2 2 3 3 2" xfId="48857"/>
    <cellStyle name="Comma 8 3 2 2 2 3 3 3" xfId="48858"/>
    <cellStyle name="Comma 8 3 2 2 2 3 4" xfId="48859"/>
    <cellStyle name="Comma 8 3 2 2 2 3 4 2" xfId="48860"/>
    <cellStyle name="Comma 8 3 2 2 2 3 5" xfId="48861"/>
    <cellStyle name="Comma 8 3 2 2 2 3 6" xfId="48862"/>
    <cellStyle name="Comma 8 3 2 2 2 4" xfId="48863"/>
    <cellStyle name="Comma 8 3 2 2 2 4 2" xfId="48864"/>
    <cellStyle name="Comma 8 3 2 2 2 4 2 2" xfId="48865"/>
    <cellStyle name="Comma 8 3 2 2 2 4 2 3" xfId="48866"/>
    <cellStyle name="Comma 8 3 2 2 2 4 3" xfId="48867"/>
    <cellStyle name="Comma 8 3 2 2 2 4 3 2" xfId="48868"/>
    <cellStyle name="Comma 8 3 2 2 2 4 4" xfId="48869"/>
    <cellStyle name="Comma 8 3 2 2 2 4 5" xfId="48870"/>
    <cellStyle name="Comma 8 3 2 2 2 5" xfId="48871"/>
    <cellStyle name="Comma 8 3 2 2 2 5 2" xfId="48872"/>
    <cellStyle name="Comma 8 3 2 2 2 5 3" xfId="48873"/>
    <cellStyle name="Comma 8 3 2 2 2 6" xfId="48874"/>
    <cellStyle name="Comma 8 3 2 2 2 6 2" xfId="48875"/>
    <cellStyle name="Comma 8 3 2 2 2 6 3" xfId="48876"/>
    <cellStyle name="Comma 8 3 2 2 2 7" xfId="48877"/>
    <cellStyle name="Comma 8 3 2 2 2 7 2" xfId="48878"/>
    <cellStyle name="Comma 8 3 2 2 2 8" xfId="48879"/>
    <cellStyle name="Comma 8 3 2 2 2 9" xfId="48880"/>
    <cellStyle name="Comma 8 3 2 2 3" xfId="48881"/>
    <cellStyle name="Comma 8 3 2 2 3 2" xfId="48882"/>
    <cellStyle name="Comma 8 3 2 2 3 2 2" xfId="48883"/>
    <cellStyle name="Comma 8 3 2 2 3 2 3" xfId="48884"/>
    <cellStyle name="Comma 8 3 2 2 3 3" xfId="48885"/>
    <cellStyle name="Comma 8 3 2 2 3 3 2" xfId="48886"/>
    <cellStyle name="Comma 8 3 2 2 3 3 3" xfId="48887"/>
    <cellStyle name="Comma 8 3 2 2 3 4" xfId="48888"/>
    <cellStyle name="Comma 8 3 2 2 3 4 2" xfId="48889"/>
    <cellStyle name="Comma 8 3 2 2 3 5" xfId="48890"/>
    <cellStyle name="Comma 8 3 2 2 3 6" xfId="48891"/>
    <cellStyle name="Comma 8 3 2 2 4" xfId="48892"/>
    <cellStyle name="Comma 8 3 2 2 4 2" xfId="48893"/>
    <cellStyle name="Comma 8 3 2 2 4 2 2" xfId="48894"/>
    <cellStyle name="Comma 8 3 2 2 4 2 3" xfId="48895"/>
    <cellStyle name="Comma 8 3 2 2 4 3" xfId="48896"/>
    <cellStyle name="Comma 8 3 2 2 4 3 2" xfId="48897"/>
    <cellStyle name="Comma 8 3 2 2 4 3 3" xfId="48898"/>
    <cellStyle name="Comma 8 3 2 2 4 4" xfId="48899"/>
    <cellStyle name="Comma 8 3 2 2 4 4 2" xfId="48900"/>
    <cellStyle name="Comma 8 3 2 2 4 5" xfId="48901"/>
    <cellStyle name="Comma 8 3 2 2 4 6" xfId="48902"/>
    <cellStyle name="Comma 8 3 2 2 5" xfId="48903"/>
    <cellStyle name="Comma 8 3 2 2 5 2" xfId="48904"/>
    <cellStyle name="Comma 8 3 2 2 5 2 2" xfId="48905"/>
    <cellStyle name="Comma 8 3 2 2 5 2 3" xfId="48906"/>
    <cellStyle name="Comma 8 3 2 2 5 3" xfId="48907"/>
    <cellStyle name="Comma 8 3 2 2 5 3 2" xfId="48908"/>
    <cellStyle name="Comma 8 3 2 2 5 4" xfId="48909"/>
    <cellStyle name="Comma 8 3 2 2 5 5" xfId="48910"/>
    <cellStyle name="Comma 8 3 2 2 6" xfId="48911"/>
    <cellStyle name="Comma 8 3 2 2 6 2" xfId="48912"/>
    <cellStyle name="Comma 8 3 2 2 6 3" xfId="48913"/>
    <cellStyle name="Comma 8 3 2 2 7" xfId="48914"/>
    <cellStyle name="Comma 8 3 2 2 7 2" xfId="48915"/>
    <cellStyle name="Comma 8 3 2 2 7 3" xfId="48916"/>
    <cellStyle name="Comma 8 3 2 2 8" xfId="48917"/>
    <cellStyle name="Comma 8 3 2 2 8 2" xfId="48918"/>
    <cellStyle name="Comma 8 3 2 2 9" xfId="48919"/>
    <cellStyle name="Comma 8 3 2 3" xfId="48920"/>
    <cellStyle name="Comma 8 3 2 3 2" xfId="48921"/>
    <cellStyle name="Comma 8 3 2 3 2 2" xfId="48922"/>
    <cellStyle name="Comma 8 3 2 3 2 2 2" xfId="48923"/>
    <cellStyle name="Comma 8 3 2 3 2 2 3" xfId="48924"/>
    <cellStyle name="Comma 8 3 2 3 2 3" xfId="48925"/>
    <cellStyle name="Comma 8 3 2 3 2 3 2" xfId="48926"/>
    <cellStyle name="Comma 8 3 2 3 2 3 3" xfId="48927"/>
    <cellStyle name="Comma 8 3 2 3 2 4" xfId="48928"/>
    <cellStyle name="Comma 8 3 2 3 2 4 2" xfId="48929"/>
    <cellStyle name="Comma 8 3 2 3 2 5" xfId="48930"/>
    <cellStyle name="Comma 8 3 2 3 2 6" xfId="48931"/>
    <cellStyle name="Comma 8 3 2 3 3" xfId="48932"/>
    <cellStyle name="Comma 8 3 2 3 3 2" xfId="48933"/>
    <cellStyle name="Comma 8 3 2 3 3 2 2" xfId="48934"/>
    <cellStyle name="Comma 8 3 2 3 3 2 3" xfId="48935"/>
    <cellStyle name="Comma 8 3 2 3 3 3" xfId="48936"/>
    <cellStyle name="Comma 8 3 2 3 3 3 2" xfId="48937"/>
    <cellStyle name="Comma 8 3 2 3 3 3 3" xfId="48938"/>
    <cellStyle name="Comma 8 3 2 3 3 4" xfId="48939"/>
    <cellStyle name="Comma 8 3 2 3 3 4 2" xfId="48940"/>
    <cellStyle name="Comma 8 3 2 3 3 5" xfId="48941"/>
    <cellStyle name="Comma 8 3 2 3 3 6" xfId="48942"/>
    <cellStyle name="Comma 8 3 2 3 4" xfId="48943"/>
    <cellStyle name="Comma 8 3 2 3 4 2" xfId="48944"/>
    <cellStyle name="Comma 8 3 2 3 4 2 2" xfId="48945"/>
    <cellStyle name="Comma 8 3 2 3 4 2 3" xfId="48946"/>
    <cellStyle name="Comma 8 3 2 3 4 3" xfId="48947"/>
    <cellStyle name="Comma 8 3 2 3 4 3 2" xfId="48948"/>
    <cellStyle name="Comma 8 3 2 3 4 4" xfId="48949"/>
    <cellStyle name="Comma 8 3 2 3 4 5" xfId="48950"/>
    <cellStyle name="Comma 8 3 2 3 5" xfId="48951"/>
    <cellStyle name="Comma 8 3 2 3 5 2" xfId="48952"/>
    <cellStyle name="Comma 8 3 2 3 5 3" xfId="48953"/>
    <cellStyle name="Comma 8 3 2 3 6" xfId="48954"/>
    <cellStyle name="Comma 8 3 2 3 6 2" xfId="48955"/>
    <cellStyle name="Comma 8 3 2 3 6 3" xfId="48956"/>
    <cellStyle name="Comma 8 3 2 3 7" xfId="48957"/>
    <cellStyle name="Comma 8 3 2 3 7 2" xfId="48958"/>
    <cellStyle name="Comma 8 3 2 3 8" xfId="48959"/>
    <cellStyle name="Comma 8 3 2 3 9" xfId="48960"/>
    <cellStyle name="Comma 8 3 2 4" xfId="48961"/>
    <cellStyle name="Comma 8 3 2 4 2" xfId="48962"/>
    <cellStyle name="Comma 8 3 2 4 2 2" xfId="48963"/>
    <cellStyle name="Comma 8 3 2 4 2 2 2" xfId="48964"/>
    <cellStyle name="Comma 8 3 2 4 2 2 3" xfId="48965"/>
    <cellStyle name="Comma 8 3 2 4 2 3" xfId="48966"/>
    <cellStyle name="Comma 8 3 2 4 2 3 2" xfId="48967"/>
    <cellStyle name="Comma 8 3 2 4 2 3 3" xfId="48968"/>
    <cellStyle name="Comma 8 3 2 4 2 4" xfId="48969"/>
    <cellStyle name="Comma 8 3 2 4 2 4 2" xfId="48970"/>
    <cellStyle name="Comma 8 3 2 4 2 5" xfId="48971"/>
    <cellStyle name="Comma 8 3 2 4 2 6" xfId="48972"/>
    <cellStyle name="Comma 8 3 2 4 3" xfId="48973"/>
    <cellStyle name="Comma 8 3 2 4 3 2" xfId="48974"/>
    <cellStyle name="Comma 8 3 2 4 3 2 2" xfId="48975"/>
    <cellStyle name="Comma 8 3 2 4 3 2 3" xfId="48976"/>
    <cellStyle name="Comma 8 3 2 4 3 3" xfId="48977"/>
    <cellStyle name="Comma 8 3 2 4 3 3 2" xfId="48978"/>
    <cellStyle name="Comma 8 3 2 4 3 3 3" xfId="48979"/>
    <cellStyle name="Comma 8 3 2 4 3 4" xfId="48980"/>
    <cellStyle name="Comma 8 3 2 4 3 4 2" xfId="48981"/>
    <cellStyle name="Comma 8 3 2 4 3 5" xfId="48982"/>
    <cellStyle name="Comma 8 3 2 4 3 6" xfId="48983"/>
    <cellStyle name="Comma 8 3 2 4 4" xfId="48984"/>
    <cellStyle name="Comma 8 3 2 4 4 2" xfId="48985"/>
    <cellStyle name="Comma 8 3 2 4 4 2 2" xfId="48986"/>
    <cellStyle name="Comma 8 3 2 4 4 2 3" xfId="48987"/>
    <cellStyle name="Comma 8 3 2 4 4 3" xfId="48988"/>
    <cellStyle name="Comma 8 3 2 4 4 3 2" xfId="48989"/>
    <cellStyle name="Comma 8 3 2 4 4 4" xfId="48990"/>
    <cellStyle name="Comma 8 3 2 4 4 5" xfId="48991"/>
    <cellStyle name="Comma 8 3 2 4 5" xfId="48992"/>
    <cellStyle name="Comma 8 3 2 4 5 2" xfId="48993"/>
    <cellStyle name="Comma 8 3 2 4 5 3" xfId="48994"/>
    <cellStyle name="Comma 8 3 2 4 6" xfId="48995"/>
    <cellStyle name="Comma 8 3 2 4 6 2" xfId="48996"/>
    <cellStyle name="Comma 8 3 2 4 6 3" xfId="48997"/>
    <cellStyle name="Comma 8 3 2 4 7" xfId="48998"/>
    <cellStyle name="Comma 8 3 2 4 7 2" xfId="48999"/>
    <cellStyle name="Comma 8 3 2 4 8" xfId="49000"/>
    <cellStyle name="Comma 8 3 2 4 9" xfId="49001"/>
    <cellStyle name="Comma 8 3 2 5" xfId="49002"/>
    <cellStyle name="Comma 8 3 2 5 2" xfId="49003"/>
    <cellStyle name="Comma 8 3 2 5 2 2" xfId="49004"/>
    <cellStyle name="Comma 8 3 2 5 2 3" xfId="49005"/>
    <cellStyle name="Comma 8 3 2 5 3" xfId="49006"/>
    <cellStyle name="Comma 8 3 2 5 3 2" xfId="49007"/>
    <cellStyle name="Comma 8 3 2 5 3 3" xfId="49008"/>
    <cellStyle name="Comma 8 3 2 5 4" xfId="49009"/>
    <cellStyle name="Comma 8 3 2 5 4 2" xfId="49010"/>
    <cellStyle name="Comma 8 3 2 5 5" xfId="49011"/>
    <cellStyle name="Comma 8 3 2 5 6" xfId="49012"/>
    <cellStyle name="Comma 8 3 2 6" xfId="49013"/>
    <cellStyle name="Comma 8 3 2 6 2" xfId="49014"/>
    <cellStyle name="Comma 8 3 2 6 2 2" xfId="49015"/>
    <cellStyle name="Comma 8 3 2 6 2 3" xfId="49016"/>
    <cellStyle name="Comma 8 3 2 6 3" xfId="49017"/>
    <cellStyle name="Comma 8 3 2 6 3 2" xfId="49018"/>
    <cellStyle name="Comma 8 3 2 6 3 3" xfId="49019"/>
    <cellStyle name="Comma 8 3 2 6 4" xfId="49020"/>
    <cellStyle name="Comma 8 3 2 6 4 2" xfId="49021"/>
    <cellStyle name="Comma 8 3 2 6 5" xfId="49022"/>
    <cellStyle name="Comma 8 3 2 6 6" xfId="49023"/>
    <cellStyle name="Comma 8 3 2 7" xfId="49024"/>
    <cellStyle name="Comma 8 3 2 7 2" xfId="49025"/>
    <cellStyle name="Comma 8 3 2 7 2 2" xfId="49026"/>
    <cellStyle name="Comma 8 3 2 7 2 3" xfId="49027"/>
    <cellStyle name="Comma 8 3 2 7 3" xfId="49028"/>
    <cellStyle name="Comma 8 3 2 7 3 2" xfId="49029"/>
    <cellStyle name="Comma 8 3 2 7 4" xfId="49030"/>
    <cellStyle name="Comma 8 3 2 7 5" xfId="49031"/>
    <cellStyle name="Comma 8 3 2 8" xfId="49032"/>
    <cellStyle name="Comma 8 3 2 8 2" xfId="49033"/>
    <cellStyle name="Comma 8 3 2 8 3" xfId="49034"/>
    <cellStyle name="Comma 8 3 2 9" xfId="49035"/>
    <cellStyle name="Comma 8 3 2 9 2" xfId="49036"/>
    <cellStyle name="Comma 8 3 2 9 3" xfId="49037"/>
    <cellStyle name="Comma 8 3 3" xfId="9149"/>
    <cellStyle name="Comma 8 3 3 10" xfId="49038"/>
    <cellStyle name="Comma 8 3 3 2" xfId="49039"/>
    <cellStyle name="Comma 8 3 3 2 2" xfId="49040"/>
    <cellStyle name="Comma 8 3 3 2 2 2" xfId="49041"/>
    <cellStyle name="Comma 8 3 3 2 2 2 2" xfId="49042"/>
    <cellStyle name="Comma 8 3 3 2 2 2 3" xfId="49043"/>
    <cellStyle name="Comma 8 3 3 2 2 3" xfId="49044"/>
    <cellStyle name="Comma 8 3 3 2 2 3 2" xfId="49045"/>
    <cellStyle name="Comma 8 3 3 2 2 3 3" xfId="49046"/>
    <cellStyle name="Comma 8 3 3 2 2 4" xfId="49047"/>
    <cellStyle name="Comma 8 3 3 2 2 4 2" xfId="49048"/>
    <cellStyle name="Comma 8 3 3 2 2 5" xfId="49049"/>
    <cellStyle name="Comma 8 3 3 2 2 6" xfId="49050"/>
    <cellStyle name="Comma 8 3 3 2 3" xfId="49051"/>
    <cellStyle name="Comma 8 3 3 2 3 2" xfId="49052"/>
    <cellStyle name="Comma 8 3 3 2 3 2 2" xfId="49053"/>
    <cellStyle name="Comma 8 3 3 2 3 2 3" xfId="49054"/>
    <cellStyle name="Comma 8 3 3 2 3 3" xfId="49055"/>
    <cellStyle name="Comma 8 3 3 2 3 3 2" xfId="49056"/>
    <cellStyle name="Comma 8 3 3 2 3 3 3" xfId="49057"/>
    <cellStyle name="Comma 8 3 3 2 3 4" xfId="49058"/>
    <cellStyle name="Comma 8 3 3 2 3 4 2" xfId="49059"/>
    <cellStyle name="Comma 8 3 3 2 3 5" xfId="49060"/>
    <cellStyle name="Comma 8 3 3 2 3 6" xfId="49061"/>
    <cellStyle name="Comma 8 3 3 2 4" xfId="49062"/>
    <cellStyle name="Comma 8 3 3 2 4 2" xfId="49063"/>
    <cellStyle name="Comma 8 3 3 2 4 2 2" xfId="49064"/>
    <cellStyle name="Comma 8 3 3 2 4 2 3" xfId="49065"/>
    <cellStyle name="Comma 8 3 3 2 4 3" xfId="49066"/>
    <cellStyle name="Comma 8 3 3 2 4 3 2" xfId="49067"/>
    <cellStyle name="Comma 8 3 3 2 4 4" xfId="49068"/>
    <cellStyle name="Comma 8 3 3 2 4 5" xfId="49069"/>
    <cellStyle name="Comma 8 3 3 2 5" xfId="49070"/>
    <cellStyle name="Comma 8 3 3 2 5 2" xfId="49071"/>
    <cellStyle name="Comma 8 3 3 2 5 3" xfId="49072"/>
    <cellStyle name="Comma 8 3 3 2 6" xfId="49073"/>
    <cellStyle name="Comma 8 3 3 2 6 2" xfId="49074"/>
    <cellStyle name="Comma 8 3 3 2 6 3" xfId="49075"/>
    <cellStyle name="Comma 8 3 3 2 7" xfId="49076"/>
    <cellStyle name="Comma 8 3 3 2 7 2" xfId="49077"/>
    <cellStyle name="Comma 8 3 3 2 8" xfId="49078"/>
    <cellStyle name="Comma 8 3 3 2 9" xfId="49079"/>
    <cellStyle name="Comma 8 3 3 3" xfId="49080"/>
    <cellStyle name="Comma 8 3 3 3 2" xfId="49081"/>
    <cellStyle name="Comma 8 3 3 3 2 2" xfId="49082"/>
    <cellStyle name="Comma 8 3 3 3 2 3" xfId="49083"/>
    <cellStyle name="Comma 8 3 3 3 3" xfId="49084"/>
    <cellStyle name="Comma 8 3 3 3 3 2" xfId="49085"/>
    <cellStyle name="Comma 8 3 3 3 3 3" xfId="49086"/>
    <cellStyle name="Comma 8 3 3 3 4" xfId="49087"/>
    <cellStyle name="Comma 8 3 3 3 4 2" xfId="49088"/>
    <cellStyle name="Comma 8 3 3 3 5" xfId="49089"/>
    <cellStyle name="Comma 8 3 3 3 6" xfId="49090"/>
    <cellStyle name="Comma 8 3 3 4" xfId="49091"/>
    <cellStyle name="Comma 8 3 3 4 2" xfId="49092"/>
    <cellStyle name="Comma 8 3 3 4 2 2" xfId="49093"/>
    <cellStyle name="Comma 8 3 3 4 2 3" xfId="49094"/>
    <cellStyle name="Comma 8 3 3 4 3" xfId="49095"/>
    <cellStyle name="Comma 8 3 3 4 3 2" xfId="49096"/>
    <cellStyle name="Comma 8 3 3 4 3 3" xfId="49097"/>
    <cellStyle name="Comma 8 3 3 4 4" xfId="49098"/>
    <cellStyle name="Comma 8 3 3 4 4 2" xfId="49099"/>
    <cellStyle name="Comma 8 3 3 4 5" xfId="49100"/>
    <cellStyle name="Comma 8 3 3 4 6" xfId="49101"/>
    <cellStyle name="Comma 8 3 3 5" xfId="49102"/>
    <cellStyle name="Comma 8 3 3 5 2" xfId="49103"/>
    <cellStyle name="Comma 8 3 3 5 2 2" xfId="49104"/>
    <cellStyle name="Comma 8 3 3 5 2 3" xfId="49105"/>
    <cellStyle name="Comma 8 3 3 5 3" xfId="49106"/>
    <cellStyle name="Comma 8 3 3 5 3 2" xfId="49107"/>
    <cellStyle name="Comma 8 3 3 5 4" xfId="49108"/>
    <cellStyle name="Comma 8 3 3 5 5" xfId="49109"/>
    <cellStyle name="Comma 8 3 3 6" xfId="49110"/>
    <cellStyle name="Comma 8 3 3 6 2" xfId="49111"/>
    <cellStyle name="Comma 8 3 3 6 3" xfId="49112"/>
    <cellStyle name="Comma 8 3 3 7" xfId="49113"/>
    <cellStyle name="Comma 8 3 3 7 2" xfId="49114"/>
    <cellStyle name="Comma 8 3 3 7 3" xfId="49115"/>
    <cellStyle name="Comma 8 3 3 8" xfId="49116"/>
    <cellStyle name="Comma 8 3 3 8 2" xfId="49117"/>
    <cellStyle name="Comma 8 3 3 9" xfId="49118"/>
    <cellStyle name="Comma 8 3 4" xfId="49119"/>
    <cellStyle name="Comma 8 3 4 2" xfId="49120"/>
    <cellStyle name="Comma 8 3 4 2 2" xfId="49121"/>
    <cellStyle name="Comma 8 3 4 2 2 2" xfId="49122"/>
    <cellStyle name="Comma 8 3 4 2 2 3" xfId="49123"/>
    <cellStyle name="Comma 8 3 4 2 3" xfId="49124"/>
    <cellStyle name="Comma 8 3 4 2 3 2" xfId="49125"/>
    <cellStyle name="Comma 8 3 4 2 3 3" xfId="49126"/>
    <cellStyle name="Comma 8 3 4 2 4" xfId="49127"/>
    <cellStyle name="Comma 8 3 4 2 4 2" xfId="49128"/>
    <cellStyle name="Comma 8 3 4 2 5" xfId="49129"/>
    <cellStyle name="Comma 8 3 4 2 6" xfId="49130"/>
    <cellStyle name="Comma 8 3 4 3" xfId="49131"/>
    <cellStyle name="Comma 8 3 4 3 2" xfId="49132"/>
    <cellStyle name="Comma 8 3 4 3 2 2" xfId="49133"/>
    <cellStyle name="Comma 8 3 4 3 2 3" xfId="49134"/>
    <cellStyle name="Comma 8 3 4 3 3" xfId="49135"/>
    <cellStyle name="Comma 8 3 4 3 3 2" xfId="49136"/>
    <cellStyle name="Comma 8 3 4 3 3 3" xfId="49137"/>
    <cellStyle name="Comma 8 3 4 3 4" xfId="49138"/>
    <cellStyle name="Comma 8 3 4 3 4 2" xfId="49139"/>
    <cellStyle name="Comma 8 3 4 3 5" xfId="49140"/>
    <cellStyle name="Comma 8 3 4 3 6" xfId="49141"/>
    <cellStyle name="Comma 8 3 4 4" xfId="49142"/>
    <cellStyle name="Comma 8 3 4 4 2" xfId="49143"/>
    <cellStyle name="Comma 8 3 4 4 2 2" xfId="49144"/>
    <cellStyle name="Comma 8 3 4 4 2 3" xfId="49145"/>
    <cellStyle name="Comma 8 3 4 4 3" xfId="49146"/>
    <cellStyle name="Comma 8 3 4 4 3 2" xfId="49147"/>
    <cellStyle name="Comma 8 3 4 4 4" xfId="49148"/>
    <cellStyle name="Comma 8 3 4 4 5" xfId="49149"/>
    <cellStyle name="Comma 8 3 4 5" xfId="49150"/>
    <cellStyle name="Comma 8 3 4 5 2" xfId="49151"/>
    <cellStyle name="Comma 8 3 4 5 3" xfId="49152"/>
    <cellStyle name="Comma 8 3 4 6" xfId="49153"/>
    <cellStyle name="Comma 8 3 4 6 2" xfId="49154"/>
    <cellStyle name="Comma 8 3 4 6 3" xfId="49155"/>
    <cellStyle name="Comma 8 3 4 7" xfId="49156"/>
    <cellStyle name="Comma 8 3 4 7 2" xfId="49157"/>
    <cellStyle name="Comma 8 3 4 8" xfId="49158"/>
    <cellStyle name="Comma 8 3 4 9" xfId="49159"/>
    <cellStyle name="Comma 8 3 5" xfId="49160"/>
    <cellStyle name="Comma 8 3 5 2" xfId="49161"/>
    <cellStyle name="Comma 8 3 5 2 2" xfId="49162"/>
    <cellStyle name="Comma 8 3 5 2 2 2" xfId="49163"/>
    <cellStyle name="Comma 8 3 5 2 2 3" xfId="49164"/>
    <cellStyle name="Comma 8 3 5 2 3" xfId="49165"/>
    <cellStyle name="Comma 8 3 5 2 3 2" xfId="49166"/>
    <cellStyle name="Comma 8 3 5 2 3 3" xfId="49167"/>
    <cellStyle name="Comma 8 3 5 2 4" xfId="49168"/>
    <cellStyle name="Comma 8 3 5 2 4 2" xfId="49169"/>
    <cellStyle name="Comma 8 3 5 2 5" xfId="49170"/>
    <cellStyle name="Comma 8 3 5 2 6" xfId="49171"/>
    <cellStyle name="Comma 8 3 5 3" xfId="49172"/>
    <cellStyle name="Comma 8 3 5 3 2" xfId="49173"/>
    <cellStyle name="Comma 8 3 5 3 2 2" xfId="49174"/>
    <cellStyle name="Comma 8 3 5 3 2 3" xfId="49175"/>
    <cellStyle name="Comma 8 3 5 3 3" xfId="49176"/>
    <cellStyle name="Comma 8 3 5 3 3 2" xfId="49177"/>
    <cellStyle name="Comma 8 3 5 3 3 3" xfId="49178"/>
    <cellStyle name="Comma 8 3 5 3 4" xfId="49179"/>
    <cellStyle name="Comma 8 3 5 3 4 2" xfId="49180"/>
    <cellStyle name="Comma 8 3 5 3 5" xfId="49181"/>
    <cellStyle name="Comma 8 3 5 3 6" xfId="49182"/>
    <cellStyle name="Comma 8 3 5 4" xfId="49183"/>
    <cellStyle name="Comma 8 3 5 4 2" xfId="49184"/>
    <cellStyle name="Comma 8 3 5 4 2 2" xfId="49185"/>
    <cellStyle name="Comma 8 3 5 4 2 3" xfId="49186"/>
    <cellStyle name="Comma 8 3 5 4 3" xfId="49187"/>
    <cellStyle name="Comma 8 3 5 4 3 2" xfId="49188"/>
    <cellStyle name="Comma 8 3 5 4 4" xfId="49189"/>
    <cellStyle name="Comma 8 3 5 4 5" xfId="49190"/>
    <cellStyle name="Comma 8 3 5 5" xfId="49191"/>
    <cellStyle name="Comma 8 3 5 5 2" xfId="49192"/>
    <cellStyle name="Comma 8 3 5 5 3" xfId="49193"/>
    <cellStyle name="Comma 8 3 5 6" xfId="49194"/>
    <cellStyle name="Comma 8 3 5 6 2" xfId="49195"/>
    <cellStyle name="Comma 8 3 5 6 3" xfId="49196"/>
    <cellStyle name="Comma 8 3 5 7" xfId="49197"/>
    <cellStyle name="Comma 8 3 5 7 2" xfId="49198"/>
    <cellStyle name="Comma 8 3 5 8" xfId="49199"/>
    <cellStyle name="Comma 8 3 5 9" xfId="49200"/>
    <cellStyle name="Comma 8 3 6" xfId="49201"/>
    <cellStyle name="Comma 8 3 6 2" xfId="49202"/>
    <cellStyle name="Comma 8 3 6 2 2" xfId="49203"/>
    <cellStyle name="Comma 8 3 6 2 3" xfId="49204"/>
    <cellStyle name="Comma 8 3 6 3" xfId="49205"/>
    <cellStyle name="Comma 8 3 6 3 2" xfId="49206"/>
    <cellStyle name="Comma 8 3 6 3 3" xfId="49207"/>
    <cellStyle name="Comma 8 3 6 4" xfId="49208"/>
    <cellStyle name="Comma 8 3 6 4 2" xfId="49209"/>
    <cellStyle name="Comma 8 3 6 5" xfId="49210"/>
    <cellStyle name="Comma 8 3 6 6" xfId="49211"/>
    <cellStyle name="Comma 8 3 7" xfId="49212"/>
    <cellStyle name="Comma 8 3 7 2" xfId="49213"/>
    <cellStyle name="Comma 8 3 7 2 2" xfId="49214"/>
    <cellStyle name="Comma 8 3 7 2 3" xfId="49215"/>
    <cellStyle name="Comma 8 3 7 3" xfId="49216"/>
    <cellStyle name="Comma 8 3 7 3 2" xfId="49217"/>
    <cellStyle name="Comma 8 3 7 3 3" xfId="49218"/>
    <cellStyle name="Comma 8 3 7 4" xfId="49219"/>
    <cellStyle name="Comma 8 3 7 4 2" xfId="49220"/>
    <cellStyle name="Comma 8 3 7 5" xfId="49221"/>
    <cellStyle name="Comma 8 3 7 6" xfId="49222"/>
    <cellStyle name="Comma 8 3 8" xfId="49223"/>
    <cellStyle name="Comma 8 3 8 2" xfId="49224"/>
    <cellStyle name="Comma 8 3 8 2 2" xfId="49225"/>
    <cellStyle name="Comma 8 3 8 2 3" xfId="49226"/>
    <cellStyle name="Comma 8 3 8 3" xfId="49227"/>
    <cellStyle name="Comma 8 3 8 3 2" xfId="49228"/>
    <cellStyle name="Comma 8 3 8 4" xfId="49229"/>
    <cellStyle name="Comma 8 3 8 5" xfId="49230"/>
    <cellStyle name="Comma 8 3 9" xfId="49231"/>
    <cellStyle name="Comma 8 3 9 2" xfId="49232"/>
    <cellStyle name="Comma 8 3 9 3" xfId="49233"/>
    <cellStyle name="Comma 8 4" xfId="3744"/>
    <cellStyle name="Comma 8 4 10" xfId="49234"/>
    <cellStyle name="Comma 8 4 10 2" xfId="49235"/>
    <cellStyle name="Comma 8 4 11" xfId="49236"/>
    <cellStyle name="Comma 8 4 12" xfId="49237"/>
    <cellStyle name="Comma 8 4 13" xfId="49238"/>
    <cellStyle name="Comma 8 4 2" xfId="9150"/>
    <cellStyle name="Comma 8 4 2 10" xfId="49239"/>
    <cellStyle name="Comma 8 4 2 2" xfId="49240"/>
    <cellStyle name="Comma 8 4 2 2 2" xfId="49241"/>
    <cellStyle name="Comma 8 4 2 2 2 2" xfId="49242"/>
    <cellStyle name="Comma 8 4 2 2 2 2 2" xfId="49243"/>
    <cellStyle name="Comma 8 4 2 2 2 2 3" xfId="49244"/>
    <cellStyle name="Comma 8 4 2 2 2 3" xfId="49245"/>
    <cellStyle name="Comma 8 4 2 2 2 3 2" xfId="49246"/>
    <cellStyle name="Comma 8 4 2 2 2 3 3" xfId="49247"/>
    <cellStyle name="Comma 8 4 2 2 2 4" xfId="49248"/>
    <cellStyle name="Comma 8 4 2 2 2 4 2" xfId="49249"/>
    <cellStyle name="Comma 8 4 2 2 2 5" xfId="49250"/>
    <cellStyle name="Comma 8 4 2 2 2 6" xfId="49251"/>
    <cellStyle name="Comma 8 4 2 2 3" xfId="49252"/>
    <cellStyle name="Comma 8 4 2 2 3 2" xfId="49253"/>
    <cellStyle name="Comma 8 4 2 2 3 2 2" xfId="49254"/>
    <cellStyle name="Comma 8 4 2 2 3 2 3" xfId="49255"/>
    <cellStyle name="Comma 8 4 2 2 3 3" xfId="49256"/>
    <cellStyle name="Comma 8 4 2 2 3 3 2" xfId="49257"/>
    <cellStyle name="Comma 8 4 2 2 3 3 3" xfId="49258"/>
    <cellStyle name="Comma 8 4 2 2 3 4" xfId="49259"/>
    <cellStyle name="Comma 8 4 2 2 3 4 2" xfId="49260"/>
    <cellStyle name="Comma 8 4 2 2 3 5" xfId="49261"/>
    <cellStyle name="Comma 8 4 2 2 3 6" xfId="49262"/>
    <cellStyle name="Comma 8 4 2 2 4" xfId="49263"/>
    <cellStyle name="Comma 8 4 2 2 4 2" xfId="49264"/>
    <cellStyle name="Comma 8 4 2 2 4 2 2" xfId="49265"/>
    <cellStyle name="Comma 8 4 2 2 4 2 3" xfId="49266"/>
    <cellStyle name="Comma 8 4 2 2 4 3" xfId="49267"/>
    <cellStyle name="Comma 8 4 2 2 4 3 2" xfId="49268"/>
    <cellStyle name="Comma 8 4 2 2 4 4" xfId="49269"/>
    <cellStyle name="Comma 8 4 2 2 4 5" xfId="49270"/>
    <cellStyle name="Comma 8 4 2 2 5" xfId="49271"/>
    <cellStyle name="Comma 8 4 2 2 5 2" xfId="49272"/>
    <cellStyle name="Comma 8 4 2 2 5 3" xfId="49273"/>
    <cellStyle name="Comma 8 4 2 2 6" xfId="49274"/>
    <cellStyle name="Comma 8 4 2 2 6 2" xfId="49275"/>
    <cellStyle name="Comma 8 4 2 2 6 3" xfId="49276"/>
    <cellStyle name="Comma 8 4 2 2 7" xfId="49277"/>
    <cellStyle name="Comma 8 4 2 2 7 2" xfId="49278"/>
    <cellStyle name="Comma 8 4 2 2 8" xfId="49279"/>
    <cellStyle name="Comma 8 4 2 2 9" xfId="49280"/>
    <cellStyle name="Comma 8 4 2 3" xfId="49281"/>
    <cellStyle name="Comma 8 4 2 3 2" xfId="49282"/>
    <cellStyle name="Comma 8 4 2 3 2 2" xfId="49283"/>
    <cellStyle name="Comma 8 4 2 3 2 3" xfId="49284"/>
    <cellStyle name="Comma 8 4 2 3 3" xfId="49285"/>
    <cellStyle name="Comma 8 4 2 3 3 2" xfId="49286"/>
    <cellStyle name="Comma 8 4 2 3 3 3" xfId="49287"/>
    <cellStyle name="Comma 8 4 2 3 4" xfId="49288"/>
    <cellStyle name="Comma 8 4 2 3 4 2" xfId="49289"/>
    <cellStyle name="Comma 8 4 2 3 5" xfId="49290"/>
    <cellStyle name="Comma 8 4 2 3 6" xfId="49291"/>
    <cellStyle name="Comma 8 4 2 4" xfId="49292"/>
    <cellStyle name="Comma 8 4 2 4 2" xfId="49293"/>
    <cellStyle name="Comma 8 4 2 4 2 2" xfId="49294"/>
    <cellStyle name="Comma 8 4 2 4 2 3" xfId="49295"/>
    <cellStyle name="Comma 8 4 2 4 3" xfId="49296"/>
    <cellStyle name="Comma 8 4 2 4 3 2" xfId="49297"/>
    <cellStyle name="Comma 8 4 2 4 3 3" xfId="49298"/>
    <cellStyle name="Comma 8 4 2 4 4" xfId="49299"/>
    <cellStyle name="Comma 8 4 2 4 4 2" xfId="49300"/>
    <cellStyle name="Comma 8 4 2 4 5" xfId="49301"/>
    <cellStyle name="Comma 8 4 2 4 6" xfId="49302"/>
    <cellStyle name="Comma 8 4 2 5" xfId="49303"/>
    <cellStyle name="Comma 8 4 2 5 2" xfId="49304"/>
    <cellStyle name="Comma 8 4 2 5 2 2" xfId="49305"/>
    <cellStyle name="Comma 8 4 2 5 2 3" xfId="49306"/>
    <cellStyle name="Comma 8 4 2 5 3" xfId="49307"/>
    <cellStyle name="Comma 8 4 2 5 3 2" xfId="49308"/>
    <cellStyle name="Comma 8 4 2 5 4" xfId="49309"/>
    <cellStyle name="Comma 8 4 2 5 5" xfId="49310"/>
    <cellStyle name="Comma 8 4 2 6" xfId="49311"/>
    <cellStyle name="Comma 8 4 2 6 2" xfId="49312"/>
    <cellStyle name="Comma 8 4 2 6 3" xfId="49313"/>
    <cellStyle name="Comma 8 4 2 7" xfId="49314"/>
    <cellStyle name="Comma 8 4 2 7 2" xfId="49315"/>
    <cellStyle name="Comma 8 4 2 7 3" xfId="49316"/>
    <cellStyle name="Comma 8 4 2 8" xfId="49317"/>
    <cellStyle name="Comma 8 4 2 8 2" xfId="49318"/>
    <cellStyle name="Comma 8 4 2 9" xfId="49319"/>
    <cellStyle name="Comma 8 4 3" xfId="49320"/>
    <cellStyle name="Comma 8 4 3 2" xfId="49321"/>
    <cellStyle name="Comma 8 4 3 2 2" xfId="49322"/>
    <cellStyle name="Comma 8 4 3 2 2 2" xfId="49323"/>
    <cellStyle name="Comma 8 4 3 2 2 3" xfId="49324"/>
    <cellStyle name="Comma 8 4 3 2 3" xfId="49325"/>
    <cellStyle name="Comma 8 4 3 2 3 2" xfId="49326"/>
    <cellStyle name="Comma 8 4 3 2 3 3" xfId="49327"/>
    <cellStyle name="Comma 8 4 3 2 4" xfId="49328"/>
    <cellStyle name="Comma 8 4 3 2 4 2" xfId="49329"/>
    <cellStyle name="Comma 8 4 3 2 5" xfId="49330"/>
    <cellStyle name="Comma 8 4 3 2 6" xfId="49331"/>
    <cellStyle name="Comma 8 4 3 3" xfId="49332"/>
    <cellStyle name="Comma 8 4 3 3 2" xfId="49333"/>
    <cellStyle name="Comma 8 4 3 3 2 2" xfId="49334"/>
    <cellStyle name="Comma 8 4 3 3 2 3" xfId="49335"/>
    <cellStyle name="Comma 8 4 3 3 3" xfId="49336"/>
    <cellStyle name="Comma 8 4 3 3 3 2" xfId="49337"/>
    <cellStyle name="Comma 8 4 3 3 3 3" xfId="49338"/>
    <cellStyle name="Comma 8 4 3 3 4" xfId="49339"/>
    <cellStyle name="Comma 8 4 3 3 4 2" xfId="49340"/>
    <cellStyle name="Comma 8 4 3 3 5" xfId="49341"/>
    <cellStyle name="Comma 8 4 3 3 6" xfId="49342"/>
    <cellStyle name="Comma 8 4 3 4" xfId="49343"/>
    <cellStyle name="Comma 8 4 3 4 2" xfId="49344"/>
    <cellStyle name="Comma 8 4 3 4 2 2" xfId="49345"/>
    <cellStyle name="Comma 8 4 3 4 2 3" xfId="49346"/>
    <cellStyle name="Comma 8 4 3 4 3" xfId="49347"/>
    <cellStyle name="Comma 8 4 3 4 3 2" xfId="49348"/>
    <cellStyle name="Comma 8 4 3 4 4" xfId="49349"/>
    <cellStyle name="Comma 8 4 3 4 5" xfId="49350"/>
    <cellStyle name="Comma 8 4 3 5" xfId="49351"/>
    <cellStyle name="Comma 8 4 3 5 2" xfId="49352"/>
    <cellStyle name="Comma 8 4 3 5 3" xfId="49353"/>
    <cellStyle name="Comma 8 4 3 6" xfId="49354"/>
    <cellStyle name="Comma 8 4 3 6 2" xfId="49355"/>
    <cellStyle name="Comma 8 4 3 6 3" xfId="49356"/>
    <cellStyle name="Comma 8 4 3 7" xfId="49357"/>
    <cellStyle name="Comma 8 4 3 7 2" xfId="49358"/>
    <cellStyle name="Comma 8 4 3 8" xfId="49359"/>
    <cellStyle name="Comma 8 4 3 9" xfId="49360"/>
    <cellStyle name="Comma 8 4 4" xfId="49361"/>
    <cellStyle name="Comma 8 4 4 2" xfId="49362"/>
    <cellStyle name="Comma 8 4 4 2 2" xfId="49363"/>
    <cellStyle name="Comma 8 4 4 2 2 2" xfId="49364"/>
    <cellStyle name="Comma 8 4 4 2 2 3" xfId="49365"/>
    <cellStyle name="Comma 8 4 4 2 3" xfId="49366"/>
    <cellStyle name="Comma 8 4 4 2 3 2" xfId="49367"/>
    <cellStyle name="Comma 8 4 4 2 3 3" xfId="49368"/>
    <cellStyle name="Comma 8 4 4 2 4" xfId="49369"/>
    <cellStyle name="Comma 8 4 4 2 4 2" xfId="49370"/>
    <cellStyle name="Comma 8 4 4 2 5" xfId="49371"/>
    <cellStyle name="Comma 8 4 4 2 6" xfId="49372"/>
    <cellStyle name="Comma 8 4 4 3" xfId="49373"/>
    <cellStyle name="Comma 8 4 4 3 2" xfId="49374"/>
    <cellStyle name="Comma 8 4 4 3 2 2" xfId="49375"/>
    <cellStyle name="Comma 8 4 4 3 2 3" xfId="49376"/>
    <cellStyle name="Comma 8 4 4 3 3" xfId="49377"/>
    <cellStyle name="Comma 8 4 4 3 3 2" xfId="49378"/>
    <cellStyle name="Comma 8 4 4 3 3 3" xfId="49379"/>
    <cellStyle name="Comma 8 4 4 3 4" xfId="49380"/>
    <cellStyle name="Comma 8 4 4 3 4 2" xfId="49381"/>
    <cellStyle name="Comma 8 4 4 3 5" xfId="49382"/>
    <cellStyle name="Comma 8 4 4 3 6" xfId="49383"/>
    <cellStyle name="Comma 8 4 4 4" xfId="49384"/>
    <cellStyle name="Comma 8 4 4 4 2" xfId="49385"/>
    <cellStyle name="Comma 8 4 4 4 2 2" xfId="49386"/>
    <cellStyle name="Comma 8 4 4 4 2 3" xfId="49387"/>
    <cellStyle name="Comma 8 4 4 4 3" xfId="49388"/>
    <cellStyle name="Comma 8 4 4 4 3 2" xfId="49389"/>
    <cellStyle name="Comma 8 4 4 4 4" xfId="49390"/>
    <cellStyle name="Comma 8 4 4 4 5" xfId="49391"/>
    <cellStyle name="Comma 8 4 4 5" xfId="49392"/>
    <cellStyle name="Comma 8 4 4 5 2" xfId="49393"/>
    <cellStyle name="Comma 8 4 4 5 3" xfId="49394"/>
    <cellStyle name="Comma 8 4 4 6" xfId="49395"/>
    <cellStyle name="Comma 8 4 4 6 2" xfId="49396"/>
    <cellStyle name="Comma 8 4 4 6 3" xfId="49397"/>
    <cellStyle name="Comma 8 4 4 7" xfId="49398"/>
    <cellStyle name="Comma 8 4 4 7 2" xfId="49399"/>
    <cellStyle name="Comma 8 4 4 8" xfId="49400"/>
    <cellStyle name="Comma 8 4 4 9" xfId="49401"/>
    <cellStyle name="Comma 8 4 5" xfId="49402"/>
    <cellStyle name="Comma 8 4 5 2" xfId="49403"/>
    <cellStyle name="Comma 8 4 5 2 2" xfId="49404"/>
    <cellStyle name="Comma 8 4 5 2 3" xfId="49405"/>
    <cellStyle name="Comma 8 4 5 3" xfId="49406"/>
    <cellStyle name="Comma 8 4 5 3 2" xfId="49407"/>
    <cellStyle name="Comma 8 4 5 3 3" xfId="49408"/>
    <cellStyle name="Comma 8 4 5 4" xfId="49409"/>
    <cellStyle name="Comma 8 4 5 4 2" xfId="49410"/>
    <cellStyle name="Comma 8 4 5 5" xfId="49411"/>
    <cellStyle name="Comma 8 4 5 6" xfId="49412"/>
    <cellStyle name="Comma 8 4 6" xfId="49413"/>
    <cellStyle name="Comma 8 4 6 2" xfId="49414"/>
    <cellStyle name="Comma 8 4 6 2 2" xfId="49415"/>
    <cellStyle name="Comma 8 4 6 2 3" xfId="49416"/>
    <cellStyle name="Comma 8 4 6 3" xfId="49417"/>
    <cellStyle name="Comma 8 4 6 3 2" xfId="49418"/>
    <cellStyle name="Comma 8 4 6 3 3" xfId="49419"/>
    <cellStyle name="Comma 8 4 6 4" xfId="49420"/>
    <cellStyle name="Comma 8 4 6 4 2" xfId="49421"/>
    <cellStyle name="Comma 8 4 6 5" xfId="49422"/>
    <cellStyle name="Comma 8 4 6 6" xfId="49423"/>
    <cellStyle name="Comma 8 4 7" xfId="49424"/>
    <cellStyle name="Comma 8 4 7 2" xfId="49425"/>
    <cellStyle name="Comma 8 4 7 2 2" xfId="49426"/>
    <cellStyle name="Comma 8 4 7 2 3" xfId="49427"/>
    <cellStyle name="Comma 8 4 7 3" xfId="49428"/>
    <cellStyle name="Comma 8 4 7 3 2" xfId="49429"/>
    <cellStyle name="Comma 8 4 7 4" xfId="49430"/>
    <cellStyle name="Comma 8 4 7 5" xfId="49431"/>
    <cellStyle name="Comma 8 4 8" xfId="49432"/>
    <cellStyle name="Comma 8 4 8 2" xfId="49433"/>
    <cellStyle name="Comma 8 4 8 3" xfId="49434"/>
    <cellStyle name="Comma 8 4 9" xfId="49435"/>
    <cellStyle name="Comma 8 4 9 2" xfId="49436"/>
    <cellStyle name="Comma 8 4 9 3" xfId="49437"/>
    <cellStyle name="Comma 8 5" xfId="3745"/>
    <cellStyle name="Comma 8 5 10" xfId="49438"/>
    <cellStyle name="Comma 8 5 2" xfId="49439"/>
    <cellStyle name="Comma 8 5 2 2" xfId="49440"/>
    <cellStyle name="Comma 8 5 2 2 2" xfId="49441"/>
    <cellStyle name="Comma 8 5 2 2 2 2" xfId="49442"/>
    <cellStyle name="Comma 8 5 2 2 2 3" xfId="49443"/>
    <cellStyle name="Comma 8 5 2 2 3" xfId="49444"/>
    <cellStyle name="Comma 8 5 2 2 3 2" xfId="49445"/>
    <cellStyle name="Comma 8 5 2 2 3 3" xfId="49446"/>
    <cellStyle name="Comma 8 5 2 2 4" xfId="49447"/>
    <cellStyle name="Comma 8 5 2 2 4 2" xfId="49448"/>
    <cellStyle name="Comma 8 5 2 2 5" xfId="49449"/>
    <cellStyle name="Comma 8 5 2 2 6" xfId="49450"/>
    <cellStyle name="Comma 8 5 2 3" xfId="49451"/>
    <cellStyle name="Comma 8 5 2 3 2" xfId="49452"/>
    <cellStyle name="Comma 8 5 2 3 2 2" xfId="49453"/>
    <cellStyle name="Comma 8 5 2 3 2 3" xfId="49454"/>
    <cellStyle name="Comma 8 5 2 3 3" xfId="49455"/>
    <cellStyle name="Comma 8 5 2 3 3 2" xfId="49456"/>
    <cellStyle name="Comma 8 5 2 3 3 3" xfId="49457"/>
    <cellStyle name="Comma 8 5 2 3 4" xfId="49458"/>
    <cellStyle name="Comma 8 5 2 3 4 2" xfId="49459"/>
    <cellStyle name="Comma 8 5 2 3 5" xfId="49460"/>
    <cellStyle name="Comma 8 5 2 3 6" xfId="49461"/>
    <cellStyle name="Comma 8 5 2 4" xfId="49462"/>
    <cellStyle name="Comma 8 5 2 4 2" xfId="49463"/>
    <cellStyle name="Comma 8 5 2 4 2 2" xfId="49464"/>
    <cellStyle name="Comma 8 5 2 4 2 3" xfId="49465"/>
    <cellStyle name="Comma 8 5 2 4 3" xfId="49466"/>
    <cellStyle name="Comma 8 5 2 4 3 2" xfId="49467"/>
    <cellStyle name="Comma 8 5 2 4 4" xfId="49468"/>
    <cellStyle name="Comma 8 5 2 4 5" xfId="49469"/>
    <cellStyle name="Comma 8 5 2 5" xfId="49470"/>
    <cellStyle name="Comma 8 5 2 5 2" xfId="49471"/>
    <cellStyle name="Comma 8 5 2 5 3" xfId="49472"/>
    <cellStyle name="Comma 8 5 2 6" xfId="49473"/>
    <cellStyle name="Comma 8 5 2 6 2" xfId="49474"/>
    <cellStyle name="Comma 8 5 2 6 3" xfId="49475"/>
    <cellStyle name="Comma 8 5 2 7" xfId="49476"/>
    <cellStyle name="Comma 8 5 2 7 2" xfId="49477"/>
    <cellStyle name="Comma 8 5 2 8" xfId="49478"/>
    <cellStyle name="Comma 8 5 2 9" xfId="49479"/>
    <cellStyle name="Comma 8 5 3" xfId="49480"/>
    <cellStyle name="Comma 8 5 3 2" xfId="49481"/>
    <cellStyle name="Comma 8 5 3 2 2" xfId="49482"/>
    <cellStyle name="Comma 8 5 3 2 3" xfId="49483"/>
    <cellStyle name="Comma 8 5 3 3" xfId="49484"/>
    <cellStyle name="Comma 8 5 3 3 2" xfId="49485"/>
    <cellStyle name="Comma 8 5 3 3 3" xfId="49486"/>
    <cellStyle name="Comma 8 5 3 4" xfId="49487"/>
    <cellStyle name="Comma 8 5 3 4 2" xfId="49488"/>
    <cellStyle name="Comma 8 5 3 5" xfId="49489"/>
    <cellStyle name="Comma 8 5 3 6" xfId="49490"/>
    <cellStyle name="Comma 8 5 4" xfId="49491"/>
    <cellStyle name="Comma 8 5 4 2" xfId="49492"/>
    <cellStyle name="Comma 8 5 4 2 2" xfId="49493"/>
    <cellStyle name="Comma 8 5 4 2 3" xfId="49494"/>
    <cellStyle name="Comma 8 5 4 3" xfId="49495"/>
    <cellStyle name="Comma 8 5 4 3 2" xfId="49496"/>
    <cellStyle name="Comma 8 5 4 3 3" xfId="49497"/>
    <cellStyle name="Comma 8 5 4 4" xfId="49498"/>
    <cellStyle name="Comma 8 5 4 4 2" xfId="49499"/>
    <cellStyle name="Comma 8 5 4 5" xfId="49500"/>
    <cellStyle name="Comma 8 5 4 6" xfId="49501"/>
    <cellStyle name="Comma 8 5 5" xfId="49502"/>
    <cellStyle name="Comma 8 5 5 2" xfId="49503"/>
    <cellStyle name="Comma 8 5 5 2 2" xfId="49504"/>
    <cellStyle name="Comma 8 5 5 2 3" xfId="49505"/>
    <cellStyle name="Comma 8 5 5 3" xfId="49506"/>
    <cellStyle name="Comma 8 5 5 3 2" xfId="49507"/>
    <cellStyle name="Comma 8 5 5 4" xfId="49508"/>
    <cellStyle name="Comma 8 5 5 5" xfId="49509"/>
    <cellStyle name="Comma 8 5 6" xfId="49510"/>
    <cellStyle name="Comma 8 5 6 2" xfId="49511"/>
    <cellStyle name="Comma 8 5 6 3" xfId="49512"/>
    <cellStyle name="Comma 8 5 7" xfId="49513"/>
    <cellStyle name="Comma 8 5 7 2" xfId="49514"/>
    <cellStyle name="Comma 8 5 7 3" xfId="49515"/>
    <cellStyle name="Comma 8 5 8" xfId="49516"/>
    <cellStyle name="Comma 8 5 8 2" xfId="49517"/>
    <cellStyle name="Comma 8 5 9" xfId="49518"/>
    <cellStyle name="Comma 8 6" xfId="9151"/>
    <cellStyle name="Comma 8 6 2" xfId="49519"/>
    <cellStyle name="Comma 8 6 2 2" xfId="49520"/>
    <cellStyle name="Comma 8 6 2 2 2" xfId="49521"/>
    <cellStyle name="Comma 8 6 2 2 3" xfId="49522"/>
    <cellStyle name="Comma 8 6 2 3" xfId="49523"/>
    <cellStyle name="Comma 8 6 2 3 2" xfId="49524"/>
    <cellStyle name="Comma 8 6 2 3 3" xfId="49525"/>
    <cellStyle name="Comma 8 6 2 4" xfId="49526"/>
    <cellStyle name="Comma 8 6 2 4 2" xfId="49527"/>
    <cellStyle name="Comma 8 6 2 5" xfId="49528"/>
    <cellStyle name="Comma 8 6 2 6" xfId="49529"/>
    <cellStyle name="Comma 8 6 3" xfId="49530"/>
    <cellStyle name="Comma 8 6 3 2" xfId="49531"/>
    <cellStyle name="Comma 8 6 3 2 2" xfId="49532"/>
    <cellStyle name="Comma 8 6 3 2 3" xfId="49533"/>
    <cellStyle name="Comma 8 6 3 3" xfId="49534"/>
    <cellStyle name="Comma 8 6 3 3 2" xfId="49535"/>
    <cellStyle name="Comma 8 6 3 3 3" xfId="49536"/>
    <cellStyle name="Comma 8 6 3 4" xfId="49537"/>
    <cellStyle name="Comma 8 6 3 4 2" xfId="49538"/>
    <cellStyle name="Comma 8 6 3 5" xfId="49539"/>
    <cellStyle name="Comma 8 6 3 6" xfId="49540"/>
    <cellStyle name="Comma 8 6 4" xfId="49541"/>
    <cellStyle name="Comma 8 6 4 2" xfId="49542"/>
    <cellStyle name="Comma 8 6 4 2 2" xfId="49543"/>
    <cellStyle name="Comma 8 6 4 2 3" xfId="49544"/>
    <cellStyle name="Comma 8 6 4 3" xfId="49545"/>
    <cellStyle name="Comma 8 6 4 3 2" xfId="49546"/>
    <cellStyle name="Comma 8 6 4 4" xfId="49547"/>
    <cellStyle name="Comma 8 6 4 5" xfId="49548"/>
    <cellStyle name="Comma 8 6 5" xfId="49549"/>
    <cellStyle name="Comma 8 6 5 2" xfId="49550"/>
    <cellStyle name="Comma 8 6 5 3" xfId="49551"/>
    <cellStyle name="Comma 8 6 6" xfId="49552"/>
    <cellStyle name="Comma 8 6 6 2" xfId="49553"/>
    <cellStyle name="Comma 8 6 6 3" xfId="49554"/>
    <cellStyle name="Comma 8 6 7" xfId="49555"/>
    <cellStyle name="Comma 8 6 7 2" xfId="49556"/>
    <cellStyle name="Comma 8 6 8" xfId="49557"/>
    <cellStyle name="Comma 8 6 9" xfId="49558"/>
    <cellStyle name="Comma 8 7" xfId="49559"/>
    <cellStyle name="Comma 8 7 2" xfId="49560"/>
    <cellStyle name="Comma 8 7 2 2" xfId="49561"/>
    <cellStyle name="Comma 8 7 2 2 2" xfId="49562"/>
    <cellStyle name="Comma 8 7 2 2 3" xfId="49563"/>
    <cellStyle name="Comma 8 7 2 3" xfId="49564"/>
    <cellStyle name="Comma 8 7 2 3 2" xfId="49565"/>
    <cellStyle name="Comma 8 7 2 3 3" xfId="49566"/>
    <cellStyle name="Comma 8 7 2 4" xfId="49567"/>
    <cellStyle name="Comma 8 7 2 4 2" xfId="49568"/>
    <cellStyle name="Comma 8 7 2 5" xfId="49569"/>
    <cellStyle name="Comma 8 7 2 6" xfId="49570"/>
    <cellStyle name="Comma 8 7 3" xfId="49571"/>
    <cellStyle name="Comma 8 7 3 2" xfId="49572"/>
    <cellStyle name="Comma 8 7 3 2 2" xfId="49573"/>
    <cellStyle name="Comma 8 7 3 2 3" xfId="49574"/>
    <cellStyle name="Comma 8 7 3 3" xfId="49575"/>
    <cellStyle name="Comma 8 7 3 3 2" xfId="49576"/>
    <cellStyle name="Comma 8 7 3 3 3" xfId="49577"/>
    <cellStyle name="Comma 8 7 3 4" xfId="49578"/>
    <cellStyle name="Comma 8 7 3 4 2" xfId="49579"/>
    <cellStyle name="Comma 8 7 3 5" xfId="49580"/>
    <cellStyle name="Comma 8 7 3 6" xfId="49581"/>
    <cellStyle name="Comma 8 7 4" xfId="49582"/>
    <cellStyle name="Comma 8 7 4 2" xfId="49583"/>
    <cellStyle name="Comma 8 7 4 2 2" xfId="49584"/>
    <cellStyle name="Comma 8 7 4 2 3" xfId="49585"/>
    <cellStyle name="Comma 8 7 4 3" xfId="49586"/>
    <cellStyle name="Comma 8 7 4 3 2" xfId="49587"/>
    <cellStyle name="Comma 8 7 4 4" xfId="49588"/>
    <cellStyle name="Comma 8 7 4 5" xfId="49589"/>
    <cellStyle name="Comma 8 7 5" xfId="49590"/>
    <cellStyle name="Comma 8 7 5 2" xfId="49591"/>
    <cellStyle name="Comma 8 7 5 3" xfId="49592"/>
    <cellStyle name="Comma 8 7 6" xfId="49593"/>
    <cellStyle name="Comma 8 7 6 2" xfId="49594"/>
    <cellStyle name="Comma 8 7 6 3" xfId="49595"/>
    <cellStyle name="Comma 8 7 7" xfId="49596"/>
    <cellStyle name="Comma 8 7 7 2" xfId="49597"/>
    <cellStyle name="Comma 8 7 8" xfId="49598"/>
    <cellStyle name="Comma 8 7 9" xfId="49599"/>
    <cellStyle name="Comma 8 8" xfId="49600"/>
    <cellStyle name="Comma 8 8 2" xfId="49601"/>
    <cellStyle name="Comma 8 8 2 2" xfId="49602"/>
    <cellStyle name="Comma 8 8 2 3" xfId="49603"/>
    <cellStyle name="Comma 8 8 3" xfId="49604"/>
    <cellStyle name="Comma 8 8 3 2" xfId="49605"/>
    <cellStyle name="Comma 8 8 3 3" xfId="49606"/>
    <cellStyle name="Comma 8 8 4" xfId="49607"/>
    <cellStyle name="Comma 8 8 4 2" xfId="49608"/>
    <cellStyle name="Comma 8 8 5" xfId="49609"/>
    <cellStyle name="Comma 8 8 6" xfId="49610"/>
    <cellStyle name="Comma 8 9" xfId="49611"/>
    <cellStyle name="Comma 8 9 2" xfId="49612"/>
    <cellStyle name="Comma 8 9 2 2" xfId="49613"/>
    <cellStyle name="Comma 8 9 2 3" xfId="49614"/>
    <cellStyle name="Comma 8 9 3" xfId="49615"/>
    <cellStyle name="Comma 8 9 3 2" xfId="49616"/>
    <cellStyle name="Comma 8 9 3 3" xfId="49617"/>
    <cellStyle name="Comma 8 9 4" xfId="49618"/>
    <cellStyle name="Comma 8 9 4 2" xfId="49619"/>
    <cellStyle name="Comma 8 9 5" xfId="49620"/>
    <cellStyle name="Comma 8 9 6" xfId="49621"/>
    <cellStyle name="Comma 80" xfId="3746"/>
    <cellStyle name="Comma 81" xfId="3747"/>
    <cellStyle name="Comma 82" xfId="3748"/>
    <cellStyle name="Comma 83" xfId="3749"/>
    <cellStyle name="Comma 84" xfId="3750"/>
    <cellStyle name="Comma 85" xfId="3751"/>
    <cellStyle name="Comma 86" xfId="8668"/>
    <cellStyle name="Comma 87" xfId="8722"/>
    <cellStyle name="Comma 88" xfId="8723"/>
    <cellStyle name="Comma 89" xfId="8724"/>
    <cellStyle name="Comma 9" xfId="3752"/>
    <cellStyle name="Comma 9 10" xfId="9152"/>
    <cellStyle name="Comma 9 10 2" xfId="49622"/>
    <cellStyle name="Comma 9 10 2 2" xfId="49623"/>
    <cellStyle name="Comma 9 10 2 3" xfId="49624"/>
    <cellStyle name="Comma 9 10 3" xfId="49625"/>
    <cellStyle name="Comma 9 10 3 2" xfId="49626"/>
    <cellStyle name="Comma 9 10 4" xfId="49627"/>
    <cellStyle name="Comma 9 10 5" xfId="49628"/>
    <cellStyle name="Comma 9 11" xfId="49629"/>
    <cellStyle name="Comma 9 11 2" xfId="49630"/>
    <cellStyle name="Comma 9 11 3" xfId="49631"/>
    <cellStyle name="Comma 9 12" xfId="49632"/>
    <cellStyle name="Comma 9 12 2" xfId="49633"/>
    <cellStyle name="Comma 9 12 3" xfId="49634"/>
    <cellStyle name="Comma 9 13" xfId="49635"/>
    <cellStyle name="Comma 9 13 2" xfId="49636"/>
    <cellStyle name="Comma 9 14" xfId="49637"/>
    <cellStyle name="Comma 9 15" xfId="49638"/>
    <cellStyle name="Comma 9 16" xfId="49639"/>
    <cellStyle name="Comma 9 2" xfId="3753"/>
    <cellStyle name="Comma 9 2 10" xfId="49640"/>
    <cellStyle name="Comma 9 2 10 2" xfId="49641"/>
    <cellStyle name="Comma 9 2 10 3" xfId="49642"/>
    <cellStyle name="Comma 9 2 11" xfId="49643"/>
    <cellStyle name="Comma 9 2 11 2" xfId="49644"/>
    <cellStyle name="Comma 9 2 11 3" xfId="49645"/>
    <cellStyle name="Comma 9 2 12" xfId="49646"/>
    <cellStyle name="Comma 9 2 12 2" xfId="49647"/>
    <cellStyle name="Comma 9 2 13" xfId="49648"/>
    <cellStyle name="Comma 9 2 14" xfId="49649"/>
    <cellStyle name="Comma 9 2 15" xfId="49650"/>
    <cellStyle name="Comma 9 2 2" xfId="3754"/>
    <cellStyle name="Comma 9 2 2 10" xfId="49651"/>
    <cellStyle name="Comma 9 2 2 10 2" xfId="49652"/>
    <cellStyle name="Comma 9 2 2 10 3" xfId="49653"/>
    <cellStyle name="Comma 9 2 2 11" xfId="49654"/>
    <cellStyle name="Comma 9 2 2 11 2" xfId="49655"/>
    <cellStyle name="Comma 9 2 2 12" xfId="49656"/>
    <cellStyle name="Comma 9 2 2 13" xfId="49657"/>
    <cellStyle name="Comma 9 2 2 14" xfId="49658"/>
    <cellStyle name="Comma 9 2 2 2" xfId="3755"/>
    <cellStyle name="Comma 9 2 2 2 10" xfId="49659"/>
    <cellStyle name="Comma 9 2 2 2 10 2" xfId="49660"/>
    <cellStyle name="Comma 9 2 2 2 11" xfId="49661"/>
    <cellStyle name="Comma 9 2 2 2 12" xfId="49662"/>
    <cellStyle name="Comma 9 2 2 2 2" xfId="3756"/>
    <cellStyle name="Comma 9 2 2 2 2 10" xfId="49663"/>
    <cellStyle name="Comma 9 2 2 2 2 2" xfId="3757"/>
    <cellStyle name="Comma 9 2 2 2 2 2 2" xfId="3758"/>
    <cellStyle name="Comma 9 2 2 2 2 2 2 2" xfId="49664"/>
    <cellStyle name="Comma 9 2 2 2 2 2 2 2 2" xfId="49665"/>
    <cellStyle name="Comma 9 2 2 2 2 2 2 2 3" xfId="49666"/>
    <cellStyle name="Comma 9 2 2 2 2 2 2 3" xfId="49667"/>
    <cellStyle name="Comma 9 2 2 2 2 2 2 3 2" xfId="49668"/>
    <cellStyle name="Comma 9 2 2 2 2 2 2 3 3" xfId="49669"/>
    <cellStyle name="Comma 9 2 2 2 2 2 2 4" xfId="49670"/>
    <cellStyle name="Comma 9 2 2 2 2 2 2 4 2" xfId="49671"/>
    <cellStyle name="Comma 9 2 2 2 2 2 2 5" xfId="49672"/>
    <cellStyle name="Comma 9 2 2 2 2 2 2 6" xfId="49673"/>
    <cellStyle name="Comma 9 2 2 2 2 2 3" xfId="49674"/>
    <cellStyle name="Comma 9 2 2 2 2 2 3 2" xfId="49675"/>
    <cellStyle name="Comma 9 2 2 2 2 2 3 2 2" xfId="49676"/>
    <cellStyle name="Comma 9 2 2 2 2 2 3 2 3" xfId="49677"/>
    <cellStyle name="Comma 9 2 2 2 2 2 3 3" xfId="49678"/>
    <cellStyle name="Comma 9 2 2 2 2 2 3 3 2" xfId="49679"/>
    <cellStyle name="Comma 9 2 2 2 2 2 3 3 3" xfId="49680"/>
    <cellStyle name="Comma 9 2 2 2 2 2 3 4" xfId="49681"/>
    <cellStyle name="Comma 9 2 2 2 2 2 3 4 2" xfId="49682"/>
    <cellStyle name="Comma 9 2 2 2 2 2 3 5" xfId="49683"/>
    <cellStyle name="Comma 9 2 2 2 2 2 3 6" xfId="49684"/>
    <cellStyle name="Comma 9 2 2 2 2 2 4" xfId="49685"/>
    <cellStyle name="Comma 9 2 2 2 2 2 4 2" xfId="49686"/>
    <cellStyle name="Comma 9 2 2 2 2 2 4 2 2" xfId="49687"/>
    <cellStyle name="Comma 9 2 2 2 2 2 4 2 3" xfId="49688"/>
    <cellStyle name="Comma 9 2 2 2 2 2 4 3" xfId="49689"/>
    <cellStyle name="Comma 9 2 2 2 2 2 4 3 2" xfId="49690"/>
    <cellStyle name="Comma 9 2 2 2 2 2 4 4" xfId="49691"/>
    <cellStyle name="Comma 9 2 2 2 2 2 4 5" xfId="49692"/>
    <cellStyle name="Comma 9 2 2 2 2 2 5" xfId="49693"/>
    <cellStyle name="Comma 9 2 2 2 2 2 5 2" xfId="49694"/>
    <cellStyle name="Comma 9 2 2 2 2 2 5 3" xfId="49695"/>
    <cellStyle name="Comma 9 2 2 2 2 2 6" xfId="49696"/>
    <cellStyle name="Comma 9 2 2 2 2 2 6 2" xfId="49697"/>
    <cellStyle name="Comma 9 2 2 2 2 2 6 3" xfId="49698"/>
    <cellStyle name="Comma 9 2 2 2 2 2 7" xfId="49699"/>
    <cellStyle name="Comma 9 2 2 2 2 2 7 2" xfId="49700"/>
    <cellStyle name="Comma 9 2 2 2 2 2 8" xfId="49701"/>
    <cellStyle name="Comma 9 2 2 2 2 2 9" xfId="49702"/>
    <cellStyle name="Comma 9 2 2 2 2 3" xfId="3759"/>
    <cellStyle name="Comma 9 2 2 2 2 3 2" xfId="49703"/>
    <cellStyle name="Comma 9 2 2 2 2 3 2 2" xfId="49704"/>
    <cellStyle name="Comma 9 2 2 2 2 3 2 3" xfId="49705"/>
    <cellStyle name="Comma 9 2 2 2 2 3 3" xfId="49706"/>
    <cellStyle name="Comma 9 2 2 2 2 3 3 2" xfId="49707"/>
    <cellStyle name="Comma 9 2 2 2 2 3 3 3" xfId="49708"/>
    <cellStyle name="Comma 9 2 2 2 2 3 4" xfId="49709"/>
    <cellStyle name="Comma 9 2 2 2 2 3 4 2" xfId="49710"/>
    <cellStyle name="Comma 9 2 2 2 2 3 5" xfId="49711"/>
    <cellStyle name="Comma 9 2 2 2 2 3 6" xfId="49712"/>
    <cellStyle name="Comma 9 2 2 2 2 4" xfId="49713"/>
    <cellStyle name="Comma 9 2 2 2 2 4 2" xfId="49714"/>
    <cellStyle name="Comma 9 2 2 2 2 4 2 2" xfId="49715"/>
    <cellStyle name="Comma 9 2 2 2 2 4 2 3" xfId="49716"/>
    <cellStyle name="Comma 9 2 2 2 2 4 3" xfId="49717"/>
    <cellStyle name="Comma 9 2 2 2 2 4 3 2" xfId="49718"/>
    <cellStyle name="Comma 9 2 2 2 2 4 3 3" xfId="49719"/>
    <cellStyle name="Comma 9 2 2 2 2 4 4" xfId="49720"/>
    <cellStyle name="Comma 9 2 2 2 2 4 4 2" xfId="49721"/>
    <cellStyle name="Comma 9 2 2 2 2 4 5" xfId="49722"/>
    <cellStyle name="Comma 9 2 2 2 2 4 6" xfId="49723"/>
    <cellStyle name="Comma 9 2 2 2 2 5" xfId="49724"/>
    <cellStyle name="Comma 9 2 2 2 2 5 2" xfId="49725"/>
    <cellStyle name="Comma 9 2 2 2 2 5 2 2" xfId="49726"/>
    <cellStyle name="Comma 9 2 2 2 2 5 2 3" xfId="49727"/>
    <cellStyle name="Comma 9 2 2 2 2 5 3" xfId="49728"/>
    <cellStyle name="Comma 9 2 2 2 2 5 3 2" xfId="49729"/>
    <cellStyle name="Comma 9 2 2 2 2 5 4" xfId="49730"/>
    <cellStyle name="Comma 9 2 2 2 2 5 5" xfId="49731"/>
    <cellStyle name="Comma 9 2 2 2 2 6" xfId="49732"/>
    <cellStyle name="Comma 9 2 2 2 2 6 2" xfId="49733"/>
    <cellStyle name="Comma 9 2 2 2 2 6 3" xfId="49734"/>
    <cellStyle name="Comma 9 2 2 2 2 7" xfId="49735"/>
    <cellStyle name="Comma 9 2 2 2 2 7 2" xfId="49736"/>
    <cellStyle name="Comma 9 2 2 2 2 7 3" xfId="49737"/>
    <cellStyle name="Comma 9 2 2 2 2 8" xfId="49738"/>
    <cellStyle name="Comma 9 2 2 2 2 8 2" xfId="49739"/>
    <cellStyle name="Comma 9 2 2 2 2 9" xfId="49740"/>
    <cellStyle name="Comma 9 2 2 2 3" xfId="3760"/>
    <cellStyle name="Comma 9 2 2 2 3 2" xfId="3761"/>
    <cellStyle name="Comma 9 2 2 2 3 2 2" xfId="49741"/>
    <cellStyle name="Comma 9 2 2 2 3 2 2 2" xfId="49742"/>
    <cellStyle name="Comma 9 2 2 2 3 2 2 3" xfId="49743"/>
    <cellStyle name="Comma 9 2 2 2 3 2 3" xfId="49744"/>
    <cellStyle name="Comma 9 2 2 2 3 2 3 2" xfId="49745"/>
    <cellStyle name="Comma 9 2 2 2 3 2 3 3" xfId="49746"/>
    <cellStyle name="Comma 9 2 2 2 3 2 4" xfId="49747"/>
    <cellStyle name="Comma 9 2 2 2 3 2 4 2" xfId="49748"/>
    <cellStyle name="Comma 9 2 2 2 3 2 5" xfId="49749"/>
    <cellStyle name="Comma 9 2 2 2 3 2 6" xfId="49750"/>
    <cellStyle name="Comma 9 2 2 2 3 3" xfId="49751"/>
    <cellStyle name="Comma 9 2 2 2 3 3 2" xfId="49752"/>
    <cellStyle name="Comma 9 2 2 2 3 3 2 2" xfId="49753"/>
    <cellStyle name="Comma 9 2 2 2 3 3 2 3" xfId="49754"/>
    <cellStyle name="Comma 9 2 2 2 3 3 3" xfId="49755"/>
    <cellStyle name="Comma 9 2 2 2 3 3 3 2" xfId="49756"/>
    <cellStyle name="Comma 9 2 2 2 3 3 3 3" xfId="49757"/>
    <cellStyle name="Comma 9 2 2 2 3 3 4" xfId="49758"/>
    <cellStyle name="Comma 9 2 2 2 3 3 4 2" xfId="49759"/>
    <cellStyle name="Comma 9 2 2 2 3 3 5" xfId="49760"/>
    <cellStyle name="Comma 9 2 2 2 3 3 6" xfId="49761"/>
    <cellStyle name="Comma 9 2 2 2 3 4" xfId="49762"/>
    <cellStyle name="Comma 9 2 2 2 3 4 2" xfId="49763"/>
    <cellStyle name="Comma 9 2 2 2 3 4 2 2" xfId="49764"/>
    <cellStyle name="Comma 9 2 2 2 3 4 2 3" xfId="49765"/>
    <cellStyle name="Comma 9 2 2 2 3 4 3" xfId="49766"/>
    <cellStyle name="Comma 9 2 2 2 3 4 3 2" xfId="49767"/>
    <cellStyle name="Comma 9 2 2 2 3 4 4" xfId="49768"/>
    <cellStyle name="Comma 9 2 2 2 3 4 5" xfId="49769"/>
    <cellStyle name="Comma 9 2 2 2 3 5" xfId="49770"/>
    <cellStyle name="Comma 9 2 2 2 3 5 2" xfId="49771"/>
    <cellStyle name="Comma 9 2 2 2 3 5 3" xfId="49772"/>
    <cellStyle name="Comma 9 2 2 2 3 6" xfId="49773"/>
    <cellStyle name="Comma 9 2 2 2 3 6 2" xfId="49774"/>
    <cellStyle name="Comma 9 2 2 2 3 6 3" xfId="49775"/>
    <cellStyle name="Comma 9 2 2 2 3 7" xfId="49776"/>
    <cellStyle name="Comma 9 2 2 2 3 7 2" xfId="49777"/>
    <cellStyle name="Comma 9 2 2 2 3 8" xfId="49778"/>
    <cellStyle name="Comma 9 2 2 2 3 9" xfId="49779"/>
    <cellStyle name="Comma 9 2 2 2 4" xfId="3762"/>
    <cellStyle name="Comma 9 2 2 2 4 2" xfId="49780"/>
    <cellStyle name="Comma 9 2 2 2 4 2 2" xfId="49781"/>
    <cellStyle name="Comma 9 2 2 2 4 2 2 2" xfId="49782"/>
    <cellStyle name="Comma 9 2 2 2 4 2 2 3" xfId="49783"/>
    <cellStyle name="Comma 9 2 2 2 4 2 3" xfId="49784"/>
    <cellStyle name="Comma 9 2 2 2 4 2 3 2" xfId="49785"/>
    <cellStyle name="Comma 9 2 2 2 4 2 3 3" xfId="49786"/>
    <cellStyle name="Comma 9 2 2 2 4 2 4" xfId="49787"/>
    <cellStyle name="Comma 9 2 2 2 4 2 4 2" xfId="49788"/>
    <cellStyle name="Comma 9 2 2 2 4 2 5" xfId="49789"/>
    <cellStyle name="Comma 9 2 2 2 4 2 6" xfId="49790"/>
    <cellStyle name="Comma 9 2 2 2 4 3" xfId="49791"/>
    <cellStyle name="Comma 9 2 2 2 4 3 2" xfId="49792"/>
    <cellStyle name="Comma 9 2 2 2 4 3 2 2" xfId="49793"/>
    <cellStyle name="Comma 9 2 2 2 4 3 2 3" xfId="49794"/>
    <cellStyle name="Comma 9 2 2 2 4 3 3" xfId="49795"/>
    <cellStyle name="Comma 9 2 2 2 4 3 3 2" xfId="49796"/>
    <cellStyle name="Comma 9 2 2 2 4 3 3 3" xfId="49797"/>
    <cellStyle name="Comma 9 2 2 2 4 3 4" xfId="49798"/>
    <cellStyle name="Comma 9 2 2 2 4 3 4 2" xfId="49799"/>
    <cellStyle name="Comma 9 2 2 2 4 3 5" xfId="49800"/>
    <cellStyle name="Comma 9 2 2 2 4 3 6" xfId="49801"/>
    <cellStyle name="Comma 9 2 2 2 4 4" xfId="49802"/>
    <cellStyle name="Comma 9 2 2 2 4 4 2" xfId="49803"/>
    <cellStyle name="Comma 9 2 2 2 4 4 2 2" xfId="49804"/>
    <cellStyle name="Comma 9 2 2 2 4 4 2 3" xfId="49805"/>
    <cellStyle name="Comma 9 2 2 2 4 4 3" xfId="49806"/>
    <cellStyle name="Comma 9 2 2 2 4 4 3 2" xfId="49807"/>
    <cellStyle name="Comma 9 2 2 2 4 4 4" xfId="49808"/>
    <cellStyle name="Comma 9 2 2 2 4 4 5" xfId="49809"/>
    <cellStyle name="Comma 9 2 2 2 4 5" xfId="49810"/>
    <cellStyle name="Comma 9 2 2 2 4 5 2" xfId="49811"/>
    <cellStyle name="Comma 9 2 2 2 4 5 3" xfId="49812"/>
    <cellStyle name="Comma 9 2 2 2 4 6" xfId="49813"/>
    <cellStyle name="Comma 9 2 2 2 4 6 2" xfId="49814"/>
    <cellStyle name="Comma 9 2 2 2 4 6 3" xfId="49815"/>
    <cellStyle name="Comma 9 2 2 2 4 7" xfId="49816"/>
    <cellStyle name="Comma 9 2 2 2 4 7 2" xfId="49817"/>
    <cellStyle name="Comma 9 2 2 2 4 8" xfId="49818"/>
    <cellStyle name="Comma 9 2 2 2 4 9" xfId="49819"/>
    <cellStyle name="Comma 9 2 2 2 5" xfId="49820"/>
    <cellStyle name="Comma 9 2 2 2 5 2" xfId="49821"/>
    <cellStyle name="Comma 9 2 2 2 5 2 2" xfId="49822"/>
    <cellStyle name="Comma 9 2 2 2 5 2 3" xfId="49823"/>
    <cellStyle name="Comma 9 2 2 2 5 3" xfId="49824"/>
    <cellStyle name="Comma 9 2 2 2 5 3 2" xfId="49825"/>
    <cellStyle name="Comma 9 2 2 2 5 3 3" xfId="49826"/>
    <cellStyle name="Comma 9 2 2 2 5 4" xfId="49827"/>
    <cellStyle name="Comma 9 2 2 2 5 4 2" xfId="49828"/>
    <cellStyle name="Comma 9 2 2 2 5 5" xfId="49829"/>
    <cellStyle name="Comma 9 2 2 2 5 6" xfId="49830"/>
    <cellStyle name="Comma 9 2 2 2 6" xfId="49831"/>
    <cellStyle name="Comma 9 2 2 2 6 2" xfId="49832"/>
    <cellStyle name="Comma 9 2 2 2 6 2 2" xfId="49833"/>
    <cellStyle name="Comma 9 2 2 2 6 2 3" xfId="49834"/>
    <cellStyle name="Comma 9 2 2 2 6 3" xfId="49835"/>
    <cellStyle name="Comma 9 2 2 2 6 3 2" xfId="49836"/>
    <cellStyle name="Comma 9 2 2 2 6 3 3" xfId="49837"/>
    <cellStyle name="Comma 9 2 2 2 6 4" xfId="49838"/>
    <cellStyle name="Comma 9 2 2 2 6 4 2" xfId="49839"/>
    <cellStyle name="Comma 9 2 2 2 6 5" xfId="49840"/>
    <cellStyle name="Comma 9 2 2 2 6 6" xfId="49841"/>
    <cellStyle name="Comma 9 2 2 2 7" xfId="49842"/>
    <cellStyle name="Comma 9 2 2 2 7 2" xfId="49843"/>
    <cellStyle name="Comma 9 2 2 2 7 2 2" xfId="49844"/>
    <cellStyle name="Comma 9 2 2 2 7 2 3" xfId="49845"/>
    <cellStyle name="Comma 9 2 2 2 7 3" xfId="49846"/>
    <cellStyle name="Comma 9 2 2 2 7 3 2" xfId="49847"/>
    <cellStyle name="Comma 9 2 2 2 7 4" xfId="49848"/>
    <cellStyle name="Comma 9 2 2 2 7 5" xfId="49849"/>
    <cellStyle name="Comma 9 2 2 2 8" xfId="49850"/>
    <cellStyle name="Comma 9 2 2 2 8 2" xfId="49851"/>
    <cellStyle name="Comma 9 2 2 2 8 3" xfId="49852"/>
    <cellStyle name="Comma 9 2 2 2 9" xfId="49853"/>
    <cellStyle name="Comma 9 2 2 2 9 2" xfId="49854"/>
    <cellStyle name="Comma 9 2 2 2 9 3" xfId="49855"/>
    <cellStyle name="Comma 9 2 2 3" xfId="3763"/>
    <cellStyle name="Comma 9 2 2 3 10" xfId="49856"/>
    <cellStyle name="Comma 9 2 2 3 2" xfId="3764"/>
    <cellStyle name="Comma 9 2 2 3 2 2" xfId="3765"/>
    <cellStyle name="Comma 9 2 2 3 2 2 2" xfId="49857"/>
    <cellStyle name="Comma 9 2 2 3 2 2 2 2" xfId="49858"/>
    <cellStyle name="Comma 9 2 2 3 2 2 2 3" xfId="49859"/>
    <cellStyle name="Comma 9 2 2 3 2 2 3" xfId="49860"/>
    <cellStyle name="Comma 9 2 2 3 2 2 3 2" xfId="49861"/>
    <cellStyle name="Comma 9 2 2 3 2 2 3 3" xfId="49862"/>
    <cellStyle name="Comma 9 2 2 3 2 2 4" xfId="49863"/>
    <cellStyle name="Comma 9 2 2 3 2 2 4 2" xfId="49864"/>
    <cellStyle name="Comma 9 2 2 3 2 2 5" xfId="49865"/>
    <cellStyle name="Comma 9 2 2 3 2 2 6" xfId="49866"/>
    <cellStyle name="Comma 9 2 2 3 2 3" xfId="49867"/>
    <cellStyle name="Comma 9 2 2 3 2 3 2" xfId="49868"/>
    <cellStyle name="Comma 9 2 2 3 2 3 2 2" xfId="49869"/>
    <cellStyle name="Comma 9 2 2 3 2 3 2 3" xfId="49870"/>
    <cellStyle name="Comma 9 2 2 3 2 3 3" xfId="49871"/>
    <cellStyle name="Comma 9 2 2 3 2 3 3 2" xfId="49872"/>
    <cellStyle name="Comma 9 2 2 3 2 3 3 3" xfId="49873"/>
    <cellStyle name="Comma 9 2 2 3 2 3 4" xfId="49874"/>
    <cellStyle name="Comma 9 2 2 3 2 3 4 2" xfId="49875"/>
    <cellStyle name="Comma 9 2 2 3 2 3 5" xfId="49876"/>
    <cellStyle name="Comma 9 2 2 3 2 3 6" xfId="49877"/>
    <cellStyle name="Comma 9 2 2 3 2 4" xfId="49878"/>
    <cellStyle name="Comma 9 2 2 3 2 4 2" xfId="49879"/>
    <cellStyle name="Comma 9 2 2 3 2 4 2 2" xfId="49880"/>
    <cellStyle name="Comma 9 2 2 3 2 4 2 3" xfId="49881"/>
    <cellStyle name="Comma 9 2 2 3 2 4 3" xfId="49882"/>
    <cellStyle name="Comma 9 2 2 3 2 4 3 2" xfId="49883"/>
    <cellStyle name="Comma 9 2 2 3 2 4 4" xfId="49884"/>
    <cellStyle name="Comma 9 2 2 3 2 4 5" xfId="49885"/>
    <cellStyle name="Comma 9 2 2 3 2 5" xfId="49886"/>
    <cellStyle name="Comma 9 2 2 3 2 5 2" xfId="49887"/>
    <cellStyle name="Comma 9 2 2 3 2 5 3" xfId="49888"/>
    <cellStyle name="Comma 9 2 2 3 2 6" xfId="49889"/>
    <cellStyle name="Comma 9 2 2 3 2 6 2" xfId="49890"/>
    <cellStyle name="Comma 9 2 2 3 2 6 3" xfId="49891"/>
    <cellStyle name="Comma 9 2 2 3 2 7" xfId="49892"/>
    <cellStyle name="Comma 9 2 2 3 2 7 2" xfId="49893"/>
    <cellStyle name="Comma 9 2 2 3 2 8" xfId="49894"/>
    <cellStyle name="Comma 9 2 2 3 2 9" xfId="49895"/>
    <cellStyle name="Comma 9 2 2 3 3" xfId="3766"/>
    <cellStyle name="Comma 9 2 2 3 3 2" xfId="49896"/>
    <cellStyle name="Comma 9 2 2 3 3 2 2" xfId="49897"/>
    <cellStyle name="Comma 9 2 2 3 3 2 3" xfId="49898"/>
    <cellStyle name="Comma 9 2 2 3 3 3" xfId="49899"/>
    <cellStyle name="Comma 9 2 2 3 3 3 2" xfId="49900"/>
    <cellStyle name="Comma 9 2 2 3 3 3 3" xfId="49901"/>
    <cellStyle name="Comma 9 2 2 3 3 4" xfId="49902"/>
    <cellStyle name="Comma 9 2 2 3 3 4 2" xfId="49903"/>
    <cellStyle name="Comma 9 2 2 3 3 5" xfId="49904"/>
    <cellStyle name="Comma 9 2 2 3 3 6" xfId="49905"/>
    <cellStyle name="Comma 9 2 2 3 4" xfId="49906"/>
    <cellStyle name="Comma 9 2 2 3 4 2" xfId="49907"/>
    <cellStyle name="Comma 9 2 2 3 4 2 2" xfId="49908"/>
    <cellStyle name="Comma 9 2 2 3 4 2 3" xfId="49909"/>
    <cellStyle name="Comma 9 2 2 3 4 3" xfId="49910"/>
    <cellStyle name="Comma 9 2 2 3 4 3 2" xfId="49911"/>
    <cellStyle name="Comma 9 2 2 3 4 3 3" xfId="49912"/>
    <cellStyle name="Comma 9 2 2 3 4 4" xfId="49913"/>
    <cellStyle name="Comma 9 2 2 3 4 4 2" xfId="49914"/>
    <cellStyle name="Comma 9 2 2 3 4 5" xfId="49915"/>
    <cellStyle name="Comma 9 2 2 3 4 6" xfId="49916"/>
    <cellStyle name="Comma 9 2 2 3 5" xfId="49917"/>
    <cellStyle name="Comma 9 2 2 3 5 2" xfId="49918"/>
    <cellStyle name="Comma 9 2 2 3 5 2 2" xfId="49919"/>
    <cellStyle name="Comma 9 2 2 3 5 2 3" xfId="49920"/>
    <cellStyle name="Comma 9 2 2 3 5 3" xfId="49921"/>
    <cellStyle name="Comma 9 2 2 3 5 3 2" xfId="49922"/>
    <cellStyle name="Comma 9 2 2 3 5 4" xfId="49923"/>
    <cellStyle name="Comma 9 2 2 3 5 5" xfId="49924"/>
    <cellStyle name="Comma 9 2 2 3 6" xfId="49925"/>
    <cellStyle name="Comma 9 2 2 3 6 2" xfId="49926"/>
    <cellStyle name="Comma 9 2 2 3 6 3" xfId="49927"/>
    <cellStyle name="Comma 9 2 2 3 7" xfId="49928"/>
    <cellStyle name="Comma 9 2 2 3 7 2" xfId="49929"/>
    <cellStyle name="Comma 9 2 2 3 7 3" xfId="49930"/>
    <cellStyle name="Comma 9 2 2 3 8" xfId="49931"/>
    <cellStyle name="Comma 9 2 2 3 8 2" xfId="49932"/>
    <cellStyle name="Comma 9 2 2 3 9" xfId="49933"/>
    <cellStyle name="Comma 9 2 2 4" xfId="3767"/>
    <cellStyle name="Comma 9 2 2 4 2" xfId="3768"/>
    <cellStyle name="Comma 9 2 2 4 2 2" xfId="49934"/>
    <cellStyle name="Comma 9 2 2 4 2 2 2" xfId="49935"/>
    <cellStyle name="Comma 9 2 2 4 2 2 3" xfId="49936"/>
    <cellStyle name="Comma 9 2 2 4 2 3" xfId="49937"/>
    <cellStyle name="Comma 9 2 2 4 2 3 2" xfId="49938"/>
    <cellStyle name="Comma 9 2 2 4 2 3 3" xfId="49939"/>
    <cellStyle name="Comma 9 2 2 4 2 4" xfId="49940"/>
    <cellStyle name="Comma 9 2 2 4 2 4 2" xfId="49941"/>
    <cellStyle name="Comma 9 2 2 4 2 5" xfId="49942"/>
    <cellStyle name="Comma 9 2 2 4 2 6" xfId="49943"/>
    <cellStyle name="Comma 9 2 2 4 3" xfId="49944"/>
    <cellStyle name="Comma 9 2 2 4 3 2" xfId="49945"/>
    <cellStyle name="Comma 9 2 2 4 3 2 2" xfId="49946"/>
    <cellStyle name="Comma 9 2 2 4 3 2 3" xfId="49947"/>
    <cellStyle name="Comma 9 2 2 4 3 3" xfId="49948"/>
    <cellStyle name="Comma 9 2 2 4 3 3 2" xfId="49949"/>
    <cellStyle name="Comma 9 2 2 4 3 3 3" xfId="49950"/>
    <cellStyle name="Comma 9 2 2 4 3 4" xfId="49951"/>
    <cellStyle name="Comma 9 2 2 4 3 4 2" xfId="49952"/>
    <cellStyle name="Comma 9 2 2 4 3 5" xfId="49953"/>
    <cellStyle name="Comma 9 2 2 4 3 6" xfId="49954"/>
    <cellStyle name="Comma 9 2 2 4 4" xfId="49955"/>
    <cellStyle name="Comma 9 2 2 4 4 2" xfId="49956"/>
    <cellStyle name="Comma 9 2 2 4 4 2 2" xfId="49957"/>
    <cellStyle name="Comma 9 2 2 4 4 2 3" xfId="49958"/>
    <cellStyle name="Comma 9 2 2 4 4 3" xfId="49959"/>
    <cellStyle name="Comma 9 2 2 4 4 3 2" xfId="49960"/>
    <cellStyle name="Comma 9 2 2 4 4 4" xfId="49961"/>
    <cellStyle name="Comma 9 2 2 4 4 5" xfId="49962"/>
    <cellStyle name="Comma 9 2 2 4 5" xfId="49963"/>
    <cellStyle name="Comma 9 2 2 4 5 2" xfId="49964"/>
    <cellStyle name="Comma 9 2 2 4 5 3" xfId="49965"/>
    <cellStyle name="Comma 9 2 2 4 6" xfId="49966"/>
    <cellStyle name="Comma 9 2 2 4 6 2" xfId="49967"/>
    <cellStyle name="Comma 9 2 2 4 6 3" xfId="49968"/>
    <cellStyle name="Comma 9 2 2 4 7" xfId="49969"/>
    <cellStyle name="Comma 9 2 2 4 7 2" xfId="49970"/>
    <cellStyle name="Comma 9 2 2 4 8" xfId="49971"/>
    <cellStyle name="Comma 9 2 2 4 9" xfId="49972"/>
    <cellStyle name="Comma 9 2 2 5" xfId="3769"/>
    <cellStyle name="Comma 9 2 2 5 2" xfId="49973"/>
    <cellStyle name="Comma 9 2 2 5 2 2" xfId="49974"/>
    <cellStyle name="Comma 9 2 2 5 2 2 2" xfId="49975"/>
    <cellStyle name="Comma 9 2 2 5 2 2 3" xfId="49976"/>
    <cellStyle name="Comma 9 2 2 5 2 3" xfId="49977"/>
    <cellStyle name="Comma 9 2 2 5 2 3 2" xfId="49978"/>
    <cellStyle name="Comma 9 2 2 5 2 3 3" xfId="49979"/>
    <cellStyle name="Comma 9 2 2 5 2 4" xfId="49980"/>
    <cellStyle name="Comma 9 2 2 5 2 4 2" xfId="49981"/>
    <cellStyle name="Comma 9 2 2 5 2 5" xfId="49982"/>
    <cellStyle name="Comma 9 2 2 5 2 6" xfId="49983"/>
    <cellStyle name="Comma 9 2 2 5 3" xfId="49984"/>
    <cellStyle name="Comma 9 2 2 5 3 2" xfId="49985"/>
    <cellStyle name="Comma 9 2 2 5 3 2 2" xfId="49986"/>
    <cellStyle name="Comma 9 2 2 5 3 2 3" xfId="49987"/>
    <cellStyle name="Comma 9 2 2 5 3 3" xfId="49988"/>
    <cellStyle name="Comma 9 2 2 5 3 3 2" xfId="49989"/>
    <cellStyle name="Comma 9 2 2 5 3 3 3" xfId="49990"/>
    <cellStyle name="Comma 9 2 2 5 3 4" xfId="49991"/>
    <cellStyle name="Comma 9 2 2 5 3 4 2" xfId="49992"/>
    <cellStyle name="Comma 9 2 2 5 3 5" xfId="49993"/>
    <cellStyle name="Comma 9 2 2 5 3 6" xfId="49994"/>
    <cellStyle name="Comma 9 2 2 5 4" xfId="49995"/>
    <cellStyle name="Comma 9 2 2 5 4 2" xfId="49996"/>
    <cellStyle name="Comma 9 2 2 5 4 2 2" xfId="49997"/>
    <cellStyle name="Comma 9 2 2 5 4 2 3" xfId="49998"/>
    <cellStyle name="Comma 9 2 2 5 4 3" xfId="49999"/>
    <cellStyle name="Comma 9 2 2 5 4 3 2" xfId="50000"/>
    <cellStyle name="Comma 9 2 2 5 4 4" xfId="50001"/>
    <cellStyle name="Comma 9 2 2 5 4 5" xfId="50002"/>
    <cellStyle name="Comma 9 2 2 5 5" xfId="50003"/>
    <cellStyle name="Comma 9 2 2 5 5 2" xfId="50004"/>
    <cellStyle name="Comma 9 2 2 5 5 3" xfId="50005"/>
    <cellStyle name="Comma 9 2 2 5 6" xfId="50006"/>
    <cellStyle name="Comma 9 2 2 5 6 2" xfId="50007"/>
    <cellStyle name="Comma 9 2 2 5 6 3" xfId="50008"/>
    <cellStyle name="Comma 9 2 2 5 7" xfId="50009"/>
    <cellStyle name="Comma 9 2 2 5 7 2" xfId="50010"/>
    <cellStyle name="Comma 9 2 2 5 8" xfId="50011"/>
    <cellStyle name="Comma 9 2 2 5 9" xfId="50012"/>
    <cellStyle name="Comma 9 2 2 6" xfId="50013"/>
    <cellStyle name="Comma 9 2 2 6 2" xfId="50014"/>
    <cellStyle name="Comma 9 2 2 6 2 2" xfId="50015"/>
    <cellStyle name="Comma 9 2 2 6 2 3" xfId="50016"/>
    <cellStyle name="Comma 9 2 2 6 3" xfId="50017"/>
    <cellStyle name="Comma 9 2 2 6 3 2" xfId="50018"/>
    <cellStyle name="Comma 9 2 2 6 3 3" xfId="50019"/>
    <cellStyle name="Comma 9 2 2 6 4" xfId="50020"/>
    <cellStyle name="Comma 9 2 2 6 4 2" xfId="50021"/>
    <cellStyle name="Comma 9 2 2 6 5" xfId="50022"/>
    <cellStyle name="Comma 9 2 2 6 6" xfId="50023"/>
    <cellStyle name="Comma 9 2 2 7" xfId="50024"/>
    <cellStyle name="Comma 9 2 2 7 2" xfId="50025"/>
    <cellStyle name="Comma 9 2 2 7 2 2" xfId="50026"/>
    <cellStyle name="Comma 9 2 2 7 2 3" xfId="50027"/>
    <cellStyle name="Comma 9 2 2 7 3" xfId="50028"/>
    <cellStyle name="Comma 9 2 2 7 3 2" xfId="50029"/>
    <cellStyle name="Comma 9 2 2 7 3 3" xfId="50030"/>
    <cellStyle name="Comma 9 2 2 7 4" xfId="50031"/>
    <cellStyle name="Comma 9 2 2 7 4 2" xfId="50032"/>
    <cellStyle name="Comma 9 2 2 7 5" xfId="50033"/>
    <cellStyle name="Comma 9 2 2 7 6" xfId="50034"/>
    <cellStyle name="Comma 9 2 2 8" xfId="50035"/>
    <cellStyle name="Comma 9 2 2 8 2" xfId="50036"/>
    <cellStyle name="Comma 9 2 2 8 2 2" xfId="50037"/>
    <cellStyle name="Comma 9 2 2 8 2 3" xfId="50038"/>
    <cellStyle name="Comma 9 2 2 8 3" xfId="50039"/>
    <cellStyle name="Comma 9 2 2 8 3 2" xfId="50040"/>
    <cellStyle name="Comma 9 2 2 8 4" xfId="50041"/>
    <cellStyle name="Comma 9 2 2 8 5" xfId="50042"/>
    <cellStyle name="Comma 9 2 2 9" xfId="50043"/>
    <cellStyle name="Comma 9 2 2 9 2" xfId="50044"/>
    <cellStyle name="Comma 9 2 2 9 3" xfId="50045"/>
    <cellStyle name="Comma 9 2 3" xfId="3770"/>
    <cellStyle name="Comma 9 2 3 10" xfId="50046"/>
    <cellStyle name="Comma 9 2 3 10 2" xfId="50047"/>
    <cellStyle name="Comma 9 2 3 11" xfId="50048"/>
    <cellStyle name="Comma 9 2 3 12" xfId="50049"/>
    <cellStyle name="Comma 9 2 3 2" xfId="3771"/>
    <cellStyle name="Comma 9 2 3 2 10" xfId="50050"/>
    <cellStyle name="Comma 9 2 3 2 2" xfId="3772"/>
    <cellStyle name="Comma 9 2 3 2 2 2" xfId="3773"/>
    <cellStyle name="Comma 9 2 3 2 2 2 2" xfId="50051"/>
    <cellStyle name="Comma 9 2 3 2 2 2 2 2" xfId="50052"/>
    <cellStyle name="Comma 9 2 3 2 2 2 2 3" xfId="50053"/>
    <cellStyle name="Comma 9 2 3 2 2 2 3" xfId="50054"/>
    <cellStyle name="Comma 9 2 3 2 2 2 3 2" xfId="50055"/>
    <cellStyle name="Comma 9 2 3 2 2 2 3 3" xfId="50056"/>
    <cellStyle name="Comma 9 2 3 2 2 2 4" xfId="50057"/>
    <cellStyle name="Comma 9 2 3 2 2 2 4 2" xfId="50058"/>
    <cellStyle name="Comma 9 2 3 2 2 2 5" xfId="50059"/>
    <cellStyle name="Comma 9 2 3 2 2 2 6" xfId="50060"/>
    <cellStyle name="Comma 9 2 3 2 2 3" xfId="50061"/>
    <cellStyle name="Comma 9 2 3 2 2 3 2" xfId="50062"/>
    <cellStyle name="Comma 9 2 3 2 2 3 2 2" xfId="50063"/>
    <cellStyle name="Comma 9 2 3 2 2 3 2 3" xfId="50064"/>
    <cellStyle name="Comma 9 2 3 2 2 3 3" xfId="50065"/>
    <cellStyle name="Comma 9 2 3 2 2 3 3 2" xfId="50066"/>
    <cellStyle name="Comma 9 2 3 2 2 3 3 3" xfId="50067"/>
    <cellStyle name="Comma 9 2 3 2 2 3 4" xfId="50068"/>
    <cellStyle name="Comma 9 2 3 2 2 3 4 2" xfId="50069"/>
    <cellStyle name="Comma 9 2 3 2 2 3 5" xfId="50070"/>
    <cellStyle name="Comma 9 2 3 2 2 3 6" xfId="50071"/>
    <cellStyle name="Comma 9 2 3 2 2 4" xfId="50072"/>
    <cellStyle name="Comma 9 2 3 2 2 4 2" xfId="50073"/>
    <cellStyle name="Comma 9 2 3 2 2 4 2 2" xfId="50074"/>
    <cellStyle name="Comma 9 2 3 2 2 4 2 3" xfId="50075"/>
    <cellStyle name="Comma 9 2 3 2 2 4 3" xfId="50076"/>
    <cellStyle name="Comma 9 2 3 2 2 4 3 2" xfId="50077"/>
    <cellStyle name="Comma 9 2 3 2 2 4 4" xfId="50078"/>
    <cellStyle name="Comma 9 2 3 2 2 4 5" xfId="50079"/>
    <cellStyle name="Comma 9 2 3 2 2 5" xfId="50080"/>
    <cellStyle name="Comma 9 2 3 2 2 5 2" xfId="50081"/>
    <cellStyle name="Comma 9 2 3 2 2 5 3" xfId="50082"/>
    <cellStyle name="Comma 9 2 3 2 2 6" xfId="50083"/>
    <cellStyle name="Comma 9 2 3 2 2 6 2" xfId="50084"/>
    <cellStyle name="Comma 9 2 3 2 2 6 3" xfId="50085"/>
    <cellStyle name="Comma 9 2 3 2 2 7" xfId="50086"/>
    <cellStyle name="Comma 9 2 3 2 2 7 2" xfId="50087"/>
    <cellStyle name="Comma 9 2 3 2 2 8" xfId="50088"/>
    <cellStyle name="Comma 9 2 3 2 2 9" xfId="50089"/>
    <cellStyle name="Comma 9 2 3 2 3" xfId="3774"/>
    <cellStyle name="Comma 9 2 3 2 3 2" xfId="50090"/>
    <cellStyle name="Comma 9 2 3 2 3 2 2" xfId="50091"/>
    <cellStyle name="Comma 9 2 3 2 3 2 3" xfId="50092"/>
    <cellStyle name="Comma 9 2 3 2 3 3" xfId="50093"/>
    <cellStyle name="Comma 9 2 3 2 3 3 2" xfId="50094"/>
    <cellStyle name="Comma 9 2 3 2 3 3 3" xfId="50095"/>
    <cellStyle name="Comma 9 2 3 2 3 4" xfId="50096"/>
    <cellStyle name="Comma 9 2 3 2 3 4 2" xfId="50097"/>
    <cellStyle name="Comma 9 2 3 2 3 5" xfId="50098"/>
    <cellStyle name="Comma 9 2 3 2 3 6" xfId="50099"/>
    <cellStyle name="Comma 9 2 3 2 4" xfId="50100"/>
    <cellStyle name="Comma 9 2 3 2 4 2" xfId="50101"/>
    <cellStyle name="Comma 9 2 3 2 4 2 2" xfId="50102"/>
    <cellStyle name="Comma 9 2 3 2 4 2 3" xfId="50103"/>
    <cellStyle name="Comma 9 2 3 2 4 3" xfId="50104"/>
    <cellStyle name="Comma 9 2 3 2 4 3 2" xfId="50105"/>
    <cellStyle name="Comma 9 2 3 2 4 3 3" xfId="50106"/>
    <cellStyle name="Comma 9 2 3 2 4 4" xfId="50107"/>
    <cellStyle name="Comma 9 2 3 2 4 4 2" xfId="50108"/>
    <cellStyle name="Comma 9 2 3 2 4 5" xfId="50109"/>
    <cellStyle name="Comma 9 2 3 2 4 6" xfId="50110"/>
    <cellStyle name="Comma 9 2 3 2 5" xfId="50111"/>
    <cellStyle name="Comma 9 2 3 2 5 2" xfId="50112"/>
    <cellStyle name="Comma 9 2 3 2 5 2 2" xfId="50113"/>
    <cellStyle name="Comma 9 2 3 2 5 2 3" xfId="50114"/>
    <cellStyle name="Comma 9 2 3 2 5 3" xfId="50115"/>
    <cellStyle name="Comma 9 2 3 2 5 3 2" xfId="50116"/>
    <cellStyle name="Comma 9 2 3 2 5 4" xfId="50117"/>
    <cellStyle name="Comma 9 2 3 2 5 5" xfId="50118"/>
    <cellStyle name="Comma 9 2 3 2 6" xfId="50119"/>
    <cellStyle name="Comma 9 2 3 2 6 2" xfId="50120"/>
    <cellStyle name="Comma 9 2 3 2 6 3" xfId="50121"/>
    <cellStyle name="Comma 9 2 3 2 7" xfId="50122"/>
    <cellStyle name="Comma 9 2 3 2 7 2" xfId="50123"/>
    <cellStyle name="Comma 9 2 3 2 7 3" xfId="50124"/>
    <cellStyle name="Comma 9 2 3 2 8" xfId="50125"/>
    <cellStyle name="Comma 9 2 3 2 8 2" xfId="50126"/>
    <cellStyle name="Comma 9 2 3 2 9" xfId="50127"/>
    <cellStyle name="Comma 9 2 3 3" xfId="3775"/>
    <cellStyle name="Comma 9 2 3 3 2" xfId="3776"/>
    <cellStyle name="Comma 9 2 3 3 2 2" xfId="50128"/>
    <cellStyle name="Comma 9 2 3 3 2 2 2" xfId="50129"/>
    <cellStyle name="Comma 9 2 3 3 2 2 3" xfId="50130"/>
    <cellStyle name="Comma 9 2 3 3 2 3" xfId="50131"/>
    <cellStyle name="Comma 9 2 3 3 2 3 2" xfId="50132"/>
    <cellStyle name="Comma 9 2 3 3 2 3 3" xfId="50133"/>
    <cellStyle name="Comma 9 2 3 3 2 4" xfId="50134"/>
    <cellStyle name="Comma 9 2 3 3 2 4 2" xfId="50135"/>
    <cellStyle name="Comma 9 2 3 3 2 5" xfId="50136"/>
    <cellStyle name="Comma 9 2 3 3 2 6" xfId="50137"/>
    <cellStyle name="Comma 9 2 3 3 3" xfId="50138"/>
    <cellStyle name="Comma 9 2 3 3 3 2" xfId="50139"/>
    <cellStyle name="Comma 9 2 3 3 3 2 2" xfId="50140"/>
    <cellStyle name="Comma 9 2 3 3 3 2 3" xfId="50141"/>
    <cellStyle name="Comma 9 2 3 3 3 3" xfId="50142"/>
    <cellStyle name="Comma 9 2 3 3 3 3 2" xfId="50143"/>
    <cellStyle name="Comma 9 2 3 3 3 3 3" xfId="50144"/>
    <cellStyle name="Comma 9 2 3 3 3 4" xfId="50145"/>
    <cellStyle name="Comma 9 2 3 3 3 4 2" xfId="50146"/>
    <cellStyle name="Comma 9 2 3 3 3 5" xfId="50147"/>
    <cellStyle name="Comma 9 2 3 3 3 6" xfId="50148"/>
    <cellStyle name="Comma 9 2 3 3 4" xfId="50149"/>
    <cellStyle name="Comma 9 2 3 3 4 2" xfId="50150"/>
    <cellStyle name="Comma 9 2 3 3 4 2 2" xfId="50151"/>
    <cellStyle name="Comma 9 2 3 3 4 2 3" xfId="50152"/>
    <cellStyle name="Comma 9 2 3 3 4 3" xfId="50153"/>
    <cellStyle name="Comma 9 2 3 3 4 3 2" xfId="50154"/>
    <cellStyle name="Comma 9 2 3 3 4 4" xfId="50155"/>
    <cellStyle name="Comma 9 2 3 3 4 5" xfId="50156"/>
    <cellStyle name="Comma 9 2 3 3 5" xfId="50157"/>
    <cellStyle name="Comma 9 2 3 3 5 2" xfId="50158"/>
    <cellStyle name="Comma 9 2 3 3 5 3" xfId="50159"/>
    <cellStyle name="Comma 9 2 3 3 6" xfId="50160"/>
    <cellStyle name="Comma 9 2 3 3 6 2" xfId="50161"/>
    <cellStyle name="Comma 9 2 3 3 6 3" xfId="50162"/>
    <cellStyle name="Comma 9 2 3 3 7" xfId="50163"/>
    <cellStyle name="Comma 9 2 3 3 7 2" xfId="50164"/>
    <cellStyle name="Comma 9 2 3 3 8" xfId="50165"/>
    <cellStyle name="Comma 9 2 3 3 9" xfId="50166"/>
    <cellStyle name="Comma 9 2 3 4" xfId="3777"/>
    <cellStyle name="Comma 9 2 3 4 2" xfId="50167"/>
    <cellStyle name="Comma 9 2 3 4 2 2" xfId="50168"/>
    <cellStyle name="Comma 9 2 3 4 2 2 2" xfId="50169"/>
    <cellStyle name="Comma 9 2 3 4 2 2 3" xfId="50170"/>
    <cellStyle name="Comma 9 2 3 4 2 3" xfId="50171"/>
    <cellStyle name="Comma 9 2 3 4 2 3 2" xfId="50172"/>
    <cellStyle name="Comma 9 2 3 4 2 3 3" xfId="50173"/>
    <cellStyle name="Comma 9 2 3 4 2 4" xfId="50174"/>
    <cellStyle name="Comma 9 2 3 4 2 4 2" xfId="50175"/>
    <cellStyle name="Comma 9 2 3 4 2 5" xfId="50176"/>
    <cellStyle name="Comma 9 2 3 4 2 6" xfId="50177"/>
    <cellStyle name="Comma 9 2 3 4 3" xfId="50178"/>
    <cellStyle name="Comma 9 2 3 4 3 2" xfId="50179"/>
    <cellStyle name="Comma 9 2 3 4 3 2 2" xfId="50180"/>
    <cellStyle name="Comma 9 2 3 4 3 2 3" xfId="50181"/>
    <cellStyle name="Comma 9 2 3 4 3 3" xfId="50182"/>
    <cellStyle name="Comma 9 2 3 4 3 3 2" xfId="50183"/>
    <cellStyle name="Comma 9 2 3 4 3 3 3" xfId="50184"/>
    <cellStyle name="Comma 9 2 3 4 3 4" xfId="50185"/>
    <cellStyle name="Comma 9 2 3 4 3 4 2" xfId="50186"/>
    <cellStyle name="Comma 9 2 3 4 3 5" xfId="50187"/>
    <cellStyle name="Comma 9 2 3 4 3 6" xfId="50188"/>
    <cellStyle name="Comma 9 2 3 4 4" xfId="50189"/>
    <cellStyle name="Comma 9 2 3 4 4 2" xfId="50190"/>
    <cellStyle name="Comma 9 2 3 4 4 2 2" xfId="50191"/>
    <cellStyle name="Comma 9 2 3 4 4 2 3" xfId="50192"/>
    <cellStyle name="Comma 9 2 3 4 4 3" xfId="50193"/>
    <cellStyle name="Comma 9 2 3 4 4 3 2" xfId="50194"/>
    <cellStyle name="Comma 9 2 3 4 4 4" xfId="50195"/>
    <cellStyle name="Comma 9 2 3 4 4 5" xfId="50196"/>
    <cellStyle name="Comma 9 2 3 4 5" xfId="50197"/>
    <cellStyle name="Comma 9 2 3 4 5 2" xfId="50198"/>
    <cellStyle name="Comma 9 2 3 4 5 3" xfId="50199"/>
    <cellStyle name="Comma 9 2 3 4 6" xfId="50200"/>
    <cellStyle name="Comma 9 2 3 4 6 2" xfId="50201"/>
    <cellStyle name="Comma 9 2 3 4 6 3" xfId="50202"/>
    <cellStyle name="Comma 9 2 3 4 7" xfId="50203"/>
    <cellStyle name="Comma 9 2 3 4 7 2" xfId="50204"/>
    <cellStyle name="Comma 9 2 3 4 8" xfId="50205"/>
    <cellStyle name="Comma 9 2 3 4 9" xfId="50206"/>
    <cellStyle name="Comma 9 2 3 5" xfId="50207"/>
    <cellStyle name="Comma 9 2 3 5 2" xfId="50208"/>
    <cellStyle name="Comma 9 2 3 5 2 2" xfId="50209"/>
    <cellStyle name="Comma 9 2 3 5 2 3" xfId="50210"/>
    <cellStyle name="Comma 9 2 3 5 3" xfId="50211"/>
    <cellStyle name="Comma 9 2 3 5 3 2" xfId="50212"/>
    <cellStyle name="Comma 9 2 3 5 3 3" xfId="50213"/>
    <cellStyle name="Comma 9 2 3 5 4" xfId="50214"/>
    <cellStyle name="Comma 9 2 3 5 4 2" xfId="50215"/>
    <cellStyle name="Comma 9 2 3 5 5" xfId="50216"/>
    <cellStyle name="Comma 9 2 3 5 6" xfId="50217"/>
    <cellStyle name="Comma 9 2 3 6" xfId="50218"/>
    <cellStyle name="Comma 9 2 3 6 2" xfId="50219"/>
    <cellStyle name="Comma 9 2 3 6 2 2" xfId="50220"/>
    <cellStyle name="Comma 9 2 3 6 2 3" xfId="50221"/>
    <cellStyle name="Comma 9 2 3 6 3" xfId="50222"/>
    <cellStyle name="Comma 9 2 3 6 3 2" xfId="50223"/>
    <cellStyle name="Comma 9 2 3 6 3 3" xfId="50224"/>
    <cellStyle name="Comma 9 2 3 6 4" xfId="50225"/>
    <cellStyle name="Comma 9 2 3 6 4 2" xfId="50226"/>
    <cellStyle name="Comma 9 2 3 6 5" xfId="50227"/>
    <cellStyle name="Comma 9 2 3 6 6" xfId="50228"/>
    <cellStyle name="Comma 9 2 3 7" xfId="50229"/>
    <cellStyle name="Comma 9 2 3 7 2" xfId="50230"/>
    <cellStyle name="Comma 9 2 3 7 2 2" xfId="50231"/>
    <cellStyle name="Comma 9 2 3 7 2 3" xfId="50232"/>
    <cellStyle name="Comma 9 2 3 7 3" xfId="50233"/>
    <cellStyle name="Comma 9 2 3 7 3 2" xfId="50234"/>
    <cellStyle name="Comma 9 2 3 7 4" xfId="50235"/>
    <cellStyle name="Comma 9 2 3 7 5" xfId="50236"/>
    <cellStyle name="Comma 9 2 3 8" xfId="50237"/>
    <cellStyle name="Comma 9 2 3 8 2" xfId="50238"/>
    <cellStyle name="Comma 9 2 3 8 3" xfId="50239"/>
    <cellStyle name="Comma 9 2 3 9" xfId="50240"/>
    <cellStyle name="Comma 9 2 3 9 2" xfId="50241"/>
    <cellStyle name="Comma 9 2 3 9 3" xfId="50242"/>
    <cellStyle name="Comma 9 2 4" xfId="3778"/>
    <cellStyle name="Comma 9 2 4 10" xfId="50243"/>
    <cellStyle name="Comma 9 2 4 2" xfId="3779"/>
    <cellStyle name="Comma 9 2 4 2 2" xfId="3780"/>
    <cellStyle name="Comma 9 2 4 2 2 2" xfId="50244"/>
    <cellStyle name="Comma 9 2 4 2 2 2 2" xfId="50245"/>
    <cellStyle name="Comma 9 2 4 2 2 2 3" xfId="50246"/>
    <cellStyle name="Comma 9 2 4 2 2 3" xfId="50247"/>
    <cellStyle name="Comma 9 2 4 2 2 3 2" xfId="50248"/>
    <cellStyle name="Comma 9 2 4 2 2 3 3" xfId="50249"/>
    <cellStyle name="Comma 9 2 4 2 2 4" xfId="50250"/>
    <cellStyle name="Comma 9 2 4 2 2 4 2" xfId="50251"/>
    <cellStyle name="Comma 9 2 4 2 2 5" xfId="50252"/>
    <cellStyle name="Comma 9 2 4 2 2 6" xfId="50253"/>
    <cellStyle name="Comma 9 2 4 2 3" xfId="50254"/>
    <cellStyle name="Comma 9 2 4 2 3 2" xfId="50255"/>
    <cellStyle name="Comma 9 2 4 2 3 2 2" xfId="50256"/>
    <cellStyle name="Comma 9 2 4 2 3 2 3" xfId="50257"/>
    <cellStyle name="Comma 9 2 4 2 3 3" xfId="50258"/>
    <cellStyle name="Comma 9 2 4 2 3 3 2" xfId="50259"/>
    <cellStyle name="Comma 9 2 4 2 3 3 3" xfId="50260"/>
    <cellStyle name="Comma 9 2 4 2 3 4" xfId="50261"/>
    <cellStyle name="Comma 9 2 4 2 3 4 2" xfId="50262"/>
    <cellStyle name="Comma 9 2 4 2 3 5" xfId="50263"/>
    <cellStyle name="Comma 9 2 4 2 3 6" xfId="50264"/>
    <cellStyle name="Comma 9 2 4 2 4" xfId="50265"/>
    <cellStyle name="Comma 9 2 4 2 4 2" xfId="50266"/>
    <cellStyle name="Comma 9 2 4 2 4 2 2" xfId="50267"/>
    <cellStyle name="Comma 9 2 4 2 4 2 3" xfId="50268"/>
    <cellStyle name="Comma 9 2 4 2 4 3" xfId="50269"/>
    <cellStyle name="Comma 9 2 4 2 4 3 2" xfId="50270"/>
    <cellStyle name="Comma 9 2 4 2 4 4" xfId="50271"/>
    <cellStyle name="Comma 9 2 4 2 4 5" xfId="50272"/>
    <cellStyle name="Comma 9 2 4 2 5" xfId="50273"/>
    <cellStyle name="Comma 9 2 4 2 5 2" xfId="50274"/>
    <cellStyle name="Comma 9 2 4 2 5 3" xfId="50275"/>
    <cellStyle name="Comma 9 2 4 2 6" xfId="50276"/>
    <cellStyle name="Comma 9 2 4 2 6 2" xfId="50277"/>
    <cellStyle name="Comma 9 2 4 2 6 3" xfId="50278"/>
    <cellStyle name="Comma 9 2 4 2 7" xfId="50279"/>
    <cellStyle name="Comma 9 2 4 2 7 2" xfId="50280"/>
    <cellStyle name="Comma 9 2 4 2 8" xfId="50281"/>
    <cellStyle name="Comma 9 2 4 2 9" xfId="50282"/>
    <cellStyle name="Comma 9 2 4 3" xfId="3781"/>
    <cellStyle name="Comma 9 2 4 3 2" xfId="50283"/>
    <cellStyle name="Comma 9 2 4 3 2 2" xfId="50284"/>
    <cellStyle name="Comma 9 2 4 3 2 3" xfId="50285"/>
    <cellStyle name="Comma 9 2 4 3 3" xfId="50286"/>
    <cellStyle name="Comma 9 2 4 3 3 2" xfId="50287"/>
    <cellStyle name="Comma 9 2 4 3 3 3" xfId="50288"/>
    <cellStyle name="Comma 9 2 4 3 4" xfId="50289"/>
    <cellStyle name="Comma 9 2 4 3 4 2" xfId="50290"/>
    <cellStyle name="Comma 9 2 4 3 5" xfId="50291"/>
    <cellStyle name="Comma 9 2 4 3 6" xfId="50292"/>
    <cellStyle name="Comma 9 2 4 4" xfId="50293"/>
    <cellStyle name="Comma 9 2 4 4 2" xfId="50294"/>
    <cellStyle name="Comma 9 2 4 4 2 2" xfId="50295"/>
    <cellStyle name="Comma 9 2 4 4 2 3" xfId="50296"/>
    <cellStyle name="Comma 9 2 4 4 3" xfId="50297"/>
    <cellStyle name="Comma 9 2 4 4 3 2" xfId="50298"/>
    <cellStyle name="Comma 9 2 4 4 3 3" xfId="50299"/>
    <cellStyle name="Comma 9 2 4 4 4" xfId="50300"/>
    <cellStyle name="Comma 9 2 4 4 4 2" xfId="50301"/>
    <cellStyle name="Comma 9 2 4 4 5" xfId="50302"/>
    <cellStyle name="Comma 9 2 4 4 6" xfId="50303"/>
    <cellStyle name="Comma 9 2 4 5" xfId="50304"/>
    <cellStyle name="Comma 9 2 4 5 2" xfId="50305"/>
    <cellStyle name="Comma 9 2 4 5 2 2" xfId="50306"/>
    <cellStyle name="Comma 9 2 4 5 2 3" xfId="50307"/>
    <cellStyle name="Comma 9 2 4 5 3" xfId="50308"/>
    <cellStyle name="Comma 9 2 4 5 3 2" xfId="50309"/>
    <cellStyle name="Comma 9 2 4 5 4" xfId="50310"/>
    <cellStyle name="Comma 9 2 4 5 5" xfId="50311"/>
    <cellStyle name="Comma 9 2 4 6" xfId="50312"/>
    <cellStyle name="Comma 9 2 4 6 2" xfId="50313"/>
    <cellStyle name="Comma 9 2 4 6 3" xfId="50314"/>
    <cellStyle name="Comma 9 2 4 7" xfId="50315"/>
    <cellStyle name="Comma 9 2 4 7 2" xfId="50316"/>
    <cellStyle name="Comma 9 2 4 7 3" xfId="50317"/>
    <cellStyle name="Comma 9 2 4 8" xfId="50318"/>
    <cellStyle name="Comma 9 2 4 8 2" xfId="50319"/>
    <cellStyle name="Comma 9 2 4 9" xfId="50320"/>
    <cellStyle name="Comma 9 2 5" xfId="3782"/>
    <cellStyle name="Comma 9 2 5 2" xfId="3783"/>
    <cellStyle name="Comma 9 2 5 2 2" xfId="50321"/>
    <cellStyle name="Comma 9 2 5 2 2 2" xfId="50322"/>
    <cellStyle name="Comma 9 2 5 2 2 3" xfId="50323"/>
    <cellStyle name="Comma 9 2 5 2 3" xfId="50324"/>
    <cellStyle name="Comma 9 2 5 2 3 2" xfId="50325"/>
    <cellStyle name="Comma 9 2 5 2 3 3" xfId="50326"/>
    <cellStyle name="Comma 9 2 5 2 4" xfId="50327"/>
    <cellStyle name="Comma 9 2 5 2 4 2" xfId="50328"/>
    <cellStyle name="Comma 9 2 5 2 5" xfId="50329"/>
    <cellStyle name="Comma 9 2 5 2 6" xfId="50330"/>
    <cellStyle name="Comma 9 2 5 3" xfId="50331"/>
    <cellStyle name="Comma 9 2 5 3 2" xfId="50332"/>
    <cellStyle name="Comma 9 2 5 3 2 2" xfId="50333"/>
    <cellStyle name="Comma 9 2 5 3 2 3" xfId="50334"/>
    <cellStyle name="Comma 9 2 5 3 3" xfId="50335"/>
    <cellStyle name="Comma 9 2 5 3 3 2" xfId="50336"/>
    <cellStyle name="Comma 9 2 5 3 3 3" xfId="50337"/>
    <cellStyle name="Comma 9 2 5 3 4" xfId="50338"/>
    <cellStyle name="Comma 9 2 5 3 4 2" xfId="50339"/>
    <cellStyle name="Comma 9 2 5 3 5" xfId="50340"/>
    <cellStyle name="Comma 9 2 5 3 6" xfId="50341"/>
    <cellStyle name="Comma 9 2 5 4" xfId="50342"/>
    <cellStyle name="Comma 9 2 5 4 2" xfId="50343"/>
    <cellStyle name="Comma 9 2 5 4 2 2" xfId="50344"/>
    <cellStyle name="Comma 9 2 5 4 2 3" xfId="50345"/>
    <cellStyle name="Comma 9 2 5 4 3" xfId="50346"/>
    <cellStyle name="Comma 9 2 5 4 3 2" xfId="50347"/>
    <cellStyle name="Comma 9 2 5 4 4" xfId="50348"/>
    <cellStyle name="Comma 9 2 5 4 5" xfId="50349"/>
    <cellStyle name="Comma 9 2 5 5" xfId="50350"/>
    <cellStyle name="Comma 9 2 5 5 2" xfId="50351"/>
    <cellStyle name="Comma 9 2 5 5 3" xfId="50352"/>
    <cellStyle name="Comma 9 2 5 6" xfId="50353"/>
    <cellStyle name="Comma 9 2 5 6 2" xfId="50354"/>
    <cellStyle name="Comma 9 2 5 6 3" xfId="50355"/>
    <cellStyle name="Comma 9 2 5 7" xfId="50356"/>
    <cellStyle name="Comma 9 2 5 7 2" xfId="50357"/>
    <cellStyle name="Comma 9 2 5 8" xfId="50358"/>
    <cellStyle name="Comma 9 2 5 9" xfId="50359"/>
    <cellStyle name="Comma 9 2 6" xfId="3784"/>
    <cellStyle name="Comma 9 2 6 2" xfId="50360"/>
    <cellStyle name="Comma 9 2 6 2 2" xfId="50361"/>
    <cellStyle name="Comma 9 2 6 2 2 2" xfId="50362"/>
    <cellStyle name="Comma 9 2 6 2 2 3" xfId="50363"/>
    <cellStyle name="Comma 9 2 6 2 3" xfId="50364"/>
    <cellStyle name="Comma 9 2 6 2 3 2" xfId="50365"/>
    <cellStyle name="Comma 9 2 6 2 3 3" xfId="50366"/>
    <cellStyle name="Comma 9 2 6 2 4" xfId="50367"/>
    <cellStyle name="Comma 9 2 6 2 4 2" xfId="50368"/>
    <cellStyle name="Comma 9 2 6 2 5" xfId="50369"/>
    <cellStyle name="Comma 9 2 6 2 6" xfId="50370"/>
    <cellStyle name="Comma 9 2 6 3" xfId="50371"/>
    <cellStyle name="Comma 9 2 6 3 2" xfId="50372"/>
    <cellStyle name="Comma 9 2 6 3 2 2" xfId="50373"/>
    <cellStyle name="Comma 9 2 6 3 2 3" xfId="50374"/>
    <cellStyle name="Comma 9 2 6 3 3" xfId="50375"/>
    <cellStyle name="Comma 9 2 6 3 3 2" xfId="50376"/>
    <cellStyle name="Comma 9 2 6 3 3 3" xfId="50377"/>
    <cellStyle name="Comma 9 2 6 3 4" xfId="50378"/>
    <cellStyle name="Comma 9 2 6 3 4 2" xfId="50379"/>
    <cellStyle name="Comma 9 2 6 3 5" xfId="50380"/>
    <cellStyle name="Comma 9 2 6 3 6" xfId="50381"/>
    <cellStyle name="Comma 9 2 6 4" xfId="50382"/>
    <cellStyle name="Comma 9 2 6 4 2" xfId="50383"/>
    <cellStyle name="Comma 9 2 6 4 2 2" xfId="50384"/>
    <cellStyle name="Comma 9 2 6 4 2 3" xfId="50385"/>
    <cellStyle name="Comma 9 2 6 4 3" xfId="50386"/>
    <cellStyle name="Comma 9 2 6 4 3 2" xfId="50387"/>
    <cellStyle name="Comma 9 2 6 4 4" xfId="50388"/>
    <cellStyle name="Comma 9 2 6 4 5" xfId="50389"/>
    <cellStyle name="Comma 9 2 6 5" xfId="50390"/>
    <cellStyle name="Comma 9 2 6 5 2" xfId="50391"/>
    <cellStyle name="Comma 9 2 6 5 3" xfId="50392"/>
    <cellStyle name="Comma 9 2 6 6" xfId="50393"/>
    <cellStyle name="Comma 9 2 6 6 2" xfId="50394"/>
    <cellStyle name="Comma 9 2 6 6 3" xfId="50395"/>
    <cellStyle name="Comma 9 2 6 7" xfId="50396"/>
    <cellStyle name="Comma 9 2 6 7 2" xfId="50397"/>
    <cellStyle name="Comma 9 2 6 8" xfId="50398"/>
    <cellStyle name="Comma 9 2 6 9" xfId="50399"/>
    <cellStyle name="Comma 9 2 7" xfId="3785"/>
    <cellStyle name="Comma 9 2 7 2" xfId="50400"/>
    <cellStyle name="Comma 9 2 7 2 2" xfId="50401"/>
    <cellStyle name="Comma 9 2 7 2 3" xfId="50402"/>
    <cellStyle name="Comma 9 2 7 3" xfId="50403"/>
    <cellStyle name="Comma 9 2 7 3 2" xfId="50404"/>
    <cellStyle name="Comma 9 2 7 3 3" xfId="50405"/>
    <cellStyle name="Comma 9 2 7 4" xfId="50406"/>
    <cellStyle name="Comma 9 2 7 4 2" xfId="50407"/>
    <cellStyle name="Comma 9 2 7 5" xfId="50408"/>
    <cellStyle name="Comma 9 2 7 6" xfId="50409"/>
    <cellStyle name="Comma 9 2 8" xfId="50410"/>
    <cellStyle name="Comma 9 2 8 2" xfId="50411"/>
    <cellStyle name="Comma 9 2 8 2 2" xfId="50412"/>
    <cellStyle name="Comma 9 2 8 2 3" xfId="50413"/>
    <cellStyle name="Comma 9 2 8 3" xfId="50414"/>
    <cellStyle name="Comma 9 2 8 3 2" xfId="50415"/>
    <cellStyle name="Comma 9 2 8 3 3" xfId="50416"/>
    <cellStyle name="Comma 9 2 8 4" xfId="50417"/>
    <cellStyle name="Comma 9 2 8 4 2" xfId="50418"/>
    <cellStyle name="Comma 9 2 8 5" xfId="50419"/>
    <cellStyle name="Comma 9 2 8 6" xfId="50420"/>
    <cellStyle name="Comma 9 2 9" xfId="50421"/>
    <cellStyle name="Comma 9 2 9 2" xfId="50422"/>
    <cellStyle name="Comma 9 2 9 2 2" xfId="50423"/>
    <cellStyle name="Comma 9 2 9 2 3" xfId="50424"/>
    <cellStyle name="Comma 9 2 9 3" xfId="50425"/>
    <cellStyle name="Comma 9 2 9 3 2" xfId="50426"/>
    <cellStyle name="Comma 9 2 9 4" xfId="50427"/>
    <cellStyle name="Comma 9 2 9 5" xfId="50428"/>
    <cellStyle name="Comma 9 3" xfId="3786"/>
    <cellStyle name="Comma 9 3 10" xfId="50429"/>
    <cellStyle name="Comma 9 3 10 2" xfId="50430"/>
    <cellStyle name="Comma 9 3 10 3" xfId="50431"/>
    <cellStyle name="Comma 9 3 11" xfId="50432"/>
    <cellStyle name="Comma 9 3 11 2" xfId="50433"/>
    <cellStyle name="Comma 9 3 12" xfId="50434"/>
    <cellStyle name="Comma 9 3 13" xfId="50435"/>
    <cellStyle name="Comma 9 3 14" xfId="50436"/>
    <cellStyle name="Comma 9 3 2" xfId="3787"/>
    <cellStyle name="Comma 9 3 2 10" xfId="50437"/>
    <cellStyle name="Comma 9 3 2 10 2" xfId="50438"/>
    <cellStyle name="Comma 9 3 2 11" xfId="50439"/>
    <cellStyle name="Comma 9 3 2 12" xfId="50440"/>
    <cellStyle name="Comma 9 3 2 2" xfId="3788"/>
    <cellStyle name="Comma 9 3 2 2 10" xfId="50441"/>
    <cellStyle name="Comma 9 3 2 2 2" xfId="3789"/>
    <cellStyle name="Comma 9 3 2 2 2 2" xfId="3790"/>
    <cellStyle name="Comma 9 3 2 2 2 2 2" xfId="50442"/>
    <cellStyle name="Comma 9 3 2 2 2 2 2 2" xfId="50443"/>
    <cellStyle name="Comma 9 3 2 2 2 2 2 3" xfId="50444"/>
    <cellStyle name="Comma 9 3 2 2 2 2 3" xfId="50445"/>
    <cellStyle name="Comma 9 3 2 2 2 2 3 2" xfId="50446"/>
    <cellStyle name="Comma 9 3 2 2 2 2 3 3" xfId="50447"/>
    <cellStyle name="Comma 9 3 2 2 2 2 4" xfId="50448"/>
    <cellStyle name="Comma 9 3 2 2 2 2 4 2" xfId="50449"/>
    <cellStyle name="Comma 9 3 2 2 2 2 5" xfId="50450"/>
    <cellStyle name="Comma 9 3 2 2 2 2 6" xfId="50451"/>
    <cellStyle name="Comma 9 3 2 2 2 3" xfId="50452"/>
    <cellStyle name="Comma 9 3 2 2 2 3 2" xfId="50453"/>
    <cellStyle name="Comma 9 3 2 2 2 3 2 2" xfId="50454"/>
    <cellStyle name="Comma 9 3 2 2 2 3 2 3" xfId="50455"/>
    <cellStyle name="Comma 9 3 2 2 2 3 3" xfId="50456"/>
    <cellStyle name="Comma 9 3 2 2 2 3 3 2" xfId="50457"/>
    <cellStyle name="Comma 9 3 2 2 2 3 3 3" xfId="50458"/>
    <cellStyle name="Comma 9 3 2 2 2 3 4" xfId="50459"/>
    <cellStyle name="Comma 9 3 2 2 2 3 4 2" xfId="50460"/>
    <cellStyle name="Comma 9 3 2 2 2 3 5" xfId="50461"/>
    <cellStyle name="Comma 9 3 2 2 2 3 6" xfId="50462"/>
    <cellStyle name="Comma 9 3 2 2 2 4" xfId="50463"/>
    <cellStyle name="Comma 9 3 2 2 2 4 2" xfId="50464"/>
    <cellStyle name="Comma 9 3 2 2 2 4 2 2" xfId="50465"/>
    <cellStyle name="Comma 9 3 2 2 2 4 2 3" xfId="50466"/>
    <cellStyle name="Comma 9 3 2 2 2 4 3" xfId="50467"/>
    <cellStyle name="Comma 9 3 2 2 2 4 3 2" xfId="50468"/>
    <cellStyle name="Comma 9 3 2 2 2 4 4" xfId="50469"/>
    <cellStyle name="Comma 9 3 2 2 2 4 5" xfId="50470"/>
    <cellStyle name="Comma 9 3 2 2 2 5" xfId="50471"/>
    <cellStyle name="Comma 9 3 2 2 2 5 2" xfId="50472"/>
    <cellStyle name="Comma 9 3 2 2 2 5 3" xfId="50473"/>
    <cellStyle name="Comma 9 3 2 2 2 6" xfId="50474"/>
    <cellStyle name="Comma 9 3 2 2 2 6 2" xfId="50475"/>
    <cellStyle name="Comma 9 3 2 2 2 6 3" xfId="50476"/>
    <cellStyle name="Comma 9 3 2 2 2 7" xfId="50477"/>
    <cellStyle name="Comma 9 3 2 2 2 7 2" xfId="50478"/>
    <cellStyle name="Comma 9 3 2 2 2 8" xfId="50479"/>
    <cellStyle name="Comma 9 3 2 2 2 9" xfId="50480"/>
    <cellStyle name="Comma 9 3 2 2 3" xfId="3791"/>
    <cellStyle name="Comma 9 3 2 2 3 2" xfId="50481"/>
    <cellStyle name="Comma 9 3 2 2 3 2 2" xfId="50482"/>
    <cellStyle name="Comma 9 3 2 2 3 2 3" xfId="50483"/>
    <cellStyle name="Comma 9 3 2 2 3 3" xfId="50484"/>
    <cellStyle name="Comma 9 3 2 2 3 3 2" xfId="50485"/>
    <cellStyle name="Comma 9 3 2 2 3 3 3" xfId="50486"/>
    <cellStyle name="Comma 9 3 2 2 3 4" xfId="50487"/>
    <cellStyle name="Comma 9 3 2 2 3 4 2" xfId="50488"/>
    <cellStyle name="Comma 9 3 2 2 3 5" xfId="50489"/>
    <cellStyle name="Comma 9 3 2 2 3 6" xfId="50490"/>
    <cellStyle name="Comma 9 3 2 2 4" xfId="50491"/>
    <cellStyle name="Comma 9 3 2 2 4 2" xfId="50492"/>
    <cellStyle name="Comma 9 3 2 2 4 2 2" xfId="50493"/>
    <cellStyle name="Comma 9 3 2 2 4 2 3" xfId="50494"/>
    <cellStyle name="Comma 9 3 2 2 4 3" xfId="50495"/>
    <cellStyle name="Comma 9 3 2 2 4 3 2" xfId="50496"/>
    <cellStyle name="Comma 9 3 2 2 4 3 3" xfId="50497"/>
    <cellStyle name="Comma 9 3 2 2 4 4" xfId="50498"/>
    <cellStyle name="Comma 9 3 2 2 4 4 2" xfId="50499"/>
    <cellStyle name="Comma 9 3 2 2 4 5" xfId="50500"/>
    <cellStyle name="Comma 9 3 2 2 4 6" xfId="50501"/>
    <cellStyle name="Comma 9 3 2 2 5" xfId="50502"/>
    <cellStyle name="Comma 9 3 2 2 5 2" xfId="50503"/>
    <cellStyle name="Comma 9 3 2 2 5 2 2" xfId="50504"/>
    <cellStyle name="Comma 9 3 2 2 5 2 3" xfId="50505"/>
    <cellStyle name="Comma 9 3 2 2 5 3" xfId="50506"/>
    <cellStyle name="Comma 9 3 2 2 5 3 2" xfId="50507"/>
    <cellStyle name="Comma 9 3 2 2 5 4" xfId="50508"/>
    <cellStyle name="Comma 9 3 2 2 5 5" xfId="50509"/>
    <cellStyle name="Comma 9 3 2 2 6" xfId="50510"/>
    <cellStyle name="Comma 9 3 2 2 6 2" xfId="50511"/>
    <cellStyle name="Comma 9 3 2 2 6 3" xfId="50512"/>
    <cellStyle name="Comma 9 3 2 2 7" xfId="50513"/>
    <cellStyle name="Comma 9 3 2 2 7 2" xfId="50514"/>
    <cellStyle name="Comma 9 3 2 2 7 3" xfId="50515"/>
    <cellStyle name="Comma 9 3 2 2 8" xfId="50516"/>
    <cellStyle name="Comma 9 3 2 2 8 2" xfId="50517"/>
    <cellStyle name="Comma 9 3 2 2 9" xfId="50518"/>
    <cellStyle name="Comma 9 3 2 3" xfId="3792"/>
    <cellStyle name="Comma 9 3 2 3 2" xfId="3793"/>
    <cellStyle name="Comma 9 3 2 3 2 2" xfId="50519"/>
    <cellStyle name="Comma 9 3 2 3 2 2 2" xfId="50520"/>
    <cellStyle name="Comma 9 3 2 3 2 2 3" xfId="50521"/>
    <cellStyle name="Comma 9 3 2 3 2 3" xfId="50522"/>
    <cellStyle name="Comma 9 3 2 3 2 3 2" xfId="50523"/>
    <cellStyle name="Comma 9 3 2 3 2 3 3" xfId="50524"/>
    <cellStyle name="Comma 9 3 2 3 2 4" xfId="50525"/>
    <cellStyle name="Comma 9 3 2 3 2 4 2" xfId="50526"/>
    <cellStyle name="Comma 9 3 2 3 2 5" xfId="50527"/>
    <cellStyle name="Comma 9 3 2 3 2 6" xfId="50528"/>
    <cellStyle name="Comma 9 3 2 3 3" xfId="50529"/>
    <cellStyle name="Comma 9 3 2 3 3 2" xfId="50530"/>
    <cellStyle name="Comma 9 3 2 3 3 2 2" xfId="50531"/>
    <cellStyle name="Comma 9 3 2 3 3 2 3" xfId="50532"/>
    <cellStyle name="Comma 9 3 2 3 3 3" xfId="50533"/>
    <cellStyle name="Comma 9 3 2 3 3 3 2" xfId="50534"/>
    <cellStyle name="Comma 9 3 2 3 3 3 3" xfId="50535"/>
    <cellStyle name="Comma 9 3 2 3 3 4" xfId="50536"/>
    <cellStyle name="Comma 9 3 2 3 3 4 2" xfId="50537"/>
    <cellStyle name="Comma 9 3 2 3 3 5" xfId="50538"/>
    <cellStyle name="Comma 9 3 2 3 3 6" xfId="50539"/>
    <cellStyle name="Comma 9 3 2 3 4" xfId="50540"/>
    <cellStyle name="Comma 9 3 2 3 4 2" xfId="50541"/>
    <cellStyle name="Comma 9 3 2 3 4 2 2" xfId="50542"/>
    <cellStyle name="Comma 9 3 2 3 4 2 3" xfId="50543"/>
    <cellStyle name="Comma 9 3 2 3 4 3" xfId="50544"/>
    <cellStyle name="Comma 9 3 2 3 4 3 2" xfId="50545"/>
    <cellStyle name="Comma 9 3 2 3 4 4" xfId="50546"/>
    <cellStyle name="Comma 9 3 2 3 4 5" xfId="50547"/>
    <cellStyle name="Comma 9 3 2 3 5" xfId="50548"/>
    <cellStyle name="Comma 9 3 2 3 5 2" xfId="50549"/>
    <cellStyle name="Comma 9 3 2 3 5 3" xfId="50550"/>
    <cellStyle name="Comma 9 3 2 3 6" xfId="50551"/>
    <cellStyle name="Comma 9 3 2 3 6 2" xfId="50552"/>
    <cellStyle name="Comma 9 3 2 3 6 3" xfId="50553"/>
    <cellStyle name="Comma 9 3 2 3 7" xfId="50554"/>
    <cellStyle name="Comma 9 3 2 3 7 2" xfId="50555"/>
    <cellStyle name="Comma 9 3 2 3 8" xfId="50556"/>
    <cellStyle name="Comma 9 3 2 3 9" xfId="50557"/>
    <cellStyle name="Comma 9 3 2 4" xfId="3794"/>
    <cellStyle name="Comma 9 3 2 4 2" xfId="50558"/>
    <cellStyle name="Comma 9 3 2 4 2 2" xfId="50559"/>
    <cellStyle name="Comma 9 3 2 4 2 2 2" xfId="50560"/>
    <cellStyle name="Comma 9 3 2 4 2 2 3" xfId="50561"/>
    <cellStyle name="Comma 9 3 2 4 2 3" xfId="50562"/>
    <cellStyle name="Comma 9 3 2 4 2 3 2" xfId="50563"/>
    <cellStyle name="Comma 9 3 2 4 2 3 3" xfId="50564"/>
    <cellStyle name="Comma 9 3 2 4 2 4" xfId="50565"/>
    <cellStyle name="Comma 9 3 2 4 2 4 2" xfId="50566"/>
    <cellStyle name="Comma 9 3 2 4 2 5" xfId="50567"/>
    <cellStyle name="Comma 9 3 2 4 2 6" xfId="50568"/>
    <cellStyle name="Comma 9 3 2 4 3" xfId="50569"/>
    <cellStyle name="Comma 9 3 2 4 3 2" xfId="50570"/>
    <cellStyle name="Comma 9 3 2 4 3 2 2" xfId="50571"/>
    <cellStyle name="Comma 9 3 2 4 3 2 3" xfId="50572"/>
    <cellStyle name="Comma 9 3 2 4 3 3" xfId="50573"/>
    <cellStyle name="Comma 9 3 2 4 3 3 2" xfId="50574"/>
    <cellStyle name="Comma 9 3 2 4 3 3 3" xfId="50575"/>
    <cellStyle name="Comma 9 3 2 4 3 4" xfId="50576"/>
    <cellStyle name="Comma 9 3 2 4 3 4 2" xfId="50577"/>
    <cellStyle name="Comma 9 3 2 4 3 5" xfId="50578"/>
    <cellStyle name="Comma 9 3 2 4 3 6" xfId="50579"/>
    <cellStyle name="Comma 9 3 2 4 4" xfId="50580"/>
    <cellStyle name="Comma 9 3 2 4 4 2" xfId="50581"/>
    <cellStyle name="Comma 9 3 2 4 4 2 2" xfId="50582"/>
    <cellStyle name="Comma 9 3 2 4 4 2 3" xfId="50583"/>
    <cellStyle name="Comma 9 3 2 4 4 3" xfId="50584"/>
    <cellStyle name="Comma 9 3 2 4 4 3 2" xfId="50585"/>
    <cellStyle name="Comma 9 3 2 4 4 4" xfId="50586"/>
    <cellStyle name="Comma 9 3 2 4 4 5" xfId="50587"/>
    <cellStyle name="Comma 9 3 2 4 5" xfId="50588"/>
    <cellStyle name="Comma 9 3 2 4 5 2" xfId="50589"/>
    <cellStyle name="Comma 9 3 2 4 5 3" xfId="50590"/>
    <cellStyle name="Comma 9 3 2 4 6" xfId="50591"/>
    <cellStyle name="Comma 9 3 2 4 6 2" xfId="50592"/>
    <cellStyle name="Comma 9 3 2 4 6 3" xfId="50593"/>
    <cellStyle name="Comma 9 3 2 4 7" xfId="50594"/>
    <cellStyle name="Comma 9 3 2 4 7 2" xfId="50595"/>
    <cellStyle name="Comma 9 3 2 4 8" xfId="50596"/>
    <cellStyle name="Comma 9 3 2 4 9" xfId="50597"/>
    <cellStyle name="Comma 9 3 2 5" xfId="50598"/>
    <cellStyle name="Comma 9 3 2 5 2" xfId="50599"/>
    <cellStyle name="Comma 9 3 2 5 2 2" xfId="50600"/>
    <cellStyle name="Comma 9 3 2 5 2 3" xfId="50601"/>
    <cellStyle name="Comma 9 3 2 5 3" xfId="50602"/>
    <cellStyle name="Comma 9 3 2 5 3 2" xfId="50603"/>
    <cellStyle name="Comma 9 3 2 5 3 3" xfId="50604"/>
    <cellStyle name="Comma 9 3 2 5 4" xfId="50605"/>
    <cellStyle name="Comma 9 3 2 5 4 2" xfId="50606"/>
    <cellStyle name="Comma 9 3 2 5 5" xfId="50607"/>
    <cellStyle name="Comma 9 3 2 5 6" xfId="50608"/>
    <cellStyle name="Comma 9 3 2 6" xfId="50609"/>
    <cellStyle name="Comma 9 3 2 6 2" xfId="50610"/>
    <cellStyle name="Comma 9 3 2 6 2 2" xfId="50611"/>
    <cellStyle name="Comma 9 3 2 6 2 3" xfId="50612"/>
    <cellStyle name="Comma 9 3 2 6 3" xfId="50613"/>
    <cellStyle name="Comma 9 3 2 6 3 2" xfId="50614"/>
    <cellStyle name="Comma 9 3 2 6 3 3" xfId="50615"/>
    <cellStyle name="Comma 9 3 2 6 4" xfId="50616"/>
    <cellStyle name="Comma 9 3 2 6 4 2" xfId="50617"/>
    <cellStyle name="Comma 9 3 2 6 5" xfId="50618"/>
    <cellStyle name="Comma 9 3 2 6 6" xfId="50619"/>
    <cellStyle name="Comma 9 3 2 7" xfId="50620"/>
    <cellStyle name="Comma 9 3 2 7 2" xfId="50621"/>
    <cellStyle name="Comma 9 3 2 7 2 2" xfId="50622"/>
    <cellStyle name="Comma 9 3 2 7 2 3" xfId="50623"/>
    <cellStyle name="Comma 9 3 2 7 3" xfId="50624"/>
    <cellStyle name="Comma 9 3 2 7 3 2" xfId="50625"/>
    <cellStyle name="Comma 9 3 2 7 4" xfId="50626"/>
    <cellStyle name="Comma 9 3 2 7 5" xfId="50627"/>
    <cellStyle name="Comma 9 3 2 8" xfId="50628"/>
    <cellStyle name="Comma 9 3 2 8 2" xfId="50629"/>
    <cellStyle name="Comma 9 3 2 8 3" xfId="50630"/>
    <cellStyle name="Comma 9 3 2 9" xfId="50631"/>
    <cellStyle name="Comma 9 3 2 9 2" xfId="50632"/>
    <cellStyle name="Comma 9 3 2 9 3" xfId="50633"/>
    <cellStyle name="Comma 9 3 3" xfId="3795"/>
    <cellStyle name="Comma 9 3 3 10" xfId="50634"/>
    <cellStyle name="Comma 9 3 3 2" xfId="3796"/>
    <cellStyle name="Comma 9 3 3 2 2" xfId="3797"/>
    <cellStyle name="Comma 9 3 3 2 2 2" xfId="50635"/>
    <cellStyle name="Comma 9 3 3 2 2 2 2" xfId="50636"/>
    <cellStyle name="Comma 9 3 3 2 2 2 3" xfId="50637"/>
    <cellStyle name="Comma 9 3 3 2 2 3" xfId="50638"/>
    <cellStyle name="Comma 9 3 3 2 2 3 2" xfId="50639"/>
    <cellStyle name="Comma 9 3 3 2 2 3 3" xfId="50640"/>
    <cellStyle name="Comma 9 3 3 2 2 4" xfId="50641"/>
    <cellStyle name="Comma 9 3 3 2 2 4 2" xfId="50642"/>
    <cellStyle name="Comma 9 3 3 2 2 5" xfId="50643"/>
    <cellStyle name="Comma 9 3 3 2 2 6" xfId="50644"/>
    <cellStyle name="Comma 9 3 3 2 3" xfId="50645"/>
    <cellStyle name="Comma 9 3 3 2 3 2" xfId="50646"/>
    <cellStyle name="Comma 9 3 3 2 3 2 2" xfId="50647"/>
    <cellStyle name="Comma 9 3 3 2 3 2 3" xfId="50648"/>
    <cellStyle name="Comma 9 3 3 2 3 3" xfId="50649"/>
    <cellStyle name="Comma 9 3 3 2 3 3 2" xfId="50650"/>
    <cellStyle name="Comma 9 3 3 2 3 3 3" xfId="50651"/>
    <cellStyle name="Comma 9 3 3 2 3 4" xfId="50652"/>
    <cellStyle name="Comma 9 3 3 2 3 4 2" xfId="50653"/>
    <cellStyle name="Comma 9 3 3 2 3 5" xfId="50654"/>
    <cellStyle name="Comma 9 3 3 2 3 6" xfId="50655"/>
    <cellStyle name="Comma 9 3 3 2 4" xfId="50656"/>
    <cellStyle name="Comma 9 3 3 2 4 2" xfId="50657"/>
    <cellStyle name="Comma 9 3 3 2 4 2 2" xfId="50658"/>
    <cellStyle name="Comma 9 3 3 2 4 2 3" xfId="50659"/>
    <cellStyle name="Comma 9 3 3 2 4 3" xfId="50660"/>
    <cellStyle name="Comma 9 3 3 2 4 3 2" xfId="50661"/>
    <cellStyle name="Comma 9 3 3 2 4 4" xfId="50662"/>
    <cellStyle name="Comma 9 3 3 2 4 5" xfId="50663"/>
    <cellStyle name="Comma 9 3 3 2 5" xfId="50664"/>
    <cellStyle name="Comma 9 3 3 2 5 2" xfId="50665"/>
    <cellStyle name="Comma 9 3 3 2 5 3" xfId="50666"/>
    <cellStyle name="Comma 9 3 3 2 6" xfId="50667"/>
    <cellStyle name="Comma 9 3 3 2 6 2" xfId="50668"/>
    <cellStyle name="Comma 9 3 3 2 6 3" xfId="50669"/>
    <cellStyle name="Comma 9 3 3 2 7" xfId="50670"/>
    <cellStyle name="Comma 9 3 3 2 7 2" xfId="50671"/>
    <cellStyle name="Comma 9 3 3 2 8" xfId="50672"/>
    <cellStyle name="Comma 9 3 3 2 9" xfId="50673"/>
    <cellStyle name="Comma 9 3 3 3" xfId="3798"/>
    <cellStyle name="Comma 9 3 3 3 2" xfId="50674"/>
    <cellStyle name="Comma 9 3 3 3 2 2" xfId="50675"/>
    <cellStyle name="Comma 9 3 3 3 2 3" xfId="50676"/>
    <cellStyle name="Comma 9 3 3 3 3" xfId="50677"/>
    <cellStyle name="Comma 9 3 3 3 3 2" xfId="50678"/>
    <cellStyle name="Comma 9 3 3 3 3 3" xfId="50679"/>
    <cellStyle name="Comma 9 3 3 3 4" xfId="50680"/>
    <cellStyle name="Comma 9 3 3 3 4 2" xfId="50681"/>
    <cellStyle name="Comma 9 3 3 3 5" xfId="50682"/>
    <cellStyle name="Comma 9 3 3 3 6" xfId="50683"/>
    <cellStyle name="Comma 9 3 3 4" xfId="50684"/>
    <cellStyle name="Comma 9 3 3 4 2" xfId="50685"/>
    <cellStyle name="Comma 9 3 3 4 2 2" xfId="50686"/>
    <cellStyle name="Comma 9 3 3 4 2 3" xfId="50687"/>
    <cellStyle name="Comma 9 3 3 4 3" xfId="50688"/>
    <cellStyle name="Comma 9 3 3 4 3 2" xfId="50689"/>
    <cellStyle name="Comma 9 3 3 4 3 3" xfId="50690"/>
    <cellStyle name="Comma 9 3 3 4 4" xfId="50691"/>
    <cellStyle name="Comma 9 3 3 4 4 2" xfId="50692"/>
    <cellStyle name="Comma 9 3 3 4 5" xfId="50693"/>
    <cellStyle name="Comma 9 3 3 4 6" xfId="50694"/>
    <cellStyle name="Comma 9 3 3 5" xfId="50695"/>
    <cellStyle name="Comma 9 3 3 5 2" xfId="50696"/>
    <cellStyle name="Comma 9 3 3 5 2 2" xfId="50697"/>
    <cellStyle name="Comma 9 3 3 5 2 3" xfId="50698"/>
    <cellStyle name="Comma 9 3 3 5 3" xfId="50699"/>
    <cellStyle name="Comma 9 3 3 5 3 2" xfId="50700"/>
    <cellStyle name="Comma 9 3 3 5 4" xfId="50701"/>
    <cellStyle name="Comma 9 3 3 5 5" xfId="50702"/>
    <cellStyle name="Comma 9 3 3 6" xfId="50703"/>
    <cellStyle name="Comma 9 3 3 6 2" xfId="50704"/>
    <cellStyle name="Comma 9 3 3 6 3" xfId="50705"/>
    <cellStyle name="Comma 9 3 3 7" xfId="50706"/>
    <cellStyle name="Comma 9 3 3 7 2" xfId="50707"/>
    <cellStyle name="Comma 9 3 3 7 3" xfId="50708"/>
    <cellStyle name="Comma 9 3 3 8" xfId="50709"/>
    <cellStyle name="Comma 9 3 3 8 2" xfId="50710"/>
    <cellStyle name="Comma 9 3 3 9" xfId="50711"/>
    <cellStyle name="Comma 9 3 4" xfId="3799"/>
    <cellStyle name="Comma 9 3 4 2" xfId="3800"/>
    <cellStyle name="Comma 9 3 4 2 2" xfId="50712"/>
    <cellStyle name="Comma 9 3 4 2 2 2" xfId="50713"/>
    <cellStyle name="Comma 9 3 4 2 2 3" xfId="50714"/>
    <cellStyle name="Comma 9 3 4 2 3" xfId="50715"/>
    <cellStyle name="Comma 9 3 4 2 3 2" xfId="50716"/>
    <cellStyle name="Comma 9 3 4 2 3 3" xfId="50717"/>
    <cellStyle name="Comma 9 3 4 2 4" xfId="50718"/>
    <cellStyle name="Comma 9 3 4 2 4 2" xfId="50719"/>
    <cellStyle name="Comma 9 3 4 2 5" xfId="50720"/>
    <cellStyle name="Comma 9 3 4 2 6" xfId="50721"/>
    <cellStyle name="Comma 9 3 4 3" xfId="50722"/>
    <cellStyle name="Comma 9 3 4 3 2" xfId="50723"/>
    <cellStyle name="Comma 9 3 4 3 2 2" xfId="50724"/>
    <cellStyle name="Comma 9 3 4 3 2 3" xfId="50725"/>
    <cellStyle name="Comma 9 3 4 3 3" xfId="50726"/>
    <cellStyle name="Comma 9 3 4 3 3 2" xfId="50727"/>
    <cellStyle name="Comma 9 3 4 3 3 3" xfId="50728"/>
    <cellStyle name="Comma 9 3 4 3 4" xfId="50729"/>
    <cellStyle name="Comma 9 3 4 3 4 2" xfId="50730"/>
    <cellStyle name="Comma 9 3 4 3 5" xfId="50731"/>
    <cellStyle name="Comma 9 3 4 3 6" xfId="50732"/>
    <cellStyle name="Comma 9 3 4 4" xfId="50733"/>
    <cellStyle name="Comma 9 3 4 4 2" xfId="50734"/>
    <cellStyle name="Comma 9 3 4 4 2 2" xfId="50735"/>
    <cellStyle name="Comma 9 3 4 4 2 3" xfId="50736"/>
    <cellStyle name="Comma 9 3 4 4 3" xfId="50737"/>
    <cellStyle name="Comma 9 3 4 4 3 2" xfId="50738"/>
    <cellStyle name="Comma 9 3 4 4 4" xfId="50739"/>
    <cellStyle name="Comma 9 3 4 4 5" xfId="50740"/>
    <cellStyle name="Comma 9 3 4 5" xfId="50741"/>
    <cellStyle name="Comma 9 3 4 5 2" xfId="50742"/>
    <cellStyle name="Comma 9 3 4 5 3" xfId="50743"/>
    <cellStyle name="Comma 9 3 4 6" xfId="50744"/>
    <cellStyle name="Comma 9 3 4 6 2" xfId="50745"/>
    <cellStyle name="Comma 9 3 4 6 3" xfId="50746"/>
    <cellStyle name="Comma 9 3 4 7" xfId="50747"/>
    <cellStyle name="Comma 9 3 4 7 2" xfId="50748"/>
    <cellStyle name="Comma 9 3 4 8" xfId="50749"/>
    <cellStyle name="Comma 9 3 4 9" xfId="50750"/>
    <cellStyle name="Comma 9 3 5" xfId="3801"/>
    <cellStyle name="Comma 9 3 5 2" xfId="50751"/>
    <cellStyle name="Comma 9 3 5 2 2" xfId="50752"/>
    <cellStyle name="Comma 9 3 5 2 2 2" xfId="50753"/>
    <cellStyle name="Comma 9 3 5 2 2 3" xfId="50754"/>
    <cellStyle name="Comma 9 3 5 2 3" xfId="50755"/>
    <cellStyle name="Comma 9 3 5 2 3 2" xfId="50756"/>
    <cellStyle name="Comma 9 3 5 2 3 3" xfId="50757"/>
    <cellStyle name="Comma 9 3 5 2 4" xfId="50758"/>
    <cellStyle name="Comma 9 3 5 2 4 2" xfId="50759"/>
    <cellStyle name="Comma 9 3 5 2 5" xfId="50760"/>
    <cellStyle name="Comma 9 3 5 2 6" xfId="50761"/>
    <cellStyle name="Comma 9 3 5 3" xfId="50762"/>
    <cellStyle name="Comma 9 3 5 3 2" xfId="50763"/>
    <cellStyle name="Comma 9 3 5 3 2 2" xfId="50764"/>
    <cellStyle name="Comma 9 3 5 3 2 3" xfId="50765"/>
    <cellStyle name="Comma 9 3 5 3 3" xfId="50766"/>
    <cellStyle name="Comma 9 3 5 3 3 2" xfId="50767"/>
    <cellStyle name="Comma 9 3 5 3 3 3" xfId="50768"/>
    <cellStyle name="Comma 9 3 5 3 4" xfId="50769"/>
    <cellStyle name="Comma 9 3 5 3 4 2" xfId="50770"/>
    <cellStyle name="Comma 9 3 5 3 5" xfId="50771"/>
    <cellStyle name="Comma 9 3 5 3 6" xfId="50772"/>
    <cellStyle name="Comma 9 3 5 4" xfId="50773"/>
    <cellStyle name="Comma 9 3 5 4 2" xfId="50774"/>
    <cellStyle name="Comma 9 3 5 4 2 2" xfId="50775"/>
    <cellStyle name="Comma 9 3 5 4 2 3" xfId="50776"/>
    <cellStyle name="Comma 9 3 5 4 3" xfId="50777"/>
    <cellStyle name="Comma 9 3 5 4 3 2" xfId="50778"/>
    <cellStyle name="Comma 9 3 5 4 4" xfId="50779"/>
    <cellStyle name="Comma 9 3 5 4 5" xfId="50780"/>
    <cellStyle name="Comma 9 3 5 5" xfId="50781"/>
    <cellStyle name="Comma 9 3 5 5 2" xfId="50782"/>
    <cellStyle name="Comma 9 3 5 5 3" xfId="50783"/>
    <cellStyle name="Comma 9 3 5 6" xfId="50784"/>
    <cellStyle name="Comma 9 3 5 6 2" xfId="50785"/>
    <cellStyle name="Comma 9 3 5 6 3" xfId="50786"/>
    <cellStyle name="Comma 9 3 5 7" xfId="50787"/>
    <cellStyle name="Comma 9 3 5 7 2" xfId="50788"/>
    <cellStyle name="Comma 9 3 5 8" xfId="50789"/>
    <cellStyle name="Comma 9 3 5 9" xfId="50790"/>
    <cellStyle name="Comma 9 3 6" xfId="50791"/>
    <cellStyle name="Comma 9 3 6 2" xfId="50792"/>
    <cellStyle name="Comma 9 3 6 2 2" xfId="50793"/>
    <cellStyle name="Comma 9 3 6 2 3" xfId="50794"/>
    <cellStyle name="Comma 9 3 6 3" xfId="50795"/>
    <cellStyle name="Comma 9 3 6 3 2" xfId="50796"/>
    <cellStyle name="Comma 9 3 6 3 3" xfId="50797"/>
    <cellStyle name="Comma 9 3 6 4" xfId="50798"/>
    <cellStyle name="Comma 9 3 6 4 2" xfId="50799"/>
    <cellStyle name="Comma 9 3 6 5" xfId="50800"/>
    <cellStyle name="Comma 9 3 6 6" xfId="50801"/>
    <cellStyle name="Comma 9 3 7" xfId="50802"/>
    <cellStyle name="Comma 9 3 7 2" xfId="50803"/>
    <cellStyle name="Comma 9 3 7 2 2" xfId="50804"/>
    <cellStyle name="Comma 9 3 7 2 3" xfId="50805"/>
    <cellStyle name="Comma 9 3 7 3" xfId="50806"/>
    <cellStyle name="Comma 9 3 7 3 2" xfId="50807"/>
    <cellStyle name="Comma 9 3 7 3 3" xfId="50808"/>
    <cellStyle name="Comma 9 3 7 4" xfId="50809"/>
    <cellStyle name="Comma 9 3 7 4 2" xfId="50810"/>
    <cellStyle name="Comma 9 3 7 5" xfId="50811"/>
    <cellStyle name="Comma 9 3 7 6" xfId="50812"/>
    <cellStyle name="Comma 9 3 8" xfId="50813"/>
    <cellStyle name="Comma 9 3 8 2" xfId="50814"/>
    <cellStyle name="Comma 9 3 8 2 2" xfId="50815"/>
    <cellStyle name="Comma 9 3 8 2 3" xfId="50816"/>
    <cellStyle name="Comma 9 3 8 3" xfId="50817"/>
    <cellStyle name="Comma 9 3 8 3 2" xfId="50818"/>
    <cellStyle name="Comma 9 3 8 4" xfId="50819"/>
    <cellStyle name="Comma 9 3 8 5" xfId="50820"/>
    <cellStyle name="Comma 9 3 9" xfId="50821"/>
    <cellStyle name="Comma 9 3 9 2" xfId="50822"/>
    <cellStyle name="Comma 9 3 9 3" xfId="50823"/>
    <cellStyle name="Comma 9 4" xfId="3802"/>
    <cellStyle name="Comma 9 4 10" xfId="50824"/>
    <cellStyle name="Comma 9 4 10 2" xfId="50825"/>
    <cellStyle name="Comma 9 4 11" xfId="50826"/>
    <cellStyle name="Comma 9 4 12" xfId="50827"/>
    <cellStyle name="Comma 9 4 2" xfId="3803"/>
    <cellStyle name="Comma 9 4 2 10" xfId="50828"/>
    <cellStyle name="Comma 9 4 2 2" xfId="3804"/>
    <cellStyle name="Comma 9 4 2 2 2" xfId="3805"/>
    <cellStyle name="Comma 9 4 2 2 2 2" xfId="50829"/>
    <cellStyle name="Comma 9 4 2 2 2 2 2" xfId="50830"/>
    <cellStyle name="Comma 9 4 2 2 2 2 3" xfId="50831"/>
    <cellStyle name="Comma 9 4 2 2 2 3" xfId="50832"/>
    <cellStyle name="Comma 9 4 2 2 2 3 2" xfId="50833"/>
    <cellStyle name="Comma 9 4 2 2 2 3 3" xfId="50834"/>
    <cellStyle name="Comma 9 4 2 2 2 4" xfId="50835"/>
    <cellStyle name="Comma 9 4 2 2 2 4 2" xfId="50836"/>
    <cellStyle name="Comma 9 4 2 2 2 5" xfId="50837"/>
    <cellStyle name="Comma 9 4 2 2 2 6" xfId="50838"/>
    <cellStyle name="Comma 9 4 2 2 3" xfId="50839"/>
    <cellStyle name="Comma 9 4 2 2 3 2" xfId="50840"/>
    <cellStyle name="Comma 9 4 2 2 3 2 2" xfId="50841"/>
    <cellStyle name="Comma 9 4 2 2 3 2 3" xfId="50842"/>
    <cellStyle name="Comma 9 4 2 2 3 3" xfId="50843"/>
    <cellStyle name="Comma 9 4 2 2 3 3 2" xfId="50844"/>
    <cellStyle name="Comma 9 4 2 2 3 3 3" xfId="50845"/>
    <cellStyle name="Comma 9 4 2 2 3 4" xfId="50846"/>
    <cellStyle name="Comma 9 4 2 2 3 4 2" xfId="50847"/>
    <cellStyle name="Comma 9 4 2 2 3 5" xfId="50848"/>
    <cellStyle name="Comma 9 4 2 2 3 6" xfId="50849"/>
    <cellStyle name="Comma 9 4 2 2 4" xfId="50850"/>
    <cellStyle name="Comma 9 4 2 2 4 2" xfId="50851"/>
    <cellStyle name="Comma 9 4 2 2 4 2 2" xfId="50852"/>
    <cellStyle name="Comma 9 4 2 2 4 2 3" xfId="50853"/>
    <cellStyle name="Comma 9 4 2 2 4 3" xfId="50854"/>
    <cellStyle name="Comma 9 4 2 2 4 3 2" xfId="50855"/>
    <cellStyle name="Comma 9 4 2 2 4 4" xfId="50856"/>
    <cellStyle name="Comma 9 4 2 2 4 5" xfId="50857"/>
    <cellStyle name="Comma 9 4 2 2 5" xfId="50858"/>
    <cellStyle name="Comma 9 4 2 2 5 2" xfId="50859"/>
    <cellStyle name="Comma 9 4 2 2 5 3" xfId="50860"/>
    <cellStyle name="Comma 9 4 2 2 6" xfId="50861"/>
    <cellStyle name="Comma 9 4 2 2 6 2" xfId="50862"/>
    <cellStyle name="Comma 9 4 2 2 6 3" xfId="50863"/>
    <cellStyle name="Comma 9 4 2 2 7" xfId="50864"/>
    <cellStyle name="Comma 9 4 2 2 7 2" xfId="50865"/>
    <cellStyle name="Comma 9 4 2 2 8" xfId="50866"/>
    <cellStyle name="Comma 9 4 2 2 9" xfId="50867"/>
    <cellStyle name="Comma 9 4 2 3" xfId="3806"/>
    <cellStyle name="Comma 9 4 2 3 2" xfId="50868"/>
    <cellStyle name="Comma 9 4 2 3 2 2" xfId="50869"/>
    <cellStyle name="Comma 9 4 2 3 2 3" xfId="50870"/>
    <cellStyle name="Comma 9 4 2 3 3" xfId="50871"/>
    <cellStyle name="Comma 9 4 2 3 3 2" xfId="50872"/>
    <cellStyle name="Comma 9 4 2 3 3 3" xfId="50873"/>
    <cellStyle name="Comma 9 4 2 3 4" xfId="50874"/>
    <cellStyle name="Comma 9 4 2 3 4 2" xfId="50875"/>
    <cellStyle name="Comma 9 4 2 3 5" xfId="50876"/>
    <cellStyle name="Comma 9 4 2 3 6" xfId="50877"/>
    <cellStyle name="Comma 9 4 2 4" xfId="50878"/>
    <cellStyle name="Comma 9 4 2 4 2" xfId="50879"/>
    <cellStyle name="Comma 9 4 2 4 2 2" xfId="50880"/>
    <cellStyle name="Comma 9 4 2 4 2 3" xfId="50881"/>
    <cellStyle name="Comma 9 4 2 4 3" xfId="50882"/>
    <cellStyle name="Comma 9 4 2 4 3 2" xfId="50883"/>
    <cellStyle name="Comma 9 4 2 4 3 3" xfId="50884"/>
    <cellStyle name="Comma 9 4 2 4 4" xfId="50885"/>
    <cellStyle name="Comma 9 4 2 4 4 2" xfId="50886"/>
    <cellStyle name="Comma 9 4 2 4 5" xfId="50887"/>
    <cellStyle name="Comma 9 4 2 4 6" xfId="50888"/>
    <cellStyle name="Comma 9 4 2 5" xfId="50889"/>
    <cellStyle name="Comma 9 4 2 5 2" xfId="50890"/>
    <cellStyle name="Comma 9 4 2 5 2 2" xfId="50891"/>
    <cellStyle name="Comma 9 4 2 5 2 3" xfId="50892"/>
    <cellStyle name="Comma 9 4 2 5 3" xfId="50893"/>
    <cellStyle name="Comma 9 4 2 5 3 2" xfId="50894"/>
    <cellStyle name="Comma 9 4 2 5 4" xfId="50895"/>
    <cellStyle name="Comma 9 4 2 5 5" xfId="50896"/>
    <cellStyle name="Comma 9 4 2 6" xfId="50897"/>
    <cellStyle name="Comma 9 4 2 6 2" xfId="50898"/>
    <cellStyle name="Comma 9 4 2 6 3" xfId="50899"/>
    <cellStyle name="Comma 9 4 2 7" xfId="50900"/>
    <cellStyle name="Comma 9 4 2 7 2" xfId="50901"/>
    <cellStyle name="Comma 9 4 2 7 3" xfId="50902"/>
    <cellStyle name="Comma 9 4 2 8" xfId="50903"/>
    <cellStyle name="Comma 9 4 2 8 2" xfId="50904"/>
    <cellStyle name="Comma 9 4 2 9" xfId="50905"/>
    <cellStyle name="Comma 9 4 3" xfId="3807"/>
    <cellStyle name="Comma 9 4 3 2" xfId="3808"/>
    <cellStyle name="Comma 9 4 3 2 2" xfId="50906"/>
    <cellStyle name="Comma 9 4 3 2 2 2" xfId="50907"/>
    <cellStyle name="Comma 9 4 3 2 2 3" xfId="50908"/>
    <cellStyle name="Comma 9 4 3 2 3" xfId="50909"/>
    <cellStyle name="Comma 9 4 3 2 3 2" xfId="50910"/>
    <cellStyle name="Comma 9 4 3 2 3 3" xfId="50911"/>
    <cellStyle name="Comma 9 4 3 2 4" xfId="50912"/>
    <cellStyle name="Comma 9 4 3 2 4 2" xfId="50913"/>
    <cellStyle name="Comma 9 4 3 2 5" xfId="50914"/>
    <cellStyle name="Comma 9 4 3 2 6" xfId="50915"/>
    <cellStyle name="Comma 9 4 3 3" xfId="50916"/>
    <cellStyle name="Comma 9 4 3 3 2" xfId="50917"/>
    <cellStyle name="Comma 9 4 3 3 2 2" xfId="50918"/>
    <cellStyle name="Comma 9 4 3 3 2 3" xfId="50919"/>
    <cellStyle name="Comma 9 4 3 3 3" xfId="50920"/>
    <cellStyle name="Comma 9 4 3 3 3 2" xfId="50921"/>
    <cellStyle name="Comma 9 4 3 3 3 3" xfId="50922"/>
    <cellStyle name="Comma 9 4 3 3 4" xfId="50923"/>
    <cellStyle name="Comma 9 4 3 3 4 2" xfId="50924"/>
    <cellStyle name="Comma 9 4 3 3 5" xfId="50925"/>
    <cellStyle name="Comma 9 4 3 3 6" xfId="50926"/>
    <cellStyle name="Comma 9 4 3 4" xfId="50927"/>
    <cellStyle name="Comma 9 4 3 4 2" xfId="50928"/>
    <cellStyle name="Comma 9 4 3 4 2 2" xfId="50929"/>
    <cellStyle name="Comma 9 4 3 4 2 3" xfId="50930"/>
    <cellStyle name="Comma 9 4 3 4 3" xfId="50931"/>
    <cellStyle name="Comma 9 4 3 4 3 2" xfId="50932"/>
    <cellStyle name="Comma 9 4 3 4 4" xfId="50933"/>
    <cellStyle name="Comma 9 4 3 4 5" xfId="50934"/>
    <cellStyle name="Comma 9 4 3 5" xfId="50935"/>
    <cellStyle name="Comma 9 4 3 5 2" xfId="50936"/>
    <cellStyle name="Comma 9 4 3 5 3" xfId="50937"/>
    <cellStyle name="Comma 9 4 3 6" xfId="50938"/>
    <cellStyle name="Comma 9 4 3 6 2" xfId="50939"/>
    <cellStyle name="Comma 9 4 3 6 3" xfId="50940"/>
    <cellStyle name="Comma 9 4 3 7" xfId="50941"/>
    <cellStyle name="Comma 9 4 3 7 2" xfId="50942"/>
    <cellStyle name="Comma 9 4 3 8" xfId="50943"/>
    <cellStyle name="Comma 9 4 3 9" xfId="50944"/>
    <cellStyle name="Comma 9 4 4" xfId="3809"/>
    <cellStyle name="Comma 9 4 4 2" xfId="50945"/>
    <cellStyle name="Comma 9 4 4 2 2" xfId="50946"/>
    <cellStyle name="Comma 9 4 4 2 2 2" xfId="50947"/>
    <cellStyle name="Comma 9 4 4 2 2 3" xfId="50948"/>
    <cellStyle name="Comma 9 4 4 2 3" xfId="50949"/>
    <cellStyle name="Comma 9 4 4 2 3 2" xfId="50950"/>
    <cellStyle name="Comma 9 4 4 2 3 3" xfId="50951"/>
    <cellStyle name="Comma 9 4 4 2 4" xfId="50952"/>
    <cellStyle name="Comma 9 4 4 2 4 2" xfId="50953"/>
    <cellStyle name="Comma 9 4 4 2 5" xfId="50954"/>
    <cellStyle name="Comma 9 4 4 2 6" xfId="50955"/>
    <cellStyle name="Comma 9 4 4 3" xfId="50956"/>
    <cellStyle name="Comma 9 4 4 3 2" xfId="50957"/>
    <cellStyle name="Comma 9 4 4 3 2 2" xfId="50958"/>
    <cellStyle name="Comma 9 4 4 3 2 3" xfId="50959"/>
    <cellStyle name="Comma 9 4 4 3 3" xfId="50960"/>
    <cellStyle name="Comma 9 4 4 3 3 2" xfId="50961"/>
    <cellStyle name="Comma 9 4 4 3 3 3" xfId="50962"/>
    <cellStyle name="Comma 9 4 4 3 4" xfId="50963"/>
    <cellStyle name="Comma 9 4 4 3 4 2" xfId="50964"/>
    <cellStyle name="Comma 9 4 4 3 5" xfId="50965"/>
    <cellStyle name="Comma 9 4 4 3 6" xfId="50966"/>
    <cellStyle name="Comma 9 4 4 4" xfId="50967"/>
    <cellStyle name="Comma 9 4 4 4 2" xfId="50968"/>
    <cellStyle name="Comma 9 4 4 4 2 2" xfId="50969"/>
    <cellStyle name="Comma 9 4 4 4 2 3" xfId="50970"/>
    <cellStyle name="Comma 9 4 4 4 3" xfId="50971"/>
    <cellStyle name="Comma 9 4 4 4 3 2" xfId="50972"/>
    <cellStyle name="Comma 9 4 4 4 4" xfId="50973"/>
    <cellStyle name="Comma 9 4 4 4 5" xfId="50974"/>
    <cellStyle name="Comma 9 4 4 5" xfId="50975"/>
    <cellStyle name="Comma 9 4 4 5 2" xfId="50976"/>
    <cellStyle name="Comma 9 4 4 5 3" xfId="50977"/>
    <cellStyle name="Comma 9 4 4 6" xfId="50978"/>
    <cellStyle name="Comma 9 4 4 6 2" xfId="50979"/>
    <cellStyle name="Comma 9 4 4 6 3" xfId="50980"/>
    <cellStyle name="Comma 9 4 4 7" xfId="50981"/>
    <cellStyle name="Comma 9 4 4 7 2" xfId="50982"/>
    <cellStyle name="Comma 9 4 4 8" xfId="50983"/>
    <cellStyle name="Comma 9 4 4 9" xfId="50984"/>
    <cellStyle name="Comma 9 4 5" xfId="50985"/>
    <cellStyle name="Comma 9 4 5 2" xfId="50986"/>
    <cellStyle name="Comma 9 4 5 2 2" xfId="50987"/>
    <cellStyle name="Comma 9 4 5 2 3" xfId="50988"/>
    <cellStyle name="Comma 9 4 5 3" xfId="50989"/>
    <cellStyle name="Comma 9 4 5 3 2" xfId="50990"/>
    <cellStyle name="Comma 9 4 5 3 3" xfId="50991"/>
    <cellStyle name="Comma 9 4 5 4" xfId="50992"/>
    <cellStyle name="Comma 9 4 5 4 2" xfId="50993"/>
    <cellStyle name="Comma 9 4 5 5" xfId="50994"/>
    <cellStyle name="Comma 9 4 5 6" xfId="50995"/>
    <cellStyle name="Comma 9 4 6" xfId="50996"/>
    <cellStyle name="Comma 9 4 6 2" xfId="50997"/>
    <cellStyle name="Comma 9 4 6 2 2" xfId="50998"/>
    <cellStyle name="Comma 9 4 6 2 3" xfId="50999"/>
    <cellStyle name="Comma 9 4 6 3" xfId="51000"/>
    <cellStyle name="Comma 9 4 6 3 2" xfId="51001"/>
    <cellStyle name="Comma 9 4 6 3 3" xfId="51002"/>
    <cellStyle name="Comma 9 4 6 4" xfId="51003"/>
    <cellStyle name="Comma 9 4 6 4 2" xfId="51004"/>
    <cellStyle name="Comma 9 4 6 5" xfId="51005"/>
    <cellStyle name="Comma 9 4 6 6" xfId="51006"/>
    <cellStyle name="Comma 9 4 7" xfId="51007"/>
    <cellStyle name="Comma 9 4 7 2" xfId="51008"/>
    <cellStyle name="Comma 9 4 7 2 2" xfId="51009"/>
    <cellStyle name="Comma 9 4 7 2 3" xfId="51010"/>
    <cellStyle name="Comma 9 4 7 3" xfId="51011"/>
    <cellStyle name="Comma 9 4 7 3 2" xfId="51012"/>
    <cellStyle name="Comma 9 4 7 4" xfId="51013"/>
    <cellStyle name="Comma 9 4 7 5" xfId="51014"/>
    <cellStyle name="Comma 9 4 8" xfId="51015"/>
    <cellStyle name="Comma 9 4 8 2" xfId="51016"/>
    <cellStyle name="Comma 9 4 8 3" xfId="51017"/>
    <cellStyle name="Comma 9 4 9" xfId="51018"/>
    <cellStyle name="Comma 9 4 9 2" xfId="51019"/>
    <cellStyle name="Comma 9 4 9 3" xfId="51020"/>
    <cellStyle name="Comma 9 5" xfId="3810"/>
    <cellStyle name="Comma 9 5 10" xfId="51021"/>
    <cellStyle name="Comma 9 5 2" xfId="3811"/>
    <cellStyle name="Comma 9 5 2 2" xfId="3812"/>
    <cellStyle name="Comma 9 5 2 2 2" xfId="51022"/>
    <cellStyle name="Comma 9 5 2 2 2 2" xfId="51023"/>
    <cellStyle name="Comma 9 5 2 2 2 3" xfId="51024"/>
    <cellStyle name="Comma 9 5 2 2 3" xfId="51025"/>
    <cellStyle name="Comma 9 5 2 2 3 2" xfId="51026"/>
    <cellStyle name="Comma 9 5 2 2 3 3" xfId="51027"/>
    <cellStyle name="Comma 9 5 2 2 4" xfId="51028"/>
    <cellStyle name="Comma 9 5 2 2 4 2" xfId="51029"/>
    <cellStyle name="Comma 9 5 2 2 5" xfId="51030"/>
    <cellStyle name="Comma 9 5 2 2 6" xfId="51031"/>
    <cellStyle name="Comma 9 5 2 3" xfId="51032"/>
    <cellStyle name="Comma 9 5 2 3 2" xfId="51033"/>
    <cellStyle name="Comma 9 5 2 3 2 2" xfId="51034"/>
    <cellStyle name="Comma 9 5 2 3 2 3" xfId="51035"/>
    <cellStyle name="Comma 9 5 2 3 3" xfId="51036"/>
    <cellStyle name="Comma 9 5 2 3 3 2" xfId="51037"/>
    <cellStyle name="Comma 9 5 2 3 3 3" xfId="51038"/>
    <cellStyle name="Comma 9 5 2 3 4" xfId="51039"/>
    <cellStyle name="Comma 9 5 2 3 4 2" xfId="51040"/>
    <cellStyle name="Comma 9 5 2 3 5" xfId="51041"/>
    <cellStyle name="Comma 9 5 2 3 6" xfId="51042"/>
    <cellStyle name="Comma 9 5 2 4" xfId="51043"/>
    <cellStyle name="Comma 9 5 2 4 2" xfId="51044"/>
    <cellStyle name="Comma 9 5 2 4 2 2" xfId="51045"/>
    <cellStyle name="Comma 9 5 2 4 2 3" xfId="51046"/>
    <cellStyle name="Comma 9 5 2 4 3" xfId="51047"/>
    <cellStyle name="Comma 9 5 2 4 3 2" xfId="51048"/>
    <cellStyle name="Comma 9 5 2 4 4" xfId="51049"/>
    <cellStyle name="Comma 9 5 2 4 5" xfId="51050"/>
    <cellStyle name="Comma 9 5 2 5" xfId="51051"/>
    <cellStyle name="Comma 9 5 2 5 2" xfId="51052"/>
    <cellStyle name="Comma 9 5 2 5 3" xfId="51053"/>
    <cellStyle name="Comma 9 5 2 6" xfId="51054"/>
    <cellStyle name="Comma 9 5 2 6 2" xfId="51055"/>
    <cellStyle name="Comma 9 5 2 6 3" xfId="51056"/>
    <cellStyle name="Comma 9 5 2 7" xfId="51057"/>
    <cellStyle name="Comma 9 5 2 7 2" xfId="51058"/>
    <cellStyle name="Comma 9 5 2 8" xfId="51059"/>
    <cellStyle name="Comma 9 5 2 9" xfId="51060"/>
    <cellStyle name="Comma 9 5 3" xfId="3813"/>
    <cellStyle name="Comma 9 5 3 2" xfId="51061"/>
    <cellStyle name="Comma 9 5 3 2 2" xfId="51062"/>
    <cellStyle name="Comma 9 5 3 2 3" xfId="51063"/>
    <cellStyle name="Comma 9 5 3 3" xfId="51064"/>
    <cellStyle name="Comma 9 5 3 3 2" xfId="51065"/>
    <cellStyle name="Comma 9 5 3 3 3" xfId="51066"/>
    <cellStyle name="Comma 9 5 3 4" xfId="51067"/>
    <cellStyle name="Comma 9 5 3 4 2" xfId="51068"/>
    <cellStyle name="Comma 9 5 3 5" xfId="51069"/>
    <cellStyle name="Comma 9 5 3 6" xfId="51070"/>
    <cellStyle name="Comma 9 5 4" xfId="51071"/>
    <cellStyle name="Comma 9 5 4 2" xfId="51072"/>
    <cellStyle name="Comma 9 5 4 2 2" xfId="51073"/>
    <cellStyle name="Comma 9 5 4 2 3" xfId="51074"/>
    <cellStyle name="Comma 9 5 4 3" xfId="51075"/>
    <cellStyle name="Comma 9 5 4 3 2" xfId="51076"/>
    <cellStyle name="Comma 9 5 4 3 3" xfId="51077"/>
    <cellStyle name="Comma 9 5 4 4" xfId="51078"/>
    <cellStyle name="Comma 9 5 4 4 2" xfId="51079"/>
    <cellStyle name="Comma 9 5 4 5" xfId="51080"/>
    <cellStyle name="Comma 9 5 4 6" xfId="51081"/>
    <cellStyle name="Comma 9 5 5" xfId="51082"/>
    <cellStyle name="Comma 9 5 5 2" xfId="51083"/>
    <cellStyle name="Comma 9 5 5 2 2" xfId="51084"/>
    <cellStyle name="Comma 9 5 5 2 3" xfId="51085"/>
    <cellStyle name="Comma 9 5 5 3" xfId="51086"/>
    <cellStyle name="Comma 9 5 5 3 2" xfId="51087"/>
    <cellStyle name="Comma 9 5 5 4" xfId="51088"/>
    <cellStyle name="Comma 9 5 5 5" xfId="51089"/>
    <cellStyle name="Comma 9 5 6" xfId="51090"/>
    <cellStyle name="Comma 9 5 6 2" xfId="51091"/>
    <cellStyle name="Comma 9 5 6 3" xfId="51092"/>
    <cellStyle name="Comma 9 5 7" xfId="51093"/>
    <cellStyle name="Comma 9 5 7 2" xfId="51094"/>
    <cellStyle name="Comma 9 5 7 3" xfId="51095"/>
    <cellStyle name="Comma 9 5 8" xfId="51096"/>
    <cellStyle name="Comma 9 5 8 2" xfId="51097"/>
    <cellStyle name="Comma 9 5 9" xfId="51098"/>
    <cellStyle name="Comma 9 6" xfId="3814"/>
    <cellStyle name="Comma 9 6 2" xfId="3815"/>
    <cellStyle name="Comma 9 6 2 2" xfId="51099"/>
    <cellStyle name="Comma 9 6 2 2 2" xfId="51100"/>
    <cellStyle name="Comma 9 6 2 2 3" xfId="51101"/>
    <cellStyle name="Comma 9 6 2 3" xfId="51102"/>
    <cellStyle name="Comma 9 6 2 3 2" xfId="51103"/>
    <cellStyle name="Comma 9 6 2 3 3" xfId="51104"/>
    <cellStyle name="Comma 9 6 2 4" xfId="51105"/>
    <cellStyle name="Comma 9 6 2 4 2" xfId="51106"/>
    <cellStyle name="Comma 9 6 2 5" xfId="51107"/>
    <cellStyle name="Comma 9 6 2 6" xfId="51108"/>
    <cellStyle name="Comma 9 6 3" xfId="51109"/>
    <cellStyle name="Comma 9 6 3 2" xfId="51110"/>
    <cellStyle name="Comma 9 6 3 2 2" xfId="51111"/>
    <cellStyle name="Comma 9 6 3 2 3" xfId="51112"/>
    <cellStyle name="Comma 9 6 3 3" xfId="51113"/>
    <cellStyle name="Comma 9 6 3 3 2" xfId="51114"/>
    <cellStyle name="Comma 9 6 3 3 3" xfId="51115"/>
    <cellStyle name="Comma 9 6 3 4" xfId="51116"/>
    <cellStyle name="Comma 9 6 3 4 2" xfId="51117"/>
    <cellStyle name="Comma 9 6 3 5" xfId="51118"/>
    <cellStyle name="Comma 9 6 3 6" xfId="51119"/>
    <cellStyle name="Comma 9 6 4" xfId="51120"/>
    <cellStyle name="Comma 9 6 4 2" xfId="51121"/>
    <cellStyle name="Comma 9 6 4 2 2" xfId="51122"/>
    <cellStyle name="Comma 9 6 4 2 3" xfId="51123"/>
    <cellStyle name="Comma 9 6 4 3" xfId="51124"/>
    <cellStyle name="Comma 9 6 4 3 2" xfId="51125"/>
    <cellStyle name="Comma 9 6 4 4" xfId="51126"/>
    <cellStyle name="Comma 9 6 4 5" xfId="51127"/>
    <cellStyle name="Comma 9 6 5" xfId="51128"/>
    <cellStyle name="Comma 9 6 5 2" xfId="51129"/>
    <cellStyle name="Comma 9 6 5 3" xfId="51130"/>
    <cellStyle name="Comma 9 6 6" xfId="51131"/>
    <cellStyle name="Comma 9 6 6 2" xfId="51132"/>
    <cellStyle name="Comma 9 6 6 3" xfId="51133"/>
    <cellStyle name="Comma 9 6 7" xfId="51134"/>
    <cellStyle name="Comma 9 6 7 2" xfId="51135"/>
    <cellStyle name="Comma 9 6 8" xfId="51136"/>
    <cellStyle name="Comma 9 6 9" xfId="51137"/>
    <cellStyle name="Comma 9 7" xfId="3816"/>
    <cellStyle name="Comma 9 7 2" xfId="51138"/>
    <cellStyle name="Comma 9 7 2 2" xfId="51139"/>
    <cellStyle name="Comma 9 7 2 2 2" xfId="51140"/>
    <cellStyle name="Comma 9 7 2 2 3" xfId="51141"/>
    <cellStyle name="Comma 9 7 2 3" xfId="51142"/>
    <cellStyle name="Comma 9 7 2 3 2" xfId="51143"/>
    <cellStyle name="Comma 9 7 2 3 3" xfId="51144"/>
    <cellStyle name="Comma 9 7 2 4" xfId="51145"/>
    <cellStyle name="Comma 9 7 2 4 2" xfId="51146"/>
    <cellStyle name="Comma 9 7 2 5" xfId="51147"/>
    <cellStyle name="Comma 9 7 2 6" xfId="51148"/>
    <cellStyle name="Comma 9 7 3" xfId="51149"/>
    <cellStyle name="Comma 9 7 3 2" xfId="51150"/>
    <cellStyle name="Comma 9 7 3 2 2" xfId="51151"/>
    <cellStyle name="Comma 9 7 3 2 3" xfId="51152"/>
    <cellStyle name="Comma 9 7 3 3" xfId="51153"/>
    <cellStyle name="Comma 9 7 3 3 2" xfId="51154"/>
    <cellStyle name="Comma 9 7 3 3 3" xfId="51155"/>
    <cellStyle name="Comma 9 7 3 4" xfId="51156"/>
    <cellStyle name="Comma 9 7 3 4 2" xfId="51157"/>
    <cellStyle name="Comma 9 7 3 5" xfId="51158"/>
    <cellStyle name="Comma 9 7 3 6" xfId="51159"/>
    <cellStyle name="Comma 9 7 4" xfId="51160"/>
    <cellStyle name="Comma 9 7 4 2" xfId="51161"/>
    <cellStyle name="Comma 9 7 4 2 2" xfId="51162"/>
    <cellStyle name="Comma 9 7 4 2 3" xfId="51163"/>
    <cellStyle name="Comma 9 7 4 3" xfId="51164"/>
    <cellStyle name="Comma 9 7 4 3 2" xfId="51165"/>
    <cellStyle name="Comma 9 7 4 4" xfId="51166"/>
    <cellStyle name="Comma 9 7 4 5" xfId="51167"/>
    <cellStyle name="Comma 9 7 5" xfId="51168"/>
    <cellStyle name="Comma 9 7 5 2" xfId="51169"/>
    <cellStyle name="Comma 9 7 5 3" xfId="51170"/>
    <cellStyle name="Comma 9 7 6" xfId="51171"/>
    <cellStyle name="Comma 9 7 6 2" xfId="51172"/>
    <cellStyle name="Comma 9 7 6 3" xfId="51173"/>
    <cellStyle name="Comma 9 7 7" xfId="51174"/>
    <cellStyle name="Comma 9 7 7 2" xfId="51175"/>
    <cellStyle name="Comma 9 7 8" xfId="51176"/>
    <cellStyle name="Comma 9 7 9" xfId="51177"/>
    <cellStyle name="Comma 9 8" xfId="3817"/>
    <cellStyle name="Comma 9 8 2" xfId="51178"/>
    <cellStyle name="Comma 9 8 2 2" xfId="51179"/>
    <cellStyle name="Comma 9 8 2 3" xfId="51180"/>
    <cellStyle name="Comma 9 8 3" xfId="51181"/>
    <cellStyle name="Comma 9 8 3 2" xfId="51182"/>
    <cellStyle name="Comma 9 8 3 3" xfId="51183"/>
    <cellStyle name="Comma 9 8 4" xfId="51184"/>
    <cellStyle name="Comma 9 8 4 2" xfId="51185"/>
    <cellStyle name="Comma 9 8 5" xfId="51186"/>
    <cellStyle name="Comma 9 8 6" xfId="51187"/>
    <cellStyle name="Comma 9 9" xfId="3818"/>
    <cellStyle name="Comma 9 9 2" xfId="51188"/>
    <cellStyle name="Comma 9 9 2 2" xfId="51189"/>
    <cellStyle name="Comma 9 9 2 3" xfId="51190"/>
    <cellStyle name="Comma 9 9 3" xfId="51191"/>
    <cellStyle name="Comma 9 9 3 2" xfId="51192"/>
    <cellStyle name="Comma 9 9 3 3" xfId="51193"/>
    <cellStyle name="Comma 9 9 4" xfId="51194"/>
    <cellStyle name="Comma 9 9 4 2" xfId="51195"/>
    <cellStyle name="Comma 9 9 5" xfId="51196"/>
    <cellStyle name="Comma 9 9 6" xfId="51197"/>
    <cellStyle name="Comma 90" xfId="9153"/>
    <cellStyle name="Comma 91" xfId="8725"/>
    <cellStyle name="Comma 92" xfId="8726"/>
    <cellStyle name="Comma 93" xfId="8727"/>
    <cellStyle name="Comma 94" xfId="8728"/>
    <cellStyle name="Comma 95" xfId="8729"/>
    <cellStyle name="Comma 96" xfId="8730"/>
    <cellStyle name="Comma 97" xfId="9373"/>
    <cellStyle name="Comma 98" xfId="8731"/>
    <cellStyle name="Comma 99" xfId="8732"/>
    <cellStyle name="Comma_KU COS Print File 2003q3" xfId="8672"/>
    <cellStyle name="Comma0" xfId="3819"/>
    <cellStyle name="Comma0 2" xfId="3820"/>
    <cellStyle name="Comma0 2 2" xfId="3821"/>
    <cellStyle name="Comma0 2 2 2" xfId="58875"/>
    <cellStyle name="Comma0 2 3" xfId="58876"/>
    <cellStyle name="Comma0 2 4" xfId="58877"/>
    <cellStyle name="Comma0 3" xfId="3822"/>
    <cellStyle name="Comma0 3 2" xfId="9612"/>
    <cellStyle name="Comma0 3 2 2" xfId="58878"/>
    <cellStyle name="Comma0 3 3" xfId="58879"/>
    <cellStyle name="Comma0 3 4" xfId="58880"/>
    <cellStyle name="Comma0 4" xfId="58881"/>
    <cellStyle name="Comma0_SCH11 Not Done" xfId="9613"/>
    <cellStyle name="Currency [0] 2" xfId="3823"/>
    <cellStyle name="Currency [0] 2 2" xfId="3824"/>
    <cellStyle name="Currency [0] 2 2 2" xfId="58882"/>
    <cellStyle name="Currency [0] 2 2 2 2" xfId="58883"/>
    <cellStyle name="Currency [0] 2 2 3" xfId="58884"/>
    <cellStyle name="Currency [0] 2 2 4" xfId="58885"/>
    <cellStyle name="Currency [0] 2 3" xfId="3825"/>
    <cellStyle name="Currency [0] 2 3 2" xfId="58886"/>
    <cellStyle name="Currency [0] 2 4" xfId="58887"/>
    <cellStyle name="Currency [0] 2 4 2" xfId="58888"/>
    <cellStyle name="Currency [0] 2 5" xfId="58889"/>
    <cellStyle name="Currency [0] 2 6" xfId="58890"/>
    <cellStyle name="Currency [0] 3" xfId="3826"/>
    <cellStyle name="Currency [0] 3 2" xfId="3827"/>
    <cellStyle name="Currency [0] 3 2 2" xfId="58891"/>
    <cellStyle name="Currency [0] 3 3" xfId="3828"/>
    <cellStyle name="Currency [0] 3 4" xfId="58892"/>
    <cellStyle name="Currency [0] 4" xfId="3829"/>
    <cellStyle name="Currency [0] 4 2" xfId="3830"/>
    <cellStyle name="Currency [0] 5" xfId="3831"/>
    <cellStyle name="Currency [0] 5 2" xfId="3832"/>
    <cellStyle name="Currency [0] 6" xfId="9154"/>
    <cellStyle name="Currency 10" xfId="3833"/>
    <cellStyle name="Currency 10 2" xfId="3834"/>
    <cellStyle name="Currency 10 2 2" xfId="58893"/>
    <cellStyle name="Currency 10 2 3" xfId="58894"/>
    <cellStyle name="Currency 10 3" xfId="58895"/>
    <cellStyle name="Currency 10 3 2" xfId="58896"/>
    <cellStyle name="Currency 10 4" xfId="58897"/>
    <cellStyle name="Currency 10 5" xfId="58898"/>
    <cellStyle name="Currency 10 6" xfId="58899"/>
    <cellStyle name="Currency 100" xfId="9614"/>
    <cellStyle name="Currency 101" xfId="9615"/>
    <cellStyle name="Currency 102" xfId="9616"/>
    <cellStyle name="Currency 103" xfId="9617"/>
    <cellStyle name="Currency 104" xfId="9618"/>
    <cellStyle name="Currency 105" xfId="9619"/>
    <cellStyle name="Currency 106" xfId="9620"/>
    <cellStyle name="Currency 107" xfId="9621"/>
    <cellStyle name="Currency 108" xfId="9622"/>
    <cellStyle name="Currency 109" xfId="9623"/>
    <cellStyle name="Currency 11" xfId="3835"/>
    <cellStyle name="Currency 11 2" xfId="3836"/>
    <cellStyle name="Currency 11 2 2" xfId="58900"/>
    <cellStyle name="Currency 11 3" xfId="3837"/>
    <cellStyle name="Currency 11 3 2" xfId="58901"/>
    <cellStyle name="Currency 11 4" xfId="58902"/>
    <cellStyle name="Currency 11 5" xfId="58903"/>
    <cellStyle name="Currency 110" xfId="9624"/>
    <cellStyle name="Currency 111" xfId="9625"/>
    <cellStyle name="Currency 112" xfId="9626"/>
    <cellStyle name="Currency 113" xfId="9627"/>
    <cellStyle name="Currency 114" xfId="9628"/>
    <cellStyle name="Currency 115" xfId="9629"/>
    <cellStyle name="Currency 116" xfId="9630"/>
    <cellStyle name="Currency 117" xfId="9631"/>
    <cellStyle name="Currency 118" xfId="9632"/>
    <cellStyle name="Currency 119" xfId="9633"/>
    <cellStyle name="Currency 12" xfId="3838"/>
    <cellStyle name="Currency 12 2" xfId="3839"/>
    <cellStyle name="Currency 12 2 2" xfId="58904"/>
    <cellStyle name="Currency 12 3" xfId="3840"/>
    <cellStyle name="Currency 12 3 2" xfId="58905"/>
    <cellStyle name="Currency 12 4" xfId="58906"/>
    <cellStyle name="Currency 12 5" xfId="58907"/>
    <cellStyle name="Currency 120" xfId="9634"/>
    <cellStyle name="Currency 120 2" xfId="9635"/>
    <cellStyle name="Currency 120 3" xfId="9636"/>
    <cellStyle name="Currency 121" xfId="9637"/>
    <cellStyle name="Currency 121 2" xfId="9638"/>
    <cellStyle name="Currency 121 3" xfId="9639"/>
    <cellStyle name="Currency 122" xfId="9640"/>
    <cellStyle name="Currency 122 2" xfId="58908"/>
    <cellStyle name="Currency 123" xfId="9641"/>
    <cellStyle name="Currency 123 2" xfId="58909"/>
    <cellStyle name="Currency 124" xfId="9642"/>
    <cellStyle name="Currency 124 2" xfId="58910"/>
    <cellStyle name="Currency 125" xfId="51198"/>
    <cellStyle name="Currency 126" xfId="58911"/>
    <cellStyle name="Currency 127" xfId="58912"/>
    <cellStyle name="Currency 128" xfId="58913"/>
    <cellStyle name="Currency 129" xfId="58914"/>
    <cellStyle name="Currency 13" xfId="3841"/>
    <cellStyle name="Currency 13 2" xfId="3842"/>
    <cellStyle name="Currency 13 2 2" xfId="58915"/>
    <cellStyle name="Currency 13 3" xfId="3843"/>
    <cellStyle name="Currency 13 3 2" xfId="58916"/>
    <cellStyle name="Currency 13 4" xfId="58917"/>
    <cellStyle name="Currency 13 5" xfId="58918"/>
    <cellStyle name="Currency 130" xfId="58919"/>
    <cellStyle name="Currency 131" xfId="58920"/>
    <cellStyle name="Currency 132" xfId="58921"/>
    <cellStyle name="Currency 133" xfId="58922"/>
    <cellStyle name="Currency 134" xfId="58923"/>
    <cellStyle name="Currency 135" xfId="58924"/>
    <cellStyle name="Currency 136" xfId="58925"/>
    <cellStyle name="Currency 136 2" xfId="58926"/>
    <cellStyle name="Currency 137" xfId="58927"/>
    <cellStyle name="Currency 138" xfId="58928"/>
    <cellStyle name="Currency 139" xfId="58929"/>
    <cellStyle name="Currency 14" xfId="3844"/>
    <cellStyle name="Currency 14 2" xfId="3845"/>
    <cellStyle name="Currency 14 2 2" xfId="58930"/>
    <cellStyle name="Currency 14 3" xfId="3846"/>
    <cellStyle name="Currency 14 3 2" xfId="58931"/>
    <cellStyle name="Currency 14 4" xfId="58932"/>
    <cellStyle name="Currency 14 5" xfId="58933"/>
    <cellStyle name="Currency 140" xfId="58934"/>
    <cellStyle name="Currency 141" xfId="58935"/>
    <cellStyle name="Currency 142" xfId="58936"/>
    <cellStyle name="Currency 143" xfId="58937"/>
    <cellStyle name="Currency 144" xfId="58938"/>
    <cellStyle name="Currency 145" xfId="58939"/>
    <cellStyle name="Currency 146" xfId="58940"/>
    <cellStyle name="Currency 147" xfId="58941"/>
    <cellStyle name="Currency 148" xfId="58942"/>
    <cellStyle name="Currency 149" xfId="58943"/>
    <cellStyle name="Currency 15" xfId="3847"/>
    <cellStyle name="Currency 15 2" xfId="3848"/>
    <cellStyle name="Currency 15 2 2" xfId="58944"/>
    <cellStyle name="Currency 15 3" xfId="58945"/>
    <cellStyle name="Currency 15 3 2" xfId="58946"/>
    <cellStyle name="Currency 15 4" xfId="58947"/>
    <cellStyle name="Currency 15 5" xfId="58948"/>
    <cellStyle name="Currency 150" xfId="58949"/>
    <cellStyle name="Currency 150 2" xfId="58950"/>
    <cellStyle name="Currency 151" xfId="58951"/>
    <cellStyle name="Currency 152" xfId="58952"/>
    <cellStyle name="Currency 153" xfId="58953"/>
    <cellStyle name="Currency 154" xfId="58954"/>
    <cellStyle name="Currency 155" xfId="58955"/>
    <cellStyle name="Currency 156" xfId="58956"/>
    <cellStyle name="Currency 157" xfId="58957"/>
    <cellStyle name="Currency 158" xfId="58958"/>
    <cellStyle name="Currency 159" xfId="58959"/>
    <cellStyle name="Currency 16" xfId="3849"/>
    <cellStyle name="Currency 16 2" xfId="3850"/>
    <cellStyle name="Currency 16 2 2" xfId="58960"/>
    <cellStyle name="Currency 16 3" xfId="58961"/>
    <cellStyle name="Currency 16 3 2" xfId="58962"/>
    <cellStyle name="Currency 16 4" xfId="58963"/>
    <cellStyle name="Currency 16 5" xfId="58964"/>
    <cellStyle name="Currency 160" xfId="58965"/>
    <cellStyle name="Currency 161" xfId="58966"/>
    <cellStyle name="Currency 162" xfId="58967"/>
    <cellStyle name="Currency 163" xfId="58968"/>
    <cellStyle name="Currency 164" xfId="58969"/>
    <cellStyle name="Currency 164 2" xfId="61983"/>
    <cellStyle name="Currency 165" xfId="58970"/>
    <cellStyle name="Currency 166" xfId="58971"/>
    <cellStyle name="Currency 167" xfId="58972"/>
    <cellStyle name="Currency 168" xfId="58973"/>
    <cellStyle name="Currency 169" xfId="58974"/>
    <cellStyle name="Currency 17" xfId="3851"/>
    <cellStyle name="Currency 17 2" xfId="3852"/>
    <cellStyle name="Currency 17 2 2" xfId="58975"/>
    <cellStyle name="Currency 17 3" xfId="58976"/>
    <cellStyle name="Currency 17 3 2" xfId="58977"/>
    <cellStyle name="Currency 17 4" xfId="58978"/>
    <cellStyle name="Currency 17 5" xfId="58979"/>
    <cellStyle name="Currency 170" xfId="58980"/>
    <cellStyle name="Currency 171" xfId="58981"/>
    <cellStyle name="Currency 172" xfId="58982"/>
    <cellStyle name="Currency 173" xfId="58983"/>
    <cellStyle name="Currency 174" xfId="58984"/>
    <cellStyle name="Currency 175" xfId="58985"/>
    <cellStyle name="Currency 18" xfId="3853"/>
    <cellStyle name="Currency 18 2" xfId="3854"/>
    <cellStyle name="Currency 18 2 2" xfId="58986"/>
    <cellStyle name="Currency 18 3" xfId="58987"/>
    <cellStyle name="Currency 18 3 2" xfId="58988"/>
    <cellStyle name="Currency 18 4" xfId="58989"/>
    <cellStyle name="Currency 18 5" xfId="58990"/>
    <cellStyle name="Currency 19" xfId="3855"/>
    <cellStyle name="Currency 19 2" xfId="3856"/>
    <cellStyle name="Currency 19 2 2" xfId="58991"/>
    <cellStyle name="Currency 19 3" xfId="58992"/>
    <cellStyle name="Currency 19 3 2" xfId="58993"/>
    <cellStyle name="Currency 19 4" xfId="58994"/>
    <cellStyle name="Currency 19 5" xfId="58995"/>
    <cellStyle name="Currency 2" xfId="3"/>
    <cellStyle name="Currency 2 10" xfId="51199"/>
    <cellStyle name="Currency 2 10 2" xfId="51200"/>
    <cellStyle name="Currency 2 11" xfId="51201"/>
    <cellStyle name="Currency 2 2" xfId="3857"/>
    <cellStyle name="Currency 2 2 2" xfId="8400"/>
    <cellStyle name="Currency 2 2 2 2" xfId="9643"/>
    <cellStyle name="Currency 2 2 3" xfId="9644"/>
    <cellStyle name="Currency 2 2 3 2" xfId="51202"/>
    <cellStyle name="Currency 2 2 4" xfId="51203"/>
    <cellStyle name="Currency 2 2 4 2" xfId="51204"/>
    <cellStyle name="Currency 2 3" xfId="3858"/>
    <cellStyle name="Currency 2 3 2" xfId="9645"/>
    <cellStyle name="Currency 2 3 2 2" xfId="51205"/>
    <cellStyle name="Currency 2 3 3" xfId="51206"/>
    <cellStyle name="Currency 2 3 3 2" xfId="51207"/>
    <cellStyle name="Currency 2 4" xfId="9646"/>
    <cellStyle name="Currency 2 4 2" xfId="51208"/>
    <cellStyle name="Currency 2 4 2 2" xfId="51209"/>
    <cellStyle name="Currency 2 4 3" xfId="51210"/>
    <cellStyle name="Currency 2 5" xfId="51211"/>
    <cellStyle name="Currency 2 5 2" xfId="51212"/>
    <cellStyle name="Currency 2 6" xfId="51213"/>
    <cellStyle name="Currency 2 6 2" xfId="51214"/>
    <cellStyle name="Currency 2 7" xfId="51215"/>
    <cellStyle name="Currency 2 7 2" xfId="51216"/>
    <cellStyle name="Currency 2 8" xfId="51217"/>
    <cellStyle name="Currency 2 8 2" xfId="51218"/>
    <cellStyle name="Currency 2 9" xfId="51219"/>
    <cellStyle name="Currency 2 9 2" xfId="51220"/>
    <cellStyle name="Currency 20" xfId="3859"/>
    <cellStyle name="Currency 20 2" xfId="3860"/>
    <cellStyle name="Currency 20 2 2" xfId="58996"/>
    <cellStyle name="Currency 20 3" xfId="58997"/>
    <cellStyle name="Currency 20 3 2" xfId="58998"/>
    <cellStyle name="Currency 20 4" xfId="58999"/>
    <cellStyle name="Currency 20 5" xfId="59000"/>
    <cellStyle name="Currency 21" xfId="3861"/>
    <cellStyle name="Currency 21 2" xfId="3862"/>
    <cellStyle name="Currency 21 2 2" xfId="59001"/>
    <cellStyle name="Currency 21 3" xfId="59002"/>
    <cellStyle name="Currency 21 3 2" xfId="59003"/>
    <cellStyle name="Currency 21 4" xfId="59004"/>
    <cellStyle name="Currency 21 5" xfId="59005"/>
    <cellStyle name="Currency 22" xfId="3863"/>
    <cellStyle name="Currency 22 2" xfId="3864"/>
    <cellStyle name="Currency 22 2 2" xfId="59006"/>
    <cellStyle name="Currency 22 3" xfId="59007"/>
    <cellStyle name="Currency 22 3 2" xfId="59008"/>
    <cellStyle name="Currency 22 4" xfId="59009"/>
    <cellStyle name="Currency 22 5" xfId="59010"/>
    <cellStyle name="Currency 23" xfId="3865"/>
    <cellStyle name="Currency 23 2" xfId="3866"/>
    <cellStyle name="Currency 23 2 2" xfId="59011"/>
    <cellStyle name="Currency 23 3" xfId="59012"/>
    <cellStyle name="Currency 23 3 2" xfId="59013"/>
    <cellStyle name="Currency 23 4" xfId="59014"/>
    <cellStyle name="Currency 23 5" xfId="59015"/>
    <cellStyle name="Currency 24" xfId="3867"/>
    <cellStyle name="Currency 24 2" xfId="3868"/>
    <cellStyle name="Currency 24 2 2" xfId="59016"/>
    <cellStyle name="Currency 24 3" xfId="59017"/>
    <cellStyle name="Currency 24 3 2" xfId="59018"/>
    <cellStyle name="Currency 24 4" xfId="59019"/>
    <cellStyle name="Currency 24 5" xfId="59020"/>
    <cellStyle name="Currency 25" xfId="3869"/>
    <cellStyle name="Currency 25 2" xfId="3870"/>
    <cellStyle name="Currency 25 2 2" xfId="59021"/>
    <cellStyle name="Currency 25 3" xfId="59022"/>
    <cellStyle name="Currency 25 3 2" xfId="59023"/>
    <cellStyle name="Currency 25 4" xfId="59024"/>
    <cellStyle name="Currency 25 5" xfId="59025"/>
    <cellStyle name="Currency 26" xfId="3871"/>
    <cellStyle name="Currency 26 2" xfId="3872"/>
    <cellStyle name="Currency 26 2 2" xfId="59026"/>
    <cellStyle name="Currency 26 3" xfId="59027"/>
    <cellStyle name="Currency 26 3 2" xfId="59028"/>
    <cellStyle name="Currency 26 4" xfId="59029"/>
    <cellStyle name="Currency 26 5" xfId="59030"/>
    <cellStyle name="Currency 27" xfId="3873"/>
    <cellStyle name="Currency 27 2" xfId="3874"/>
    <cellStyle name="Currency 27 2 2" xfId="59031"/>
    <cellStyle name="Currency 27 2 2 2" xfId="59032"/>
    <cellStyle name="Currency 27 2 3" xfId="59033"/>
    <cellStyle name="Currency 27 2 4" xfId="59034"/>
    <cellStyle name="Currency 27 3" xfId="3875"/>
    <cellStyle name="Currency 27 3 2" xfId="59035"/>
    <cellStyle name="Currency 27 4" xfId="59036"/>
    <cellStyle name="Currency 27 4 2" xfId="59037"/>
    <cellStyle name="Currency 27 5" xfId="59038"/>
    <cellStyle name="Currency 27 6" xfId="59039"/>
    <cellStyle name="Currency 28" xfId="3876"/>
    <cellStyle name="Currency 28 2" xfId="3877"/>
    <cellStyle name="Currency 28 2 2" xfId="59040"/>
    <cellStyle name="Currency 28 3" xfId="59041"/>
    <cellStyle name="Currency 28 3 2" xfId="59042"/>
    <cellStyle name="Currency 28 4" xfId="59043"/>
    <cellStyle name="Currency 28 5" xfId="59044"/>
    <cellStyle name="Currency 29" xfId="3878"/>
    <cellStyle name="Currency 29 2" xfId="3879"/>
    <cellStyle name="Currency 29 2 2" xfId="59045"/>
    <cellStyle name="Currency 29 3" xfId="59046"/>
    <cellStyle name="Currency 29 3 2" xfId="59047"/>
    <cellStyle name="Currency 29 4" xfId="59048"/>
    <cellStyle name="Currency 29 5" xfId="59049"/>
    <cellStyle name="Currency 3" xfId="3880"/>
    <cellStyle name="Currency 3 2" xfId="3881"/>
    <cellStyle name="Currency 3 2 2" xfId="3882"/>
    <cellStyle name="Currency 3 2 2 2" xfId="9155"/>
    <cellStyle name="Currency 3 2 2 2 2" xfId="59050"/>
    <cellStyle name="Currency 3 2 2 3" xfId="9156"/>
    <cellStyle name="Currency 3 2 2 3 2" xfId="59051"/>
    <cellStyle name="Currency 3 2 2 4" xfId="59052"/>
    <cellStyle name="Currency 3 2 2 5" xfId="59053"/>
    <cellStyle name="Currency 3 2 2 6" xfId="59054"/>
    <cellStyle name="Currency 3 2 3" xfId="9157"/>
    <cellStyle name="Currency 3 2 3 2" xfId="59055"/>
    <cellStyle name="Currency 3 2 3 3" xfId="59056"/>
    <cellStyle name="Currency 3 2 3 4" xfId="59057"/>
    <cellStyle name="Currency 3 2 4" xfId="9158"/>
    <cellStyle name="Currency 3 2 5" xfId="59058"/>
    <cellStyle name="Currency 3 3" xfId="3883"/>
    <cellStyle name="Currency 3 3 2" xfId="9159"/>
    <cellStyle name="Currency 3 3 2 2" xfId="59059"/>
    <cellStyle name="Currency 3 3 3" xfId="9160"/>
    <cellStyle name="Currency 3 3 3 2" xfId="59060"/>
    <cellStyle name="Currency 3 3 4" xfId="59061"/>
    <cellStyle name="Currency 3 3 5" xfId="59062"/>
    <cellStyle name="Currency 3 4" xfId="3884"/>
    <cellStyle name="Currency 3 4 2" xfId="9161"/>
    <cellStyle name="Currency 3 4 3" xfId="59063"/>
    <cellStyle name="Currency 3 4 3 2" xfId="59064"/>
    <cellStyle name="Currency 3 4 4" xfId="59065"/>
    <cellStyle name="Currency 3 4 5" xfId="59066"/>
    <cellStyle name="Currency 3 5" xfId="9162"/>
    <cellStyle name="Currency 3 6" xfId="51221"/>
    <cellStyle name="Currency 30" xfId="3885"/>
    <cellStyle name="Currency 30 2" xfId="3886"/>
    <cellStyle name="Currency 30 2 2" xfId="59067"/>
    <cellStyle name="Currency 30 3" xfId="59068"/>
    <cellStyle name="Currency 30 3 2" xfId="59069"/>
    <cellStyle name="Currency 30 4" xfId="59070"/>
    <cellStyle name="Currency 30 5" xfId="59071"/>
    <cellStyle name="Currency 31" xfId="3887"/>
    <cellStyle name="Currency 31 2" xfId="3888"/>
    <cellStyle name="Currency 31 2 2" xfId="59072"/>
    <cellStyle name="Currency 31 3" xfId="59073"/>
    <cellStyle name="Currency 31 3 2" xfId="59074"/>
    <cellStyle name="Currency 31 4" xfId="59075"/>
    <cellStyle name="Currency 31 5" xfId="59076"/>
    <cellStyle name="Currency 32" xfId="3889"/>
    <cellStyle name="Currency 32 2" xfId="3890"/>
    <cellStyle name="Currency 32 2 2" xfId="59077"/>
    <cellStyle name="Currency 32 3" xfId="59078"/>
    <cellStyle name="Currency 32 3 2" xfId="59079"/>
    <cellStyle name="Currency 32 4" xfId="59080"/>
    <cellStyle name="Currency 32 5" xfId="59081"/>
    <cellStyle name="Currency 33" xfId="3891"/>
    <cellStyle name="Currency 34" xfId="3892"/>
    <cellStyle name="Currency 35" xfId="3893"/>
    <cellStyle name="Currency 36" xfId="3894"/>
    <cellStyle name="Currency 37" xfId="3895"/>
    <cellStyle name="Currency 38" xfId="3896"/>
    <cellStyle name="Currency 39" xfId="3897"/>
    <cellStyle name="Currency 4" xfId="3898"/>
    <cellStyle name="Currency 4 10" xfId="51222"/>
    <cellStyle name="Currency 4 10 2" xfId="51223"/>
    <cellStyle name="Currency 4 10 2 2" xfId="51224"/>
    <cellStyle name="Currency 4 10 2 3" xfId="51225"/>
    <cellStyle name="Currency 4 10 3" xfId="51226"/>
    <cellStyle name="Currency 4 10 3 2" xfId="51227"/>
    <cellStyle name="Currency 4 10 4" xfId="51228"/>
    <cellStyle name="Currency 4 10 5" xfId="51229"/>
    <cellStyle name="Currency 4 11" xfId="51230"/>
    <cellStyle name="Currency 4 11 2" xfId="51231"/>
    <cellStyle name="Currency 4 11 3" xfId="51232"/>
    <cellStyle name="Currency 4 12" xfId="51233"/>
    <cellStyle name="Currency 4 12 2" xfId="51234"/>
    <cellStyle name="Currency 4 12 3" xfId="51235"/>
    <cellStyle name="Currency 4 13" xfId="51236"/>
    <cellStyle name="Currency 4 13 2" xfId="51237"/>
    <cellStyle name="Currency 4 14" xfId="51238"/>
    <cellStyle name="Currency 4 15" xfId="51239"/>
    <cellStyle name="Currency 4 16" xfId="51240"/>
    <cellStyle name="Currency 4 2" xfId="3899"/>
    <cellStyle name="Currency 4 2 10" xfId="51241"/>
    <cellStyle name="Currency 4 2 10 2" xfId="51242"/>
    <cellStyle name="Currency 4 2 10 3" xfId="51243"/>
    <cellStyle name="Currency 4 2 11" xfId="51244"/>
    <cellStyle name="Currency 4 2 11 2" xfId="51245"/>
    <cellStyle name="Currency 4 2 11 3" xfId="51246"/>
    <cellStyle name="Currency 4 2 12" xfId="51247"/>
    <cellStyle name="Currency 4 2 12 2" xfId="51248"/>
    <cellStyle name="Currency 4 2 13" xfId="51249"/>
    <cellStyle name="Currency 4 2 14" xfId="51250"/>
    <cellStyle name="Currency 4 2 15" xfId="51251"/>
    <cellStyle name="Currency 4 2 2" xfId="3900"/>
    <cellStyle name="Currency 4 2 2 10" xfId="51252"/>
    <cellStyle name="Currency 4 2 2 10 2" xfId="51253"/>
    <cellStyle name="Currency 4 2 2 10 3" xfId="51254"/>
    <cellStyle name="Currency 4 2 2 11" xfId="51255"/>
    <cellStyle name="Currency 4 2 2 11 2" xfId="51256"/>
    <cellStyle name="Currency 4 2 2 12" xfId="51257"/>
    <cellStyle name="Currency 4 2 2 13" xfId="51258"/>
    <cellStyle name="Currency 4 2 2 2" xfId="9163"/>
    <cellStyle name="Currency 4 2 2 2 10" xfId="51259"/>
    <cellStyle name="Currency 4 2 2 2 10 2" xfId="51260"/>
    <cellStyle name="Currency 4 2 2 2 11" xfId="51261"/>
    <cellStyle name="Currency 4 2 2 2 12" xfId="51262"/>
    <cellStyle name="Currency 4 2 2 2 2" xfId="51263"/>
    <cellStyle name="Currency 4 2 2 2 2 10" xfId="51264"/>
    <cellStyle name="Currency 4 2 2 2 2 2" xfId="51265"/>
    <cellStyle name="Currency 4 2 2 2 2 2 2" xfId="51266"/>
    <cellStyle name="Currency 4 2 2 2 2 2 2 2" xfId="51267"/>
    <cellStyle name="Currency 4 2 2 2 2 2 2 2 2" xfId="51268"/>
    <cellStyle name="Currency 4 2 2 2 2 2 2 2 3" xfId="51269"/>
    <cellStyle name="Currency 4 2 2 2 2 2 2 3" xfId="51270"/>
    <cellStyle name="Currency 4 2 2 2 2 2 2 3 2" xfId="51271"/>
    <cellStyle name="Currency 4 2 2 2 2 2 2 3 3" xfId="51272"/>
    <cellStyle name="Currency 4 2 2 2 2 2 2 4" xfId="51273"/>
    <cellStyle name="Currency 4 2 2 2 2 2 2 4 2" xfId="51274"/>
    <cellStyle name="Currency 4 2 2 2 2 2 2 5" xfId="51275"/>
    <cellStyle name="Currency 4 2 2 2 2 2 2 6" xfId="51276"/>
    <cellStyle name="Currency 4 2 2 2 2 2 3" xfId="51277"/>
    <cellStyle name="Currency 4 2 2 2 2 2 3 2" xfId="51278"/>
    <cellStyle name="Currency 4 2 2 2 2 2 3 2 2" xfId="51279"/>
    <cellStyle name="Currency 4 2 2 2 2 2 3 2 3" xfId="51280"/>
    <cellStyle name="Currency 4 2 2 2 2 2 3 3" xfId="51281"/>
    <cellStyle name="Currency 4 2 2 2 2 2 3 3 2" xfId="51282"/>
    <cellStyle name="Currency 4 2 2 2 2 2 3 3 3" xfId="51283"/>
    <cellStyle name="Currency 4 2 2 2 2 2 3 4" xfId="51284"/>
    <cellStyle name="Currency 4 2 2 2 2 2 3 4 2" xfId="51285"/>
    <cellStyle name="Currency 4 2 2 2 2 2 3 5" xfId="51286"/>
    <cellStyle name="Currency 4 2 2 2 2 2 3 6" xfId="51287"/>
    <cellStyle name="Currency 4 2 2 2 2 2 4" xfId="51288"/>
    <cellStyle name="Currency 4 2 2 2 2 2 4 2" xfId="51289"/>
    <cellStyle name="Currency 4 2 2 2 2 2 4 2 2" xfId="51290"/>
    <cellStyle name="Currency 4 2 2 2 2 2 4 2 3" xfId="51291"/>
    <cellStyle name="Currency 4 2 2 2 2 2 4 3" xfId="51292"/>
    <cellStyle name="Currency 4 2 2 2 2 2 4 3 2" xfId="51293"/>
    <cellStyle name="Currency 4 2 2 2 2 2 4 4" xfId="51294"/>
    <cellStyle name="Currency 4 2 2 2 2 2 4 5" xfId="51295"/>
    <cellStyle name="Currency 4 2 2 2 2 2 5" xfId="51296"/>
    <cellStyle name="Currency 4 2 2 2 2 2 5 2" xfId="51297"/>
    <cellStyle name="Currency 4 2 2 2 2 2 5 3" xfId="51298"/>
    <cellStyle name="Currency 4 2 2 2 2 2 6" xfId="51299"/>
    <cellStyle name="Currency 4 2 2 2 2 2 6 2" xfId="51300"/>
    <cellStyle name="Currency 4 2 2 2 2 2 6 3" xfId="51301"/>
    <cellStyle name="Currency 4 2 2 2 2 2 7" xfId="51302"/>
    <cellStyle name="Currency 4 2 2 2 2 2 7 2" xfId="51303"/>
    <cellStyle name="Currency 4 2 2 2 2 2 8" xfId="51304"/>
    <cellStyle name="Currency 4 2 2 2 2 2 9" xfId="51305"/>
    <cellStyle name="Currency 4 2 2 2 2 3" xfId="51306"/>
    <cellStyle name="Currency 4 2 2 2 2 3 2" xfId="51307"/>
    <cellStyle name="Currency 4 2 2 2 2 3 2 2" xfId="51308"/>
    <cellStyle name="Currency 4 2 2 2 2 3 2 3" xfId="51309"/>
    <cellStyle name="Currency 4 2 2 2 2 3 3" xfId="51310"/>
    <cellStyle name="Currency 4 2 2 2 2 3 3 2" xfId="51311"/>
    <cellStyle name="Currency 4 2 2 2 2 3 3 3" xfId="51312"/>
    <cellStyle name="Currency 4 2 2 2 2 3 4" xfId="51313"/>
    <cellStyle name="Currency 4 2 2 2 2 3 4 2" xfId="51314"/>
    <cellStyle name="Currency 4 2 2 2 2 3 5" xfId="51315"/>
    <cellStyle name="Currency 4 2 2 2 2 3 6" xfId="51316"/>
    <cellStyle name="Currency 4 2 2 2 2 4" xfId="51317"/>
    <cellStyle name="Currency 4 2 2 2 2 4 2" xfId="51318"/>
    <cellStyle name="Currency 4 2 2 2 2 4 2 2" xfId="51319"/>
    <cellStyle name="Currency 4 2 2 2 2 4 2 3" xfId="51320"/>
    <cellStyle name="Currency 4 2 2 2 2 4 3" xfId="51321"/>
    <cellStyle name="Currency 4 2 2 2 2 4 3 2" xfId="51322"/>
    <cellStyle name="Currency 4 2 2 2 2 4 3 3" xfId="51323"/>
    <cellStyle name="Currency 4 2 2 2 2 4 4" xfId="51324"/>
    <cellStyle name="Currency 4 2 2 2 2 4 4 2" xfId="51325"/>
    <cellStyle name="Currency 4 2 2 2 2 4 5" xfId="51326"/>
    <cellStyle name="Currency 4 2 2 2 2 4 6" xfId="51327"/>
    <cellStyle name="Currency 4 2 2 2 2 5" xfId="51328"/>
    <cellStyle name="Currency 4 2 2 2 2 5 2" xfId="51329"/>
    <cellStyle name="Currency 4 2 2 2 2 5 2 2" xfId="51330"/>
    <cellStyle name="Currency 4 2 2 2 2 5 2 3" xfId="51331"/>
    <cellStyle name="Currency 4 2 2 2 2 5 3" xfId="51332"/>
    <cellStyle name="Currency 4 2 2 2 2 5 3 2" xfId="51333"/>
    <cellStyle name="Currency 4 2 2 2 2 5 4" xfId="51334"/>
    <cellStyle name="Currency 4 2 2 2 2 5 5" xfId="51335"/>
    <cellStyle name="Currency 4 2 2 2 2 6" xfId="51336"/>
    <cellStyle name="Currency 4 2 2 2 2 6 2" xfId="51337"/>
    <cellStyle name="Currency 4 2 2 2 2 6 3" xfId="51338"/>
    <cellStyle name="Currency 4 2 2 2 2 7" xfId="51339"/>
    <cellStyle name="Currency 4 2 2 2 2 7 2" xfId="51340"/>
    <cellStyle name="Currency 4 2 2 2 2 7 3" xfId="51341"/>
    <cellStyle name="Currency 4 2 2 2 2 8" xfId="51342"/>
    <cellStyle name="Currency 4 2 2 2 2 8 2" xfId="51343"/>
    <cellStyle name="Currency 4 2 2 2 2 9" xfId="51344"/>
    <cellStyle name="Currency 4 2 2 2 3" xfId="51345"/>
    <cellStyle name="Currency 4 2 2 2 3 2" xfId="51346"/>
    <cellStyle name="Currency 4 2 2 2 3 2 2" xfId="51347"/>
    <cellStyle name="Currency 4 2 2 2 3 2 2 2" xfId="51348"/>
    <cellStyle name="Currency 4 2 2 2 3 2 2 3" xfId="51349"/>
    <cellStyle name="Currency 4 2 2 2 3 2 3" xfId="51350"/>
    <cellStyle name="Currency 4 2 2 2 3 2 3 2" xfId="51351"/>
    <cellStyle name="Currency 4 2 2 2 3 2 3 3" xfId="51352"/>
    <cellStyle name="Currency 4 2 2 2 3 2 4" xfId="51353"/>
    <cellStyle name="Currency 4 2 2 2 3 2 4 2" xfId="51354"/>
    <cellStyle name="Currency 4 2 2 2 3 2 5" xfId="51355"/>
    <cellStyle name="Currency 4 2 2 2 3 2 6" xfId="51356"/>
    <cellStyle name="Currency 4 2 2 2 3 3" xfId="51357"/>
    <cellStyle name="Currency 4 2 2 2 3 3 2" xfId="51358"/>
    <cellStyle name="Currency 4 2 2 2 3 3 2 2" xfId="51359"/>
    <cellStyle name="Currency 4 2 2 2 3 3 2 3" xfId="51360"/>
    <cellStyle name="Currency 4 2 2 2 3 3 3" xfId="51361"/>
    <cellStyle name="Currency 4 2 2 2 3 3 3 2" xfId="51362"/>
    <cellStyle name="Currency 4 2 2 2 3 3 3 3" xfId="51363"/>
    <cellStyle name="Currency 4 2 2 2 3 3 4" xfId="51364"/>
    <cellStyle name="Currency 4 2 2 2 3 3 4 2" xfId="51365"/>
    <cellStyle name="Currency 4 2 2 2 3 3 5" xfId="51366"/>
    <cellStyle name="Currency 4 2 2 2 3 3 6" xfId="51367"/>
    <cellStyle name="Currency 4 2 2 2 3 4" xfId="51368"/>
    <cellStyle name="Currency 4 2 2 2 3 4 2" xfId="51369"/>
    <cellStyle name="Currency 4 2 2 2 3 4 2 2" xfId="51370"/>
    <cellStyle name="Currency 4 2 2 2 3 4 2 3" xfId="51371"/>
    <cellStyle name="Currency 4 2 2 2 3 4 3" xfId="51372"/>
    <cellStyle name="Currency 4 2 2 2 3 4 3 2" xfId="51373"/>
    <cellStyle name="Currency 4 2 2 2 3 4 4" xfId="51374"/>
    <cellStyle name="Currency 4 2 2 2 3 4 5" xfId="51375"/>
    <cellStyle name="Currency 4 2 2 2 3 5" xfId="51376"/>
    <cellStyle name="Currency 4 2 2 2 3 5 2" xfId="51377"/>
    <cellStyle name="Currency 4 2 2 2 3 5 3" xfId="51378"/>
    <cellStyle name="Currency 4 2 2 2 3 6" xfId="51379"/>
    <cellStyle name="Currency 4 2 2 2 3 6 2" xfId="51380"/>
    <cellStyle name="Currency 4 2 2 2 3 6 3" xfId="51381"/>
    <cellStyle name="Currency 4 2 2 2 3 7" xfId="51382"/>
    <cellStyle name="Currency 4 2 2 2 3 7 2" xfId="51383"/>
    <cellStyle name="Currency 4 2 2 2 3 8" xfId="51384"/>
    <cellStyle name="Currency 4 2 2 2 3 9" xfId="51385"/>
    <cellStyle name="Currency 4 2 2 2 4" xfId="51386"/>
    <cellStyle name="Currency 4 2 2 2 4 2" xfId="51387"/>
    <cellStyle name="Currency 4 2 2 2 4 2 2" xfId="51388"/>
    <cellStyle name="Currency 4 2 2 2 4 2 2 2" xfId="51389"/>
    <cellStyle name="Currency 4 2 2 2 4 2 2 3" xfId="51390"/>
    <cellStyle name="Currency 4 2 2 2 4 2 3" xfId="51391"/>
    <cellStyle name="Currency 4 2 2 2 4 2 3 2" xfId="51392"/>
    <cellStyle name="Currency 4 2 2 2 4 2 3 3" xfId="51393"/>
    <cellStyle name="Currency 4 2 2 2 4 2 4" xfId="51394"/>
    <cellStyle name="Currency 4 2 2 2 4 2 4 2" xfId="51395"/>
    <cellStyle name="Currency 4 2 2 2 4 2 5" xfId="51396"/>
    <cellStyle name="Currency 4 2 2 2 4 2 6" xfId="51397"/>
    <cellStyle name="Currency 4 2 2 2 4 3" xfId="51398"/>
    <cellStyle name="Currency 4 2 2 2 4 3 2" xfId="51399"/>
    <cellStyle name="Currency 4 2 2 2 4 3 2 2" xfId="51400"/>
    <cellStyle name="Currency 4 2 2 2 4 3 2 3" xfId="51401"/>
    <cellStyle name="Currency 4 2 2 2 4 3 3" xfId="51402"/>
    <cellStyle name="Currency 4 2 2 2 4 3 3 2" xfId="51403"/>
    <cellStyle name="Currency 4 2 2 2 4 3 3 3" xfId="51404"/>
    <cellStyle name="Currency 4 2 2 2 4 3 4" xfId="51405"/>
    <cellStyle name="Currency 4 2 2 2 4 3 4 2" xfId="51406"/>
    <cellStyle name="Currency 4 2 2 2 4 3 5" xfId="51407"/>
    <cellStyle name="Currency 4 2 2 2 4 3 6" xfId="51408"/>
    <cellStyle name="Currency 4 2 2 2 4 4" xfId="51409"/>
    <cellStyle name="Currency 4 2 2 2 4 4 2" xfId="51410"/>
    <cellStyle name="Currency 4 2 2 2 4 4 2 2" xfId="51411"/>
    <cellStyle name="Currency 4 2 2 2 4 4 2 3" xfId="51412"/>
    <cellStyle name="Currency 4 2 2 2 4 4 3" xfId="51413"/>
    <cellStyle name="Currency 4 2 2 2 4 4 3 2" xfId="51414"/>
    <cellStyle name="Currency 4 2 2 2 4 4 4" xfId="51415"/>
    <cellStyle name="Currency 4 2 2 2 4 4 5" xfId="51416"/>
    <cellStyle name="Currency 4 2 2 2 4 5" xfId="51417"/>
    <cellStyle name="Currency 4 2 2 2 4 5 2" xfId="51418"/>
    <cellStyle name="Currency 4 2 2 2 4 5 3" xfId="51419"/>
    <cellStyle name="Currency 4 2 2 2 4 6" xfId="51420"/>
    <cellStyle name="Currency 4 2 2 2 4 6 2" xfId="51421"/>
    <cellStyle name="Currency 4 2 2 2 4 6 3" xfId="51422"/>
    <cellStyle name="Currency 4 2 2 2 4 7" xfId="51423"/>
    <cellStyle name="Currency 4 2 2 2 4 7 2" xfId="51424"/>
    <cellStyle name="Currency 4 2 2 2 4 8" xfId="51425"/>
    <cellStyle name="Currency 4 2 2 2 4 9" xfId="51426"/>
    <cellStyle name="Currency 4 2 2 2 5" xfId="51427"/>
    <cellStyle name="Currency 4 2 2 2 5 2" xfId="51428"/>
    <cellStyle name="Currency 4 2 2 2 5 2 2" xfId="51429"/>
    <cellStyle name="Currency 4 2 2 2 5 2 3" xfId="51430"/>
    <cellStyle name="Currency 4 2 2 2 5 3" xfId="51431"/>
    <cellStyle name="Currency 4 2 2 2 5 3 2" xfId="51432"/>
    <cellStyle name="Currency 4 2 2 2 5 3 3" xfId="51433"/>
    <cellStyle name="Currency 4 2 2 2 5 4" xfId="51434"/>
    <cellStyle name="Currency 4 2 2 2 5 4 2" xfId="51435"/>
    <cellStyle name="Currency 4 2 2 2 5 5" xfId="51436"/>
    <cellStyle name="Currency 4 2 2 2 5 6" xfId="51437"/>
    <cellStyle name="Currency 4 2 2 2 6" xfId="51438"/>
    <cellStyle name="Currency 4 2 2 2 6 2" xfId="51439"/>
    <cellStyle name="Currency 4 2 2 2 6 2 2" xfId="51440"/>
    <cellStyle name="Currency 4 2 2 2 6 2 3" xfId="51441"/>
    <cellStyle name="Currency 4 2 2 2 6 3" xfId="51442"/>
    <cellStyle name="Currency 4 2 2 2 6 3 2" xfId="51443"/>
    <cellStyle name="Currency 4 2 2 2 6 3 3" xfId="51444"/>
    <cellStyle name="Currency 4 2 2 2 6 4" xfId="51445"/>
    <cellStyle name="Currency 4 2 2 2 6 4 2" xfId="51446"/>
    <cellStyle name="Currency 4 2 2 2 6 5" xfId="51447"/>
    <cellStyle name="Currency 4 2 2 2 6 6" xfId="51448"/>
    <cellStyle name="Currency 4 2 2 2 7" xfId="51449"/>
    <cellStyle name="Currency 4 2 2 2 7 2" xfId="51450"/>
    <cellStyle name="Currency 4 2 2 2 7 2 2" xfId="51451"/>
    <cellStyle name="Currency 4 2 2 2 7 2 3" xfId="51452"/>
    <cellStyle name="Currency 4 2 2 2 7 3" xfId="51453"/>
    <cellStyle name="Currency 4 2 2 2 7 3 2" xfId="51454"/>
    <cellStyle name="Currency 4 2 2 2 7 4" xfId="51455"/>
    <cellStyle name="Currency 4 2 2 2 7 5" xfId="51456"/>
    <cellStyle name="Currency 4 2 2 2 8" xfId="51457"/>
    <cellStyle name="Currency 4 2 2 2 8 2" xfId="51458"/>
    <cellStyle name="Currency 4 2 2 2 8 3" xfId="51459"/>
    <cellStyle name="Currency 4 2 2 2 9" xfId="51460"/>
    <cellStyle name="Currency 4 2 2 2 9 2" xfId="51461"/>
    <cellStyle name="Currency 4 2 2 2 9 3" xfId="51462"/>
    <cellStyle name="Currency 4 2 2 3" xfId="9164"/>
    <cellStyle name="Currency 4 2 2 3 10" xfId="51463"/>
    <cellStyle name="Currency 4 2 2 3 2" xfId="51464"/>
    <cellStyle name="Currency 4 2 2 3 2 2" xfId="51465"/>
    <cellStyle name="Currency 4 2 2 3 2 2 2" xfId="51466"/>
    <cellStyle name="Currency 4 2 2 3 2 2 2 2" xfId="51467"/>
    <cellStyle name="Currency 4 2 2 3 2 2 2 3" xfId="51468"/>
    <cellStyle name="Currency 4 2 2 3 2 2 3" xfId="51469"/>
    <cellStyle name="Currency 4 2 2 3 2 2 3 2" xfId="51470"/>
    <cellStyle name="Currency 4 2 2 3 2 2 3 3" xfId="51471"/>
    <cellStyle name="Currency 4 2 2 3 2 2 4" xfId="51472"/>
    <cellStyle name="Currency 4 2 2 3 2 2 4 2" xfId="51473"/>
    <cellStyle name="Currency 4 2 2 3 2 2 5" xfId="51474"/>
    <cellStyle name="Currency 4 2 2 3 2 2 6" xfId="51475"/>
    <cellStyle name="Currency 4 2 2 3 2 3" xfId="51476"/>
    <cellStyle name="Currency 4 2 2 3 2 3 2" xfId="51477"/>
    <cellStyle name="Currency 4 2 2 3 2 3 2 2" xfId="51478"/>
    <cellStyle name="Currency 4 2 2 3 2 3 2 3" xfId="51479"/>
    <cellStyle name="Currency 4 2 2 3 2 3 3" xfId="51480"/>
    <cellStyle name="Currency 4 2 2 3 2 3 3 2" xfId="51481"/>
    <cellStyle name="Currency 4 2 2 3 2 3 3 3" xfId="51482"/>
    <cellStyle name="Currency 4 2 2 3 2 3 4" xfId="51483"/>
    <cellStyle name="Currency 4 2 2 3 2 3 4 2" xfId="51484"/>
    <cellStyle name="Currency 4 2 2 3 2 3 5" xfId="51485"/>
    <cellStyle name="Currency 4 2 2 3 2 3 6" xfId="51486"/>
    <cellStyle name="Currency 4 2 2 3 2 4" xfId="51487"/>
    <cellStyle name="Currency 4 2 2 3 2 4 2" xfId="51488"/>
    <cellStyle name="Currency 4 2 2 3 2 4 2 2" xfId="51489"/>
    <cellStyle name="Currency 4 2 2 3 2 4 2 3" xfId="51490"/>
    <cellStyle name="Currency 4 2 2 3 2 4 3" xfId="51491"/>
    <cellStyle name="Currency 4 2 2 3 2 4 3 2" xfId="51492"/>
    <cellStyle name="Currency 4 2 2 3 2 4 4" xfId="51493"/>
    <cellStyle name="Currency 4 2 2 3 2 4 5" xfId="51494"/>
    <cellStyle name="Currency 4 2 2 3 2 5" xfId="51495"/>
    <cellStyle name="Currency 4 2 2 3 2 5 2" xfId="51496"/>
    <cellStyle name="Currency 4 2 2 3 2 5 3" xfId="51497"/>
    <cellStyle name="Currency 4 2 2 3 2 6" xfId="51498"/>
    <cellStyle name="Currency 4 2 2 3 2 6 2" xfId="51499"/>
    <cellStyle name="Currency 4 2 2 3 2 6 3" xfId="51500"/>
    <cellStyle name="Currency 4 2 2 3 2 7" xfId="51501"/>
    <cellStyle name="Currency 4 2 2 3 2 7 2" xfId="51502"/>
    <cellStyle name="Currency 4 2 2 3 2 8" xfId="51503"/>
    <cellStyle name="Currency 4 2 2 3 2 9" xfId="51504"/>
    <cellStyle name="Currency 4 2 2 3 3" xfId="51505"/>
    <cellStyle name="Currency 4 2 2 3 3 2" xfId="51506"/>
    <cellStyle name="Currency 4 2 2 3 3 2 2" xfId="51507"/>
    <cellStyle name="Currency 4 2 2 3 3 2 3" xfId="51508"/>
    <cellStyle name="Currency 4 2 2 3 3 3" xfId="51509"/>
    <cellStyle name="Currency 4 2 2 3 3 3 2" xfId="51510"/>
    <cellStyle name="Currency 4 2 2 3 3 3 3" xfId="51511"/>
    <cellStyle name="Currency 4 2 2 3 3 4" xfId="51512"/>
    <cellStyle name="Currency 4 2 2 3 3 4 2" xfId="51513"/>
    <cellStyle name="Currency 4 2 2 3 3 5" xfId="51514"/>
    <cellStyle name="Currency 4 2 2 3 3 6" xfId="51515"/>
    <cellStyle name="Currency 4 2 2 3 4" xfId="51516"/>
    <cellStyle name="Currency 4 2 2 3 4 2" xfId="51517"/>
    <cellStyle name="Currency 4 2 2 3 4 2 2" xfId="51518"/>
    <cellStyle name="Currency 4 2 2 3 4 2 3" xfId="51519"/>
    <cellStyle name="Currency 4 2 2 3 4 3" xfId="51520"/>
    <cellStyle name="Currency 4 2 2 3 4 3 2" xfId="51521"/>
    <cellStyle name="Currency 4 2 2 3 4 3 3" xfId="51522"/>
    <cellStyle name="Currency 4 2 2 3 4 4" xfId="51523"/>
    <cellStyle name="Currency 4 2 2 3 4 4 2" xfId="51524"/>
    <cellStyle name="Currency 4 2 2 3 4 5" xfId="51525"/>
    <cellStyle name="Currency 4 2 2 3 4 6" xfId="51526"/>
    <cellStyle name="Currency 4 2 2 3 5" xfId="51527"/>
    <cellStyle name="Currency 4 2 2 3 5 2" xfId="51528"/>
    <cellStyle name="Currency 4 2 2 3 5 2 2" xfId="51529"/>
    <cellStyle name="Currency 4 2 2 3 5 2 3" xfId="51530"/>
    <cellStyle name="Currency 4 2 2 3 5 3" xfId="51531"/>
    <cellStyle name="Currency 4 2 2 3 5 3 2" xfId="51532"/>
    <cellStyle name="Currency 4 2 2 3 5 4" xfId="51533"/>
    <cellStyle name="Currency 4 2 2 3 5 5" xfId="51534"/>
    <cellStyle name="Currency 4 2 2 3 6" xfId="51535"/>
    <cellStyle name="Currency 4 2 2 3 6 2" xfId="51536"/>
    <cellStyle name="Currency 4 2 2 3 6 3" xfId="51537"/>
    <cellStyle name="Currency 4 2 2 3 7" xfId="51538"/>
    <cellStyle name="Currency 4 2 2 3 7 2" xfId="51539"/>
    <cellStyle name="Currency 4 2 2 3 7 3" xfId="51540"/>
    <cellStyle name="Currency 4 2 2 3 8" xfId="51541"/>
    <cellStyle name="Currency 4 2 2 3 8 2" xfId="51542"/>
    <cellStyle name="Currency 4 2 2 3 9" xfId="51543"/>
    <cellStyle name="Currency 4 2 2 4" xfId="51544"/>
    <cellStyle name="Currency 4 2 2 4 2" xfId="51545"/>
    <cellStyle name="Currency 4 2 2 4 2 2" xfId="51546"/>
    <cellStyle name="Currency 4 2 2 4 2 2 2" xfId="51547"/>
    <cellStyle name="Currency 4 2 2 4 2 2 3" xfId="51548"/>
    <cellStyle name="Currency 4 2 2 4 2 3" xfId="51549"/>
    <cellStyle name="Currency 4 2 2 4 2 3 2" xfId="51550"/>
    <cellStyle name="Currency 4 2 2 4 2 3 3" xfId="51551"/>
    <cellStyle name="Currency 4 2 2 4 2 4" xfId="51552"/>
    <cellStyle name="Currency 4 2 2 4 2 4 2" xfId="51553"/>
    <cellStyle name="Currency 4 2 2 4 2 5" xfId="51554"/>
    <cellStyle name="Currency 4 2 2 4 2 6" xfId="51555"/>
    <cellStyle name="Currency 4 2 2 4 3" xfId="51556"/>
    <cellStyle name="Currency 4 2 2 4 3 2" xfId="51557"/>
    <cellStyle name="Currency 4 2 2 4 3 2 2" xfId="51558"/>
    <cellStyle name="Currency 4 2 2 4 3 2 3" xfId="51559"/>
    <cellStyle name="Currency 4 2 2 4 3 3" xfId="51560"/>
    <cellStyle name="Currency 4 2 2 4 3 3 2" xfId="51561"/>
    <cellStyle name="Currency 4 2 2 4 3 3 3" xfId="51562"/>
    <cellStyle name="Currency 4 2 2 4 3 4" xfId="51563"/>
    <cellStyle name="Currency 4 2 2 4 3 4 2" xfId="51564"/>
    <cellStyle name="Currency 4 2 2 4 3 5" xfId="51565"/>
    <cellStyle name="Currency 4 2 2 4 3 6" xfId="51566"/>
    <cellStyle name="Currency 4 2 2 4 4" xfId="51567"/>
    <cellStyle name="Currency 4 2 2 4 4 2" xfId="51568"/>
    <cellStyle name="Currency 4 2 2 4 4 2 2" xfId="51569"/>
    <cellStyle name="Currency 4 2 2 4 4 2 3" xfId="51570"/>
    <cellStyle name="Currency 4 2 2 4 4 3" xfId="51571"/>
    <cellStyle name="Currency 4 2 2 4 4 3 2" xfId="51572"/>
    <cellStyle name="Currency 4 2 2 4 4 4" xfId="51573"/>
    <cellStyle name="Currency 4 2 2 4 4 5" xfId="51574"/>
    <cellStyle name="Currency 4 2 2 4 5" xfId="51575"/>
    <cellStyle name="Currency 4 2 2 4 5 2" xfId="51576"/>
    <cellStyle name="Currency 4 2 2 4 5 3" xfId="51577"/>
    <cellStyle name="Currency 4 2 2 4 6" xfId="51578"/>
    <cellStyle name="Currency 4 2 2 4 6 2" xfId="51579"/>
    <cellStyle name="Currency 4 2 2 4 6 3" xfId="51580"/>
    <cellStyle name="Currency 4 2 2 4 7" xfId="51581"/>
    <cellStyle name="Currency 4 2 2 4 7 2" xfId="51582"/>
    <cellStyle name="Currency 4 2 2 4 8" xfId="51583"/>
    <cellStyle name="Currency 4 2 2 4 9" xfId="51584"/>
    <cellStyle name="Currency 4 2 2 5" xfId="51585"/>
    <cellStyle name="Currency 4 2 2 5 2" xfId="51586"/>
    <cellStyle name="Currency 4 2 2 5 2 2" xfId="51587"/>
    <cellStyle name="Currency 4 2 2 5 2 2 2" xfId="51588"/>
    <cellStyle name="Currency 4 2 2 5 2 2 3" xfId="51589"/>
    <cellStyle name="Currency 4 2 2 5 2 3" xfId="51590"/>
    <cellStyle name="Currency 4 2 2 5 2 3 2" xfId="51591"/>
    <cellStyle name="Currency 4 2 2 5 2 3 3" xfId="51592"/>
    <cellStyle name="Currency 4 2 2 5 2 4" xfId="51593"/>
    <cellStyle name="Currency 4 2 2 5 2 4 2" xfId="51594"/>
    <cellStyle name="Currency 4 2 2 5 2 5" xfId="51595"/>
    <cellStyle name="Currency 4 2 2 5 2 6" xfId="51596"/>
    <cellStyle name="Currency 4 2 2 5 3" xfId="51597"/>
    <cellStyle name="Currency 4 2 2 5 3 2" xfId="51598"/>
    <cellStyle name="Currency 4 2 2 5 3 2 2" xfId="51599"/>
    <cellStyle name="Currency 4 2 2 5 3 2 3" xfId="51600"/>
    <cellStyle name="Currency 4 2 2 5 3 3" xfId="51601"/>
    <cellStyle name="Currency 4 2 2 5 3 3 2" xfId="51602"/>
    <cellStyle name="Currency 4 2 2 5 3 3 3" xfId="51603"/>
    <cellStyle name="Currency 4 2 2 5 3 4" xfId="51604"/>
    <cellStyle name="Currency 4 2 2 5 3 4 2" xfId="51605"/>
    <cellStyle name="Currency 4 2 2 5 3 5" xfId="51606"/>
    <cellStyle name="Currency 4 2 2 5 3 6" xfId="51607"/>
    <cellStyle name="Currency 4 2 2 5 4" xfId="51608"/>
    <cellStyle name="Currency 4 2 2 5 4 2" xfId="51609"/>
    <cellStyle name="Currency 4 2 2 5 4 2 2" xfId="51610"/>
    <cellStyle name="Currency 4 2 2 5 4 2 3" xfId="51611"/>
    <cellStyle name="Currency 4 2 2 5 4 3" xfId="51612"/>
    <cellStyle name="Currency 4 2 2 5 4 3 2" xfId="51613"/>
    <cellStyle name="Currency 4 2 2 5 4 4" xfId="51614"/>
    <cellStyle name="Currency 4 2 2 5 4 5" xfId="51615"/>
    <cellStyle name="Currency 4 2 2 5 5" xfId="51616"/>
    <cellStyle name="Currency 4 2 2 5 5 2" xfId="51617"/>
    <cellStyle name="Currency 4 2 2 5 5 3" xfId="51618"/>
    <cellStyle name="Currency 4 2 2 5 6" xfId="51619"/>
    <cellStyle name="Currency 4 2 2 5 6 2" xfId="51620"/>
    <cellStyle name="Currency 4 2 2 5 6 3" xfId="51621"/>
    <cellStyle name="Currency 4 2 2 5 7" xfId="51622"/>
    <cellStyle name="Currency 4 2 2 5 7 2" xfId="51623"/>
    <cellStyle name="Currency 4 2 2 5 8" xfId="51624"/>
    <cellStyle name="Currency 4 2 2 5 9" xfId="51625"/>
    <cellStyle name="Currency 4 2 2 6" xfId="51626"/>
    <cellStyle name="Currency 4 2 2 6 2" xfId="51627"/>
    <cellStyle name="Currency 4 2 2 6 2 2" xfId="51628"/>
    <cellStyle name="Currency 4 2 2 6 2 3" xfId="51629"/>
    <cellStyle name="Currency 4 2 2 6 3" xfId="51630"/>
    <cellStyle name="Currency 4 2 2 6 3 2" xfId="51631"/>
    <cellStyle name="Currency 4 2 2 6 3 3" xfId="51632"/>
    <cellStyle name="Currency 4 2 2 6 4" xfId="51633"/>
    <cellStyle name="Currency 4 2 2 6 4 2" xfId="51634"/>
    <cellStyle name="Currency 4 2 2 6 5" xfId="51635"/>
    <cellStyle name="Currency 4 2 2 6 6" xfId="51636"/>
    <cellStyle name="Currency 4 2 2 7" xfId="51637"/>
    <cellStyle name="Currency 4 2 2 7 2" xfId="51638"/>
    <cellStyle name="Currency 4 2 2 7 2 2" xfId="51639"/>
    <cellStyle name="Currency 4 2 2 7 2 3" xfId="51640"/>
    <cellStyle name="Currency 4 2 2 7 3" xfId="51641"/>
    <cellStyle name="Currency 4 2 2 7 3 2" xfId="51642"/>
    <cellStyle name="Currency 4 2 2 7 3 3" xfId="51643"/>
    <cellStyle name="Currency 4 2 2 7 4" xfId="51644"/>
    <cellStyle name="Currency 4 2 2 7 4 2" xfId="51645"/>
    <cellStyle name="Currency 4 2 2 7 5" xfId="51646"/>
    <cellStyle name="Currency 4 2 2 7 6" xfId="51647"/>
    <cellStyle name="Currency 4 2 2 8" xfId="51648"/>
    <cellStyle name="Currency 4 2 2 8 2" xfId="51649"/>
    <cellStyle name="Currency 4 2 2 8 2 2" xfId="51650"/>
    <cellStyle name="Currency 4 2 2 8 2 3" xfId="51651"/>
    <cellStyle name="Currency 4 2 2 8 3" xfId="51652"/>
    <cellStyle name="Currency 4 2 2 8 3 2" xfId="51653"/>
    <cellStyle name="Currency 4 2 2 8 4" xfId="51654"/>
    <cellStyle name="Currency 4 2 2 8 5" xfId="51655"/>
    <cellStyle name="Currency 4 2 2 9" xfId="51656"/>
    <cellStyle name="Currency 4 2 2 9 2" xfId="51657"/>
    <cellStyle name="Currency 4 2 2 9 3" xfId="51658"/>
    <cellStyle name="Currency 4 2 3" xfId="3901"/>
    <cellStyle name="Currency 4 2 3 10" xfId="51659"/>
    <cellStyle name="Currency 4 2 3 10 2" xfId="51660"/>
    <cellStyle name="Currency 4 2 3 11" xfId="51661"/>
    <cellStyle name="Currency 4 2 3 12" xfId="51662"/>
    <cellStyle name="Currency 4 2 3 2" xfId="9165"/>
    <cellStyle name="Currency 4 2 3 2 10" xfId="51663"/>
    <cellStyle name="Currency 4 2 3 2 2" xfId="51664"/>
    <cellStyle name="Currency 4 2 3 2 2 2" xfId="51665"/>
    <cellStyle name="Currency 4 2 3 2 2 2 2" xfId="51666"/>
    <cellStyle name="Currency 4 2 3 2 2 2 2 2" xfId="51667"/>
    <cellStyle name="Currency 4 2 3 2 2 2 2 3" xfId="51668"/>
    <cellStyle name="Currency 4 2 3 2 2 2 3" xfId="51669"/>
    <cellStyle name="Currency 4 2 3 2 2 2 3 2" xfId="51670"/>
    <cellStyle name="Currency 4 2 3 2 2 2 3 3" xfId="51671"/>
    <cellStyle name="Currency 4 2 3 2 2 2 4" xfId="51672"/>
    <cellStyle name="Currency 4 2 3 2 2 2 4 2" xfId="51673"/>
    <cellStyle name="Currency 4 2 3 2 2 2 5" xfId="51674"/>
    <cellStyle name="Currency 4 2 3 2 2 2 6" xfId="51675"/>
    <cellStyle name="Currency 4 2 3 2 2 3" xfId="51676"/>
    <cellStyle name="Currency 4 2 3 2 2 3 2" xfId="51677"/>
    <cellStyle name="Currency 4 2 3 2 2 3 2 2" xfId="51678"/>
    <cellStyle name="Currency 4 2 3 2 2 3 2 3" xfId="51679"/>
    <cellStyle name="Currency 4 2 3 2 2 3 3" xfId="51680"/>
    <cellStyle name="Currency 4 2 3 2 2 3 3 2" xfId="51681"/>
    <cellStyle name="Currency 4 2 3 2 2 3 3 3" xfId="51682"/>
    <cellStyle name="Currency 4 2 3 2 2 3 4" xfId="51683"/>
    <cellStyle name="Currency 4 2 3 2 2 3 4 2" xfId="51684"/>
    <cellStyle name="Currency 4 2 3 2 2 3 5" xfId="51685"/>
    <cellStyle name="Currency 4 2 3 2 2 3 6" xfId="51686"/>
    <cellStyle name="Currency 4 2 3 2 2 4" xfId="51687"/>
    <cellStyle name="Currency 4 2 3 2 2 4 2" xfId="51688"/>
    <cellStyle name="Currency 4 2 3 2 2 4 2 2" xfId="51689"/>
    <cellStyle name="Currency 4 2 3 2 2 4 2 3" xfId="51690"/>
    <cellStyle name="Currency 4 2 3 2 2 4 3" xfId="51691"/>
    <cellStyle name="Currency 4 2 3 2 2 4 3 2" xfId="51692"/>
    <cellStyle name="Currency 4 2 3 2 2 4 4" xfId="51693"/>
    <cellStyle name="Currency 4 2 3 2 2 4 5" xfId="51694"/>
    <cellStyle name="Currency 4 2 3 2 2 5" xfId="51695"/>
    <cellStyle name="Currency 4 2 3 2 2 5 2" xfId="51696"/>
    <cellStyle name="Currency 4 2 3 2 2 5 3" xfId="51697"/>
    <cellStyle name="Currency 4 2 3 2 2 6" xfId="51698"/>
    <cellStyle name="Currency 4 2 3 2 2 6 2" xfId="51699"/>
    <cellStyle name="Currency 4 2 3 2 2 6 3" xfId="51700"/>
    <cellStyle name="Currency 4 2 3 2 2 7" xfId="51701"/>
    <cellStyle name="Currency 4 2 3 2 2 7 2" xfId="51702"/>
    <cellStyle name="Currency 4 2 3 2 2 8" xfId="51703"/>
    <cellStyle name="Currency 4 2 3 2 2 9" xfId="51704"/>
    <cellStyle name="Currency 4 2 3 2 3" xfId="51705"/>
    <cellStyle name="Currency 4 2 3 2 3 2" xfId="51706"/>
    <cellStyle name="Currency 4 2 3 2 3 2 2" xfId="51707"/>
    <cellStyle name="Currency 4 2 3 2 3 2 3" xfId="51708"/>
    <cellStyle name="Currency 4 2 3 2 3 3" xfId="51709"/>
    <cellStyle name="Currency 4 2 3 2 3 3 2" xfId="51710"/>
    <cellStyle name="Currency 4 2 3 2 3 3 3" xfId="51711"/>
    <cellStyle name="Currency 4 2 3 2 3 4" xfId="51712"/>
    <cellStyle name="Currency 4 2 3 2 3 4 2" xfId="51713"/>
    <cellStyle name="Currency 4 2 3 2 3 5" xfId="51714"/>
    <cellStyle name="Currency 4 2 3 2 3 6" xfId="51715"/>
    <cellStyle name="Currency 4 2 3 2 4" xfId="51716"/>
    <cellStyle name="Currency 4 2 3 2 4 2" xfId="51717"/>
    <cellStyle name="Currency 4 2 3 2 4 2 2" xfId="51718"/>
    <cellStyle name="Currency 4 2 3 2 4 2 3" xfId="51719"/>
    <cellStyle name="Currency 4 2 3 2 4 3" xfId="51720"/>
    <cellStyle name="Currency 4 2 3 2 4 3 2" xfId="51721"/>
    <cellStyle name="Currency 4 2 3 2 4 3 3" xfId="51722"/>
    <cellStyle name="Currency 4 2 3 2 4 4" xfId="51723"/>
    <cellStyle name="Currency 4 2 3 2 4 4 2" xfId="51724"/>
    <cellStyle name="Currency 4 2 3 2 4 5" xfId="51725"/>
    <cellStyle name="Currency 4 2 3 2 4 6" xfId="51726"/>
    <cellStyle name="Currency 4 2 3 2 5" xfId="51727"/>
    <cellStyle name="Currency 4 2 3 2 5 2" xfId="51728"/>
    <cellStyle name="Currency 4 2 3 2 5 2 2" xfId="51729"/>
    <cellStyle name="Currency 4 2 3 2 5 2 3" xfId="51730"/>
    <cellStyle name="Currency 4 2 3 2 5 3" xfId="51731"/>
    <cellStyle name="Currency 4 2 3 2 5 3 2" xfId="51732"/>
    <cellStyle name="Currency 4 2 3 2 5 4" xfId="51733"/>
    <cellStyle name="Currency 4 2 3 2 5 5" xfId="51734"/>
    <cellStyle name="Currency 4 2 3 2 6" xfId="51735"/>
    <cellStyle name="Currency 4 2 3 2 6 2" xfId="51736"/>
    <cellStyle name="Currency 4 2 3 2 6 3" xfId="51737"/>
    <cellStyle name="Currency 4 2 3 2 7" xfId="51738"/>
    <cellStyle name="Currency 4 2 3 2 7 2" xfId="51739"/>
    <cellStyle name="Currency 4 2 3 2 7 3" xfId="51740"/>
    <cellStyle name="Currency 4 2 3 2 8" xfId="51741"/>
    <cellStyle name="Currency 4 2 3 2 8 2" xfId="51742"/>
    <cellStyle name="Currency 4 2 3 2 9" xfId="51743"/>
    <cellStyle name="Currency 4 2 3 3" xfId="51744"/>
    <cellStyle name="Currency 4 2 3 3 2" xfId="51745"/>
    <cellStyle name="Currency 4 2 3 3 2 2" xfId="51746"/>
    <cellStyle name="Currency 4 2 3 3 2 2 2" xfId="51747"/>
    <cellStyle name="Currency 4 2 3 3 2 2 3" xfId="51748"/>
    <cellStyle name="Currency 4 2 3 3 2 3" xfId="51749"/>
    <cellStyle name="Currency 4 2 3 3 2 3 2" xfId="51750"/>
    <cellStyle name="Currency 4 2 3 3 2 3 3" xfId="51751"/>
    <cellStyle name="Currency 4 2 3 3 2 4" xfId="51752"/>
    <cellStyle name="Currency 4 2 3 3 2 4 2" xfId="51753"/>
    <cellStyle name="Currency 4 2 3 3 2 5" xfId="51754"/>
    <cellStyle name="Currency 4 2 3 3 2 6" xfId="51755"/>
    <cellStyle name="Currency 4 2 3 3 3" xfId="51756"/>
    <cellStyle name="Currency 4 2 3 3 3 2" xfId="51757"/>
    <cellStyle name="Currency 4 2 3 3 3 2 2" xfId="51758"/>
    <cellStyle name="Currency 4 2 3 3 3 2 3" xfId="51759"/>
    <cellStyle name="Currency 4 2 3 3 3 3" xfId="51760"/>
    <cellStyle name="Currency 4 2 3 3 3 3 2" xfId="51761"/>
    <cellStyle name="Currency 4 2 3 3 3 3 3" xfId="51762"/>
    <cellStyle name="Currency 4 2 3 3 3 4" xfId="51763"/>
    <cellStyle name="Currency 4 2 3 3 3 4 2" xfId="51764"/>
    <cellStyle name="Currency 4 2 3 3 3 5" xfId="51765"/>
    <cellStyle name="Currency 4 2 3 3 3 6" xfId="51766"/>
    <cellStyle name="Currency 4 2 3 3 4" xfId="51767"/>
    <cellStyle name="Currency 4 2 3 3 4 2" xfId="51768"/>
    <cellStyle name="Currency 4 2 3 3 4 2 2" xfId="51769"/>
    <cellStyle name="Currency 4 2 3 3 4 2 3" xfId="51770"/>
    <cellStyle name="Currency 4 2 3 3 4 3" xfId="51771"/>
    <cellStyle name="Currency 4 2 3 3 4 3 2" xfId="51772"/>
    <cellStyle name="Currency 4 2 3 3 4 4" xfId="51773"/>
    <cellStyle name="Currency 4 2 3 3 4 5" xfId="51774"/>
    <cellStyle name="Currency 4 2 3 3 5" xfId="51775"/>
    <cellStyle name="Currency 4 2 3 3 5 2" xfId="51776"/>
    <cellStyle name="Currency 4 2 3 3 5 3" xfId="51777"/>
    <cellStyle name="Currency 4 2 3 3 6" xfId="51778"/>
    <cellStyle name="Currency 4 2 3 3 6 2" xfId="51779"/>
    <cellStyle name="Currency 4 2 3 3 6 3" xfId="51780"/>
    <cellStyle name="Currency 4 2 3 3 7" xfId="51781"/>
    <cellStyle name="Currency 4 2 3 3 7 2" xfId="51782"/>
    <cellStyle name="Currency 4 2 3 3 8" xfId="51783"/>
    <cellStyle name="Currency 4 2 3 3 9" xfId="51784"/>
    <cellStyle name="Currency 4 2 3 4" xfId="51785"/>
    <cellStyle name="Currency 4 2 3 4 2" xfId="51786"/>
    <cellStyle name="Currency 4 2 3 4 2 2" xfId="51787"/>
    <cellStyle name="Currency 4 2 3 4 2 2 2" xfId="51788"/>
    <cellStyle name="Currency 4 2 3 4 2 2 3" xfId="51789"/>
    <cellStyle name="Currency 4 2 3 4 2 3" xfId="51790"/>
    <cellStyle name="Currency 4 2 3 4 2 3 2" xfId="51791"/>
    <cellStyle name="Currency 4 2 3 4 2 3 3" xfId="51792"/>
    <cellStyle name="Currency 4 2 3 4 2 4" xfId="51793"/>
    <cellStyle name="Currency 4 2 3 4 2 4 2" xfId="51794"/>
    <cellStyle name="Currency 4 2 3 4 2 5" xfId="51795"/>
    <cellStyle name="Currency 4 2 3 4 2 6" xfId="51796"/>
    <cellStyle name="Currency 4 2 3 4 3" xfId="51797"/>
    <cellStyle name="Currency 4 2 3 4 3 2" xfId="51798"/>
    <cellStyle name="Currency 4 2 3 4 3 2 2" xfId="51799"/>
    <cellStyle name="Currency 4 2 3 4 3 2 3" xfId="51800"/>
    <cellStyle name="Currency 4 2 3 4 3 3" xfId="51801"/>
    <cellStyle name="Currency 4 2 3 4 3 3 2" xfId="51802"/>
    <cellStyle name="Currency 4 2 3 4 3 3 3" xfId="51803"/>
    <cellStyle name="Currency 4 2 3 4 3 4" xfId="51804"/>
    <cellStyle name="Currency 4 2 3 4 3 4 2" xfId="51805"/>
    <cellStyle name="Currency 4 2 3 4 3 5" xfId="51806"/>
    <cellStyle name="Currency 4 2 3 4 3 6" xfId="51807"/>
    <cellStyle name="Currency 4 2 3 4 4" xfId="51808"/>
    <cellStyle name="Currency 4 2 3 4 4 2" xfId="51809"/>
    <cellStyle name="Currency 4 2 3 4 4 2 2" xfId="51810"/>
    <cellStyle name="Currency 4 2 3 4 4 2 3" xfId="51811"/>
    <cellStyle name="Currency 4 2 3 4 4 3" xfId="51812"/>
    <cellStyle name="Currency 4 2 3 4 4 3 2" xfId="51813"/>
    <cellStyle name="Currency 4 2 3 4 4 4" xfId="51814"/>
    <cellStyle name="Currency 4 2 3 4 4 5" xfId="51815"/>
    <cellStyle name="Currency 4 2 3 4 5" xfId="51816"/>
    <cellStyle name="Currency 4 2 3 4 5 2" xfId="51817"/>
    <cellStyle name="Currency 4 2 3 4 5 3" xfId="51818"/>
    <cellStyle name="Currency 4 2 3 4 6" xfId="51819"/>
    <cellStyle name="Currency 4 2 3 4 6 2" xfId="51820"/>
    <cellStyle name="Currency 4 2 3 4 6 3" xfId="51821"/>
    <cellStyle name="Currency 4 2 3 4 7" xfId="51822"/>
    <cellStyle name="Currency 4 2 3 4 7 2" xfId="51823"/>
    <cellStyle name="Currency 4 2 3 4 8" xfId="51824"/>
    <cellStyle name="Currency 4 2 3 4 9" xfId="51825"/>
    <cellStyle name="Currency 4 2 3 5" xfId="51826"/>
    <cellStyle name="Currency 4 2 3 5 2" xfId="51827"/>
    <cellStyle name="Currency 4 2 3 5 2 2" xfId="51828"/>
    <cellStyle name="Currency 4 2 3 5 2 3" xfId="51829"/>
    <cellStyle name="Currency 4 2 3 5 3" xfId="51830"/>
    <cellStyle name="Currency 4 2 3 5 3 2" xfId="51831"/>
    <cellStyle name="Currency 4 2 3 5 3 3" xfId="51832"/>
    <cellStyle name="Currency 4 2 3 5 4" xfId="51833"/>
    <cellStyle name="Currency 4 2 3 5 4 2" xfId="51834"/>
    <cellStyle name="Currency 4 2 3 5 5" xfId="51835"/>
    <cellStyle name="Currency 4 2 3 5 6" xfId="51836"/>
    <cellStyle name="Currency 4 2 3 6" xfId="51837"/>
    <cellStyle name="Currency 4 2 3 6 2" xfId="51838"/>
    <cellStyle name="Currency 4 2 3 6 2 2" xfId="51839"/>
    <cellStyle name="Currency 4 2 3 6 2 3" xfId="51840"/>
    <cellStyle name="Currency 4 2 3 6 3" xfId="51841"/>
    <cellStyle name="Currency 4 2 3 6 3 2" xfId="51842"/>
    <cellStyle name="Currency 4 2 3 6 3 3" xfId="51843"/>
    <cellStyle name="Currency 4 2 3 6 4" xfId="51844"/>
    <cellStyle name="Currency 4 2 3 6 4 2" xfId="51845"/>
    <cellStyle name="Currency 4 2 3 6 5" xfId="51846"/>
    <cellStyle name="Currency 4 2 3 6 6" xfId="51847"/>
    <cellStyle name="Currency 4 2 3 7" xfId="51848"/>
    <cellStyle name="Currency 4 2 3 7 2" xfId="51849"/>
    <cellStyle name="Currency 4 2 3 7 2 2" xfId="51850"/>
    <cellStyle name="Currency 4 2 3 7 2 3" xfId="51851"/>
    <cellStyle name="Currency 4 2 3 7 3" xfId="51852"/>
    <cellStyle name="Currency 4 2 3 7 3 2" xfId="51853"/>
    <cellStyle name="Currency 4 2 3 7 4" xfId="51854"/>
    <cellStyle name="Currency 4 2 3 7 5" xfId="51855"/>
    <cellStyle name="Currency 4 2 3 8" xfId="51856"/>
    <cellStyle name="Currency 4 2 3 8 2" xfId="51857"/>
    <cellStyle name="Currency 4 2 3 8 3" xfId="51858"/>
    <cellStyle name="Currency 4 2 3 9" xfId="51859"/>
    <cellStyle name="Currency 4 2 3 9 2" xfId="51860"/>
    <cellStyle name="Currency 4 2 3 9 3" xfId="51861"/>
    <cellStyle name="Currency 4 2 4" xfId="9166"/>
    <cellStyle name="Currency 4 2 4 10" xfId="51862"/>
    <cellStyle name="Currency 4 2 4 2" xfId="51863"/>
    <cellStyle name="Currency 4 2 4 2 2" xfId="51864"/>
    <cellStyle name="Currency 4 2 4 2 2 2" xfId="51865"/>
    <cellStyle name="Currency 4 2 4 2 2 2 2" xfId="51866"/>
    <cellStyle name="Currency 4 2 4 2 2 2 3" xfId="51867"/>
    <cellStyle name="Currency 4 2 4 2 2 3" xfId="51868"/>
    <cellStyle name="Currency 4 2 4 2 2 3 2" xfId="51869"/>
    <cellStyle name="Currency 4 2 4 2 2 3 3" xfId="51870"/>
    <cellStyle name="Currency 4 2 4 2 2 4" xfId="51871"/>
    <cellStyle name="Currency 4 2 4 2 2 4 2" xfId="51872"/>
    <cellStyle name="Currency 4 2 4 2 2 5" xfId="51873"/>
    <cellStyle name="Currency 4 2 4 2 2 6" xfId="51874"/>
    <cellStyle name="Currency 4 2 4 2 3" xfId="51875"/>
    <cellStyle name="Currency 4 2 4 2 3 2" xfId="51876"/>
    <cellStyle name="Currency 4 2 4 2 3 2 2" xfId="51877"/>
    <cellStyle name="Currency 4 2 4 2 3 2 3" xfId="51878"/>
    <cellStyle name="Currency 4 2 4 2 3 3" xfId="51879"/>
    <cellStyle name="Currency 4 2 4 2 3 3 2" xfId="51880"/>
    <cellStyle name="Currency 4 2 4 2 3 3 3" xfId="51881"/>
    <cellStyle name="Currency 4 2 4 2 3 4" xfId="51882"/>
    <cellStyle name="Currency 4 2 4 2 3 4 2" xfId="51883"/>
    <cellStyle name="Currency 4 2 4 2 3 5" xfId="51884"/>
    <cellStyle name="Currency 4 2 4 2 3 6" xfId="51885"/>
    <cellStyle name="Currency 4 2 4 2 4" xfId="51886"/>
    <cellStyle name="Currency 4 2 4 2 4 2" xfId="51887"/>
    <cellStyle name="Currency 4 2 4 2 4 2 2" xfId="51888"/>
    <cellStyle name="Currency 4 2 4 2 4 2 3" xfId="51889"/>
    <cellStyle name="Currency 4 2 4 2 4 3" xfId="51890"/>
    <cellStyle name="Currency 4 2 4 2 4 3 2" xfId="51891"/>
    <cellStyle name="Currency 4 2 4 2 4 4" xfId="51892"/>
    <cellStyle name="Currency 4 2 4 2 4 5" xfId="51893"/>
    <cellStyle name="Currency 4 2 4 2 5" xfId="51894"/>
    <cellStyle name="Currency 4 2 4 2 5 2" xfId="51895"/>
    <cellStyle name="Currency 4 2 4 2 5 3" xfId="51896"/>
    <cellStyle name="Currency 4 2 4 2 6" xfId="51897"/>
    <cellStyle name="Currency 4 2 4 2 6 2" xfId="51898"/>
    <cellStyle name="Currency 4 2 4 2 6 3" xfId="51899"/>
    <cellStyle name="Currency 4 2 4 2 7" xfId="51900"/>
    <cellStyle name="Currency 4 2 4 2 7 2" xfId="51901"/>
    <cellStyle name="Currency 4 2 4 2 8" xfId="51902"/>
    <cellStyle name="Currency 4 2 4 2 9" xfId="51903"/>
    <cellStyle name="Currency 4 2 4 3" xfId="51904"/>
    <cellStyle name="Currency 4 2 4 3 2" xfId="51905"/>
    <cellStyle name="Currency 4 2 4 3 2 2" xfId="51906"/>
    <cellStyle name="Currency 4 2 4 3 2 3" xfId="51907"/>
    <cellStyle name="Currency 4 2 4 3 3" xfId="51908"/>
    <cellStyle name="Currency 4 2 4 3 3 2" xfId="51909"/>
    <cellStyle name="Currency 4 2 4 3 3 3" xfId="51910"/>
    <cellStyle name="Currency 4 2 4 3 4" xfId="51911"/>
    <cellStyle name="Currency 4 2 4 3 4 2" xfId="51912"/>
    <cellStyle name="Currency 4 2 4 3 5" xfId="51913"/>
    <cellStyle name="Currency 4 2 4 3 6" xfId="51914"/>
    <cellStyle name="Currency 4 2 4 4" xfId="51915"/>
    <cellStyle name="Currency 4 2 4 4 2" xfId="51916"/>
    <cellStyle name="Currency 4 2 4 4 2 2" xfId="51917"/>
    <cellStyle name="Currency 4 2 4 4 2 3" xfId="51918"/>
    <cellStyle name="Currency 4 2 4 4 3" xfId="51919"/>
    <cellStyle name="Currency 4 2 4 4 3 2" xfId="51920"/>
    <cellStyle name="Currency 4 2 4 4 3 3" xfId="51921"/>
    <cellStyle name="Currency 4 2 4 4 4" xfId="51922"/>
    <cellStyle name="Currency 4 2 4 4 4 2" xfId="51923"/>
    <cellStyle name="Currency 4 2 4 4 5" xfId="51924"/>
    <cellStyle name="Currency 4 2 4 4 6" xfId="51925"/>
    <cellStyle name="Currency 4 2 4 5" xfId="51926"/>
    <cellStyle name="Currency 4 2 4 5 2" xfId="51927"/>
    <cellStyle name="Currency 4 2 4 5 2 2" xfId="51928"/>
    <cellStyle name="Currency 4 2 4 5 2 3" xfId="51929"/>
    <cellStyle name="Currency 4 2 4 5 3" xfId="51930"/>
    <cellStyle name="Currency 4 2 4 5 3 2" xfId="51931"/>
    <cellStyle name="Currency 4 2 4 5 4" xfId="51932"/>
    <cellStyle name="Currency 4 2 4 5 5" xfId="51933"/>
    <cellStyle name="Currency 4 2 4 6" xfId="51934"/>
    <cellStyle name="Currency 4 2 4 6 2" xfId="51935"/>
    <cellStyle name="Currency 4 2 4 6 3" xfId="51936"/>
    <cellStyle name="Currency 4 2 4 7" xfId="51937"/>
    <cellStyle name="Currency 4 2 4 7 2" xfId="51938"/>
    <cellStyle name="Currency 4 2 4 7 3" xfId="51939"/>
    <cellStyle name="Currency 4 2 4 8" xfId="51940"/>
    <cellStyle name="Currency 4 2 4 8 2" xfId="51941"/>
    <cellStyle name="Currency 4 2 4 9" xfId="51942"/>
    <cellStyle name="Currency 4 2 5" xfId="51943"/>
    <cellStyle name="Currency 4 2 5 2" xfId="51944"/>
    <cellStyle name="Currency 4 2 5 2 2" xfId="51945"/>
    <cellStyle name="Currency 4 2 5 2 2 2" xfId="51946"/>
    <cellStyle name="Currency 4 2 5 2 2 3" xfId="51947"/>
    <cellStyle name="Currency 4 2 5 2 3" xfId="51948"/>
    <cellStyle name="Currency 4 2 5 2 3 2" xfId="51949"/>
    <cellStyle name="Currency 4 2 5 2 3 3" xfId="51950"/>
    <cellStyle name="Currency 4 2 5 2 4" xfId="51951"/>
    <cellStyle name="Currency 4 2 5 2 4 2" xfId="51952"/>
    <cellStyle name="Currency 4 2 5 2 5" xfId="51953"/>
    <cellStyle name="Currency 4 2 5 2 6" xfId="51954"/>
    <cellStyle name="Currency 4 2 5 3" xfId="51955"/>
    <cellStyle name="Currency 4 2 5 3 2" xfId="51956"/>
    <cellStyle name="Currency 4 2 5 3 2 2" xfId="51957"/>
    <cellStyle name="Currency 4 2 5 3 2 3" xfId="51958"/>
    <cellStyle name="Currency 4 2 5 3 3" xfId="51959"/>
    <cellStyle name="Currency 4 2 5 3 3 2" xfId="51960"/>
    <cellStyle name="Currency 4 2 5 3 3 3" xfId="51961"/>
    <cellStyle name="Currency 4 2 5 3 4" xfId="51962"/>
    <cellStyle name="Currency 4 2 5 3 4 2" xfId="51963"/>
    <cellStyle name="Currency 4 2 5 3 5" xfId="51964"/>
    <cellStyle name="Currency 4 2 5 3 6" xfId="51965"/>
    <cellStyle name="Currency 4 2 5 4" xfId="51966"/>
    <cellStyle name="Currency 4 2 5 4 2" xfId="51967"/>
    <cellStyle name="Currency 4 2 5 4 2 2" xfId="51968"/>
    <cellStyle name="Currency 4 2 5 4 2 3" xfId="51969"/>
    <cellStyle name="Currency 4 2 5 4 3" xfId="51970"/>
    <cellStyle name="Currency 4 2 5 4 3 2" xfId="51971"/>
    <cellStyle name="Currency 4 2 5 4 4" xfId="51972"/>
    <cellStyle name="Currency 4 2 5 4 5" xfId="51973"/>
    <cellStyle name="Currency 4 2 5 5" xfId="51974"/>
    <cellStyle name="Currency 4 2 5 5 2" xfId="51975"/>
    <cellStyle name="Currency 4 2 5 5 3" xfId="51976"/>
    <cellStyle name="Currency 4 2 5 6" xfId="51977"/>
    <cellStyle name="Currency 4 2 5 6 2" xfId="51978"/>
    <cellStyle name="Currency 4 2 5 6 3" xfId="51979"/>
    <cellStyle name="Currency 4 2 5 7" xfId="51980"/>
    <cellStyle name="Currency 4 2 5 7 2" xfId="51981"/>
    <cellStyle name="Currency 4 2 5 8" xfId="51982"/>
    <cellStyle name="Currency 4 2 5 9" xfId="51983"/>
    <cellStyle name="Currency 4 2 6" xfId="51984"/>
    <cellStyle name="Currency 4 2 6 2" xfId="51985"/>
    <cellStyle name="Currency 4 2 6 2 2" xfId="51986"/>
    <cellStyle name="Currency 4 2 6 2 2 2" xfId="51987"/>
    <cellStyle name="Currency 4 2 6 2 2 3" xfId="51988"/>
    <cellStyle name="Currency 4 2 6 2 3" xfId="51989"/>
    <cellStyle name="Currency 4 2 6 2 3 2" xfId="51990"/>
    <cellStyle name="Currency 4 2 6 2 3 3" xfId="51991"/>
    <cellStyle name="Currency 4 2 6 2 4" xfId="51992"/>
    <cellStyle name="Currency 4 2 6 2 4 2" xfId="51993"/>
    <cellStyle name="Currency 4 2 6 2 5" xfId="51994"/>
    <cellStyle name="Currency 4 2 6 2 6" xfId="51995"/>
    <cellStyle name="Currency 4 2 6 3" xfId="51996"/>
    <cellStyle name="Currency 4 2 6 3 2" xfId="51997"/>
    <cellStyle name="Currency 4 2 6 3 2 2" xfId="51998"/>
    <cellStyle name="Currency 4 2 6 3 2 3" xfId="51999"/>
    <cellStyle name="Currency 4 2 6 3 3" xfId="52000"/>
    <cellStyle name="Currency 4 2 6 3 3 2" xfId="52001"/>
    <cellStyle name="Currency 4 2 6 3 3 3" xfId="52002"/>
    <cellStyle name="Currency 4 2 6 3 4" xfId="52003"/>
    <cellStyle name="Currency 4 2 6 3 4 2" xfId="52004"/>
    <cellStyle name="Currency 4 2 6 3 5" xfId="52005"/>
    <cellStyle name="Currency 4 2 6 3 6" xfId="52006"/>
    <cellStyle name="Currency 4 2 6 4" xfId="52007"/>
    <cellStyle name="Currency 4 2 6 4 2" xfId="52008"/>
    <cellStyle name="Currency 4 2 6 4 2 2" xfId="52009"/>
    <cellStyle name="Currency 4 2 6 4 2 3" xfId="52010"/>
    <cellStyle name="Currency 4 2 6 4 3" xfId="52011"/>
    <cellStyle name="Currency 4 2 6 4 3 2" xfId="52012"/>
    <cellStyle name="Currency 4 2 6 4 4" xfId="52013"/>
    <cellStyle name="Currency 4 2 6 4 5" xfId="52014"/>
    <cellStyle name="Currency 4 2 6 5" xfId="52015"/>
    <cellStyle name="Currency 4 2 6 5 2" xfId="52016"/>
    <cellStyle name="Currency 4 2 6 5 3" xfId="52017"/>
    <cellStyle name="Currency 4 2 6 6" xfId="52018"/>
    <cellStyle name="Currency 4 2 6 6 2" xfId="52019"/>
    <cellStyle name="Currency 4 2 6 6 3" xfId="52020"/>
    <cellStyle name="Currency 4 2 6 7" xfId="52021"/>
    <cellStyle name="Currency 4 2 6 7 2" xfId="52022"/>
    <cellStyle name="Currency 4 2 6 8" xfId="52023"/>
    <cellStyle name="Currency 4 2 6 9" xfId="52024"/>
    <cellStyle name="Currency 4 2 7" xfId="52025"/>
    <cellStyle name="Currency 4 2 7 2" xfId="52026"/>
    <cellStyle name="Currency 4 2 7 2 2" xfId="52027"/>
    <cellStyle name="Currency 4 2 7 2 3" xfId="52028"/>
    <cellStyle name="Currency 4 2 7 3" xfId="52029"/>
    <cellStyle name="Currency 4 2 7 3 2" xfId="52030"/>
    <cellStyle name="Currency 4 2 7 3 3" xfId="52031"/>
    <cellStyle name="Currency 4 2 7 4" xfId="52032"/>
    <cellStyle name="Currency 4 2 7 4 2" xfId="52033"/>
    <cellStyle name="Currency 4 2 7 5" xfId="52034"/>
    <cellStyle name="Currency 4 2 7 6" xfId="52035"/>
    <cellStyle name="Currency 4 2 8" xfId="52036"/>
    <cellStyle name="Currency 4 2 8 2" xfId="52037"/>
    <cellStyle name="Currency 4 2 8 2 2" xfId="52038"/>
    <cellStyle name="Currency 4 2 8 2 3" xfId="52039"/>
    <cellStyle name="Currency 4 2 8 3" xfId="52040"/>
    <cellStyle name="Currency 4 2 8 3 2" xfId="52041"/>
    <cellStyle name="Currency 4 2 8 3 3" xfId="52042"/>
    <cellStyle name="Currency 4 2 8 4" xfId="52043"/>
    <cellStyle name="Currency 4 2 8 4 2" xfId="52044"/>
    <cellStyle name="Currency 4 2 8 5" xfId="52045"/>
    <cellStyle name="Currency 4 2 8 6" xfId="52046"/>
    <cellStyle name="Currency 4 2 9" xfId="52047"/>
    <cellStyle name="Currency 4 2 9 2" xfId="52048"/>
    <cellStyle name="Currency 4 2 9 2 2" xfId="52049"/>
    <cellStyle name="Currency 4 2 9 2 3" xfId="52050"/>
    <cellStyle name="Currency 4 2 9 3" xfId="52051"/>
    <cellStyle name="Currency 4 2 9 3 2" xfId="52052"/>
    <cellStyle name="Currency 4 2 9 4" xfId="52053"/>
    <cellStyle name="Currency 4 2 9 5" xfId="52054"/>
    <cellStyle name="Currency 4 3" xfId="3902"/>
    <cellStyle name="Currency 4 3 10" xfId="52055"/>
    <cellStyle name="Currency 4 3 10 2" xfId="52056"/>
    <cellStyle name="Currency 4 3 10 3" xfId="52057"/>
    <cellStyle name="Currency 4 3 11" xfId="52058"/>
    <cellStyle name="Currency 4 3 11 2" xfId="52059"/>
    <cellStyle name="Currency 4 3 12" xfId="52060"/>
    <cellStyle name="Currency 4 3 13" xfId="52061"/>
    <cellStyle name="Currency 4 3 14" xfId="52062"/>
    <cellStyle name="Currency 4 3 2" xfId="9167"/>
    <cellStyle name="Currency 4 3 2 10" xfId="52063"/>
    <cellStyle name="Currency 4 3 2 10 2" xfId="52064"/>
    <cellStyle name="Currency 4 3 2 11" xfId="52065"/>
    <cellStyle name="Currency 4 3 2 12" xfId="52066"/>
    <cellStyle name="Currency 4 3 2 2" xfId="52067"/>
    <cellStyle name="Currency 4 3 2 2 10" xfId="52068"/>
    <cellStyle name="Currency 4 3 2 2 2" xfId="52069"/>
    <cellStyle name="Currency 4 3 2 2 2 2" xfId="52070"/>
    <cellStyle name="Currency 4 3 2 2 2 2 2" xfId="52071"/>
    <cellStyle name="Currency 4 3 2 2 2 2 2 2" xfId="52072"/>
    <cellStyle name="Currency 4 3 2 2 2 2 2 3" xfId="52073"/>
    <cellStyle name="Currency 4 3 2 2 2 2 3" xfId="52074"/>
    <cellStyle name="Currency 4 3 2 2 2 2 3 2" xfId="52075"/>
    <cellStyle name="Currency 4 3 2 2 2 2 3 3" xfId="52076"/>
    <cellStyle name="Currency 4 3 2 2 2 2 4" xfId="52077"/>
    <cellStyle name="Currency 4 3 2 2 2 2 4 2" xfId="52078"/>
    <cellStyle name="Currency 4 3 2 2 2 2 5" xfId="52079"/>
    <cellStyle name="Currency 4 3 2 2 2 2 6" xfId="52080"/>
    <cellStyle name="Currency 4 3 2 2 2 3" xfId="52081"/>
    <cellStyle name="Currency 4 3 2 2 2 3 2" xfId="52082"/>
    <cellStyle name="Currency 4 3 2 2 2 3 2 2" xfId="52083"/>
    <cellStyle name="Currency 4 3 2 2 2 3 2 3" xfId="52084"/>
    <cellStyle name="Currency 4 3 2 2 2 3 3" xfId="52085"/>
    <cellStyle name="Currency 4 3 2 2 2 3 3 2" xfId="52086"/>
    <cellStyle name="Currency 4 3 2 2 2 3 3 3" xfId="52087"/>
    <cellStyle name="Currency 4 3 2 2 2 3 4" xfId="52088"/>
    <cellStyle name="Currency 4 3 2 2 2 3 4 2" xfId="52089"/>
    <cellStyle name="Currency 4 3 2 2 2 3 5" xfId="52090"/>
    <cellStyle name="Currency 4 3 2 2 2 3 6" xfId="52091"/>
    <cellStyle name="Currency 4 3 2 2 2 4" xfId="52092"/>
    <cellStyle name="Currency 4 3 2 2 2 4 2" xfId="52093"/>
    <cellStyle name="Currency 4 3 2 2 2 4 2 2" xfId="52094"/>
    <cellStyle name="Currency 4 3 2 2 2 4 2 3" xfId="52095"/>
    <cellStyle name="Currency 4 3 2 2 2 4 3" xfId="52096"/>
    <cellStyle name="Currency 4 3 2 2 2 4 3 2" xfId="52097"/>
    <cellStyle name="Currency 4 3 2 2 2 4 4" xfId="52098"/>
    <cellStyle name="Currency 4 3 2 2 2 4 5" xfId="52099"/>
    <cellStyle name="Currency 4 3 2 2 2 5" xfId="52100"/>
    <cellStyle name="Currency 4 3 2 2 2 5 2" xfId="52101"/>
    <cellStyle name="Currency 4 3 2 2 2 5 3" xfId="52102"/>
    <cellStyle name="Currency 4 3 2 2 2 6" xfId="52103"/>
    <cellStyle name="Currency 4 3 2 2 2 6 2" xfId="52104"/>
    <cellStyle name="Currency 4 3 2 2 2 6 3" xfId="52105"/>
    <cellStyle name="Currency 4 3 2 2 2 7" xfId="52106"/>
    <cellStyle name="Currency 4 3 2 2 2 7 2" xfId="52107"/>
    <cellStyle name="Currency 4 3 2 2 2 8" xfId="52108"/>
    <cellStyle name="Currency 4 3 2 2 2 9" xfId="52109"/>
    <cellStyle name="Currency 4 3 2 2 3" xfId="52110"/>
    <cellStyle name="Currency 4 3 2 2 3 2" xfId="52111"/>
    <cellStyle name="Currency 4 3 2 2 3 2 2" xfId="52112"/>
    <cellStyle name="Currency 4 3 2 2 3 2 3" xfId="52113"/>
    <cellStyle name="Currency 4 3 2 2 3 3" xfId="52114"/>
    <cellStyle name="Currency 4 3 2 2 3 3 2" xfId="52115"/>
    <cellStyle name="Currency 4 3 2 2 3 3 3" xfId="52116"/>
    <cellStyle name="Currency 4 3 2 2 3 4" xfId="52117"/>
    <cellStyle name="Currency 4 3 2 2 3 4 2" xfId="52118"/>
    <cellStyle name="Currency 4 3 2 2 3 5" xfId="52119"/>
    <cellStyle name="Currency 4 3 2 2 3 6" xfId="52120"/>
    <cellStyle name="Currency 4 3 2 2 4" xfId="52121"/>
    <cellStyle name="Currency 4 3 2 2 4 2" xfId="52122"/>
    <cellStyle name="Currency 4 3 2 2 4 2 2" xfId="52123"/>
    <cellStyle name="Currency 4 3 2 2 4 2 3" xfId="52124"/>
    <cellStyle name="Currency 4 3 2 2 4 3" xfId="52125"/>
    <cellStyle name="Currency 4 3 2 2 4 3 2" xfId="52126"/>
    <cellStyle name="Currency 4 3 2 2 4 3 3" xfId="52127"/>
    <cellStyle name="Currency 4 3 2 2 4 4" xfId="52128"/>
    <cellStyle name="Currency 4 3 2 2 4 4 2" xfId="52129"/>
    <cellStyle name="Currency 4 3 2 2 4 5" xfId="52130"/>
    <cellStyle name="Currency 4 3 2 2 4 6" xfId="52131"/>
    <cellStyle name="Currency 4 3 2 2 5" xfId="52132"/>
    <cellStyle name="Currency 4 3 2 2 5 2" xfId="52133"/>
    <cellStyle name="Currency 4 3 2 2 5 2 2" xfId="52134"/>
    <cellStyle name="Currency 4 3 2 2 5 2 3" xfId="52135"/>
    <cellStyle name="Currency 4 3 2 2 5 3" xfId="52136"/>
    <cellStyle name="Currency 4 3 2 2 5 3 2" xfId="52137"/>
    <cellStyle name="Currency 4 3 2 2 5 4" xfId="52138"/>
    <cellStyle name="Currency 4 3 2 2 5 5" xfId="52139"/>
    <cellStyle name="Currency 4 3 2 2 6" xfId="52140"/>
    <cellStyle name="Currency 4 3 2 2 6 2" xfId="52141"/>
    <cellStyle name="Currency 4 3 2 2 6 3" xfId="52142"/>
    <cellStyle name="Currency 4 3 2 2 7" xfId="52143"/>
    <cellStyle name="Currency 4 3 2 2 7 2" xfId="52144"/>
    <cellStyle name="Currency 4 3 2 2 7 3" xfId="52145"/>
    <cellStyle name="Currency 4 3 2 2 8" xfId="52146"/>
    <cellStyle name="Currency 4 3 2 2 8 2" xfId="52147"/>
    <cellStyle name="Currency 4 3 2 2 9" xfId="52148"/>
    <cellStyle name="Currency 4 3 2 3" xfId="52149"/>
    <cellStyle name="Currency 4 3 2 3 2" xfId="52150"/>
    <cellStyle name="Currency 4 3 2 3 2 2" xfId="52151"/>
    <cellStyle name="Currency 4 3 2 3 2 2 2" xfId="52152"/>
    <cellStyle name="Currency 4 3 2 3 2 2 3" xfId="52153"/>
    <cellStyle name="Currency 4 3 2 3 2 3" xfId="52154"/>
    <cellStyle name="Currency 4 3 2 3 2 3 2" xfId="52155"/>
    <cellStyle name="Currency 4 3 2 3 2 3 3" xfId="52156"/>
    <cellStyle name="Currency 4 3 2 3 2 4" xfId="52157"/>
    <cellStyle name="Currency 4 3 2 3 2 4 2" xfId="52158"/>
    <cellStyle name="Currency 4 3 2 3 2 5" xfId="52159"/>
    <cellStyle name="Currency 4 3 2 3 2 6" xfId="52160"/>
    <cellStyle name="Currency 4 3 2 3 3" xfId="52161"/>
    <cellStyle name="Currency 4 3 2 3 3 2" xfId="52162"/>
    <cellStyle name="Currency 4 3 2 3 3 2 2" xfId="52163"/>
    <cellStyle name="Currency 4 3 2 3 3 2 3" xfId="52164"/>
    <cellStyle name="Currency 4 3 2 3 3 3" xfId="52165"/>
    <cellStyle name="Currency 4 3 2 3 3 3 2" xfId="52166"/>
    <cellStyle name="Currency 4 3 2 3 3 3 3" xfId="52167"/>
    <cellStyle name="Currency 4 3 2 3 3 4" xfId="52168"/>
    <cellStyle name="Currency 4 3 2 3 3 4 2" xfId="52169"/>
    <cellStyle name="Currency 4 3 2 3 3 5" xfId="52170"/>
    <cellStyle name="Currency 4 3 2 3 3 6" xfId="52171"/>
    <cellStyle name="Currency 4 3 2 3 4" xfId="52172"/>
    <cellStyle name="Currency 4 3 2 3 4 2" xfId="52173"/>
    <cellStyle name="Currency 4 3 2 3 4 2 2" xfId="52174"/>
    <cellStyle name="Currency 4 3 2 3 4 2 3" xfId="52175"/>
    <cellStyle name="Currency 4 3 2 3 4 3" xfId="52176"/>
    <cellStyle name="Currency 4 3 2 3 4 3 2" xfId="52177"/>
    <cellStyle name="Currency 4 3 2 3 4 4" xfId="52178"/>
    <cellStyle name="Currency 4 3 2 3 4 5" xfId="52179"/>
    <cellStyle name="Currency 4 3 2 3 5" xfId="52180"/>
    <cellStyle name="Currency 4 3 2 3 5 2" xfId="52181"/>
    <cellStyle name="Currency 4 3 2 3 5 3" xfId="52182"/>
    <cellStyle name="Currency 4 3 2 3 6" xfId="52183"/>
    <cellStyle name="Currency 4 3 2 3 6 2" xfId="52184"/>
    <cellStyle name="Currency 4 3 2 3 6 3" xfId="52185"/>
    <cellStyle name="Currency 4 3 2 3 7" xfId="52186"/>
    <cellStyle name="Currency 4 3 2 3 7 2" xfId="52187"/>
    <cellStyle name="Currency 4 3 2 3 8" xfId="52188"/>
    <cellStyle name="Currency 4 3 2 3 9" xfId="52189"/>
    <cellStyle name="Currency 4 3 2 4" xfId="52190"/>
    <cellStyle name="Currency 4 3 2 4 2" xfId="52191"/>
    <cellStyle name="Currency 4 3 2 4 2 2" xfId="52192"/>
    <cellStyle name="Currency 4 3 2 4 2 2 2" xfId="52193"/>
    <cellStyle name="Currency 4 3 2 4 2 2 3" xfId="52194"/>
    <cellStyle name="Currency 4 3 2 4 2 3" xfId="52195"/>
    <cellStyle name="Currency 4 3 2 4 2 3 2" xfId="52196"/>
    <cellStyle name="Currency 4 3 2 4 2 3 3" xfId="52197"/>
    <cellStyle name="Currency 4 3 2 4 2 4" xfId="52198"/>
    <cellStyle name="Currency 4 3 2 4 2 4 2" xfId="52199"/>
    <cellStyle name="Currency 4 3 2 4 2 5" xfId="52200"/>
    <cellStyle name="Currency 4 3 2 4 2 6" xfId="52201"/>
    <cellStyle name="Currency 4 3 2 4 3" xfId="52202"/>
    <cellStyle name="Currency 4 3 2 4 3 2" xfId="52203"/>
    <cellStyle name="Currency 4 3 2 4 3 2 2" xfId="52204"/>
    <cellStyle name="Currency 4 3 2 4 3 2 3" xfId="52205"/>
    <cellStyle name="Currency 4 3 2 4 3 3" xfId="52206"/>
    <cellStyle name="Currency 4 3 2 4 3 3 2" xfId="52207"/>
    <cellStyle name="Currency 4 3 2 4 3 3 3" xfId="52208"/>
    <cellStyle name="Currency 4 3 2 4 3 4" xfId="52209"/>
    <cellStyle name="Currency 4 3 2 4 3 4 2" xfId="52210"/>
    <cellStyle name="Currency 4 3 2 4 3 5" xfId="52211"/>
    <cellStyle name="Currency 4 3 2 4 3 6" xfId="52212"/>
    <cellStyle name="Currency 4 3 2 4 4" xfId="52213"/>
    <cellStyle name="Currency 4 3 2 4 4 2" xfId="52214"/>
    <cellStyle name="Currency 4 3 2 4 4 2 2" xfId="52215"/>
    <cellStyle name="Currency 4 3 2 4 4 2 3" xfId="52216"/>
    <cellStyle name="Currency 4 3 2 4 4 3" xfId="52217"/>
    <cellStyle name="Currency 4 3 2 4 4 3 2" xfId="52218"/>
    <cellStyle name="Currency 4 3 2 4 4 4" xfId="52219"/>
    <cellStyle name="Currency 4 3 2 4 4 5" xfId="52220"/>
    <cellStyle name="Currency 4 3 2 4 5" xfId="52221"/>
    <cellStyle name="Currency 4 3 2 4 5 2" xfId="52222"/>
    <cellStyle name="Currency 4 3 2 4 5 3" xfId="52223"/>
    <cellStyle name="Currency 4 3 2 4 6" xfId="52224"/>
    <cellStyle name="Currency 4 3 2 4 6 2" xfId="52225"/>
    <cellStyle name="Currency 4 3 2 4 6 3" xfId="52226"/>
    <cellStyle name="Currency 4 3 2 4 7" xfId="52227"/>
    <cellStyle name="Currency 4 3 2 4 7 2" xfId="52228"/>
    <cellStyle name="Currency 4 3 2 4 8" xfId="52229"/>
    <cellStyle name="Currency 4 3 2 4 9" xfId="52230"/>
    <cellStyle name="Currency 4 3 2 5" xfId="52231"/>
    <cellStyle name="Currency 4 3 2 5 2" xfId="52232"/>
    <cellStyle name="Currency 4 3 2 5 2 2" xfId="52233"/>
    <cellStyle name="Currency 4 3 2 5 2 3" xfId="52234"/>
    <cellStyle name="Currency 4 3 2 5 3" xfId="52235"/>
    <cellStyle name="Currency 4 3 2 5 3 2" xfId="52236"/>
    <cellStyle name="Currency 4 3 2 5 3 3" xfId="52237"/>
    <cellStyle name="Currency 4 3 2 5 4" xfId="52238"/>
    <cellStyle name="Currency 4 3 2 5 4 2" xfId="52239"/>
    <cellStyle name="Currency 4 3 2 5 5" xfId="52240"/>
    <cellStyle name="Currency 4 3 2 5 6" xfId="52241"/>
    <cellStyle name="Currency 4 3 2 6" xfId="52242"/>
    <cellStyle name="Currency 4 3 2 6 2" xfId="52243"/>
    <cellStyle name="Currency 4 3 2 6 2 2" xfId="52244"/>
    <cellStyle name="Currency 4 3 2 6 2 3" xfId="52245"/>
    <cellStyle name="Currency 4 3 2 6 3" xfId="52246"/>
    <cellStyle name="Currency 4 3 2 6 3 2" xfId="52247"/>
    <cellStyle name="Currency 4 3 2 6 3 3" xfId="52248"/>
    <cellStyle name="Currency 4 3 2 6 4" xfId="52249"/>
    <cellStyle name="Currency 4 3 2 6 4 2" xfId="52250"/>
    <cellStyle name="Currency 4 3 2 6 5" xfId="52251"/>
    <cellStyle name="Currency 4 3 2 6 6" xfId="52252"/>
    <cellStyle name="Currency 4 3 2 7" xfId="52253"/>
    <cellStyle name="Currency 4 3 2 7 2" xfId="52254"/>
    <cellStyle name="Currency 4 3 2 7 2 2" xfId="52255"/>
    <cellStyle name="Currency 4 3 2 7 2 3" xfId="52256"/>
    <cellStyle name="Currency 4 3 2 7 3" xfId="52257"/>
    <cellStyle name="Currency 4 3 2 7 3 2" xfId="52258"/>
    <cellStyle name="Currency 4 3 2 7 4" xfId="52259"/>
    <cellStyle name="Currency 4 3 2 7 5" xfId="52260"/>
    <cellStyle name="Currency 4 3 2 8" xfId="52261"/>
    <cellStyle name="Currency 4 3 2 8 2" xfId="52262"/>
    <cellStyle name="Currency 4 3 2 8 3" xfId="52263"/>
    <cellStyle name="Currency 4 3 2 9" xfId="52264"/>
    <cellStyle name="Currency 4 3 2 9 2" xfId="52265"/>
    <cellStyle name="Currency 4 3 2 9 3" xfId="52266"/>
    <cellStyle name="Currency 4 3 3" xfId="9168"/>
    <cellStyle name="Currency 4 3 3 10" xfId="52267"/>
    <cellStyle name="Currency 4 3 3 2" xfId="52268"/>
    <cellStyle name="Currency 4 3 3 2 2" xfId="52269"/>
    <cellStyle name="Currency 4 3 3 2 2 2" xfId="52270"/>
    <cellStyle name="Currency 4 3 3 2 2 2 2" xfId="52271"/>
    <cellStyle name="Currency 4 3 3 2 2 2 3" xfId="52272"/>
    <cellStyle name="Currency 4 3 3 2 2 3" xfId="52273"/>
    <cellStyle name="Currency 4 3 3 2 2 3 2" xfId="52274"/>
    <cellStyle name="Currency 4 3 3 2 2 3 3" xfId="52275"/>
    <cellStyle name="Currency 4 3 3 2 2 4" xfId="52276"/>
    <cellStyle name="Currency 4 3 3 2 2 4 2" xfId="52277"/>
    <cellStyle name="Currency 4 3 3 2 2 5" xfId="52278"/>
    <cellStyle name="Currency 4 3 3 2 2 6" xfId="52279"/>
    <cellStyle name="Currency 4 3 3 2 3" xfId="52280"/>
    <cellStyle name="Currency 4 3 3 2 3 2" xfId="52281"/>
    <cellStyle name="Currency 4 3 3 2 3 2 2" xfId="52282"/>
    <cellStyle name="Currency 4 3 3 2 3 2 3" xfId="52283"/>
    <cellStyle name="Currency 4 3 3 2 3 3" xfId="52284"/>
    <cellStyle name="Currency 4 3 3 2 3 3 2" xfId="52285"/>
    <cellStyle name="Currency 4 3 3 2 3 3 3" xfId="52286"/>
    <cellStyle name="Currency 4 3 3 2 3 4" xfId="52287"/>
    <cellStyle name="Currency 4 3 3 2 3 4 2" xfId="52288"/>
    <cellStyle name="Currency 4 3 3 2 3 5" xfId="52289"/>
    <cellStyle name="Currency 4 3 3 2 3 6" xfId="52290"/>
    <cellStyle name="Currency 4 3 3 2 4" xfId="52291"/>
    <cellStyle name="Currency 4 3 3 2 4 2" xfId="52292"/>
    <cellStyle name="Currency 4 3 3 2 4 2 2" xfId="52293"/>
    <cellStyle name="Currency 4 3 3 2 4 2 3" xfId="52294"/>
    <cellStyle name="Currency 4 3 3 2 4 3" xfId="52295"/>
    <cellStyle name="Currency 4 3 3 2 4 3 2" xfId="52296"/>
    <cellStyle name="Currency 4 3 3 2 4 4" xfId="52297"/>
    <cellStyle name="Currency 4 3 3 2 4 5" xfId="52298"/>
    <cellStyle name="Currency 4 3 3 2 5" xfId="52299"/>
    <cellStyle name="Currency 4 3 3 2 5 2" xfId="52300"/>
    <cellStyle name="Currency 4 3 3 2 5 3" xfId="52301"/>
    <cellStyle name="Currency 4 3 3 2 6" xfId="52302"/>
    <cellStyle name="Currency 4 3 3 2 6 2" xfId="52303"/>
    <cellStyle name="Currency 4 3 3 2 6 3" xfId="52304"/>
    <cellStyle name="Currency 4 3 3 2 7" xfId="52305"/>
    <cellStyle name="Currency 4 3 3 2 7 2" xfId="52306"/>
    <cellStyle name="Currency 4 3 3 2 8" xfId="52307"/>
    <cellStyle name="Currency 4 3 3 2 9" xfId="52308"/>
    <cellStyle name="Currency 4 3 3 3" xfId="52309"/>
    <cellStyle name="Currency 4 3 3 3 2" xfId="52310"/>
    <cellStyle name="Currency 4 3 3 3 2 2" xfId="52311"/>
    <cellStyle name="Currency 4 3 3 3 2 3" xfId="52312"/>
    <cellStyle name="Currency 4 3 3 3 3" xfId="52313"/>
    <cellStyle name="Currency 4 3 3 3 3 2" xfId="52314"/>
    <cellStyle name="Currency 4 3 3 3 3 3" xfId="52315"/>
    <cellStyle name="Currency 4 3 3 3 4" xfId="52316"/>
    <cellStyle name="Currency 4 3 3 3 4 2" xfId="52317"/>
    <cellStyle name="Currency 4 3 3 3 5" xfId="52318"/>
    <cellStyle name="Currency 4 3 3 3 6" xfId="52319"/>
    <cellStyle name="Currency 4 3 3 4" xfId="52320"/>
    <cellStyle name="Currency 4 3 3 4 2" xfId="52321"/>
    <cellStyle name="Currency 4 3 3 4 2 2" xfId="52322"/>
    <cellStyle name="Currency 4 3 3 4 2 3" xfId="52323"/>
    <cellStyle name="Currency 4 3 3 4 3" xfId="52324"/>
    <cellStyle name="Currency 4 3 3 4 3 2" xfId="52325"/>
    <cellStyle name="Currency 4 3 3 4 3 3" xfId="52326"/>
    <cellStyle name="Currency 4 3 3 4 4" xfId="52327"/>
    <cellStyle name="Currency 4 3 3 4 4 2" xfId="52328"/>
    <cellStyle name="Currency 4 3 3 4 5" xfId="52329"/>
    <cellStyle name="Currency 4 3 3 4 6" xfId="52330"/>
    <cellStyle name="Currency 4 3 3 5" xfId="52331"/>
    <cellStyle name="Currency 4 3 3 5 2" xfId="52332"/>
    <cellStyle name="Currency 4 3 3 5 2 2" xfId="52333"/>
    <cellStyle name="Currency 4 3 3 5 2 3" xfId="52334"/>
    <cellStyle name="Currency 4 3 3 5 3" xfId="52335"/>
    <cellStyle name="Currency 4 3 3 5 3 2" xfId="52336"/>
    <cellStyle name="Currency 4 3 3 5 4" xfId="52337"/>
    <cellStyle name="Currency 4 3 3 5 5" xfId="52338"/>
    <cellStyle name="Currency 4 3 3 6" xfId="52339"/>
    <cellStyle name="Currency 4 3 3 6 2" xfId="52340"/>
    <cellStyle name="Currency 4 3 3 6 3" xfId="52341"/>
    <cellStyle name="Currency 4 3 3 7" xfId="52342"/>
    <cellStyle name="Currency 4 3 3 7 2" xfId="52343"/>
    <cellStyle name="Currency 4 3 3 7 3" xfId="52344"/>
    <cellStyle name="Currency 4 3 3 8" xfId="52345"/>
    <cellStyle name="Currency 4 3 3 8 2" xfId="52346"/>
    <cellStyle name="Currency 4 3 3 9" xfId="52347"/>
    <cellStyle name="Currency 4 3 4" xfId="52348"/>
    <cellStyle name="Currency 4 3 4 2" xfId="52349"/>
    <cellStyle name="Currency 4 3 4 2 2" xfId="52350"/>
    <cellStyle name="Currency 4 3 4 2 2 2" xfId="52351"/>
    <cellStyle name="Currency 4 3 4 2 2 3" xfId="52352"/>
    <cellStyle name="Currency 4 3 4 2 3" xfId="52353"/>
    <cellStyle name="Currency 4 3 4 2 3 2" xfId="52354"/>
    <cellStyle name="Currency 4 3 4 2 3 3" xfId="52355"/>
    <cellStyle name="Currency 4 3 4 2 4" xfId="52356"/>
    <cellStyle name="Currency 4 3 4 2 4 2" xfId="52357"/>
    <cellStyle name="Currency 4 3 4 2 5" xfId="52358"/>
    <cellStyle name="Currency 4 3 4 2 6" xfId="52359"/>
    <cellStyle name="Currency 4 3 4 3" xfId="52360"/>
    <cellStyle name="Currency 4 3 4 3 2" xfId="52361"/>
    <cellStyle name="Currency 4 3 4 3 2 2" xfId="52362"/>
    <cellStyle name="Currency 4 3 4 3 2 3" xfId="52363"/>
    <cellStyle name="Currency 4 3 4 3 3" xfId="52364"/>
    <cellStyle name="Currency 4 3 4 3 3 2" xfId="52365"/>
    <cellStyle name="Currency 4 3 4 3 3 3" xfId="52366"/>
    <cellStyle name="Currency 4 3 4 3 4" xfId="52367"/>
    <cellStyle name="Currency 4 3 4 3 4 2" xfId="52368"/>
    <cellStyle name="Currency 4 3 4 3 5" xfId="52369"/>
    <cellStyle name="Currency 4 3 4 3 6" xfId="52370"/>
    <cellStyle name="Currency 4 3 4 4" xfId="52371"/>
    <cellStyle name="Currency 4 3 4 4 2" xfId="52372"/>
    <cellStyle name="Currency 4 3 4 4 2 2" xfId="52373"/>
    <cellStyle name="Currency 4 3 4 4 2 3" xfId="52374"/>
    <cellStyle name="Currency 4 3 4 4 3" xfId="52375"/>
    <cellStyle name="Currency 4 3 4 4 3 2" xfId="52376"/>
    <cellStyle name="Currency 4 3 4 4 4" xfId="52377"/>
    <cellStyle name="Currency 4 3 4 4 5" xfId="52378"/>
    <cellStyle name="Currency 4 3 4 5" xfId="52379"/>
    <cellStyle name="Currency 4 3 4 5 2" xfId="52380"/>
    <cellStyle name="Currency 4 3 4 5 3" xfId="52381"/>
    <cellStyle name="Currency 4 3 4 6" xfId="52382"/>
    <cellStyle name="Currency 4 3 4 6 2" xfId="52383"/>
    <cellStyle name="Currency 4 3 4 6 3" xfId="52384"/>
    <cellStyle name="Currency 4 3 4 7" xfId="52385"/>
    <cellStyle name="Currency 4 3 4 7 2" xfId="52386"/>
    <cellStyle name="Currency 4 3 4 8" xfId="52387"/>
    <cellStyle name="Currency 4 3 4 9" xfId="52388"/>
    <cellStyle name="Currency 4 3 5" xfId="52389"/>
    <cellStyle name="Currency 4 3 5 2" xfId="52390"/>
    <cellStyle name="Currency 4 3 5 2 2" xfId="52391"/>
    <cellStyle name="Currency 4 3 5 2 2 2" xfId="52392"/>
    <cellStyle name="Currency 4 3 5 2 2 3" xfId="52393"/>
    <cellStyle name="Currency 4 3 5 2 3" xfId="52394"/>
    <cellStyle name="Currency 4 3 5 2 3 2" xfId="52395"/>
    <cellStyle name="Currency 4 3 5 2 3 3" xfId="52396"/>
    <cellStyle name="Currency 4 3 5 2 4" xfId="52397"/>
    <cellStyle name="Currency 4 3 5 2 4 2" xfId="52398"/>
    <cellStyle name="Currency 4 3 5 2 5" xfId="52399"/>
    <cellStyle name="Currency 4 3 5 2 6" xfId="52400"/>
    <cellStyle name="Currency 4 3 5 3" xfId="52401"/>
    <cellStyle name="Currency 4 3 5 3 2" xfId="52402"/>
    <cellStyle name="Currency 4 3 5 3 2 2" xfId="52403"/>
    <cellStyle name="Currency 4 3 5 3 2 3" xfId="52404"/>
    <cellStyle name="Currency 4 3 5 3 3" xfId="52405"/>
    <cellStyle name="Currency 4 3 5 3 3 2" xfId="52406"/>
    <cellStyle name="Currency 4 3 5 3 3 3" xfId="52407"/>
    <cellStyle name="Currency 4 3 5 3 4" xfId="52408"/>
    <cellStyle name="Currency 4 3 5 3 4 2" xfId="52409"/>
    <cellStyle name="Currency 4 3 5 3 5" xfId="52410"/>
    <cellStyle name="Currency 4 3 5 3 6" xfId="52411"/>
    <cellStyle name="Currency 4 3 5 4" xfId="52412"/>
    <cellStyle name="Currency 4 3 5 4 2" xfId="52413"/>
    <cellStyle name="Currency 4 3 5 4 2 2" xfId="52414"/>
    <cellStyle name="Currency 4 3 5 4 2 3" xfId="52415"/>
    <cellStyle name="Currency 4 3 5 4 3" xfId="52416"/>
    <cellStyle name="Currency 4 3 5 4 3 2" xfId="52417"/>
    <cellStyle name="Currency 4 3 5 4 4" xfId="52418"/>
    <cellStyle name="Currency 4 3 5 4 5" xfId="52419"/>
    <cellStyle name="Currency 4 3 5 5" xfId="52420"/>
    <cellStyle name="Currency 4 3 5 5 2" xfId="52421"/>
    <cellStyle name="Currency 4 3 5 5 3" xfId="52422"/>
    <cellStyle name="Currency 4 3 5 6" xfId="52423"/>
    <cellStyle name="Currency 4 3 5 6 2" xfId="52424"/>
    <cellStyle name="Currency 4 3 5 6 3" xfId="52425"/>
    <cellStyle name="Currency 4 3 5 7" xfId="52426"/>
    <cellStyle name="Currency 4 3 5 7 2" xfId="52427"/>
    <cellStyle name="Currency 4 3 5 8" xfId="52428"/>
    <cellStyle name="Currency 4 3 5 9" xfId="52429"/>
    <cellStyle name="Currency 4 3 6" xfId="52430"/>
    <cellStyle name="Currency 4 3 6 2" xfId="52431"/>
    <cellStyle name="Currency 4 3 6 2 2" xfId="52432"/>
    <cellStyle name="Currency 4 3 6 2 3" xfId="52433"/>
    <cellStyle name="Currency 4 3 6 3" xfId="52434"/>
    <cellStyle name="Currency 4 3 6 3 2" xfId="52435"/>
    <cellStyle name="Currency 4 3 6 3 3" xfId="52436"/>
    <cellStyle name="Currency 4 3 6 4" xfId="52437"/>
    <cellStyle name="Currency 4 3 6 4 2" xfId="52438"/>
    <cellStyle name="Currency 4 3 6 5" xfId="52439"/>
    <cellStyle name="Currency 4 3 6 6" xfId="52440"/>
    <cellStyle name="Currency 4 3 7" xfId="52441"/>
    <cellStyle name="Currency 4 3 7 2" xfId="52442"/>
    <cellStyle name="Currency 4 3 7 2 2" xfId="52443"/>
    <cellStyle name="Currency 4 3 7 2 3" xfId="52444"/>
    <cellStyle name="Currency 4 3 7 3" xfId="52445"/>
    <cellStyle name="Currency 4 3 7 3 2" xfId="52446"/>
    <cellStyle name="Currency 4 3 7 3 3" xfId="52447"/>
    <cellStyle name="Currency 4 3 7 4" xfId="52448"/>
    <cellStyle name="Currency 4 3 7 4 2" xfId="52449"/>
    <cellStyle name="Currency 4 3 7 5" xfId="52450"/>
    <cellStyle name="Currency 4 3 7 6" xfId="52451"/>
    <cellStyle name="Currency 4 3 8" xfId="52452"/>
    <cellStyle name="Currency 4 3 8 2" xfId="52453"/>
    <cellStyle name="Currency 4 3 8 2 2" xfId="52454"/>
    <cellStyle name="Currency 4 3 8 2 3" xfId="52455"/>
    <cellStyle name="Currency 4 3 8 3" xfId="52456"/>
    <cellStyle name="Currency 4 3 8 3 2" xfId="52457"/>
    <cellStyle name="Currency 4 3 8 4" xfId="52458"/>
    <cellStyle name="Currency 4 3 8 5" xfId="52459"/>
    <cellStyle name="Currency 4 3 9" xfId="52460"/>
    <cellStyle name="Currency 4 3 9 2" xfId="52461"/>
    <cellStyle name="Currency 4 3 9 3" xfId="52462"/>
    <cellStyle name="Currency 4 4" xfId="3903"/>
    <cellStyle name="Currency 4 4 10" xfId="52463"/>
    <cellStyle name="Currency 4 4 10 2" xfId="52464"/>
    <cellStyle name="Currency 4 4 11" xfId="52465"/>
    <cellStyle name="Currency 4 4 12" xfId="52466"/>
    <cellStyle name="Currency 4 4 2" xfId="9169"/>
    <cellStyle name="Currency 4 4 2 10" xfId="52467"/>
    <cellStyle name="Currency 4 4 2 2" xfId="52468"/>
    <cellStyle name="Currency 4 4 2 2 2" xfId="52469"/>
    <cellStyle name="Currency 4 4 2 2 2 2" xfId="52470"/>
    <cellStyle name="Currency 4 4 2 2 2 2 2" xfId="52471"/>
    <cellStyle name="Currency 4 4 2 2 2 2 3" xfId="52472"/>
    <cellStyle name="Currency 4 4 2 2 2 3" xfId="52473"/>
    <cellStyle name="Currency 4 4 2 2 2 3 2" xfId="52474"/>
    <cellStyle name="Currency 4 4 2 2 2 3 3" xfId="52475"/>
    <cellStyle name="Currency 4 4 2 2 2 4" xfId="52476"/>
    <cellStyle name="Currency 4 4 2 2 2 4 2" xfId="52477"/>
    <cellStyle name="Currency 4 4 2 2 2 5" xfId="52478"/>
    <cellStyle name="Currency 4 4 2 2 2 6" xfId="52479"/>
    <cellStyle name="Currency 4 4 2 2 3" xfId="52480"/>
    <cellStyle name="Currency 4 4 2 2 3 2" xfId="52481"/>
    <cellStyle name="Currency 4 4 2 2 3 2 2" xfId="52482"/>
    <cellStyle name="Currency 4 4 2 2 3 2 3" xfId="52483"/>
    <cellStyle name="Currency 4 4 2 2 3 3" xfId="52484"/>
    <cellStyle name="Currency 4 4 2 2 3 3 2" xfId="52485"/>
    <cellStyle name="Currency 4 4 2 2 3 3 3" xfId="52486"/>
    <cellStyle name="Currency 4 4 2 2 3 4" xfId="52487"/>
    <cellStyle name="Currency 4 4 2 2 3 4 2" xfId="52488"/>
    <cellStyle name="Currency 4 4 2 2 3 5" xfId="52489"/>
    <cellStyle name="Currency 4 4 2 2 3 6" xfId="52490"/>
    <cellStyle name="Currency 4 4 2 2 4" xfId="52491"/>
    <cellStyle name="Currency 4 4 2 2 4 2" xfId="52492"/>
    <cellStyle name="Currency 4 4 2 2 4 2 2" xfId="52493"/>
    <cellStyle name="Currency 4 4 2 2 4 2 3" xfId="52494"/>
    <cellStyle name="Currency 4 4 2 2 4 3" xfId="52495"/>
    <cellStyle name="Currency 4 4 2 2 4 3 2" xfId="52496"/>
    <cellStyle name="Currency 4 4 2 2 4 4" xfId="52497"/>
    <cellStyle name="Currency 4 4 2 2 4 5" xfId="52498"/>
    <cellStyle name="Currency 4 4 2 2 5" xfId="52499"/>
    <cellStyle name="Currency 4 4 2 2 5 2" xfId="52500"/>
    <cellStyle name="Currency 4 4 2 2 5 3" xfId="52501"/>
    <cellStyle name="Currency 4 4 2 2 6" xfId="52502"/>
    <cellStyle name="Currency 4 4 2 2 6 2" xfId="52503"/>
    <cellStyle name="Currency 4 4 2 2 6 3" xfId="52504"/>
    <cellStyle name="Currency 4 4 2 2 7" xfId="52505"/>
    <cellStyle name="Currency 4 4 2 2 7 2" xfId="52506"/>
    <cellStyle name="Currency 4 4 2 2 8" xfId="52507"/>
    <cellStyle name="Currency 4 4 2 2 9" xfId="52508"/>
    <cellStyle name="Currency 4 4 2 3" xfId="52509"/>
    <cellStyle name="Currency 4 4 2 3 2" xfId="52510"/>
    <cellStyle name="Currency 4 4 2 3 2 2" xfId="52511"/>
    <cellStyle name="Currency 4 4 2 3 2 3" xfId="52512"/>
    <cellStyle name="Currency 4 4 2 3 3" xfId="52513"/>
    <cellStyle name="Currency 4 4 2 3 3 2" xfId="52514"/>
    <cellStyle name="Currency 4 4 2 3 3 3" xfId="52515"/>
    <cellStyle name="Currency 4 4 2 3 4" xfId="52516"/>
    <cellStyle name="Currency 4 4 2 3 4 2" xfId="52517"/>
    <cellStyle name="Currency 4 4 2 3 5" xfId="52518"/>
    <cellStyle name="Currency 4 4 2 3 6" xfId="52519"/>
    <cellStyle name="Currency 4 4 2 4" xfId="52520"/>
    <cellStyle name="Currency 4 4 2 4 2" xfId="52521"/>
    <cellStyle name="Currency 4 4 2 4 2 2" xfId="52522"/>
    <cellStyle name="Currency 4 4 2 4 2 3" xfId="52523"/>
    <cellStyle name="Currency 4 4 2 4 3" xfId="52524"/>
    <cellStyle name="Currency 4 4 2 4 3 2" xfId="52525"/>
    <cellStyle name="Currency 4 4 2 4 3 3" xfId="52526"/>
    <cellStyle name="Currency 4 4 2 4 4" xfId="52527"/>
    <cellStyle name="Currency 4 4 2 4 4 2" xfId="52528"/>
    <cellStyle name="Currency 4 4 2 4 5" xfId="52529"/>
    <cellStyle name="Currency 4 4 2 4 6" xfId="52530"/>
    <cellStyle name="Currency 4 4 2 5" xfId="52531"/>
    <cellStyle name="Currency 4 4 2 5 2" xfId="52532"/>
    <cellStyle name="Currency 4 4 2 5 2 2" xfId="52533"/>
    <cellStyle name="Currency 4 4 2 5 2 3" xfId="52534"/>
    <cellStyle name="Currency 4 4 2 5 3" xfId="52535"/>
    <cellStyle name="Currency 4 4 2 5 3 2" xfId="52536"/>
    <cellStyle name="Currency 4 4 2 5 4" xfId="52537"/>
    <cellStyle name="Currency 4 4 2 5 5" xfId="52538"/>
    <cellStyle name="Currency 4 4 2 6" xfId="52539"/>
    <cellStyle name="Currency 4 4 2 6 2" xfId="52540"/>
    <cellStyle name="Currency 4 4 2 6 3" xfId="52541"/>
    <cellStyle name="Currency 4 4 2 7" xfId="52542"/>
    <cellStyle name="Currency 4 4 2 7 2" xfId="52543"/>
    <cellStyle name="Currency 4 4 2 7 3" xfId="52544"/>
    <cellStyle name="Currency 4 4 2 8" xfId="52545"/>
    <cellStyle name="Currency 4 4 2 8 2" xfId="52546"/>
    <cellStyle name="Currency 4 4 2 9" xfId="52547"/>
    <cellStyle name="Currency 4 4 3" xfId="52548"/>
    <cellStyle name="Currency 4 4 3 2" xfId="52549"/>
    <cellStyle name="Currency 4 4 3 2 2" xfId="52550"/>
    <cellStyle name="Currency 4 4 3 2 2 2" xfId="52551"/>
    <cellStyle name="Currency 4 4 3 2 2 3" xfId="52552"/>
    <cellStyle name="Currency 4 4 3 2 3" xfId="52553"/>
    <cellStyle name="Currency 4 4 3 2 3 2" xfId="52554"/>
    <cellStyle name="Currency 4 4 3 2 3 3" xfId="52555"/>
    <cellStyle name="Currency 4 4 3 2 4" xfId="52556"/>
    <cellStyle name="Currency 4 4 3 2 4 2" xfId="52557"/>
    <cellStyle name="Currency 4 4 3 2 5" xfId="52558"/>
    <cellStyle name="Currency 4 4 3 2 6" xfId="52559"/>
    <cellStyle name="Currency 4 4 3 3" xfId="52560"/>
    <cellStyle name="Currency 4 4 3 3 2" xfId="52561"/>
    <cellStyle name="Currency 4 4 3 3 2 2" xfId="52562"/>
    <cellStyle name="Currency 4 4 3 3 2 3" xfId="52563"/>
    <cellStyle name="Currency 4 4 3 3 3" xfId="52564"/>
    <cellStyle name="Currency 4 4 3 3 3 2" xfId="52565"/>
    <cellStyle name="Currency 4 4 3 3 3 3" xfId="52566"/>
    <cellStyle name="Currency 4 4 3 3 4" xfId="52567"/>
    <cellStyle name="Currency 4 4 3 3 4 2" xfId="52568"/>
    <cellStyle name="Currency 4 4 3 3 5" xfId="52569"/>
    <cellStyle name="Currency 4 4 3 3 6" xfId="52570"/>
    <cellStyle name="Currency 4 4 3 4" xfId="52571"/>
    <cellStyle name="Currency 4 4 3 4 2" xfId="52572"/>
    <cellStyle name="Currency 4 4 3 4 2 2" xfId="52573"/>
    <cellStyle name="Currency 4 4 3 4 2 3" xfId="52574"/>
    <cellStyle name="Currency 4 4 3 4 3" xfId="52575"/>
    <cellStyle name="Currency 4 4 3 4 3 2" xfId="52576"/>
    <cellStyle name="Currency 4 4 3 4 4" xfId="52577"/>
    <cellStyle name="Currency 4 4 3 4 5" xfId="52578"/>
    <cellStyle name="Currency 4 4 3 5" xfId="52579"/>
    <cellStyle name="Currency 4 4 3 5 2" xfId="52580"/>
    <cellStyle name="Currency 4 4 3 5 3" xfId="52581"/>
    <cellStyle name="Currency 4 4 3 6" xfId="52582"/>
    <cellStyle name="Currency 4 4 3 6 2" xfId="52583"/>
    <cellStyle name="Currency 4 4 3 6 3" xfId="52584"/>
    <cellStyle name="Currency 4 4 3 7" xfId="52585"/>
    <cellStyle name="Currency 4 4 3 7 2" xfId="52586"/>
    <cellStyle name="Currency 4 4 3 8" xfId="52587"/>
    <cellStyle name="Currency 4 4 3 9" xfId="52588"/>
    <cellStyle name="Currency 4 4 4" xfId="52589"/>
    <cellStyle name="Currency 4 4 4 2" xfId="52590"/>
    <cellStyle name="Currency 4 4 4 2 2" xfId="52591"/>
    <cellStyle name="Currency 4 4 4 2 2 2" xfId="52592"/>
    <cellStyle name="Currency 4 4 4 2 2 3" xfId="52593"/>
    <cellStyle name="Currency 4 4 4 2 3" xfId="52594"/>
    <cellStyle name="Currency 4 4 4 2 3 2" xfId="52595"/>
    <cellStyle name="Currency 4 4 4 2 3 3" xfId="52596"/>
    <cellStyle name="Currency 4 4 4 2 4" xfId="52597"/>
    <cellStyle name="Currency 4 4 4 2 4 2" xfId="52598"/>
    <cellStyle name="Currency 4 4 4 2 5" xfId="52599"/>
    <cellStyle name="Currency 4 4 4 2 6" xfId="52600"/>
    <cellStyle name="Currency 4 4 4 3" xfId="52601"/>
    <cellStyle name="Currency 4 4 4 3 2" xfId="52602"/>
    <cellStyle name="Currency 4 4 4 3 2 2" xfId="52603"/>
    <cellStyle name="Currency 4 4 4 3 2 3" xfId="52604"/>
    <cellStyle name="Currency 4 4 4 3 3" xfId="52605"/>
    <cellStyle name="Currency 4 4 4 3 3 2" xfId="52606"/>
    <cellStyle name="Currency 4 4 4 3 3 3" xfId="52607"/>
    <cellStyle name="Currency 4 4 4 3 4" xfId="52608"/>
    <cellStyle name="Currency 4 4 4 3 4 2" xfId="52609"/>
    <cellStyle name="Currency 4 4 4 3 5" xfId="52610"/>
    <cellStyle name="Currency 4 4 4 3 6" xfId="52611"/>
    <cellStyle name="Currency 4 4 4 4" xfId="52612"/>
    <cellStyle name="Currency 4 4 4 4 2" xfId="52613"/>
    <cellStyle name="Currency 4 4 4 4 2 2" xfId="52614"/>
    <cellStyle name="Currency 4 4 4 4 2 3" xfId="52615"/>
    <cellStyle name="Currency 4 4 4 4 3" xfId="52616"/>
    <cellStyle name="Currency 4 4 4 4 3 2" xfId="52617"/>
    <cellStyle name="Currency 4 4 4 4 4" xfId="52618"/>
    <cellStyle name="Currency 4 4 4 4 5" xfId="52619"/>
    <cellStyle name="Currency 4 4 4 5" xfId="52620"/>
    <cellStyle name="Currency 4 4 4 5 2" xfId="52621"/>
    <cellStyle name="Currency 4 4 4 5 3" xfId="52622"/>
    <cellStyle name="Currency 4 4 4 6" xfId="52623"/>
    <cellStyle name="Currency 4 4 4 6 2" xfId="52624"/>
    <cellStyle name="Currency 4 4 4 6 3" xfId="52625"/>
    <cellStyle name="Currency 4 4 4 7" xfId="52626"/>
    <cellStyle name="Currency 4 4 4 7 2" xfId="52627"/>
    <cellStyle name="Currency 4 4 4 8" xfId="52628"/>
    <cellStyle name="Currency 4 4 4 9" xfId="52629"/>
    <cellStyle name="Currency 4 4 5" xfId="52630"/>
    <cellStyle name="Currency 4 4 5 2" xfId="52631"/>
    <cellStyle name="Currency 4 4 5 2 2" xfId="52632"/>
    <cellStyle name="Currency 4 4 5 2 3" xfId="52633"/>
    <cellStyle name="Currency 4 4 5 3" xfId="52634"/>
    <cellStyle name="Currency 4 4 5 3 2" xfId="52635"/>
    <cellStyle name="Currency 4 4 5 3 3" xfId="52636"/>
    <cellStyle name="Currency 4 4 5 4" xfId="52637"/>
    <cellStyle name="Currency 4 4 5 4 2" xfId="52638"/>
    <cellStyle name="Currency 4 4 5 5" xfId="52639"/>
    <cellStyle name="Currency 4 4 5 6" xfId="52640"/>
    <cellStyle name="Currency 4 4 6" xfId="52641"/>
    <cellStyle name="Currency 4 4 6 2" xfId="52642"/>
    <cellStyle name="Currency 4 4 6 2 2" xfId="52643"/>
    <cellStyle name="Currency 4 4 6 2 3" xfId="52644"/>
    <cellStyle name="Currency 4 4 6 3" xfId="52645"/>
    <cellStyle name="Currency 4 4 6 3 2" xfId="52646"/>
    <cellStyle name="Currency 4 4 6 3 3" xfId="52647"/>
    <cellStyle name="Currency 4 4 6 4" xfId="52648"/>
    <cellStyle name="Currency 4 4 6 4 2" xfId="52649"/>
    <cellStyle name="Currency 4 4 6 5" xfId="52650"/>
    <cellStyle name="Currency 4 4 6 6" xfId="52651"/>
    <cellStyle name="Currency 4 4 7" xfId="52652"/>
    <cellStyle name="Currency 4 4 7 2" xfId="52653"/>
    <cellStyle name="Currency 4 4 7 2 2" xfId="52654"/>
    <cellStyle name="Currency 4 4 7 2 3" xfId="52655"/>
    <cellStyle name="Currency 4 4 7 3" xfId="52656"/>
    <cellStyle name="Currency 4 4 7 3 2" xfId="52657"/>
    <cellStyle name="Currency 4 4 7 4" xfId="52658"/>
    <cellStyle name="Currency 4 4 7 5" xfId="52659"/>
    <cellStyle name="Currency 4 4 8" xfId="52660"/>
    <cellStyle name="Currency 4 4 8 2" xfId="52661"/>
    <cellStyle name="Currency 4 4 8 3" xfId="52662"/>
    <cellStyle name="Currency 4 4 9" xfId="52663"/>
    <cellStyle name="Currency 4 4 9 2" xfId="52664"/>
    <cellStyle name="Currency 4 4 9 3" xfId="52665"/>
    <cellStyle name="Currency 4 5" xfId="3904"/>
    <cellStyle name="Currency 4 5 10" xfId="52666"/>
    <cellStyle name="Currency 4 5 2" xfId="52667"/>
    <cellStyle name="Currency 4 5 2 2" xfId="52668"/>
    <cellStyle name="Currency 4 5 2 2 2" xfId="52669"/>
    <cellStyle name="Currency 4 5 2 2 2 2" xfId="52670"/>
    <cellStyle name="Currency 4 5 2 2 2 3" xfId="52671"/>
    <cellStyle name="Currency 4 5 2 2 3" xfId="52672"/>
    <cellStyle name="Currency 4 5 2 2 3 2" xfId="52673"/>
    <cellStyle name="Currency 4 5 2 2 3 3" xfId="52674"/>
    <cellStyle name="Currency 4 5 2 2 4" xfId="52675"/>
    <cellStyle name="Currency 4 5 2 2 4 2" xfId="52676"/>
    <cellStyle name="Currency 4 5 2 2 5" xfId="52677"/>
    <cellStyle name="Currency 4 5 2 2 6" xfId="52678"/>
    <cellStyle name="Currency 4 5 2 3" xfId="52679"/>
    <cellStyle name="Currency 4 5 2 3 2" xfId="52680"/>
    <cellStyle name="Currency 4 5 2 3 2 2" xfId="52681"/>
    <cellStyle name="Currency 4 5 2 3 2 3" xfId="52682"/>
    <cellStyle name="Currency 4 5 2 3 3" xfId="52683"/>
    <cellStyle name="Currency 4 5 2 3 3 2" xfId="52684"/>
    <cellStyle name="Currency 4 5 2 3 3 3" xfId="52685"/>
    <cellStyle name="Currency 4 5 2 3 4" xfId="52686"/>
    <cellStyle name="Currency 4 5 2 3 4 2" xfId="52687"/>
    <cellStyle name="Currency 4 5 2 3 5" xfId="52688"/>
    <cellStyle name="Currency 4 5 2 3 6" xfId="52689"/>
    <cellStyle name="Currency 4 5 2 4" xfId="52690"/>
    <cellStyle name="Currency 4 5 2 4 2" xfId="52691"/>
    <cellStyle name="Currency 4 5 2 4 2 2" xfId="52692"/>
    <cellStyle name="Currency 4 5 2 4 2 3" xfId="52693"/>
    <cellStyle name="Currency 4 5 2 4 3" xfId="52694"/>
    <cellStyle name="Currency 4 5 2 4 3 2" xfId="52695"/>
    <cellStyle name="Currency 4 5 2 4 4" xfId="52696"/>
    <cellStyle name="Currency 4 5 2 4 5" xfId="52697"/>
    <cellStyle name="Currency 4 5 2 5" xfId="52698"/>
    <cellStyle name="Currency 4 5 2 5 2" xfId="52699"/>
    <cellStyle name="Currency 4 5 2 5 3" xfId="52700"/>
    <cellStyle name="Currency 4 5 2 6" xfId="52701"/>
    <cellStyle name="Currency 4 5 2 6 2" xfId="52702"/>
    <cellStyle name="Currency 4 5 2 6 3" xfId="52703"/>
    <cellStyle name="Currency 4 5 2 7" xfId="52704"/>
    <cellStyle name="Currency 4 5 2 7 2" xfId="52705"/>
    <cellStyle name="Currency 4 5 2 8" xfId="52706"/>
    <cellStyle name="Currency 4 5 2 9" xfId="52707"/>
    <cellStyle name="Currency 4 5 3" xfId="52708"/>
    <cellStyle name="Currency 4 5 3 2" xfId="52709"/>
    <cellStyle name="Currency 4 5 3 2 2" xfId="52710"/>
    <cellStyle name="Currency 4 5 3 2 3" xfId="52711"/>
    <cellStyle name="Currency 4 5 3 3" xfId="52712"/>
    <cellStyle name="Currency 4 5 3 3 2" xfId="52713"/>
    <cellStyle name="Currency 4 5 3 3 3" xfId="52714"/>
    <cellStyle name="Currency 4 5 3 4" xfId="52715"/>
    <cellStyle name="Currency 4 5 3 4 2" xfId="52716"/>
    <cellStyle name="Currency 4 5 3 5" xfId="52717"/>
    <cellStyle name="Currency 4 5 3 6" xfId="52718"/>
    <cellStyle name="Currency 4 5 4" xfId="52719"/>
    <cellStyle name="Currency 4 5 4 2" xfId="52720"/>
    <cellStyle name="Currency 4 5 4 2 2" xfId="52721"/>
    <cellStyle name="Currency 4 5 4 2 3" xfId="52722"/>
    <cellStyle name="Currency 4 5 4 3" xfId="52723"/>
    <cellStyle name="Currency 4 5 4 3 2" xfId="52724"/>
    <cellStyle name="Currency 4 5 4 3 3" xfId="52725"/>
    <cellStyle name="Currency 4 5 4 4" xfId="52726"/>
    <cellStyle name="Currency 4 5 4 4 2" xfId="52727"/>
    <cellStyle name="Currency 4 5 4 5" xfId="52728"/>
    <cellStyle name="Currency 4 5 4 6" xfId="52729"/>
    <cellStyle name="Currency 4 5 5" xfId="52730"/>
    <cellStyle name="Currency 4 5 5 2" xfId="52731"/>
    <cellStyle name="Currency 4 5 5 2 2" xfId="52732"/>
    <cellStyle name="Currency 4 5 5 2 3" xfId="52733"/>
    <cellStyle name="Currency 4 5 5 3" xfId="52734"/>
    <cellStyle name="Currency 4 5 5 3 2" xfId="52735"/>
    <cellStyle name="Currency 4 5 5 4" xfId="52736"/>
    <cellStyle name="Currency 4 5 5 5" xfId="52737"/>
    <cellStyle name="Currency 4 5 6" xfId="52738"/>
    <cellStyle name="Currency 4 5 6 2" xfId="52739"/>
    <cellStyle name="Currency 4 5 6 3" xfId="52740"/>
    <cellStyle name="Currency 4 5 7" xfId="52741"/>
    <cellStyle name="Currency 4 5 7 2" xfId="52742"/>
    <cellStyle name="Currency 4 5 7 3" xfId="52743"/>
    <cellStyle name="Currency 4 5 8" xfId="52744"/>
    <cellStyle name="Currency 4 5 8 2" xfId="52745"/>
    <cellStyle name="Currency 4 5 9" xfId="52746"/>
    <cellStyle name="Currency 4 6" xfId="9170"/>
    <cellStyle name="Currency 4 6 2" xfId="52747"/>
    <cellStyle name="Currency 4 6 2 2" xfId="52748"/>
    <cellStyle name="Currency 4 6 2 2 2" xfId="52749"/>
    <cellStyle name="Currency 4 6 2 2 3" xfId="52750"/>
    <cellStyle name="Currency 4 6 2 3" xfId="52751"/>
    <cellStyle name="Currency 4 6 2 3 2" xfId="52752"/>
    <cellStyle name="Currency 4 6 2 3 3" xfId="52753"/>
    <cellStyle name="Currency 4 6 2 4" xfId="52754"/>
    <cellStyle name="Currency 4 6 2 4 2" xfId="52755"/>
    <cellStyle name="Currency 4 6 2 5" xfId="52756"/>
    <cellStyle name="Currency 4 6 2 6" xfId="52757"/>
    <cellStyle name="Currency 4 6 3" xfId="52758"/>
    <cellStyle name="Currency 4 6 3 2" xfId="52759"/>
    <cellStyle name="Currency 4 6 3 2 2" xfId="52760"/>
    <cellStyle name="Currency 4 6 3 2 3" xfId="52761"/>
    <cellStyle name="Currency 4 6 3 3" xfId="52762"/>
    <cellStyle name="Currency 4 6 3 3 2" xfId="52763"/>
    <cellStyle name="Currency 4 6 3 3 3" xfId="52764"/>
    <cellStyle name="Currency 4 6 3 4" xfId="52765"/>
    <cellStyle name="Currency 4 6 3 4 2" xfId="52766"/>
    <cellStyle name="Currency 4 6 3 5" xfId="52767"/>
    <cellStyle name="Currency 4 6 3 6" xfId="52768"/>
    <cellStyle name="Currency 4 6 4" xfId="52769"/>
    <cellStyle name="Currency 4 6 4 2" xfId="52770"/>
    <cellStyle name="Currency 4 6 4 2 2" xfId="52771"/>
    <cellStyle name="Currency 4 6 4 2 3" xfId="52772"/>
    <cellStyle name="Currency 4 6 4 3" xfId="52773"/>
    <cellStyle name="Currency 4 6 4 3 2" xfId="52774"/>
    <cellStyle name="Currency 4 6 4 4" xfId="52775"/>
    <cellStyle name="Currency 4 6 4 5" xfId="52776"/>
    <cellStyle name="Currency 4 6 5" xfId="52777"/>
    <cellStyle name="Currency 4 6 5 2" xfId="52778"/>
    <cellStyle name="Currency 4 6 5 3" xfId="52779"/>
    <cellStyle name="Currency 4 6 6" xfId="52780"/>
    <cellStyle name="Currency 4 6 6 2" xfId="52781"/>
    <cellStyle name="Currency 4 6 6 3" xfId="52782"/>
    <cellStyle name="Currency 4 6 7" xfId="52783"/>
    <cellStyle name="Currency 4 6 7 2" xfId="52784"/>
    <cellStyle name="Currency 4 6 8" xfId="52785"/>
    <cellStyle name="Currency 4 6 9" xfId="52786"/>
    <cellStyle name="Currency 4 7" xfId="52787"/>
    <cellStyle name="Currency 4 7 2" xfId="52788"/>
    <cellStyle name="Currency 4 7 2 2" xfId="52789"/>
    <cellStyle name="Currency 4 7 2 2 2" xfId="52790"/>
    <cellStyle name="Currency 4 7 2 2 3" xfId="52791"/>
    <cellStyle name="Currency 4 7 2 3" xfId="52792"/>
    <cellStyle name="Currency 4 7 2 3 2" xfId="52793"/>
    <cellStyle name="Currency 4 7 2 3 3" xfId="52794"/>
    <cellStyle name="Currency 4 7 2 4" xfId="52795"/>
    <cellStyle name="Currency 4 7 2 4 2" xfId="52796"/>
    <cellStyle name="Currency 4 7 2 5" xfId="52797"/>
    <cellStyle name="Currency 4 7 2 6" xfId="52798"/>
    <cellStyle name="Currency 4 7 3" xfId="52799"/>
    <cellStyle name="Currency 4 7 3 2" xfId="52800"/>
    <cellStyle name="Currency 4 7 3 2 2" xfId="52801"/>
    <cellStyle name="Currency 4 7 3 2 3" xfId="52802"/>
    <cellStyle name="Currency 4 7 3 3" xfId="52803"/>
    <cellStyle name="Currency 4 7 3 3 2" xfId="52804"/>
    <cellStyle name="Currency 4 7 3 3 3" xfId="52805"/>
    <cellStyle name="Currency 4 7 3 4" xfId="52806"/>
    <cellStyle name="Currency 4 7 3 4 2" xfId="52807"/>
    <cellStyle name="Currency 4 7 3 5" xfId="52808"/>
    <cellStyle name="Currency 4 7 3 6" xfId="52809"/>
    <cellStyle name="Currency 4 7 4" xfId="52810"/>
    <cellStyle name="Currency 4 7 4 2" xfId="52811"/>
    <cellStyle name="Currency 4 7 4 2 2" xfId="52812"/>
    <cellStyle name="Currency 4 7 4 2 3" xfId="52813"/>
    <cellStyle name="Currency 4 7 4 3" xfId="52814"/>
    <cellStyle name="Currency 4 7 4 3 2" xfId="52815"/>
    <cellStyle name="Currency 4 7 4 4" xfId="52816"/>
    <cellStyle name="Currency 4 7 4 5" xfId="52817"/>
    <cellStyle name="Currency 4 7 5" xfId="52818"/>
    <cellStyle name="Currency 4 7 5 2" xfId="52819"/>
    <cellStyle name="Currency 4 7 5 3" xfId="52820"/>
    <cellStyle name="Currency 4 7 6" xfId="52821"/>
    <cellStyle name="Currency 4 7 6 2" xfId="52822"/>
    <cellStyle name="Currency 4 7 6 3" xfId="52823"/>
    <cellStyle name="Currency 4 7 7" xfId="52824"/>
    <cellStyle name="Currency 4 7 7 2" xfId="52825"/>
    <cellStyle name="Currency 4 7 8" xfId="52826"/>
    <cellStyle name="Currency 4 7 9" xfId="52827"/>
    <cellStyle name="Currency 4 8" xfId="52828"/>
    <cellStyle name="Currency 4 8 2" xfId="52829"/>
    <cellStyle name="Currency 4 8 2 2" xfId="52830"/>
    <cellStyle name="Currency 4 8 2 3" xfId="52831"/>
    <cellStyle name="Currency 4 8 3" xfId="52832"/>
    <cellStyle name="Currency 4 8 3 2" xfId="52833"/>
    <cellStyle name="Currency 4 8 3 3" xfId="52834"/>
    <cellStyle name="Currency 4 8 4" xfId="52835"/>
    <cellStyle name="Currency 4 8 4 2" xfId="52836"/>
    <cellStyle name="Currency 4 8 5" xfId="52837"/>
    <cellStyle name="Currency 4 8 6" xfId="52838"/>
    <cellStyle name="Currency 4 9" xfId="52839"/>
    <cellStyle name="Currency 4 9 2" xfId="52840"/>
    <cellStyle name="Currency 4 9 2 2" xfId="52841"/>
    <cellStyle name="Currency 4 9 2 3" xfId="52842"/>
    <cellStyle name="Currency 4 9 3" xfId="52843"/>
    <cellStyle name="Currency 4 9 3 2" xfId="52844"/>
    <cellStyle name="Currency 4 9 3 3" xfId="52845"/>
    <cellStyle name="Currency 4 9 4" xfId="52846"/>
    <cellStyle name="Currency 4 9 4 2" xfId="52847"/>
    <cellStyle name="Currency 4 9 5" xfId="52848"/>
    <cellStyle name="Currency 4 9 6" xfId="52849"/>
    <cellStyle name="Currency 40" xfId="3905"/>
    <cellStyle name="Currency 41" xfId="3906"/>
    <cellStyle name="Currency 42" xfId="3907"/>
    <cellStyle name="Currency 43" xfId="3908"/>
    <cellStyle name="Currency 44" xfId="3909"/>
    <cellStyle name="Currency 45" xfId="3910"/>
    <cellStyle name="Currency 46" xfId="3911"/>
    <cellStyle name="Currency 47" xfId="3912"/>
    <cellStyle name="Currency 48" xfId="3913"/>
    <cellStyle name="Currency 49" xfId="3914"/>
    <cellStyle name="Currency 5" xfId="3915"/>
    <cellStyle name="Currency 5 2" xfId="3916"/>
    <cellStyle name="Currency 5 2 2" xfId="9171"/>
    <cellStyle name="Currency 5 2 2 2" xfId="9172"/>
    <cellStyle name="Currency 5 2 2 3" xfId="59082"/>
    <cellStyle name="Currency 5 2 2 4" xfId="59083"/>
    <cellStyle name="Currency 5 2 3" xfId="9173"/>
    <cellStyle name="Currency 5 2 3 2" xfId="59084"/>
    <cellStyle name="Currency 5 2 4" xfId="9174"/>
    <cellStyle name="Currency 5 2 5" xfId="59085"/>
    <cellStyle name="Currency 5 2 6" xfId="59086"/>
    <cellStyle name="Currency 5 2 7" xfId="59087"/>
    <cellStyle name="Currency 5 3" xfId="3917"/>
    <cellStyle name="Currency 5 3 2" xfId="9175"/>
    <cellStyle name="Currency 5 3 3" xfId="9176"/>
    <cellStyle name="Currency 5 3 4" xfId="59088"/>
    <cellStyle name="Currency 5 4" xfId="9177"/>
    <cellStyle name="Currency 5 4 2" xfId="52850"/>
    <cellStyle name="Currency 5 5" xfId="9178"/>
    <cellStyle name="Currency 5 6" xfId="52851"/>
    <cellStyle name="Currency 5 7" xfId="59089"/>
    <cellStyle name="Currency 5 8" xfId="59090"/>
    <cellStyle name="Currency 50" xfId="3918"/>
    <cellStyle name="Currency 51" xfId="3919"/>
    <cellStyle name="Currency 52" xfId="3920"/>
    <cellStyle name="Currency 53" xfId="3921"/>
    <cellStyle name="Currency 54" xfId="3922"/>
    <cellStyle name="Currency 55" xfId="3923"/>
    <cellStyle name="Currency 56" xfId="3924"/>
    <cellStyle name="Currency 56 2" xfId="3925"/>
    <cellStyle name="Currency 57" xfId="3926"/>
    <cellStyle name="Currency 57 2" xfId="3927"/>
    <cellStyle name="Currency 58" xfId="3928"/>
    <cellStyle name="Currency 59" xfId="3929"/>
    <cellStyle name="Currency 6" xfId="3930"/>
    <cellStyle name="Currency 6 2" xfId="3931"/>
    <cellStyle name="Currency 6 2 2" xfId="8401"/>
    <cellStyle name="Currency 6 2 2 2" xfId="8402"/>
    <cellStyle name="Currency 6 2 2 2 2" xfId="8403"/>
    <cellStyle name="Currency 6 2 2 2 3" xfId="59091"/>
    <cellStyle name="Currency 6 2 2 3" xfId="8404"/>
    <cellStyle name="Currency 6 2 2 3 2" xfId="59092"/>
    <cellStyle name="Currency 6 2 2 4" xfId="59093"/>
    <cellStyle name="Currency 6 2 2 5" xfId="59094"/>
    <cellStyle name="Currency 6 2 2 6" xfId="59095"/>
    <cellStyle name="Currency 6 2 3" xfId="8405"/>
    <cellStyle name="Currency 6 2 3 2" xfId="8406"/>
    <cellStyle name="Currency 6 2 3 3" xfId="59096"/>
    <cellStyle name="Currency 6 2 4" xfId="8407"/>
    <cellStyle name="Currency 6 2 4 2" xfId="59097"/>
    <cellStyle name="Currency 6 2 5" xfId="52852"/>
    <cellStyle name="Currency 6 3" xfId="3932"/>
    <cellStyle name="Currency 6 3 2" xfId="8408"/>
    <cellStyle name="Currency 6 3 2 2" xfId="8409"/>
    <cellStyle name="Currency 6 3 2 2 2" xfId="59098"/>
    <cellStyle name="Currency 6 3 2 3" xfId="59099"/>
    <cellStyle name="Currency 6 3 2 4" xfId="59100"/>
    <cellStyle name="Currency 6 3 2 5" xfId="59101"/>
    <cellStyle name="Currency 6 3 3" xfId="8410"/>
    <cellStyle name="Currency 6 3 3 2" xfId="59102"/>
    <cellStyle name="Currency 6 3 4" xfId="59103"/>
    <cellStyle name="Currency 6 3 5" xfId="59104"/>
    <cellStyle name="Currency 6 3 6" xfId="59105"/>
    <cellStyle name="Currency 6 3 7" xfId="59106"/>
    <cellStyle name="Currency 6 4" xfId="8411"/>
    <cellStyle name="Currency 6 4 2" xfId="8412"/>
    <cellStyle name="Currency 6 4 2 2" xfId="59107"/>
    <cellStyle name="Currency 6 4 3" xfId="59108"/>
    <cellStyle name="Currency 6 4 4" xfId="59109"/>
    <cellStyle name="Currency 6 4 5" xfId="59110"/>
    <cellStyle name="Currency 6 5" xfId="8413"/>
    <cellStyle name="Currency 6 5 2" xfId="8414"/>
    <cellStyle name="Currency 6 5 2 2" xfId="59111"/>
    <cellStyle name="Currency 6 5 3" xfId="59112"/>
    <cellStyle name="Currency 6 5 4" xfId="59113"/>
    <cellStyle name="Currency 6 5 5" xfId="59114"/>
    <cellStyle name="Currency 6 6" xfId="8415"/>
    <cellStyle name="Currency 6 6 2" xfId="59115"/>
    <cellStyle name="Currency 6 6 2 2" xfId="59116"/>
    <cellStyle name="Currency 6 6 3" xfId="59117"/>
    <cellStyle name="Currency 6 6 4" xfId="59118"/>
    <cellStyle name="Currency 6 6 5" xfId="59119"/>
    <cellStyle name="Currency 6 7" xfId="52853"/>
    <cellStyle name="Currency 60" xfId="3933"/>
    <cellStyle name="Currency 61" xfId="3934"/>
    <cellStyle name="Currency 62" xfId="3935"/>
    <cellStyle name="Currency 62 2" xfId="3936"/>
    <cellStyle name="Currency 63" xfId="3937"/>
    <cellStyle name="Currency 64" xfId="3938"/>
    <cellStyle name="Currency 65" xfId="3939"/>
    <cellStyle name="Currency 66" xfId="3940"/>
    <cellStyle name="Currency 67" xfId="3941"/>
    <cellStyle name="Currency 68" xfId="3942"/>
    <cellStyle name="Currency 69" xfId="3943"/>
    <cellStyle name="Currency 7" xfId="3944"/>
    <cellStyle name="Currency 7 2" xfId="3945"/>
    <cellStyle name="Currency 7 2 2" xfId="9179"/>
    <cellStyle name="Currency 7 2 2 2" xfId="9180"/>
    <cellStyle name="Currency 7 2 3" xfId="9181"/>
    <cellStyle name="Currency 7 2 4" xfId="9182"/>
    <cellStyle name="Currency 7 3" xfId="3946"/>
    <cellStyle name="Currency 7 3 2" xfId="9183"/>
    <cellStyle name="Currency 7 3 3" xfId="9184"/>
    <cellStyle name="Currency 7 3 4" xfId="59120"/>
    <cellStyle name="Currency 7 4" xfId="9185"/>
    <cellStyle name="Currency 7 4 2" xfId="59121"/>
    <cellStyle name="Currency 7 5" xfId="9186"/>
    <cellStyle name="Currency 7 6" xfId="59122"/>
    <cellStyle name="Currency 7 7" xfId="59123"/>
    <cellStyle name="Currency 7 8" xfId="59124"/>
    <cellStyle name="Currency 70" xfId="3947"/>
    <cellStyle name="Currency 71" xfId="3948"/>
    <cellStyle name="Currency 72" xfId="3949"/>
    <cellStyle name="Currency 73" xfId="3950"/>
    <cellStyle name="Currency 74" xfId="3951"/>
    <cellStyle name="Currency 75" xfId="3952"/>
    <cellStyle name="Currency 76" xfId="8781"/>
    <cellStyle name="Currency 77" xfId="9187"/>
    <cellStyle name="Currency 78" xfId="9188"/>
    <cellStyle name="Currency 79" xfId="9189"/>
    <cellStyle name="Currency 8" xfId="3953"/>
    <cellStyle name="Currency 8 2" xfId="3954"/>
    <cellStyle name="Currency 8 2 2" xfId="9190"/>
    <cellStyle name="Currency 8 2 2 2" xfId="9191"/>
    <cellStyle name="Currency 8 2 3" xfId="9192"/>
    <cellStyle name="Currency 8 2 3 2" xfId="59125"/>
    <cellStyle name="Currency 8 2 4" xfId="9193"/>
    <cellStyle name="Currency 8 2 5" xfId="59126"/>
    <cellStyle name="Currency 8 3" xfId="9194"/>
    <cellStyle name="Currency 8 3 2" xfId="9195"/>
    <cellStyle name="Currency 8 3 3" xfId="59127"/>
    <cellStyle name="Currency 8 4" xfId="9196"/>
    <cellStyle name="Currency 8 5" xfId="9197"/>
    <cellStyle name="Currency 8 6" xfId="59128"/>
    <cellStyle name="Currency 8 7" xfId="59129"/>
    <cellStyle name="Currency 80" xfId="9374"/>
    <cellStyle name="Currency 81" xfId="9647"/>
    <cellStyle name="Currency 82" xfId="9648"/>
    <cellStyle name="Currency 83" xfId="9649"/>
    <cellStyle name="Currency 84" xfId="9650"/>
    <cellStyle name="Currency 85" xfId="9651"/>
    <cellStyle name="Currency 86" xfId="9652"/>
    <cellStyle name="Currency 87" xfId="9653"/>
    <cellStyle name="Currency 88" xfId="9654"/>
    <cellStyle name="Currency 89" xfId="9655"/>
    <cellStyle name="Currency 9" xfId="3955"/>
    <cellStyle name="Currency 9 2" xfId="3956"/>
    <cellStyle name="Currency 9 2 2" xfId="59130"/>
    <cellStyle name="Currency 9 2 3" xfId="59131"/>
    <cellStyle name="Currency 9 3" xfId="9198"/>
    <cellStyle name="Currency 9 3 2" xfId="59132"/>
    <cellStyle name="Currency 9 4" xfId="59133"/>
    <cellStyle name="Currency 9 5" xfId="59134"/>
    <cellStyle name="Currency 9 6" xfId="59135"/>
    <cellStyle name="Currency 90" xfId="9656"/>
    <cellStyle name="Currency 91" xfId="9657"/>
    <cellStyle name="Currency 92" xfId="9658"/>
    <cellStyle name="Currency 93" xfId="9659"/>
    <cellStyle name="Currency 94" xfId="9660"/>
    <cellStyle name="Currency 95" xfId="9661"/>
    <cellStyle name="Currency 96" xfId="9662"/>
    <cellStyle name="Currency 97" xfId="9663"/>
    <cellStyle name="Currency 98" xfId="9664"/>
    <cellStyle name="Currency 99" xfId="9665"/>
    <cellStyle name="Currency0" xfId="3957"/>
    <cellStyle name="Currency0 2" xfId="3958"/>
    <cellStyle name="Currency0 2 2" xfId="9666"/>
    <cellStyle name="Currency0 2 3" xfId="59136"/>
    <cellStyle name="Currency0 3" xfId="3959"/>
    <cellStyle name="Currency0 3 2" xfId="9667"/>
    <cellStyle name="Currency0 3 3" xfId="59137"/>
    <cellStyle name="Custom - Style1" xfId="59138"/>
    <cellStyle name="Data   - Style2" xfId="59139"/>
    <cellStyle name="Date" xfId="3960"/>
    <cellStyle name="Date 2" xfId="3961"/>
    <cellStyle name="Date 2 2" xfId="9668"/>
    <cellStyle name="Date 2 3" xfId="59140"/>
    <cellStyle name="Date 3" xfId="3962"/>
    <cellStyle name="Date 3 2" xfId="9669"/>
    <cellStyle name="Date 3 3" xfId="59141"/>
    <cellStyle name="Eingabe" xfId="3963"/>
    <cellStyle name="Eingabe 2" xfId="3964"/>
    <cellStyle name="Eingabe 3" xfId="52854"/>
    <cellStyle name="Euro" xfId="3965"/>
    <cellStyle name="Euro 2" xfId="3966"/>
    <cellStyle name="Euro 2 2" xfId="3967"/>
    <cellStyle name="Euro 2 2 2" xfId="59142"/>
    <cellStyle name="Euro 2 3" xfId="59143"/>
    <cellStyle name="Euro 3" xfId="3968"/>
    <cellStyle name="Euro 3 2" xfId="9670"/>
    <cellStyle name="Euro 3 3" xfId="59144"/>
    <cellStyle name="Explanatory Text 10" xfId="9671"/>
    <cellStyle name="Explanatory Text 11" xfId="9672"/>
    <cellStyle name="Explanatory Text 12" xfId="9673"/>
    <cellStyle name="Explanatory Text 13" xfId="9674"/>
    <cellStyle name="Explanatory Text 14" xfId="9675"/>
    <cellStyle name="Explanatory Text 15" xfId="9676"/>
    <cellStyle name="Explanatory Text 16" xfId="9677"/>
    <cellStyle name="Explanatory Text 17" xfId="9678"/>
    <cellStyle name="Explanatory Text 2" xfId="3969"/>
    <cellStyle name="Explanatory Text 2 2" xfId="3970"/>
    <cellStyle name="Explanatory Text 2 2 2" xfId="59145"/>
    <cellStyle name="Explanatory Text 2 3" xfId="52855"/>
    <cellStyle name="Explanatory Text 2 4" xfId="52856"/>
    <cellStyle name="Explanatory Text 2 5" xfId="52857"/>
    <cellStyle name="Explanatory Text 3" xfId="3971"/>
    <cellStyle name="Explanatory Text 3 2" xfId="9199"/>
    <cellStyle name="Explanatory Text 4" xfId="9200"/>
    <cellStyle name="Explanatory Text 4 2" xfId="52858"/>
    <cellStyle name="Explanatory Text 5" xfId="9679"/>
    <cellStyle name="Explanatory Text 5 2" xfId="52859"/>
    <cellStyle name="Explanatory Text 6" xfId="9680"/>
    <cellStyle name="Explanatory Text 6 2" xfId="52860"/>
    <cellStyle name="Explanatory Text 7" xfId="9681"/>
    <cellStyle name="Explanatory Text 7 2" xfId="52861"/>
    <cellStyle name="Explanatory Text 8" xfId="9682"/>
    <cellStyle name="Explanatory Text 9" xfId="9683"/>
    <cellStyle name="F2" xfId="3972"/>
    <cellStyle name="F2 2" xfId="3973"/>
    <cellStyle name="F2 2 2" xfId="9684"/>
    <cellStyle name="F2 3" xfId="9685"/>
    <cellStyle name="F2 3 2" xfId="9686"/>
    <cellStyle name="F2 4" xfId="9687"/>
    <cellStyle name="F2 5" xfId="9688"/>
    <cellStyle name="F2 6" xfId="9689"/>
    <cellStyle name="F2 7" xfId="9690"/>
    <cellStyle name="F2 8" xfId="9691"/>
    <cellStyle name="F2 9" xfId="9692"/>
    <cellStyle name="F2_Regenerated Revenues LGE Gas 2008-04 with Elec Gen-Seelye final version " xfId="9693"/>
    <cellStyle name="F3" xfId="3974"/>
    <cellStyle name="F3 2" xfId="3975"/>
    <cellStyle name="F3 2 2" xfId="9694"/>
    <cellStyle name="F3 3" xfId="9695"/>
    <cellStyle name="F3 3 2" xfId="9696"/>
    <cellStyle name="F3 4" xfId="9697"/>
    <cellStyle name="F3 5" xfId="9698"/>
    <cellStyle name="F3 6" xfId="9699"/>
    <cellStyle name="F3 7" xfId="9700"/>
    <cellStyle name="F3 8" xfId="9701"/>
    <cellStyle name="F3 9" xfId="9702"/>
    <cellStyle name="F3_Regenerated Revenues LGE Gas 2008-04 with Elec Gen-Seelye final version " xfId="9703"/>
    <cellStyle name="F4" xfId="3976"/>
    <cellStyle name="F4 2" xfId="3977"/>
    <cellStyle name="F4 2 2" xfId="9704"/>
    <cellStyle name="F4 3" xfId="9705"/>
    <cellStyle name="F4 3 2" xfId="9706"/>
    <cellStyle name="F4 4" xfId="9707"/>
    <cellStyle name="F4 5" xfId="9708"/>
    <cellStyle name="F4 6" xfId="9709"/>
    <cellStyle name="F4 7" xfId="9710"/>
    <cellStyle name="F4 8" xfId="9711"/>
    <cellStyle name="F4 9" xfId="9712"/>
    <cellStyle name="F4_Regenerated Revenues LGE Gas 2008-04 with Elec Gen-Seelye final version " xfId="9713"/>
    <cellStyle name="F5" xfId="3978"/>
    <cellStyle name="F5 2" xfId="3979"/>
    <cellStyle name="F5 2 2" xfId="9714"/>
    <cellStyle name="F5 3" xfId="3980"/>
    <cellStyle name="F5 3 2" xfId="9715"/>
    <cellStyle name="F5 4" xfId="9716"/>
    <cellStyle name="F5 5" xfId="9717"/>
    <cellStyle name="F5 6" xfId="9718"/>
    <cellStyle name="F5 7" xfId="9719"/>
    <cellStyle name="F5 8" xfId="9720"/>
    <cellStyle name="F5 9" xfId="9721"/>
    <cellStyle name="F5_Regenerated Revenues LGE Gas 2008-04 with Elec Gen-Seelye final version " xfId="9722"/>
    <cellStyle name="F6" xfId="3981"/>
    <cellStyle name="F6 10" xfId="59146"/>
    <cellStyle name="F6 10 2" xfId="59147"/>
    <cellStyle name="F6 11" xfId="59148"/>
    <cellStyle name="F6 2" xfId="3982"/>
    <cellStyle name="F6 2 2" xfId="3983"/>
    <cellStyle name="F6 2 2 2" xfId="59149"/>
    <cellStyle name="F6 3" xfId="3984"/>
    <cellStyle name="F6 3 2" xfId="9723"/>
    <cellStyle name="F6 4" xfId="9724"/>
    <cellStyle name="F6 5" xfId="9725"/>
    <cellStyle name="F6 6" xfId="9726"/>
    <cellStyle name="F6 7" xfId="9727"/>
    <cellStyle name="F6 8" xfId="9728"/>
    <cellStyle name="F6 9" xfId="9729"/>
    <cellStyle name="F6_Regenerated Revenues LGE Gas 2008-04 with Elec Gen-Seelye final version " xfId="9730"/>
    <cellStyle name="F7" xfId="3985"/>
    <cellStyle name="F7 2" xfId="3986"/>
    <cellStyle name="F7 2 2" xfId="9731"/>
    <cellStyle name="F7 3" xfId="9732"/>
    <cellStyle name="F7 3 2" xfId="9733"/>
    <cellStyle name="F7 4" xfId="9734"/>
    <cellStyle name="F7 5" xfId="9735"/>
    <cellStyle name="F7 6" xfId="9736"/>
    <cellStyle name="F7 7" xfId="9737"/>
    <cellStyle name="F7 8" xfId="9738"/>
    <cellStyle name="F7 9" xfId="9739"/>
    <cellStyle name="F7_Regenerated Revenues LGE Gas 2008-04 with Elec Gen-Seelye final version " xfId="9740"/>
    <cellStyle name="F8" xfId="3987"/>
    <cellStyle name="F8 2" xfId="3988"/>
    <cellStyle name="F8 2 2" xfId="9741"/>
    <cellStyle name="F8 3" xfId="9742"/>
    <cellStyle name="F8 3 2" xfId="9743"/>
    <cellStyle name="F8 4" xfId="9744"/>
    <cellStyle name="F8 5" xfId="9745"/>
    <cellStyle name="F8 6" xfId="9746"/>
    <cellStyle name="F8 7" xfId="9747"/>
    <cellStyle name="F8 8" xfId="9748"/>
    <cellStyle name="F8 9" xfId="9749"/>
    <cellStyle name="F8_Regenerated Revenues LGE Gas 2008-04 with Elec Gen-Seelye final version " xfId="9750"/>
    <cellStyle name="Fixed" xfId="3989"/>
    <cellStyle name="Fixed 2" xfId="3990"/>
    <cellStyle name="Fixed 2 2" xfId="9751"/>
    <cellStyle name="Fixed 2 3" xfId="59150"/>
    <cellStyle name="Fixed 3" xfId="3991"/>
    <cellStyle name="Fixed 3 2" xfId="9752"/>
    <cellStyle name="Fixed 3 3" xfId="59151"/>
    <cellStyle name="Good 10" xfId="9753"/>
    <cellStyle name="Good 11" xfId="9754"/>
    <cellStyle name="Good 12" xfId="9755"/>
    <cellStyle name="Good 13" xfId="9756"/>
    <cellStyle name="Good 14" xfId="9757"/>
    <cellStyle name="Good 15" xfId="9758"/>
    <cellStyle name="Good 16" xfId="9759"/>
    <cellStyle name="Good 17" xfId="9760"/>
    <cellStyle name="Good 17 2" xfId="59152"/>
    <cellStyle name="Good 2" xfId="3992"/>
    <cellStyle name="Good 2 2" xfId="3993"/>
    <cellStyle name="Good 2 2 2" xfId="52862"/>
    <cellStyle name="Good 2 3" xfId="52863"/>
    <cellStyle name="Good 2 4" xfId="52864"/>
    <cellStyle name="Good 2 5" xfId="52865"/>
    <cellStyle name="Good 3" xfId="3994"/>
    <cellStyle name="Good 3 2" xfId="9201"/>
    <cellStyle name="Good 4" xfId="9202"/>
    <cellStyle name="Good 4 2" xfId="52866"/>
    <cellStyle name="Good 5" xfId="9761"/>
    <cellStyle name="Good 5 2" xfId="52867"/>
    <cellStyle name="Good 6" xfId="9762"/>
    <cellStyle name="Good 6 2" xfId="52868"/>
    <cellStyle name="Good 7" xfId="9763"/>
    <cellStyle name="Good 7 2" xfId="52869"/>
    <cellStyle name="Good 8" xfId="9764"/>
    <cellStyle name="Good 9" xfId="9765"/>
    <cellStyle name="Heading 1 10" xfId="9766"/>
    <cellStyle name="Heading 1 11" xfId="9767"/>
    <cellStyle name="Heading 1 12" xfId="9768"/>
    <cellStyle name="Heading 1 13" xfId="9769"/>
    <cellStyle name="Heading 1 14" xfId="9770"/>
    <cellStyle name="Heading 1 15" xfId="9771"/>
    <cellStyle name="Heading 1 16" xfId="9772"/>
    <cellStyle name="Heading 1 17" xfId="9773"/>
    <cellStyle name="Heading 1 17 2" xfId="59153"/>
    <cellStyle name="Heading 1 17 3" xfId="59154"/>
    <cellStyle name="Heading 1 17 4" xfId="59155"/>
    <cellStyle name="Heading 1 2" xfId="3995"/>
    <cellStyle name="Heading 1 2 2" xfId="3996"/>
    <cellStyle name="Heading 1 2 2 2" xfId="52870"/>
    <cellStyle name="Heading 1 2 3" xfId="52871"/>
    <cellStyle name="Heading 1 2 4" xfId="52872"/>
    <cellStyle name="Heading 1 2 5" xfId="52873"/>
    <cellStyle name="Heading 1 3" xfId="3997"/>
    <cellStyle name="Heading 1 3 2" xfId="3998"/>
    <cellStyle name="Heading 1 3 2 2" xfId="59156"/>
    <cellStyle name="Heading 1 3 3" xfId="52874"/>
    <cellStyle name="Heading 1 4" xfId="9203"/>
    <cellStyle name="Heading 1 4 2" xfId="52875"/>
    <cellStyle name="Heading 1 5" xfId="9204"/>
    <cellStyle name="Heading 1 5 2" xfId="52876"/>
    <cellStyle name="Heading 1 6" xfId="9774"/>
    <cellStyle name="Heading 1 6 2" xfId="52877"/>
    <cellStyle name="Heading 1 7" xfId="9775"/>
    <cellStyle name="Heading 1 7 2" xfId="52878"/>
    <cellStyle name="Heading 1 8" xfId="9776"/>
    <cellStyle name="Heading 1 9" xfId="9777"/>
    <cellStyle name="Heading 2 10" xfId="9778"/>
    <cellStyle name="Heading 2 11" xfId="9779"/>
    <cellStyle name="Heading 2 12" xfId="9780"/>
    <cellStyle name="Heading 2 13" xfId="9781"/>
    <cellStyle name="Heading 2 14" xfId="9782"/>
    <cellStyle name="Heading 2 15" xfId="9783"/>
    <cellStyle name="Heading 2 16" xfId="9784"/>
    <cellStyle name="Heading 2 17" xfId="9785"/>
    <cellStyle name="Heading 2 17 2" xfId="59157"/>
    <cellStyle name="Heading 2 17 3" xfId="59158"/>
    <cellStyle name="Heading 2 17 4" xfId="59159"/>
    <cellStyle name="Heading 2 2" xfId="3999"/>
    <cellStyle name="Heading 2 2 2" xfId="4000"/>
    <cellStyle name="Heading 2 2 2 2" xfId="52879"/>
    <cellStyle name="Heading 2 2 3" xfId="52880"/>
    <cellStyle name="Heading 2 2 4" xfId="52881"/>
    <cellStyle name="Heading 2 2 5" xfId="52882"/>
    <cellStyle name="Heading 2 3" xfId="4001"/>
    <cellStyle name="Heading 2 3 2" xfId="4002"/>
    <cellStyle name="Heading 2 3 2 2" xfId="52883"/>
    <cellStyle name="Heading 2 3 3" xfId="52884"/>
    <cellStyle name="Heading 2 4" xfId="9205"/>
    <cellStyle name="Heading 2 4 2" xfId="52885"/>
    <cellStyle name="Heading 2 5" xfId="9206"/>
    <cellStyle name="Heading 2 5 2" xfId="52886"/>
    <cellStyle name="Heading 2 6" xfId="9786"/>
    <cellStyle name="Heading 2 6 2" xfId="52887"/>
    <cellStyle name="Heading 2 7" xfId="9787"/>
    <cellStyle name="Heading 2 7 2" xfId="52888"/>
    <cellStyle name="Heading 2 8" xfId="9788"/>
    <cellStyle name="Heading 2 9" xfId="9789"/>
    <cellStyle name="Heading 3 10" xfId="9790"/>
    <cellStyle name="Heading 3 11" xfId="9791"/>
    <cellStyle name="Heading 3 12" xfId="9792"/>
    <cellStyle name="Heading 3 13" xfId="9793"/>
    <cellStyle name="Heading 3 14" xfId="9794"/>
    <cellStyle name="Heading 3 15" xfId="9795"/>
    <cellStyle name="Heading 3 16" xfId="9796"/>
    <cellStyle name="Heading 3 17" xfId="9797"/>
    <cellStyle name="Heading 3 17 2" xfId="59160"/>
    <cellStyle name="Heading 3 2" xfId="4003"/>
    <cellStyle name="Heading 3 2 2" xfId="4004"/>
    <cellStyle name="Heading 3 2 2 2" xfId="52889"/>
    <cellStyle name="Heading 3 2 3" xfId="4005"/>
    <cellStyle name="Heading 3 2 4" xfId="52890"/>
    <cellStyle name="Heading 3 2 5" xfId="52891"/>
    <cellStyle name="Heading 3 2 6" xfId="52892"/>
    <cellStyle name="Heading 3 2 7" xfId="52893"/>
    <cellStyle name="Heading 3 3" xfId="4006"/>
    <cellStyle name="Heading 3 3 2" xfId="9207"/>
    <cellStyle name="Heading 3 3 3" xfId="52894"/>
    <cellStyle name="Heading 3 4" xfId="4007"/>
    <cellStyle name="Heading 3 4 2" xfId="52895"/>
    <cellStyle name="Heading 3 5" xfId="4008"/>
    <cellStyle name="Heading 3 5 2" xfId="52896"/>
    <cellStyle name="Heading 3 6" xfId="9208"/>
    <cellStyle name="Heading 3 6 2" xfId="52897"/>
    <cellStyle name="Heading 3 7" xfId="9798"/>
    <cellStyle name="Heading 3 7 2" xfId="52898"/>
    <cellStyle name="Heading 3 8" xfId="9799"/>
    <cellStyle name="Heading 3 8 2" xfId="52899"/>
    <cellStyle name="Heading 3 9" xfId="9800"/>
    <cellStyle name="Heading 3 9 2" xfId="52900"/>
    <cellStyle name="Heading 4 10" xfId="9801"/>
    <cellStyle name="Heading 4 11" xfId="9802"/>
    <cellStyle name="Heading 4 12" xfId="9803"/>
    <cellStyle name="Heading 4 13" xfId="9804"/>
    <cellStyle name="Heading 4 14" xfId="9805"/>
    <cellStyle name="Heading 4 15" xfId="9806"/>
    <cellStyle name="Heading 4 16" xfId="9807"/>
    <cellStyle name="Heading 4 17" xfId="9808"/>
    <cellStyle name="Heading 4 17 2" xfId="59161"/>
    <cellStyle name="Heading 4 2" xfId="4009"/>
    <cellStyle name="Heading 4 2 2" xfId="4010"/>
    <cellStyle name="Heading 4 2 2 2" xfId="52901"/>
    <cellStyle name="Heading 4 2 3" xfId="52902"/>
    <cellStyle name="Heading 4 2 4" xfId="52903"/>
    <cellStyle name="Heading 4 2 5" xfId="52904"/>
    <cellStyle name="Heading 4 3" xfId="4011"/>
    <cellStyle name="Heading 4 3 2" xfId="9209"/>
    <cellStyle name="Heading 4 4" xfId="9210"/>
    <cellStyle name="Heading 4 4 2" xfId="52905"/>
    <cellStyle name="Heading 4 5" xfId="9809"/>
    <cellStyle name="Heading 4 5 2" xfId="52906"/>
    <cellStyle name="Heading 4 6" xfId="9810"/>
    <cellStyle name="Heading 4 6 2" xfId="52907"/>
    <cellStyle name="Heading 4 7" xfId="9811"/>
    <cellStyle name="Heading 4 7 2" xfId="52908"/>
    <cellStyle name="Heading 4 8" xfId="9812"/>
    <cellStyle name="Heading 4 9" xfId="9813"/>
    <cellStyle name="Hyperlink 2" xfId="4012"/>
    <cellStyle name="Hyperlink 2 2" xfId="52909"/>
    <cellStyle name="Input 10" xfId="4013"/>
    <cellStyle name="Input 10 10" xfId="4014"/>
    <cellStyle name="Input 10 11" xfId="59162"/>
    <cellStyle name="Input 10 12" xfId="59163"/>
    <cellStyle name="Input 10 2" xfId="4015"/>
    <cellStyle name="Input 10 2 2" xfId="4016"/>
    <cellStyle name="Input 10 2 2 2" xfId="59164"/>
    <cellStyle name="Input 10 2 3" xfId="4017"/>
    <cellStyle name="Input 10 2 3 2" xfId="59165"/>
    <cellStyle name="Input 10 2 4" xfId="4018"/>
    <cellStyle name="Input 10 2 4 2" xfId="59166"/>
    <cellStyle name="Input 10 2 5" xfId="4019"/>
    <cellStyle name="Input 10 2 5 2" xfId="59167"/>
    <cellStyle name="Input 10 2 6" xfId="4020"/>
    <cellStyle name="Input 10 2 6 2" xfId="59168"/>
    <cellStyle name="Input 10 2 7" xfId="4021"/>
    <cellStyle name="Input 10 2 7 2" xfId="59169"/>
    <cellStyle name="Input 10 2 8" xfId="4022"/>
    <cellStyle name="Input 10 2 8 2" xfId="59170"/>
    <cellStyle name="Input 10 2 9" xfId="4023"/>
    <cellStyle name="Input 10 3" xfId="4024"/>
    <cellStyle name="Input 10 3 2" xfId="59171"/>
    <cellStyle name="Input 10 4" xfId="4025"/>
    <cellStyle name="Input 10 4 2" xfId="59172"/>
    <cellStyle name="Input 10 5" xfId="4026"/>
    <cellStyle name="Input 10 5 2" xfId="59173"/>
    <cellStyle name="Input 10 6" xfId="4027"/>
    <cellStyle name="Input 10 6 2" xfId="59174"/>
    <cellStyle name="Input 10 7" xfId="4028"/>
    <cellStyle name="Input 10 7 2" xfId="59175"/>
    <cellStyle name="Input 10 8" xfId="4029"/>
    <cellStyle name="Input 10 8 2" xfId="59176"/>
    <cellStyle name="Input 10 9" xfId="4030"/>
    <cellStyle name="Input 10 9 2" xfId="59177"/>
    <cellStyle name="Input 11" xfId="4031"/>
    <cellStyle name="Input 11 10" xfId="4032"/>
    <cellStyle name="Input 11 11" xfId="59178"/>
    <cellStyle name="Input 11 12" xfId="59179"/>
    <cellStyle name="Input 11 2" xfId="4033"/>
    <cellStyle name="Input 11 2 2" xfId="4034"/>
    <cellStyle name="Input 11 2 2 2" xfId="59180"/>
    <cellStyle name="Input 11 2 3" xfId="4035"/>
    <cellStyle name="Input 11 2 3 2" xfId="59181"/>
    <cellStyle name="Input 11 2 4" xfId="4036"/>
    <cellStyle name="Input 11 2 4 2" xfId="59182"/>
    <cellStyle name="Input 11 2 5" xfId="4037"/>
    <cellStyle name="Input 11 2 5 2" xfId="59183"/>
    <cellStyle name="Input 11 2 6" xfId="4038"/>
    <cellStyle name="Input 11 2 6 2" xfId="59184"/>
    <cellStyle name="Input 11 2 7" xfId="4039"/>
    <cellStyle name="Input 11 2 7 2" xfId="59185"/>
    <cellStyle name="Input 11 2 8" xfId="4040"/>
    <cellStyle name="Input 11 2 8 2" xfId="59186"/>
    <cellStyle name="Input 11 2 9" xfId="4041"/>
    <cellStyle name="Input 11 3" xfId="4042"/>
    <cellStyle name="Input 11 3 2" xfId="59187"/>
    <cellStyle name="Input 11 4" xfId="4043"/>
    <cellStyle name="Input 11 4 2" xfId="59188"/>
    <cellStyle name="Input 11 5" xfId="4044"/>
    <cellStyle name="Input 11 5 2" xfId="59189"/>
    <cellStyle name="Input 11 6" xfId="4045"/>
    <cellStyle name="Input 11 6 2" xfId="59190"/>
    <cellStyle name="Input 11 7" xfId="4046"/>
    <cellStyle name="Input 11 7 2" xfId="59191"/>
    <cellStyle name="Input 11 8" xfId="4047"/>
    <cellStyle name="Input 11 8 2" xfId="59192"/>
    <cellStyle name="Input 11 9" xfId="4048"/>
    <cellStyle name="Input 11 9 2" xfId="59193"/>
    <cellStyle name="Input 12" xfId="4049"/>
    <cellStyle name="Input 12 10" xfId="4050"/>
    <cellStyle name="Input 12 11" xfId="59194"/>
    <cellStyle name="Input 12 12" xfId="59195"/>
    <cellStyle name="Input 12 2" xfId="4051"/>
    <cellStyle name="Input 12 2 2" xfId="4052"/>
    <cellStyle name="Input 12 2 2 2" xfId="59196"/>
    <cellStyle name="Input 12 2 3" xfId="4053"/>
    <cellStyle name="Input 12 2 3 2" xfId="59197"/>
    <cellStyle name="Input 12 2 4" xfId="4054"/>
    <cellStyle name="Input 12 2 4 2" xfId="59198"/>
    <cellStyle name="Input 12 2 5" xfId="4055"/>
    <cellStyle name="Input 12 2 5 2" xfId="59199"/>
    <cellStyle name="Input 12 2 6" xfId="4056"/>
    <cellStyle name="Input 12 2 6 2" xfId="59200"/>
    <cellStyle name="Input 12 2 7" xfId="4057"/>
    <cellStyle name="Input 12 2 7 2" xfId="59201"/>
    <cellStyle name="Input 12 2 8" xfId="4058"/>
    <cellStyle name="Input 12 2 8 2" xfId="59202"/>
    <cellStyle name="Input 12 2 9" xfId="4059"/>
    <cellStyle name="Input 12 3" xfId="4060"/>
    <cellStyle name="Input 12 3 2" xfId="59203"/>
    <cellStyle name="Input 12 4" xfId="4061"/>
    <cellStyle name="Input 12 4 2" xfId="59204"/>
    <cellStyle name="Input 12 5" xfId="4062"/>
    <cellStyle name="Input 12 5 2" xfId="59205"/>
    <cellStyle name="Input 12 6" xfId="4063"/>
    <cellStyle name="Input 12 6 2" xfId="59206"/>
    <cellStyle name="Input 12 7" xfId="4064"/>
    <cellStyle name="Input 12 7 2" xfId="59207"/>
    <cellStyle name="Input 12 8" xfId="4065"/>
    <cellStyle name="Input 12 8 2" xfId="59208"/>
    <cellStyle name="Input 12 9" xfId="4066"/>
    <cellStyle name="Input 12 9 2" xfId="59209"/>
    <cellStyle name="Input 13" xfId="4067"/>
    <cellStyle name="Input 13 10" xfId="4068"/>
    <cellStyle name="Input 13 11" xfId="59210"/>
    <cellStyle name="Input 13 12" xfId="59211"/>
    <cellStyle name="Input 13 2" xfId="4069"/>
    <cellStyle name="Input 13 2 2" xfId="4070"/>
    <cellStyle name="Input 13 2 2 2" xfId="59212"/>
    <cellStyle name="Input 13 2 3" xfId="4071"/>
    <cellStyle name="Input 13 2 3 2" xfId="59213"/>
    <cellStyle name="Input 13 2 4" xfId="4072"/>
    <cellStyle name="Input 13 2 4 2" xfId="59214"/>
    <cellStyle name="Input 13 2 5" xfId="4073"/>
    <cellStyle name="Input 13 2 5 2" xfId="59215"/>
    <cellStyle name="Input 13 2 6" xfId="4074"/>
    <cellStyle name="Input 13 2 6 2" xfId="59216"/>
    <cellStyle name="Input 13 2 7" xfId="4075"/>
    <cellStyle name="Input 13 2 7 2" xfId="59217"/>
    <cellStyle name="Input 13 2 8" xfId="4076"/>
    <cellStyle name="Input 13 2 8 2" xfId="59218"/>
    <cellStyle name="Input 13 2 9" xfId="4077"/>
    <cellStyle name="Input 13 3" xfId="4078"/>
    <cellStyle name="Input 13 3 2" xfId="59219"/>
    <cellStyle name="Input 13 4" xfId="4079"/>
    <cellStyle name="Input 13 4 2" xfId="59220"/>
    <cellStyle name="Input 13 5" xfId="4080"/>
    <cellStyle name="Input 13 5 2" xfId="59221"/>
    <cellStyle name="Input 13 6" xfId="4081"/>
    <cellStyle name="Input 13 6 2" xfId="59222"/>
    <cellStyle name="Input 13 7" xfId="4082"/>
    <cellStyle name="Input 13 7 2" xfId="59223"/>
    <cellStyle name="Input 13 8" xfId="4083"/>
    <cellStyle name="Input 13 8 2" xfId="59224"/>
    <cellStyle name="Input 13 9" xfId="4084"/>
    <cellStyle name="Input 13 9 2" xfId="59225"/>
    <cellStyle name="Input 14" xfId="4085"/>
    <cellStyle name="Input 14 10" xfId="4086"/>
    <cellStyle name="Input 14 11" xfId="59226"/>
    <cellStyle name="Input 14 12" xfId="59227"/>
    <cellStyle name="Input 14 2" xfId="4087"/>
    <cellStyle name="Input 14 2 2" xfId="4088"/>
    <cellStyle name="Input 14 2 2 2" xfId="59228"/>
    <cellStyle name="Input 14 2 3" xfId="4089"/>
    <cellStyle name="Input 14 2 3 2" xfId="59229"/>
    <cellStyle name="Input 14 2 4" xfId="4090"/>
    <cellStyle name="Input 14 2 4 2" xfId="59230"/>
    <cellStyle name="Input 14 2 5" xfId="4091"/>
    <cellStyle name="Input 14 2 5 2" xfId="59231"/>
    <cellStyle name="Input 14 2 6" xfId="4092"/>
    <cellStyle name="Input 14 2 6 2" xfId="59232"/>
    <cellStyle name="Input 14 2 7" xfId="4093"/>
    <cellStyle name="Input 14 2 7 2" xfId="59233"/>
    <cellStyle name="Input 14 2 8" xfId="4094"/>
    <cellStyle name="Input 14 2 8 2" xfId="59234"/>
    <cellStyle name="Input 14 2 9" xfId="4095"/>
    <cellStyle name="Input 14 3" xfId="4096"/>
    <cellStyle name="Input 14 3 2" xfId="59235"/>
    <cellStyle name="Input 14 4" xfId="4097"/>
    <cellStyle name="Input 14 4 2" xfId="59236"/>
    <cellStyle name="Input 14 5" xfId="4098"/>
    <cellStyle name="Input 14 5 2" xfId="59237"/>
    <cellStyle name="Input 14 6" xfId="4099"/>
    <cellStyle name="Input 14 6 2" xfId="59238"/>
    <cellStyle name="Input 14 7" xfId="4100"/>
    <cellStyle name="Input 14 7 2" xfId="59239"/>
    <cellStyle name="Input 14 8" xfId="4101"/>
    <cellStyle name="Input 14 8 2" xfId="59240"/>
    <cellStyle name="Input 14 9" xfId="4102"/>
    <cellStyle name="Input 14 9 2" xfId="59241"/>
    <cellStyle name="Input 15" xfId="4103"/>
    <cellStyle name="Input 15 10" xfId="4104"/>
    <cellStyle name="Input 15 11" xfId="59242"/>
    <cellStyle name="Input 15 12" xfId="59243"/>
    <cellStyle name="Input 15 2" xfId="4105"/>
    <cellStyle name="Input 15 2 2" xfId="4106"/>
    <cellStyle name="Input 15 2 2 2" xfId="59244"/>
    <cellStyle name="Input 15 2 3" xfId="4107"/>
    <cellStyle name="Input 15 2 3 2" xfId="59245"/>
    <cellStyle name="Input 15 2 4" xfId="4108"/>
    <cellStyle name="Input 15 2 4 2" xfId="59246"/>
    <cellStyle name="Input 15 2 5" xfId="4109"/>
    <cellStyle name="Input 15 2 5 2" xfId="59247"/>
    <cellStyle name="Input 15 2 6" xfId="4110"/>
    <cellStyle name="Input 15 2 6 2" xfId="59248"/>
    <cellStyle name="Input 15 2 7" xfId="4111"/>
    <cellStyle name="Input 15 2 7 2" xfId="59249"/>
    <cellStyle name="Input 15 2 8" xfId="4112"/>
    <cellStyle name="Input 15 2 8 2" xfId="59250"/>
    <cellStyle name="Input 15 2 9" xfId="4113"/>
    <cellStyle name="Input 15 3" xfId="4114"/>
    <cellStyle name="Input 15 3 2" xfId="59251"/>
    <cellStyle name="Input 15 4" xfId="4115"/>
    <cellStyle name="Input 15 4 2" xfId="59252"/>
    <cellStyle name="Input 15 5" xfId="4116"/>
    <cellStyle name="Input 15 5 2" xfId="59253"/>
    <cellStyle name="Input 15 6" xfId="4117"/>
    <cellStyle name="Input 15 6 2" xfId="59254"/>
    <cellStyle name="Input 15 7" xfId="4118"/>
    <cellStyle name="Input 15 7 2" xfId="59255"/>
    <cellStyle name="Input 15 8" xfId="4119"/>
    <cellStyle name="Input 15 8 2" xfId="59256"/>
    <cellStyle name="Input 15 9" xfId="4120"/>
    <cellStyle name="Input 15 9 2" xfId="59257"/>
    <cellStyle name="Input 16" xfId="4121"/>
    <cellStyle name="Input 16 10" xfId="4122"/>
    <cellStyle name="Input 16 11" xfId="59258"/>
    <cellStyle name="Input 16 12" xfId="59259"/>
    <cellStyle name="Input 16 2" xfId="4123"/>
    <cellStyle name="Input 16 2 2" xfId="4124"/>
    <cellStyle name="Input 16 2 2 2" xfId="59260"/>
    <cellStyle name="Input 16 2 3" xfId="4125"/>
    <cellStyle name="Input 16 2 3 2" xfId="59261"/>
    <cellStyle name="Input 16 2 4" xfId="4126"/>
    <cellStyle name="Input 16 2 4 2" xfId="59262"/>
    <cellStyle name="Input 16 2 5" xfId="4127"/>
    <cellStyle name="Input 16 2 5 2" xfId="59263"/>
    <cellStyle name="Input 16 2 6" xfId="4128"/>
    <cellStyle name="Input 16 2 6 2" xfId="59264"/>
    <cellStyle name="Input 16 2 7" xfId="4129"/>
    <cellStyle name="Input 16 2 7 2" xfId="59265"/>
    <cellStyle name="Input 16 2 8" xfId="4130"/>
    <cellStyle name="Input 16 2 8 2" xfId="59266"/>
    <cellStyle name="Input 16 2 9" xfId="4131"/>
    <cellStyle name="Input 16 3" xfId="4132"/>
    <cellStyle name="Input 16 3 2" xfId="59267"/>
    <cellStyle name="Input 16 4" xfId="4133"/>
    <cellStyle name="Input 16 4 2" xfId="59268"/>
    <cellStyle name="Input 16 5" xfId="4134"/>
    <cellStyle name="Input 16 5 2" xfId="59269"/>
    <cellStyle name="Input 16 6" xfId="4135"/>
    <cellStyle name="Input 16 6 2" xfId="59270"/>
    <cellStyle name="Input 16 7" xfId="4136"/>
    <cellStyle name="Input 16 7 2" xfId="59271"/>
    <cellStyle name="Input 16 8" xfId="4137"/>
    <cellStyle name="Input 16 8 2" xfId="59272"/>
    <cellStyle name="Input 16 9" xfId="4138"/>
    <cellStyle name="Input 16 9 2" xfId="59273"/>
    <cellStyle name="Input 17" xfId="4139"/>
    <cellStyle name="Input 17 10" xfId="4140"/>
    <cellStyle name="Input 17 11" xfId="59274"/>
    <cellStyle name="Input 17 2" xfId="4141"/>
    <cellStyle name="Input 17 2 2" xfId="4142"/>
    <cellStyle name="Input 17 2 2 2" xfId="59275"/>
    <cellStyle name="Input 17 2 3" xfId="4143"/>
    <cellStyle name="Input 17 2 3 2" xfId="59276"/>
    <cellStyle name="Input 17 2 4" xfId="4144"/>
    <cellStyle name="Input 17 2 4 2" xfId="59277"/>
    <cellStyle name="Input 17 2 5" xfId="4145"/>
    <cellStyle name="Input 17 2 5 2" xfId="59278"/>
    <cellStyle name="Input 17 2 6" xfId="4146"/>
    <cellStyle name="Input 17 2 6 2" xfId="59279"/>
    <cellStyle name="Input 17 2 7" xfId="4147"/>
    <cellStyle name="Input 17 2 7 2" xfId="59280"/>
    <cellStyle name="Input 17 2 8" xfId="4148"/>
    <cellStyle name="Input 17 2 8 2" xfId="59281"/>
    <cellStyle name="Input 17 2 9" xfId="4149"/>
    <cellStyle name="Input 17 3" xfId="4150"/>
    <cellStyle name="Input 17 3 2" xfId="59282"/>
    <cellStyle name="Input 17 4" xfId="4151"/>
    <cellStyle name="Input 17 4 2" xfId="59283"/>
    <cellStyle name="Input 17 5" xfId="4152"/>
    <cellStyle name="Input 17 5 2" xfId="59284"/>
    <cellStyle name="Input 17 6" xfId="4153"/>
    <cellStyle name="Input 17 6 2" xfId="59285"/>
    <cellStyle name="Input 17 7" xfId="4154"/>
    <cellStyle name="Input 17 7 2" xfId="59286"/>
    <cellStyle name="Input 17 8" xfId="4155"/>
    <cellStyle name="Input 17 8 2" xfId="59287"/>
    <cellStyle name="Input 17 9" xfId="4156"/>
    <cellStyle name="Input 17 9 2" xfId="59288"/>
    <cellStyle name="Input 18" xfId="4157"/>
    <cellStyle name="Input 18 10" xfId="4158"/>
    <cellStyle name="Input 18 2" xfId="4159"/>
    <cellStyle name="Input 18 2 2" xfId="4160"/>
    <cellStyle name="Input 18 2 2 2" xfId="59289"/>
    <cellStyle name="Input 18 2 3" xfId="4161"/>
    <cellStyle name="Input 18 2 3 2" xfId="59290"/>
    <cellStyle name="Input 18 2 4" xfId="4162"/>
    <cellStyle name="Input 18 2 4 2" xfId="59291"/>
    <cellStyle name="Input 18 2 5" xfId="4163"/>
    <cellStyle name="Input 18 2 5 2" xfId="59292"/>
    <cellStyle name="Input 18 2 6" xfId="4164"/>
    <cellStyle name="Input 18 2 6 2" xfId="59293"/>
    <cellStyle name="Input 18 2 7" xfId="4165"/>
    <cellStyle name="Input 18 2 7 2" xfId="59294"/>
    <cellStyle name="Input 18 2 8" xfId="4166"/>
    <cellStyle name="Input 18 2 8 2" xfId="59295"/>
    <cellStyle name="Input 18 2 9" xfId="4167"/>
    <cellStyle name="Input 18 3" xfId="4168"/>
    <cellStyle name="Input 18 3 2" xfId="59296"/>
    <cellStyle name="Input 18 4" xfId="4169"/>
    <cellStyle name="Input 18 4 2" xfId="59297"/>
    <cellStyle name="Input 18 5" xfId="4170"/>
    <cellStyle name="Input 18 5 2" xfId="59298"/>
    <cellStyle name="Input 18 6" xfId="4171"/>
    <cellStyle name="Input 18 6 2" xfId="59299"/>
    <cellStyle name="Input 18 7" xfId="4172"/>
    <cellStyle name="Input 18 7 2" xfId="59300"/>
    <cellStyle name="Input 18 8" xfId="4173"/>
    <cellStyle name="Input 18 8 2" xfId="59301"/>
    <cellStyle name="Input 18 9" xfId="4174"/>
    <cellStyle name="Input 18 9 2" xfId="59302"/>
    <cellStyle name="Input 19" xfId="4175"/>
    <cellStyle name="Input 19 10" xfId="4176"/>
    <cellStyle name="Input 19 2" xfId="4177"/>
    <cellStyle name="Input 19 2 2" xfId="4178"/>
    <cellStyle name="Input 19 2 2 2" xfId="59303"/>
    <cellStyle name="Input 19 2 3" xfId="4179"/>
    <cellStyle name="Input 19 2 3 2" xfId="59304"/>
    <cellStyle name="Input 19 2 4" xfId="4180"/>
    <cellStyle name="Input 19 2 4 2" xfId="59305"/>
    <cellStyle name="Input 19 2 5" xfId="4181"/>
    <cellStyle name="Input 19 2 5 2" xfId="59306"/>
    <cellStyle name="Input 19 2 6" xfId="4182"/>
    <cellStyle name="Input 19 2 6 2" xfId="59307"/>
    <cellStyle name="Input 19 2 7" xfId="4183"/>
    <cellStyle name="Input 19 2 7 2" xfId="59308"/>
    <cellStyle name="Input 19 2 8" xfId="4184"/>
    <cellStyle name="Input 19 2 8 2" xfId="59309"/>
    <cellStyle name="Input 19 2 9" xfId="4185"/>
    <cellStyle name="Input 19 3" xfId="4186"/>
    <cellStyle name="Input 19 3 2" xfId="59310"/>
    <cellStyle name="Input 19 4" xfId="4187"/>
    <cellStyle name="Input 19 4 2" xfId="59311"/>
    <cellStyle name="Input 19 5" xfId="4188"/>
    <cellStyle name="Input 19 5 2" xfId="59312"/>
    <cellStyle name="Input 19 6" xfId="4189"/>
    <cellStyle name="Input 19 6 2" xfId="59313"/>
    <cellStyle name="Input 19 7" xfId="4190"/>
    <cellStyle name="Input 19 7 2" xfId="59314"/>
    <cellStyle name="Input 19 8" xfId="4191"/>
    <cellStyle name="Input 19 8 2" xfId="59315"/>
    <cellStyle name="Input 19 9" xfId="4192"/>
    <cellStyle name="Input 19 9 2" xfId="59316"/>
    <cellStyle name="Input 2" xfId="4193"/>
    <cellStyle name="Input 2 10" xfId="59317"/>
    <cellStyle name="Input 2 2" xfId="4194"/>
    <cellStyle name="Input 2 2 10" xfId="4195"/>
    <cellStyle name="Input 2 2 11" xfId="59318"/>
    <cellStyle name="Input 2 2 2" xfId="4196"/>
    <cellStyle name="Input 2 2 2 2" xfId="59319"/>
    <cellStyle name="Input 2 2 3" xfId="4197"/>
    <cellStyle name="Input 2 2 3 2" xfId="59320"/>
    <cellStyle name="Input 2 2 4" xfId="4198"/>
    <cellStyle name="Input 2 2 4 2" xfId="59321"/>
    <cellStyle name="Input 2 2 5" xfId="4199"/>
    <cellStyle name="Input 2 2 5 2" xfId="59322"/>
    <cellStyle name="Input 2 2 6" xfId="4200"/>
    <cellStyle name="Input 2 2 6 2" xfId="59323"/>
    <cellStyle name="Input 2 2 7" xfId="4201"/>
    <cellStyle name="Input 2 2 7 2" xfId="59324"/>
    <cellStyle name="Input 2 2 8" xfId="4202"/>
    <cellStyle name="Input 2 2 8 2" xfId="59325"/>
    <cellStyle name="Input 2 2 9" xfId="4203"/>
    <cellStyle name="Input 2 3" xfId="4204"/>
    <cellStyle name="Input 2 3 2" xfId="59326"/>
    <cellStyle name="Input 2 4" xfId="4205"/>
    <cellStyle name="Input 2 4 2" xfId="59327"/>
    <cellStyle name="Input 2 5" xfId="4206"/>
    <cellStyle name="Input 2 5 2" xfId="59328"/>
    <cellStyle name="Input 2 6" xfId="4207"/>
    <cellStyle name="Input 2 6 2" xfId="59329"/>
    <cellStyle name="Input 2 7" xfId="4208"/>
    <cellStyle name="Input 2 7 2" xfId="59330"/>
    <cellStyle name="Input 2 8" xfId="4209"/>
    <cellStyle name="Input 2 8 2" xfId="59331"/>
    <cellStyle name="Input 2 9" xfId="4210"/>
    <cellStyle name="Input 20" xfId="4211"/>
    <cellStyle name="Input 20 10" xfId="4212"/>
    <cellStyle name="Input 20 2" xfId="4213"/>
    <cellStyle name="Input 20 2 2" xfId="4214"/>
    <cellStyle name="Input 20 2 2 2" xfId="59332"/>
    <cellStyle name="Input 20 2 3" xfId="4215"/>
    <cellStyle name="Input 20 2 3 2" xfId="59333"/>
    <cellStyle name="Input 20 2 4" xfId="4216"/>
    <cellStyle name="Input 20 2 4 2" xfId="59334"/>
    <cellStyle name="Input 20 2 5" xfId="4217"/>
    <cellStyle name="Input 20 2 5 2" xfId="59335"/>
    <cellStyle name="Input 20 2 6" xfId="4218"/>
    <cellStyle name="Input 20 2 6 2" xfId="59336"/>
    <cellStyle name="Input 20 2 7" xfId="4219"/>
    <cellStyle name="Input 20 2 7 2" xfId="59337"/>
    <cellStyle name="Input 20 2 8" xfId="4220"/>
    <cellStyle name="Input 20 2 8 2" xfId="59338"/>
    <cellStyle name="Input 20 2 9" xfId="4221"/>
    <cellStyle name="Input 20 3" xfId="4222"/>
    <cellStyle name="Input 20 3 2" xfId="59339"/>
    <cellStyle name="Input 20 4" xfId="4223"/>
    <cellStyle name="Input 20 4 2" xfId="59340"/>
    <cellStyle name="Input 20 5" xfId="4224"/>
    <cellStyle name="Input 20 5 2" xfId="59341"/>
    <cellStyle name="Input 20 6" xfId="4225"/>
    <cellStyle name="Input 20 6 2" xfId="59342"/>
    <cellStyle name="Input 20 7" xfId="4226"/>
    <cellStyle name="Input 20 7 2" xfId="59343"/>
    <cellStyle name="Input 20 8" xfId="4227"/>
    <cellStyle name="Input 20 8 2" xfId="59344"/>
    <cellStyle name="Input 20 9" xfId="4228"/>
    <cellStyle name="Input 20 9 2" xfId="59345"/>
    <cellStyle name="Input 21" xfId="4229"/>
    <cellStyle name="Input 21 10" xfId="4230"/>
    <cellStyle name="Input 21 2" xfId="4231"/>
    <cellStyle name="Input 21 2 2" xfId="4232"/>
    <cellStyle name="Input 21 2 2 2" xfId="59346"/>
    <cellStyle name="Input 21 2 3" xfId="4233"/>
    <cellStyle name="Input 21 2 3 2" xfId="59347"/>
    <cellStyle name="Input 21 2 4" xfId="4234"/>
    <cellStyle name="Input 21 2 4 2" xfId="59348"/>
    <cellStyle name="Input 21 2 5" xfId="4235"/>
    <cellStyle name="Input 21 2 5 2" xfId="59349"/>
    <cellStyle name="Input 21 2 6" xfId="4236"/>
    <cellStyle name="Input 21 2 6 2" xfId="59350"/>
    <cellStyle name="Input 21 2 7" xfId="4237"/>
    <cellStyle name="Input 21 2 7 2" xfId="59351"/>
    <cellStyle name="Input 21 2 8" xfId="4238"/>
    <cellStyle name="Input 21 2 8 2" xfId="59352"/>
    <cellStyle name="Input 21 2 9" xfId="4239"/>
    <cellStyle name="Input 21 3" xfId="4240"/>
    <cellStyle name="Input 21 3 2" xfId="59353"/>
    <cellStyle name="Input 21 4" xfId="4241"/>
    <cellStyle name="Input 21 4 2" xfId="59354"/>
    <cellStyle name="Input 21 5" xfId="4242"/>
    <cellStyle name="Input 21 5 2" xfId="59355"/>
    <cellStyle name="Input 21 6" xfId="4243"/>
    <cellStyle name="Input 21 6 2" xfId="59356"/>
    <cellStyle name="Input 21 7" xfId="4244"/>
    <cellStyle name="Input 21 7 2" xfId="59357"/>
    <cellStyle name="Input 21 8" xfId="4245"/>
    <cellStyle name="Input 21 8 2" xfId="59358"/>
    <cellStyle name="Input 21 9" xfId="4246"/>
    <cellStyle name="Input 21 9 2" xfId="59359"/>
    <cellStyle name="Input 22" xfId="4247"/>
    <cellStyle name="Input 22 2" xfId="4248"/>
    <cellStyle name="Input 22 2 2" xfId="59360"/>
    <cellStyle name="Input 22 3" xfId="4249"/>
    <cellStyle name="Input 22 3 2" xfId="59361"/>
    <cellStyle name="Input 22 4" xfId="4250"/>
    <cellStyle name="Input 22 4 2" xfId="59362"/>
    <cellStyle name="Input 22 5" xfId="4251"/>
    <cellStyle name="Input 22 5 2" xfId="59363"/>
    <cellStyle name="Input 22 6" xfId="4252"/>
    <cellStyle name="Input 22 6 2" xfId="59364"/>
    <cellStyle name="Input 22 7" xfId="4253"/>
    <cellStyle name="Input 22 7 2" xfId="59365"/>
    <cellStyle name="Input 22 8" xfId="4254"/>
    <cellStyle name="Input 22 8 2" xfId="59366"/>
    <cellStyle name="Input 22 9" xfId="4255"/>
    <cellStyle name="Input 23" xfId="9211"/>
    <cellStyle name="Input 3" xfId="4256"/>
    <cellStyle name="Input 3 10" xfId="4257"/>
    <cellStyle name="Input 3 11" xfId="9212"/>
    <cellStyle name="Input 3 2" xfId="4258"/>
    <cellStyle name="Input 3 2 10" xfId="4259"/>
    <cellStyle name="Input 3 2 2" xfId="4260"/>
    <cellStyle name="Input 3 2 2 2" xfId="59367"/>
    <cellStyle name="Input 3 2 3" xfId="4261"/>
    <cellStyle name="Input 3 2 3 2" xfId="59368"/>
    <cellStyle name="Input 3 2 4" xfId="4262"/>
    <cellStyle name="Input 3 2 4 2" xfId="59369"/>
    <cellStyle name="Input 3 2 5" xfId="4263"/>
    <cellStyle name="Input 3 2 5 2" xfId="59370"/>
    <cellStyle name="Input 3 2 6" xfId="4264"/>
    <cellStyle name="Input 3 2 6 2" xfId="59371"/>
    <cellStyle name="Input 3 2 7" xfId="4265"/>
    <cellStyle name="Input 3 2 7 2" xfId="59372"/>
    <cellStyle name="Input 3 2 8" xfId="4266"/>
    <cellStyle name="Input 3 2 8 2" xfId="59373"/>
    <cellStyle name="Input 3 2 9" xfId="4267"/>
    <cellStyle name="Input 3 3" xfId="4268"/>
    <cellStyle name="Input 3 3 2" xfId="59374"/>
    <cellStyle name="Input 3 4" xfId="4269"/>
    <cellStyle name="Input 3 4 2" xfId="59375"/>
    <cellStyle name="Input 3 5" xfId="4270"/>
    <cellStyle name="Input 3 5 2" xfId="59376"/>
    <cellStyle name="Input 3 6" xfId="4271"/>
    <cellStyle name="Input 3 6 2" xfId="59377"/>
    <cellStyle name="Input 3 7" xfId="4272"/>
    <cellStyle name="Input 3 7 2" xfId="59378"/>
    <cellStyle name="Input 3 8" xfId="4273"/>
    <cellStyle name="Input 3 8 2" xfId="59379"/>
    <cellStyle name="Input 3 9" xfId="4274"/>
    <cellStyle name="Input 3 9 2" xfId="59380"/>
    <cellStyle name="Input 4" xfId="4275"/>
    <cellStyle name="Input 4 10" xfId="4276"/>
    <cellStyle name="Input 4 11" xfId="59381"/>
    <cellStyle name="Input 4 12" xfId="59382"/>
    <cellStyle name="Input 4 2" xfId="4277"/>
    <cellStyle name="Input 4 2 2" xfId="4278"/>
    <cellStyle name="Input 4 2 2 2" xfId="59383"/>
    <cellStyle name="Input 4 2 3" xfId="4279"/>
    <cellStyle name="Input 4 2 3 2" xfId="59384"/>
    <cellStyle name="Input 4 2 4" xfId="4280"/>
    <cellStyle name="Input 4 2 4 2" xfId="59385"/>
    <cellStyle name="Input 4 2 5" xfId="4281"/>
    <cellStyle name="Input 4 2 5 2" xfId="59386"/>
    <cellStyle name="Input 4 2 6" xfId="4282"/>
    <cellStyle name="Input 4 2 6 2" xfId="59387"/>
    <cellStyle name="Input 4 2 7" xfId="4283"/>
    <cellStyle name="Input 4 2 7 2" xfId="59388"/>
    <cellStyle name="Input 4 2 8" xfId="4284"/>
    <cellStyle name="Input 4 2 8 2" xfId="59389"/>
    <cellStyle name="Input 4 2 9" xfId="4285"/>
    <cellStyle name="Input 4 3" xfId="4286"/>
    <cellStyle name="Input 4 3 2" xfId="59390"/>
    <cellStyle name="Input 4 4" xfId="4287"/>
    <cellStyle name="Input 4 4 2" xfId="59391"/>
    <cellStyle name="Input 4 5" xfId="4288"/>
    <cellStyle name="Input 4 5 2" xfId="59392"/>
    <cellStyle name="Input 4 6" xfId="4289"/>
    <cellStyle name="Input 4 6 2" xfId="59393"/>
    <cellStyle name="Input 4 7" xfId="4290"/>
    <cellStyle name="Input 4 7 2" xfId="59394"/>
    <cellStyle name="Input 4 8" xfId="4291"/>
    <cellStyle name="Input 4 8 2" xfId="59395"/>
    <cellStyle name="Input 4 9" xfId="4292"/>
    <cellStyle name="Input 4 9 2" xfId="59396"/>
    <cellStyle name="Input 5" xfId="4293"/>
    <cellStyle name="Input 5 10" xfId="4294"/>
    <cellStyle name="Input 5 11" xfId="59397"/>
    <cellStyle name="Input 5 12" xfId="59398"/>
    <cellStyle name="Input 5 2" xfId="4295"/>
    <cellStyle name="Input 5 2 2" xfId="4296"/>
    <cellStyle name="Input 5 2 2 2" xfId="59399"/>
    <cellStyle name="Input 5 2 3" xfId="4297"/>
    <cellStyle name="Input 5 2 3 2" xfId="59400"/>
    <cellStyle name="Input 5 2 4" xfId="4298"/>
    <cellStyle name="Input 5 2 4 2" xfId="59401"/>
    <cellStyle name="Input 5 2 5" xfId="4299"/>
    <cellStyle name="Input 5 2 5 2" xfId="59402"/>
    <cellStyle name="Input 5 2 6" xfId="4300"/>
    <cellStyle name="Input 5 2 6 2" xfId="59403"/>
    <cellStyle name="Input 5 2 7" xfId="4301"/>
    <cellStyle name="Input 5 2 7 2" xfId="59404"/>
    <cellStyle name="Input 5 2 8" xfId="4302"/>
    <cellStyle name="Input 5 2 8 2" xfId="59405"/>
    <cellStyle name="Input 5 2 9" xfId="4303"/>
    <cellStyle name="Input 5 3" xfId="4304"/>
    <cellStyle name="Input 5 3 2" xfId="59406"/>
    <cellStyle name="Input 5 4" xfId="4305"/>
    <cellStyle name="Input 5 4 2" xfId="59407"/>
    <cellStyle name="Input 5 5" xfId="4306"/>
    <cellStyle name="Input 5 5 2" xfId="59408"/>
    <cellStyle name="Input 5 6" xfId="4307"/>
    <cellStyle name="Input 5 6 2" xfId="59409"/>
    <cellStyle name="Input 5 7" xfId="4308"/>
    <cellStyle name="Input 5 7 2" xfId="59410"/>
    <cellStyle name="Input 5 8" xfId="4309"/>
    <cellStyle name="Input 5 8 2" xfId="59411"/>
    <cellStyle name="Input 5 9" xfId="4310"/>
    <cellStyle name="Input 5 9 2" xfId="59412"/>
    <cellStyle name="Input 6" xfId="4311"/>
    <cellStyle name="Input 6 10" xfId="4312"/>
    <cellStyle name="Input 6 11" xfId="59413"/>
    <cellStyle name="Input 6 12" xfId="59414"/>
    <cellStyle name="Input 6 2" xfId="4313"/>
    <cellStyle name="Input 6 2 2" xfId="4314"/>
    <cellStyle name="Input 6 2 2 2" xfId="59415"/>
    <cellStyle name="Input 6 2 3" xfId="4315"/>
    <cellStyle name="Input 6 2 3 2" xfId="59416"/>
    <cellStyle name="Input 6 2 4" xfId="4316"/>
    <cellStyle name="Input 6 2 4 2" xfId="59417"/>
    <cellStyle name="Input 6 2 5" xfId="4317"/>
    <cellStyle name="Input 6 2 5 2" xfId="59418"/>
    <cellStyle name="Input 6 2 6" xfId="4318"/>
    <cellStyle name="Input 6 2 6 2" xfId="59419"/>
    <cellStyle name="Input 6 2 7" xfId="4319"/>
    <cellStyle name="Input 6 2 7 2" xfId="59420"/>
    <cellStyle name="Input 6 2 8" xfId="4320"/>
    <cellStyle name="Input 6 2 8 2" xfId="59421"/>
    <cellStyle name="Input 6 2 9" xfId="4321"/>
    <cellStyle name="Input 6 3" xfId="4322"/>
    <cellStyle name="Input 6 3 2" xfId="59422"/>
    <cellStyle name="Input 6 4" xfId="4323"/>
    <cellStyle name="Input 6 4 2" xfId="59423"/>
    <cellStyle name="Input 6 5" xfId="4324"/>
    <cellStyle name="Input 6 5 2" xfId="59424"/>
    <cellStyle name="Input 6 6" xfId="4325"/>
    <cellStyle name="Input 6 6 2" xfId="59425"/>
    <cellStyle name="Input 6 7" xfId="4326"/>
    <cellStyle name="Input 6 7 2" xfId="59426"/>
    <cellStyle name="Input 6 8" xfId="4327"/>
    <cellStyle name="Input 6 8 2" xfId="59427"/>
    <cellStyle name="Input 6 9" xfId="4328"/>
    <cellStyle name="Input 6 9 2" xfId="59428"/>
    <cellStyle name="Input 7" xfId="4329"/>
    <cellStyle name="Input 7 10" xfId="4330"/>
    <cellStyle name="Input 7 11" xfId="59429"/>
    <cellStyle name="Input 7 12" xfId="59430"/>
    <cellStyle name="Input 7 2" xfId="4331"/>
    <cellStyle name="Input 7 2 2" xfId="4332"/>
    <cellStyle name="Input 7 2 2 2" xfId="59431"/>
    <cellStyle name="Input 7 2 3" xfId="4333"/>
    <cellStyle name="Input 7 2 3 2" xfId="59432"/>
    <cellStyle name="Input 7 2 4" xfId="4334"/>
    <cellStyle name="Input 7 2 4 2" xfId="59433"/>
    <cellStyle name="Input 7 2 5" xfId="4335"/>
    <cellStyle name="Input 7 2 5 2" xfId="59434"/>
    <cellStyle name="Input 7 2 6" xfId="4336"/>
    <cellStyle name="Input 7 2 6 2" xfId="59435"/>
    <cellStyle name="Input 7 2 7" xfId="4337"/>
    <cellStyle name="Input 7 2 7 2" xfId="59436"/>
    <cellStyle name="Input 7 2 8" xfId="4338"/>
    <cellStyle name="Input 7 2 8 2" xfId="59437"/>
    <cellStyle name="Input 7 2 9" xfId="4339"/>
    <cellStyle name="Input 7 3" xfId="4340"/>
    <cellStyle name="Input 7 3 2" xfId="59438"/>
    <cellStyle name="Input 7 4" xfId="4341"/>
    <cellStyle name="Input 7 4 2" xfId="59439"/>
    <cellStyle name="Input 7 5" xfId="4342"/>
    <cellStyle name="Input 7 5 2" xfId="59440"/>
    <cellStyle name="Input 7 6" xfId="4343"/>
    <cellStyle name="Input 7 6 2" xfId="59441"/>
    <cellStyle name="Input 7 7" xfId="4344"/>
    <cellStyle name="Input 7 7 2" xfId="59442"/>
    <cellStyle name="Input 7 8" xfId="4345"/>
    <cellStyle name="Input 7 8 2" xfId="59443"/>
    <cellStyle name="Input 7 9" xfId="4346"/>
    <cellStyle name="Input 7 9 2" xfId="59444"/>
    <cellStyle name="Input 8" xfId="4347"/>
    <cellStyle name="Input 8 10" xfId="4348"/>
    <cellStyle name="Input 8 11" xfId="59445"/>
    <cellStyle name="Input 8 12" xfId="59446"/>
    <cellStyle name="Input 8 2" xfId="4349"/>
    <cellStyle name="Input 8 2 2" xfId="4350"/>
    <cellStyle name="Input 8 2 2 2" xfId="59447"/>
    <cellStyle name="Input 8 2 3" xfId="4351"/>
    <cellStyle name="Input 8 2 3 2" xfId="59448"/>
    <cellStyle name="Input 8 2 4" xfId="4352"/>
    <cellStyle name="Input 8 2 4 2" xfId="59449"/>
    <cellStyle name="Input 8 2 5" xfId="4353"/>
    <cellStyle name="Input 8 2 5 2" xfId="59450"/>
    <cellStyle name="Input 8 2 6" xfId="4354"/>
    <cellStyle name="Input 8 2 6 2" xfId="59451"/>
    <cellStyle name="Input 8 2 7" xfId="4355"/>
    <cellStyle name="Input 8 2 7 2" xfId="59452"/>
    <cellStyle name="Input 8 2 8" xfId="4356"/>
    <cellStyle name="Input 8 2 8 2" xfId="59453"/>
    <cellStyle name="Input 8 2 9" xfId="4357"/>
    <cellStyle name="Input 8 3" xfId="4358"/>
    <cellStyle name="Input 8 3 2" xfId="59454"/>
    <cellStyle name="Input 8 4" xfId="4359"/>
    <cellStyle name="Input 8 4 2" xfId="59455"/>
    <cellStyle name="Input 8 5" xfId="4360"/>
    <cellStyle name="Input 8 5 2" xfId="59456"/>
    <cellStyle name="Input 8 6" xfId="4361"/>
    <cellStyle name="Input 8 6 2" xfId="59457"/>
    <cellStyle name="Input 8 7" xfId="4362"/>
    <cellStyle name="Input 8 7 2" xfId="59458"/>
    <cellStyle name="Input 8 8" xfId="4363"/>
    <cellStyle name="Input 8 8 2" xfId="59459"/>
    <cellStyle name="Input 8 9" xfId="4364"/>
    <cellStyle name="Input 8 9 2" xfId="59460"/>
    <cellStyle name="Input 9" xfId="4365"/>
    <cellStyle name="Input 9 10" xfId="4366"/>
    <cellStyle name="Input 9 11" xfId="59461"/>
    <cellStyle name="Input 9 12" xfId="59462"/>
    <cellStyle name="Input 9 2" xfId="4367"/>
    <cellStyle name="Input 9 2 2" xfId="4368"/>
    <cellStyle name="Input 9 2 2 2" xfId="59463"/>
    <cellStyle name="Input 9 2 3" xfId="4369"/>
    <cellStyle name="Input 9 2 3 2" xfId="59464"/>
    <cellStyle name="Input 9 2 4" xfId="4370"/>
    <cellStyle name="Input 9 2 4 2" xfId="59465"/>
    <cellStyle name="Input 9 2 5" xfId="4371"/>
    <cellStyle name="Input 9 2 5 2" xfId="59466"/>
    <cellStyle name="Input 9 2 6" xfId="4372"/>
    <cellStyle name="Input 9 2 6 2" xfId="59467"/>
    <cellStyle name="Input 9 2 7" xfId="4373"/>
    <cellStyle name="Input 9 2 7 2" xfId="59468"/>
    <cellStyle name="Input 9 2 8" xfId="4374"/>
    <cellStyle name="Input 9 2 8 2" xfId="59469"/>
    <cellStyle name="Input 9 2 9" xfId="4375"/>
    <cellStyle name="Input 9 3" xfId="4376"/>
    <cellStyle name="Input 9 3 2" xfId="59470"/>
    <cellStyle name="Input 9 4" xfId="4377"/>
    <cellStyle name="Input 9 4 2" xfId="59471"/>
    <cellStyle name="Input 9 5" xfId="4378"/>
    <cellStyle name="Input 9 5 2" xfId="59472"/>
    <cellStyle name="Input 9 6" xfId="4379"/>
    <cellStyle name="Input 9 6 2" xfId="59473"/>
    <cellStyle name="Input 9 7" xfId="4380"/>
    <cellStyle name="Input 9 7 2" xfId="59474"/>
    <cellStyle name="Input 9 8" xfId="4381"/>
    <cellStyle name="Input 9 8 2" xfId="59475"/>
    <cellStyle name="Input 9 9" xfId="4382"/>
    <cellStyle name="Input 9 9 2" xfId="59476"/>
    <cellStyle name="Labels - Style3" xfId="59477"/>
    <cellStyle name="LineItemPrompt" xfId="4383"/>
    <cellStyle name="LineItemPrompt 2" xfId="4384"/>
    <cellStyle name="LineItemPrompt 2 2" xfId="9814"/>
    <cellStyle name="LineItemPrompt 2 3" xfId="9815"/>
    <cellStyle name="LineItemPrompt 3" xfId="4385"/>
    <cellStyle name="LineItemPrompt 4" xfId="9213"/>
    <cellStyle name="LineItemValue" xfId="4386"/>
    <cellStyle name="LineItemValue 2" xfId="4387"/>
    <cellStyle name="LineItemValue 2 2" xfId="9816"/>
    <cellStyle name="LineItemValue 2 3" xfId="9817"/>
    <cellStyle name="LineItemValue 3" xfId="4388"/>
    <cellStyle name="LineItemValue 4" xfId="4389"/>
    <cellStyle name="LineItemValue 5" xfId="9214"/>
    <cellStyle name="Linked Cell 10" xfId="9818"/>
    <cellStyle name="Linked Cell 11" xfId="9819"/>
    <cellStyle name="Linked Cell 12" xfId="9820"/>
    <cellStyle name="Linked Cell 13" xfId="9821"/>
    <cellStyle name="Linked Cell 14" xfId="9822"/>
    <cellStyle name="Linked Cell 15" xfId="9823"/>
    <cellStyle name="Linked Cell 16" xfId="9824"/>
    <cellStyle name="Linked Cell 17" xfId="9825"/>
    <cellStyle name="Linked Cell 17 2" xfId="59478"/>
    <cellStyle name="Linked Cell 2" xfId="4390"/>
    <cellStyle name="Linked Cell 2 2" xfId="4391"/>
    <cellStyle name="Linked Cell 2 2 2" xfId="52910"/>
    <cellStyle name="Linked Cell 2 3" xfId="52911"/>
    <cellStyle name="Linked Cell 2 4" xfId="52912"/>
    <cellStyle name="Linked Cell 2 5" xfId="52913"/>
    <cellStyle name="Linked Cell 3" xfId="4392"/>
    <cellStyle name="Linked Cell 3 2" xfId="9215"/>
    <cellStyle name="Linked Cell 4" xfId="9216"/>
    <cellStyle name="Linked Cell 4 2" xfId="52914"/>
    <cellStyle name="Linked Cell 5" xfId="9826"/>
    <cellStyle name="Linked Cell 5 2" xfId="52915"/>
    <cellStyle name="Linked Cell 6" xfId="9827"/>
    <cellStyle name="Linked Cell 6 2" xfId="52916"/>
    <cellStyle name="Linked Cell 7" xfId="9828"/>
    <cellStyle name="Linked Cell 7 2" xfId="52917"/>
    <cellStyle name="Linked Cell 8" xfId="9829"/>
    <cellStyle name="Linked Cell 9" xfId="9830"/>
    <cellStyle name="Milliers [0]_EDYAN" xfId="52918"/>
    <cellStyle name="Milliers_EDYAN" xfId="52919"/>
    <cellStyle name="Monétaire [0]_EDYAN" xfId="52920"/>
    <cellStyle name="Monétaire_EDYAN" xfId="52921"/>
    <cellStyle name="MTH" xfId="52922"/>
    <cellStyle name="Neutral 10" xfId="9831"/>
    <cellStyle name="Neutral 11" xfId="9832"/>
    <cellStyle name="Neutral 12" xfId="9833"/>
    <cellStyle name="Neutral 13" xfId="9834"/>
    <cellStyle name="Neutral 14" xfId="9835"/>
    <cellStyle name="Neutral 15" xfId="9836"/>
    <cellStyle name="Neutral 16" xfId="9837"/>
    <cellStyle name="Neutral 17" xfId="9838"/>
    <cellStyle name="Neutral 17 2" xfId="59479"/>
    <cellStyle name="Neutral 2" xfId="4393"/>
    <cellStyle name="Neutral 2 2" xfId="4394"/>
    <cellStyle name="Neutral 2 2 2" xfId="52923"/>
    <cellStyle name="Neutral 2 3" xfId="52924"/>
    <cellStyle name="Neutral 2 4" xfId="52925"/>
    <cellStyle name="Neutral 2 5" xfId="52926"/>
    <cellStyle name="Neutral 3" xfId="4395"/>
    <cellStyle name="Neutral 3 2" xfId="9217"/>
    <cellStyle name="Neutral 4" xfId="9218"/>
    <cellStyle name="Neutral 4 2" xfId="52927"/>
    <cellStyle name="Neutral 5" xfId="9839"/>
    <cellStyle name="Neutral 5 2" xfId="52928"/>
    <cellStyle name="Neutral 6" xfId="9840"/>
    <cellStyle name="Neutral 6 2" xfId="52929"/>
    <cellStyle name="Neutral 7" xfId="9841"/>
    <cellStyle name="Neutral 7 2" xfId="52930"/>
    <cellStyle name="Neutral 8" xfId="9842"/>
    <cellStyle name="Neutral 9" xfId="9843"/>
    <cellStyle name="Normal" xfId="0" builtinId="0"/>
    <cellStyle name="Normal - Style1" xfId="52931"/>
    <cellStyle name="Normal - Style1 2" xfId="59480"/>
    <cellStyle name="Normal - Style2" xfId="59481"/>
    <cellStyle name="Normal - Style3" xfId="59482"/>
    <cellStyle name="Normal - Style4" xfId="59483"/>
    <cellStyle name="Normal - Style5" xfId="59484"/>
    <cellStyle name="Normal - Style6" xfId="59485"/>
    <cellStyle name="Normal - Style7" xfId="59486"/>
    <cellStyle name="Normal - Style8" xfId="59487"/>
    <cellStyle name="Normal 10" xfId="4396"/>
    <cellStyle name="Normal 10 2" xfId="4397"/>
    <cellStyle name="Normal 10 2 2" xfId="59488"/>
    <cellStyle name="Normal 10 3" xfId="4398"/>
    <cellStyle name="Normal 10 3 2" xfId="52932"/>
    <cellStyle name="Normal 10 3 3" xfId="52933"/>
    <cellStyle name="Normal 10 4" xfId="9219"/>
    <cellStyle name="Normal 11" xfId="4399"/>
    <cellStyle name="Normal 11 10" xfId="10006"/>
    <cellStyle name="Normal 11 10 2" xfId="52934"/>
    <cellStyle name="Normal 11 10 2 2" xfId="52935"/>
    <cellStyle name="Normal 11 10 2 3" xfId="52936"/>
    <cellStyle name="Normal 11 10 3" xfId="52937"/>
    <cellStyle name="Normal 11 10 3 2" xfId="52938"/>
    <cellStyle name="Normal 11 10 4" xfId="52939"/>
    <cellStyle name="Normal 11 10 5" xfId="52940"/>
    <cellStyle name="Normal 11 11" xfId="52941"/>
    <cellStyle name="Normal 11 11 2" xfId="52942"/>
    <cellStyle name="Normal 11 11 3" xfId="52943"/>
    <cellStyle name="Normal 11 12" xfId="52944"/>
    <cellStyle name="Normal 11 12 2" xfId="52945"/>
    <cellStyle name="Normal 11 12 3" xfId="52946"/>
    <cellStyle name="Normal 11 13" xfId="52947"/>
    <cellStyle name="Normal 11 13 2" xfId="52948"/>
    <cellStyle name="Normal 11 14" xfId="52949"/>
    <cellStyle name="Normal 11 15" xfId="52950"/>
    <cellStyle name="Normal 11 16" xfId="52951"/>
    <cellStyle name="Normal 11 2" xfId="4400"/>
    <cellStyle name="Normal 11 2 10" xfId="52952"/>
    <cellStyle name="Normal 11 2 10 2" xfId="52953"/>
    <cellStyle name="Normal 11 2 10 3" xfId="52954"/>
    <cellStyle name="Normal 11 2 11" xfId="52955"/>
    <cellStyle name="Normal 11 2 11 2" xfId="52956"/>
    <cellStyle name="Normal 11 2 11 3" xfId="52957"/>
    <cellStyle name="Normal 11 2 12" xfId="52958"/>
    <cellStyle name="Normal 11 2 12 2" xfId="52959"/>
    <cellStyle name="Normal 11 2 13" xfId="52960"/>
    <cellStyle name="Normal 11 2 14" xfId="52961"/>
    <cellStyle name="Normal 11 2 15" xfId="52962"/>
    <cellStyle name="Normal 11 2 2" xfId="52963"/>
    <cellStyle name="Normal 11 2 2 10" xfId="52964"/>
    <cellStyle name="Normal 11 2 2 10 2" xfId="52965"/>
    <cellStyle name="Normal 11 2 2 10 3" xfId="52966"/>
    <cellStyle name="Normal 11 2 2 11" xfId="52967"/>
    <cellStyle name="Normal 11 2 2 11 2" xfId="52968"/>
    <cellStyle name="Normal 11 2 2 12" xfId="52969"/>
    <cellStyle name="Normal 11 2 2 13" xfId="52970"/>
    <cellStyle name="Normal 11 2 2 2" xfId="52971"/>
    <cellStyle name="Normal 11 2 2 2 10" xfId="52972"/>
    <cellStyle name="Normal 11 2 2 2 10 2" xfId="52973"/>
    <cellStyle name="Normal 11 2 2 2 11" xfId="52974"/>
    <cellStyle name="Normal 11 2 2 2 12" xfId="52975"/>
    <cellStyle name="Normal 11 2 2 2 2" xfId="52976"/>
    <cellStyle name="Normal 11 2 2 2 2 10" xfId="52977"/>
    <cellStyle name="Normal 11 2 2 2 2 2" xfId="52978"/>
    <cellStyle name="Normal 11 2 2 2 2 2 2" xfId="52979"/>
    <cellStyle name="Normal 11 2 2 2 2 2 2 2" xfId="52980"/>
    <cellStyle name="Normal 11 2 2 2 2 2 2 2 2" xfId="52981"/>
    <cellStyle name="Normal 11 2 2 2 2 2 2 2 3" xfId="52982"/>
    <cellStyle name="Normal 11 2 2 2 2 2 2 3" xfId="52983"/>
    <cellStyle name="Normal 11 2 2 2 2 2 2 3 2" xfId="52984"/>
    <cellStyle name="Normal 11 2 2 2 2 2 2 3 3" xfId="52985"/>
    <cellStyle name="Normal 11 2 2 2 2 2 2 4" xfId="52986"/>
    <cellStyle name="Normal 11 2 2 2 2 2 2 4 2" xfId="52987"/>
    <cellStyle name="Normal 11 2 2 2 2 2 2 5" xfId="52988"/>
    <cellStyle name="Normal 11 2 2 2 2 2 2 6" xfId="52989"/>
    <cellStyle name="Normal 11 2 2 2 2 2 3" xfId="52990"/>
    <cellStyle name="Normal 11 2 2 2 2 2 3 2" xfId="52991"/>
    <cellStyle name="Normal 11 2 2 2 2 2 3 2 2" xfId="52992"/>
    <cellStyle name="Normal 11 2 2 2 2 2 3 2 3" xfId="52993"/>
    <cellStyle name="Normal 11 2 2 2 2 2 3 3" xfId="52994"/>
    <cellStyle name="Normal 11 2 2 2 2 2 3 3 2" xfId="52995"/>
    <cellStyle name="Normal 11 2 2 2 2 2 3 3 3" xfId="52996"/>
    <cellStyle name="Normal 11 2 2 2 2 2 3 4" xfId="52997"/>
    <cellStyle name="Normal 11 2 2 2 2 2 3 4 2" xfId="52998"/>
    <cellStyle name="Normal 11 2 2 2 2 2 3 5" xfId="52999"/>
    <cellStyle name="Normal 11 2 2 2 2 2 3 6" xfId="53000"/>
    <cellStyle name="Normal 11 2 2 2 2 2 4" xfId="53001"/>
    <cellStyle name="Normal 11 2 2 2 2 2 4 2" xfId="53002"/>
    <cellStyle name="Normal 11 2 2 2 2 2 4 2 2" xfId="53003"/>
    <cellStyle name="Normal 11 2 2 2 2 2 4 2 3" xfId="53004"/>
    <cellStyle name="Normal 11 2 2 2 2 2 4 3" xfId="53005"/>
    <cellStyle name="Normal 11 2 2 2 2 2 4 3 2" xfId="53006"/>
    <cellStyle name="Normal 11 2 2 2 2 2 4 4" xfId="53007"/>
    <cellStyle name="Normal 11 2 2 2 2 2 4 5" xfId="53008"/>
    <cellStyle name="Normal 11 2 2 2 2 2 5" xfId="53009"/>
    <cellStyle name="Normal 11 2 2 2 2 2 5 2" xfId="53010"/>
    <cellStyle name="Normal 11 2 2 2 2 2 5 3" xfId="53011"/>
    <cellStyle name="Normal 11 2 2 2 2 2 6" xfId="53012"/>
    <cellStyle name="Normal 11 2 2 2 2 2 6 2" xfId="53013"/>
    <cellStyle name="Normal 11 2 2 2 2 2 6 3" xfId="53014"/>
    <cellStyle name="Normal 11 2 2 2 2 2 7" xfId="53015"/>
    <cellStyle name="Normal 11 2 2 2 2 2 7 2" xfId="53016"/>
    <cellStyle name="Normal 11 2 2 2 2 2 8" xfId="53017"/>
    <cellStyle name="Normal 11 2 2 2 2 2 9" xfId="53018"/>
    <cellStyle name="Normal 11 2 2 2 2 3" xfId="53019"/>
    <cellStyle name="Normal 11 2 2 2 2 3 2" xfId="53020"/>
    <cellStyle name="Normal 11 2 2 2 2 3 2 2" xfId="53021"/>
    <cellStyle name="Normal 11 2 2 2 2 3 2 3" xfId="53022"/>
    <cellStyle name="Normal 11 2 2 2 2 3 3" xfId="53023"/>
    <cellStyle name="Normal 11 2 2 2 2 3 3 2" xfId="53024"/>
    <cellStyle name="Normal 11 2 2 2 2 3 3 3" xfId="53025"/>
    <cellStyle name="Normal 11 2 2 2 2 3 4" xfId="53026"/>
    <cellStyle name="Normal 11 2 2 2 2 3 4 2" xfId="53027"/>
    <cellStyle name="Normal 11 2 2 2 2 3 5" xfId="53028"/>
    <cellStyle name="Normal 11 2 2 2 2 3 6" xfId="53029"/>
    <cellStyle name="Normal 11 2 2 2 2 4" xfId="53030"/>
    <cellStyle name="Normal 11 2 2 2 2 4 2" xfId="53031"/>
    <cellStyle name="Normal 11 2 2 2 2 4 2 2" xfId="53032"/>
    <cellStyle name="Normal 11 2 2 2 2 4 2 3" xfId="53033"/>
    <cellStyle name="Normal 11 2 2 2 2 4 3" xfId="53034"/>
    <cellStyle name="Normal 11 2 2 2 2 4 3 2" xfId="53035"/>
    <cellStyle name="Normal 11 2 2 2 2 4 3 3" xfId="53036"/>
    <cellStyle name="Normal 11 2 2 2 2 4 4" xfId="53037"/>
    <cellStyle name="Normal 11 2 2 2 2 4 4 2" xfId="53038"/>
    <cellStyle name="Normal 11 2 2 2 2 4 5" xfId="53039"/>
    <cellStyle name="Normal 11 2 2 2 2 4 6" xfId="53040"/>
    <cellStyle name="Normal 11 2 2 2 2 5" xfId="53041"/>
    <cellStyle name="Normal 11 2 2 2 2 5 2" xfId="53042"/>
    <cellStyle name="Normal 11 2 2 2 2 5 2 2" xfId="53043"/>
    <cellStyle name="Normal 11 2 2 2 2 5 2 3" xfId="53044"/>
    <cellStyle name="Normal 11 2 2 2 2 5 3" xfId="53045"/>
    <cellStyle name="Normal 11 2 2 2 2 5 3 2" xfId="53046"/>
    <cellStyle name="Normal 11 2 2 2 2 5 4" xfId="53047"/>
    <cellStyle name="Normal 11 2 2 2 2 5 5" xfId="53048"/>
    <cellStyle name="Normal 11 2 2 2 2 6" xfId="53049"/>
    <cellStyle name="Normal 11 2 2 2 2 6 2" xfId="53050"/>
    <cellStyle name="Normal 11 2 2 2 2 6 3" xfId="53051"/>
    <cellStyle name="Normal 11 2 2 2 2 7" xfId="53052"/>
    <cellStyle name="Normal 11 2 2 2 2 7 2" xfId="53053"/>
    <cellStyle name="Normal 11 2 2 2 2 7 3" xfId="53054"/>
    <cellStyle name="Normal 11 2 2 2 2 8" xfId="53055"/>
    <cellStyle name="Normal 11 2 2 2 2 8 2" xfId="53056"/>
    <cellStyle name="Normal 11 2 2 2 2 9" xfId="53057"/>
    <cellStyle name="Normal 11 2 2 2 3" xfId="53058"/>
    <cellStyle name="Normal 11 2 2 2 3 2" xfId="53059"/>
    <cellStyle name="Normal 11 2 2 2 3 2 2" xfId="53060"/>
    <cellStyle name="Normal 11 2 2 2 3 2 2 2" xfId="53061"/>
    <cellStyle name="Normal 11 2 2 2 3 2 2 3" xfId="53062"/>
    <cellStyle name="Normal 11 2 2 2 3 2 3" xfId="53063"/>
    <cellStyle name="Normal 11 2 2 2 3 2 3 2" xfId="53064"/>
    <cellStyle name="Normal 11 2 2 2 3 2 3 3" xfId="53065"/>
    <cellStyle name="Normal 11 2 2 2 3 2 4" xfId="53066"/>
    <cellStyle name="Normal 11 2 2 2 3 2 4 2" xfId="53067"/>
    <cellStyle name="Normal 11 2 2 2 3 2 5" xfId="53068"/>
    <cellStyle name="Normal 11 2 2 2 3 2 6" xfId="53069"/>
    <cellStyle name="Normal 11 2 2 2 3 3" xfId="53070"/>
    <cellStyle name="Normal 11 2 2 2 3 3 2" xfId="53071"/>
    <cellStyle name="Normal 11 2 2 2 3 3 2 2" xfId="53072"/>
    <cellStyle name="Normal 11 2 2 2 3 3 2 3" xfId="53073"/>
    <cellStyle name="Normal 11 2 2 2 3 3 3" xfId="53074"/>
    <cellStyle name="Normal 11 2 2 2 3 3 3 2" xfId="53075"/>
    <cellStyle name="Normal 11 2 2 2 3 3 3 3" xfId="53076"/>
    <cellStyle name="Normal 11 2 2 2 3 3 4" xfId="53077"/>
    <cellStyle name="Normal 11 2 2 2 3 3 4 2" xfId="53078"/>
    <cellStyle name="Normal 11 2 2 2 3 3 5" xfId="53079"/>
    <cellStyle name="Normal 11 2 2 2 3 3 6" xfId="53080"/>
    <cellStyle name="Normal 11 2 2 2 3 4" xfId="53081"/>
    <cellStyle name="Normal 11 2 2 2 3 4 2" xfId="53082"/>
    <cellStyle name="Normal 11 2 2 2 3 4 2 2" xfId="53083"/>
    <cellStyle name="Normal 11 2 2 2 3 4 2 3" xfId="53084"/>
    <cellStyle name="Normal 11 2 2 2 3 4 3" xfId="53085"/>
    <cellStyle name="Normal 11 2 2 2 3 4 3 2" xfId="53086"/>
    <cellStyle name="Normal 11 2 2 2 3 4 4" xfId="53087"/>
    <cellStyle name="Normal 11 2 2 2 3 4 5" xfId="53088"/>
    <cellStyle name="Normal 11 2 2 2 3 5" xfId="53089"/>
    <cellStyle name="Normal 11 2 2 2 3 5 2" xfId="53090"/>
    <cellStyle name="Normal 11 2 2 2 3 5 3" xfId="53091"/>
    <cellStyle name="Normal 11 2 2 2 3 6" xfId="53092"/>
    <cellStyle name="Normal 11 2 2 2 3 6 2" xfId="53093"/>
    <cellStyle name="Normal 11 2 2 2 3 6 3" xfId="53094"/>
    <cellStyle name="Normal 11 2 2 2 3 7" xfId="53095"/>
    <cellStyle name="Normal 11 2 2 2 3 7 2" xfId="53096"/>
    <cellStyle name="Normal 11 2 2 2 3 8" xfId="53097"/>
    <cellStyle name="Normal 11 2 2 2 3 9" xfId="53098"/>
    <cellStyle name="Normal 11 2 2 2 4" xfId="53099"/>
    <cellStyle name="Normal 11 2 2 2 4 2" xfId="53100"/>
    <cellStyle name="Normal 11 2 2 2 4 2 2" xfId="53101"/>
    <cellStyle name="Normal 11 2 2 2 4 2 2 2" xfId="53102"/>
    <cellStyle name="Normal 11 2 2 2 4 2 2 3" xfId="53103"/>
    <cellStyle name="Normal 11 2 2 2 4 2 3" xfId="53104"/>
    <cellStyle name="Normal 11 2 2 2 4 2 3 2" xfId="53105"/>
    <cellStyle name="Normal 11 2 2 2 4 2 3 3" xfId="53106"/>
    <cellStyle name="Normal 11 2 2 2 4 2 4" xfId="53107"/>
    <cellStyle name="Normal 11 2 2 2 4 2 4 2" xfId="53108"/>
    <cellStyle name="Normal 11 2 2 2 4 2 5" xfId="53109"/>
    <cellStyle name="Normal 11 2 2 2 4 2 6" xfId="53110"/>
    <cellStyle name="Normal 11 2 2 2 4 3" xfId="53111"/>
    <cellStyle name="Normal 11 2 2 2 4 3 2" xfId="53112"/>
    <cellStyle name="Normal 11 2 2 2 4 3 2 2" xfId="53113"/>
    <cellStyle name="Normal 11 2 2 2 4 3 2 3" xfId="53114"/>
    <cellStyle name="Normal 11 2 2 2 4 3 3" xfId="53115"/>
    <cellStyle name="Normal 11 2 2 2 4 3 3 2" xfId="53116"/>
    <cellStyle name="Normal 11 2 2 2 4 3 3 3" xfId="53117"/>
    <cellStyle name="Normal 11 2 2 2 4 3 4" xfId="53118"/>
    <cellStyle name="Normal 11 2 2 2 4 3 4 2" xfId="53119"/>
    <cellStyle name="Normal 11 2 2 2 4 3 5" xfId="53120"/>
    <cellStyle name="Normal 11 2 2 2 4 3 6" xfId="53121"/>
    <cellStyle name="Normal 11 2 2 2 4 4" xfId="53122"/>
    <cellStyle name="Normal 11 2 2 2 4 4 2" xfId="53123"/>
    <cellStyle name="Normal 11 2 2 2 4 4 2 2" xfId="53124"/>
    <cellStyle name="Normal 11 2 2 2 4 4 2 3" xfId="53125"/>
    <cellStyle name="Normal 11 2 2 2 4 4 3" xfId="53126"/>
    <cellStyle name="Normal 11 2 2 2 4 4 3 2" xfId="53127"/>
    <cellStyle name="Normal 11 2 2 2 4 4 4" xfId="53128"/>
    <cellStyle name="Normal 11 2 2 2 4 4 5" xfId="53129"/>
    <cellStyle name="Normal 11 2 2 2 4 5" xfId="53130"/>
    <cellStyle name="Normal 11 2 2 2 4 5 2" xfId="53131"/>
    <cellStyle name="Normal 11 2 2 2 4 5 3" xfId="53132"/>
    <cellStyle name="Normal 11 2 2 2 4 6" xfId="53133"/>
    <cellStyle name="Normal 11 2 2 2 4 6 2" xfId="53134"/>
    <cellStyle name="Normal 11 2 2 2 4 6 3" xfId="53135"/>
    <cellStyle name="Normal 11 2 2 2 4 7" xfId="53136"/>
    <cellStyle name="Normal 11 2 2 2 4 7 2" xfId="53137"/>
    <cellStyle name="Normal 11 2 2 2 4 8" xfId="53138"/>
    <cellStyle name="Normal 11 2 2 2 4 9" xfId="53139"/>
    <cellStyle name="Normal 11 2 2 2 5" xfId="53140"/>
    <cellStyle name="Normal 11 2 2 2 5 2" xfId="53141"/>
    <cellStyle name="Normal 11 2 2 2 5 2 2" xfId="53142"/>
    <cellStyle name="Normal 11 2 2 2 5 2 3" xfId="53143"/>
    <cellStyle name="Normal 11 2 2 2 5 3" xfId="53144"/>
    <cellStyle name="Normal 11 2 2 2 5 3 2" xfId="53145"/>
    <cellStyle name="Normal 11 2 2 2 5 3 3" xfId="53146"/>
    <cellStyle name="Normal 11 2 2 2 5 4" xfId="53147"/>
    <cellStyle name="Normal 11 2 2 2 5 4 2" xfId="53148"/>
    <cellStyle name="Normal 11 2 2 2 5 5" xfId="53149"/>
    <cellStyle name="Normal 11 2 2 2 5 6" xfId="53150"/>
    <cellStyle name="Normal 11 2 2 2 6" xfId="53151"/>
    <cellStyle name="Normal 11 2 2 2 6 2" xfId="53152"/>
    <cellStyle name="Normal 11 2 2 2 6 2 2" xfId="53153"/>
    <cellStyle name="Normal 11 2 2 2 6 2 3" xfId="53154"/>
    <cellStyle name="Normal 11 2 2 2 6 3" xfId="53155"/>
    <cellStyle name="Normal 11 2 2 2 6 3 2" xfId="53156"/>
    <cellStyle name="Normal 11 2 2 2 6 3 3" xfId="53157"/>
    <cellStyle name="Normal 11 2 2 2 6 4" xfId="53158"/>
    <cellStyle name="Normal 11 2 2 2 6 4 2" xfId="53159"/>
    <cellStyle name="Normal 11 2 2 2 6 5" xfId="53160"/>
    <cellStyle name="Normal 11 2 2 2 6 6" xfId="53161"/>
    <cellStyle name="Normal 11 2 2 2 7" xfId="53162"/>
    <cellStyle name="Normal 11 2 2 2 7 2" xfId="53163"/>
    <cellStyle name="Normal 11 2 2 2 7 2 2" xfId="53164"/>
    <cellStyle name="Normal 11 2 2 2 7 2 3" xfId="53165"/>
    <cellStyle name="Normal 11 2 2 2 7 3" xfId="53166"/>
    <cellStyle name="Normal 11 2 2 2 7 3 2" xfId="53167"/>
    <cellStyle name="Normal 11 2 2 2 7 4" xfId="53168"/>
    <cellStyle name="Normal 11 2 2 2 7 5" xfId="53169"/>
    <cellStyle name="Normal 11 2 2 2 8" xfId="53170"/>
    <cellStyle name="Normal 11 2 2 2 8 2" xfId="53171"/>
    <cellStyle name="Normal 11 2 2 2 8 3" xfId="53172"/>
    <cellStyle name="Normal 11 2 2 2 9" xfId="53173"/>
    <cellStyle name="Normal 11 2 2 2 9 2" xfId="53174"/>
    <cellStyle name="Normal 11 2 2 2 9 3" xfId="53175"/>
    <cellStyle name="Normal 11 2 2 3" xfId="53176"/>
    <cellStyle name="Normal 11 2 2 3 10" xfId="53177"/>
    <cellStyle name="Normal 11 2 2 3 2" xfId="53178"/>
    <cellStyle name="Normal 11 2 2 3 2 2" xfId="53179"/>
    <cellStyle name="Normal 11 2 2 3 2 2 2" xfId="53180"/>
    <cellStyle name="Normal 11 2 2 3 2 2 2 2" xfId="53181"/>
    <cellStyle name="Normal 11 2 2 3 2 2 2 3" xfId="53182"/>
    <cellStyle name="Normal 11 2 2 3 2 2 3" xfId="53183"/>
    <cellStyle name="Normal 11 2 2 3 2 2 3 2" xfId="53184"/>
    <cellStyle name="Normal 11 2 2 3 2 2 3 3" xfId="53185"/>
    <cellStyle name="Normal 11 2 2 3 2 2 4" xfId="53186"/>
    <cellStyle name="Normal 11 2 2 3 2 2 4 2" xfId="53187"/>
    <cellStyle name="Normal 11 2 2 3 2 2 5" xfId="53188"/>
    <cellStyle name="Normal 11 2 2 3 2 2 6" xfId="53189"/>
    <cellStyle name="Normal 11 2 2 3 2 3" xfId="53190"/>
    <cellStyle name="Normal 11 2 2 3 2 3 2" xfId="53191"/>
    <cellStyle name="Normal 11 2 2 3 2 3 2 2" xfId="53192"/>
    <cellStyle name="Normal 11 2 2 3 2 3 2 3" xfId="53193"/>
    <cellStyle name="Normal 11 2 2 3 2 3 3" xfId="53194"/>
    <cellStyle name="Normal 11 2 2 3 2 3 3 2" xfId="53195"/>
    <cellStyle name="Normal 11 2 2 3 2 3 3 3" xfId="53196"/>
    <cellStyle name="Normal 11 2 2 3 2 3 4" xfId="53197"/>
    <cellStyle name="Normal 11 2 2 3 2 3 4 2" xfId="53198"/>
    <cellStyle name="Normal 11 2 2 3 2 3 5" xfId="53199"/>
    <cellStyle name="Normal 11 2 2 3 2 3 6" xfId="53200"/>
    <cellStyle name="Normal 11 2 2 3 2 4" xfId="53201"/>
    <cellStyle name="Normal 11 2 2 3 2 4 2" xfId="53202"/>
    <cellStyle name="Normal 11 2 2 3 2 4 2 2" xfId="53203"/>
    <cellStyle name="Normal 11 2 2 3 2 4 2 3" xfId="53204"/>
    <cellStyle name="Normal 11 2 2 3 2 4 3" xfId="53205"/>
    <cellStyle name="Normal 11 2 2 3 2 4 3 2" xfId="53206"/>
    <cellStyle name="Normal 11 2 2 3 2 4 4" xfId="53207"/>
    <cellStyle name="Normal 11 2 2 3 2 4 5" xfId="53208"/>
    <cellStyle name="Normal 11 2 2 3 2 5" xfId="53209"/>
    <cellStyle name="Normal 11 2 2 3 2 5 2" xfId="53210"/>
    <cellStyle name="Normal 11 2 2 3 2 5 3" xfId="53211"/>
    <cellStyle name="Normal 11 2 2 3 2 6" xfId="53212"/>
    <cellStyle name="Normal 11 2 2 3 2 6 2" xfId="53213"/>
    <cellStyle name="Normal 11 2 2 3 2 6 3" xfId="53214"/>
    <cellStyle name="Normal 11 2 2 3 2 7" xfId="53215"/>
    <cellStyle name="Normal 11 2 2 3 2 7 2" xfId="53216"/>
    <cellStyle name="Normal 11 2 2 3 2 8" xfId="53217"/>
    <cellStyle name="Normal 11 2 2 3 2 9" xfId="53218"/>
    <cellStyle name="Normal 11 2 2 3 3" xfId="53219"/>
    <cellStyle name="Normal 11 2 2 3 3 2" xfId="53220"/>
    <cellStyle name="Normal 11 2 2 3 3 2 2" xfId="53221"/>
    <cellStyle name="Normal 11 2 2 3 3 2 3" xfId="53222"/>
    <cellStyle name="Normal 11 2 2 3 3 3" xfId="53223"/>
    <cellStyle name="Normal 11 2 2 3 3 3 2" xfId="53224"/>
    <cellStyle name="Normal 11 2 2 3 3 3 3" xfId="53225"/>
    <cellStyle name="Normal 11 2 2 3 3 4" xfId="53226"/>
    <cellStyle name="Normal 11 2 2 3 3 4 2" xfId="53227"/>
    <cellStyle name="Normal 11 2 2 3 3 5" xfId="53228"/>
    <cellStyle name="Normal 11 2 2 3 3 6" xfId="53229"/>
    <cellStyle name="Normal 11 2 2 3 4" xfId="53230"/>
    <cellStyle name="Normal 11 2 2 3 4 2" xfId="53231"/>
    <cellStyle name="Normal 11 2 2 3 4 2 2" xfId="53232"/>
    <cellStyle name="Normal 11 2 2 3 4 2 3" xfId="53233"/>
    <cellStyle name="Normal 11 2 2 3 4 3" xfId="53234"/>
    <cellStyle name="Normal 11 2 2 3 4 3 2" xfId="53235"/>
    <cellStyle name="Normal 11 2 2 3 4 3 3" xfId="53236"/>
    <cellStyle name="Normal 11 2 2 3 4 4" xfId="53237"/>
    <cellStyle name="Normal 11 2 2 3 4 4 2" xfId="53238"/>
    <cellStyle name="Normal 11 2 2 3 4 5" xfId="53239"/>
    <cellStyle name="Normal 11 2 2 3 4 6" xfId="53240"/>
    <cellStyle name="Normal 11 2 2 3 5" xfId="53241"/>
    <cellStyle name="Normal 11 2 2 3 5 2" xfId="53242"/>
    <cellStyle name="Normal 11 2 2 3 5 2 2" xfId="53243"/>
    <cellStyle name="Normal 11 2 2 3 5 2 3" xfId="53244"/>
    <cellStyle name="Normal 11 2 2 3 5 3" xfId="53245"/>
    <cellStyle name="Normal 11 2 2 3 5 3 2" xfId="53246"/>
    <cellStyle name="Normal 11 2 2 3 5 4" xfId="53247"/>
    <cellStyle name="Normal 11 2 2 3 5 5" xfId="53248"/>
    <cellStyle name="Normal 11 2 2 3 6" xfId="53249"/>
    <cellStyle name="Normal 11 2 2 3 6 2" xfId="53250"/>
    <cellStyle name="Normal 11 2 2 3 6 3" xfId="53251"/>
    <cellStyle name="Normal 11 2 2 3 7" xfId="53252"/>
    <cellStyle name="Normal 11 2 2 3 7 2" xfId="53253"/>
    <cellStyle name="Normal 11 2 2 3 7 3" xfId="53254"/>
    <cellStyle name="Normal 11 2 2 3 8" xfId="53255"/>
    <cellStyle name="Normal 11 2 2 3 8 2" xfId="53256"/>
    <cellStyle name="Normal 11 2 2 3 9" xfId="53257"/>
    <cellStyle name="Normal 11 2 2 4" xfId="53258"/>
    <cellStyle name="Normal 11 2 2 4 2" xfId="53259"/>
    <cellStyle name="Normal 11 2 2 4 2 2" xfId="53260"/>
    <cellStyle name="Normal 11 2 2 4 2 2 2" xfId="53261"/>
    <cellStyle name="Normal 11 2 2 4 2 2 3" xfId="53262"/>
    <cellStyle name="Normal 11 2 2 4 2 3" xfId="53263"/>
    <cellStyle name="Normal 11 2 2 4 2 3 2" xfId="53264"/>
    <cellStyle name="Normal 11 2 2 4 2 3 3" xfId="53265"/>
    <cellStyle name="Normal 11 2 2 4 2 4" xfId="53266"/>
    <cellStyle name="Normal 11 2 2 4 2 4 2" xfId="53267"/>
    <cellStyle name="Normal 11 2 2 4 2 5" xfId="53268"/>
    <cellStyle name="Normal 11 2 2 4 2 6" xfId="53269"/>
    <cellStyle name="Normal 11 2 2 4 3" xfId="53270"/>
    <cellStyle name="Normal 11 2 2 4 3 2" xfId="53271"/>
    <cellStyle name="Normal 11 2 2 4 3 2 2" xfId="53272"/>
    <cellStyle name="Normal 11 2 2 4 3 2 3" xfId="53273"/>
    <cellStyle name="Normal 11 2 2 4 3 3" xfId="53274"/>
    <cellStyle name="Normal 11 2 2 4 3 3 2" xfId="53275"/>
    <cellStyle name="Normal 11 2 2 4 3 3 3" xfId="53276"/>
    <cellStyle name="Normal 11 2 2 4 3 4" xfId="53277"/>
    <cellStyle name="Normal 11 2 2 4 3 4 2" xfId="53278"/>
    <cellStyle name="Normal 11 2 2 4 3 5" xfId="53279"/>
    <cellStyle name="Normal 11 2 2 4 3 6" xfId="53280"/>
    <cellStyle name="Normal 11 2 2 4 4" xfId="53281"/>
    <cellStyle name="Normal 11 2 2 4 4 2" xfId="53282"/>
    <cellStyle name="Normal 11 2 2 4 4 2 2" xfId="53283"/>
    <cellStyle name="Normal 11 2 2 4 4 2 3" xfId="53284"/>
    <cellStyle name="Normal 11 2 2 4 4 3" xfId="53285"/>
    <cellStyle name="Normal 11 2 2 4 4 3 2" xfId="53286"/>
    <cellStyle name="Normal 11 2 2 4 4 4" xfId="53287"/>
    <cellStyle name="Normal 11 2 2 4 4 5" xfId="53288"/>
    <cellStyle name="Normal 11 2 2 4 5" xfId="53289"/>
    <cellStyle name="Normal 11 2 2 4 5 2" xfId="53290"/>
    <cellStyle name="Normal 11 2 2 4 5 3" xfId="53291"/>
    <cellStyle name="Normal 11 2 2 4 6" xfId="53292"/>
    <cellStyle name="Normal 11 2 2 4 6 2" xfId="53293"/>
    <cellStyle name="Normal 11 2 2 4 6 3" xfId="53294"/>
    <cellStyle name="Normal 11 2 2 4 7" xfId="53295"/>
    <cellStyle name="Normal 11 2 2 4 7 2" xfId="53296"/>
    <cellStyle name="Normal 11 2 2 4 8" xfId="53297"/>
    <cellStyle name="Normal 11 2 2 4 9" xfId="53298"/>
    <cellStyle name="Normal 11 2 2 5" xfId="53299"/>
    <cellStyle name="Normal 11 2 2 5 2" xfId="53300"/>
    <cellStyle name="Normal 11 2 2 5 2 2" xfId="53301"/>
    <cellStyle name="Normal 11 2 2 5 2 2 2" xfId="53302"/>
    <cellStyle name="Normal 11 2 2 5 2 2 3" xfId="53303"/>
    <cellStyle name="Normal 11 2 2 5 2 3" xfId="53304"/>
    <cellStyle name="Normal 11 2 2 5 2 3 2" xfId="53305"/>
    <cellStyle name="Normal 11 2 2 5 2 3 3" xfId="53306"/>
    <cellStyle name="Normal 11 2 2 5 2 4" xfId="53307"/>
    <cellStyle name="Normal 11 2 2 5 2 4 2" xfId="53308"/>
    <cellStyle name="Normal 11 2 2 5 2 5" xfId="53309"/>
    <cellStyle name="Normal 11 2 2 5 2 6" xfId="53310"/>
    <cellStyle name="Normal 11 2 2 5 3" xfId="53311"/>
    <cellStyle name="Normal 11 2 2 5 3 2" xfId="53312"/>
    <cellStyle name="Normal 11 2 2 5 3 2 2" xfId="53313"/>
    <cellStyle name="Normal 11 2 2 5 3 2 3" xfId="53314"/>
    <cellStyle name="Normal 11 2 2 5 3 3" xfId="53315"/>
    <cellStyle name="Normal 11 2 2 5 3 3 2" xfId="53316"/>
    <cellStyle name="Normal 11 2 2 5 3 3 3" xfId="53317"/>
    <cellStyle name="Normal 11 2 2 5 3 4" xfId="53318"/>
    <cellStyle name="Normal 11 2 2 5 3 4 2" xfId="53319"/>
    <cellStyle name="Normal 11 2 2 5 3 5" xfId="53320"/>
    <cellStyle name="Normal 11 2 2 5 3 6" xfId="53321"/>
    <cellStyle name="Normal 11 2 2 5 4" xfId="53322"/>
    <cellStyle name="Normal 11 2 2 5 4 2" xfId="53323"/>
    <cellStyle name="Normal 11 2 2 5 4 2 2" xfId="53324"/>
    <cellStyle name="Normal 11 2 2 5 4 2 3" xfId="53325"/>
    <cellStyle name="Normal 11 2 2 5 4 3" xfId="53326"/>
    <cellStyle name="Normal 11 2 2 5 4 3 2" xfId="53327"/>
    <cellStyle name="Normal 11 2 2 5 4 4" xfId="53328"/>
    <cellStyle name="Normal 11 2 2 5 4 5" xfId="53329"/>
    <cellStyle name="Normal 11 2 2 5 5" xfId="53330"/>
    <cellStyle name="Normal 11 2 2 5 5 2" xfId="53331"/>
    <cellStyle name="Normal 11 2 2 5 5 3" xfId="53332"/>
    <cellStyle name="Normal 11 2 2 5 6" xfId="53333"/>
    <cellStyle name="Normal 11 2 2 5 6 2" xfId="53334"/>
    <cellStyle name="Normal 11 2 2 5 6 3" xfId="53335"/>
    <cellStyle name="Normal 11 2 2 5 7" xfId="53336"/>
    <cellStyle name="Normal 11 2 2 5 7 2" xfId="53337"/>
    <cellStyle name="Normal 11 2 2 5 8" xfId="53338"/>
    <cellStyle name="Normal 11 2 2 5 9" xfId="53339"/>
    <cellStyle name="Normal 11 2 2 6" xfId="53340"/>
    <cellStyle name="Normal 11 2 2 6 2" xfId="53341"/>
    <cellStyle name="Normal 11 2 2 6 2 2" xfId="53342"/>
    <cellStyle name="Normal 11 2 2 6 2 3" xfId="53343"/>
    <cellStyle name="Normal 11 2 2 6 3" xfId="53344"/>
    <cellStyle name="Normal 11 2 2 6 3 2" xfId="53345"/>
    <cellStyle name="Normal 11 2 2 6 3 3" xfId="53346"/>
    <cellStyle name="Normal 11 2 2 6 4" xfId="53347"/>
    <cellStyle name="Normal 11 2 2 6 4 2" xfId="53348"/>
    <cellStyle name="Normal 11 2 2 6 5" xfId="53349"/>
    <cellStyle name="Normal 11 2 2 6 6" xfId="53350"/>
    <cellStyle name="Normal 11 2 2 7" xfId="53351"/>
    <cellStyle name="Normal 11 2 2 7 2" xfId="53352"/>
    <cellStyle name="Normal 11 2 2 7 2 2" xfId="53353"/>
    <cellStyle name="Normal 11 2 2 7 2 3" xfId="53354"/>
    <cellStyle name="Normal 11 2 2 7 3" xfId="53355"/>
    <cellStyle name="Normal 11 2 2 7 3 2" xfId="53356"/>
    <cellStyle name="Normal 11 2 2 7 3 3" xfId="53357"/>
    <cellStyle name="Normal 11 2 2 7 4" xfId="53358"/>
    <cellStyle name="Normal 11 2 2 7 4 2" xfId="53359"/>
    <cellStyle name="Normal 11 2 2 7 5" xfId="53360"/>
    <cellStyle name="Normal 11 2 2 7 6" xfId="53361"/>
    <cellStyle name="Normal 11 2 2 8" xfId="53362"/>
    <cellStyle name="Normal 11 2 2 8 2" xfId="53363"/>
    <cellStyle name="Normal 11 2 2 8 2 2" xfId="53364"/>
    <cellStyle name="Normal 11 2 2 8 2 3" xfId="53365"/>
    <cellStyle name="Normal 11 2 2 8 3" xfId="53366"/>
    <cellStyle name="Normal 11 2 2 8 3 2" xfId="53367"/>
    <cellStyle name="Normal 11 2 2 8 4" xfId="53368"/>
    <cellStyle name="Normal 11 2 2 8 5" xfId="53369"/>
    <cellStyle name="Normal 11 2 2 9" xfId="53370"/>
    <cellStyle name="Normal 11 2 2 9 2" xfId="53371"/>
    <cellStyle name="Normal 11 2 2 9 3" xfId="53372"/>
    <cellStyle name="Normal 11 2 3" xfId="53373"/>
    <cellStyle name="Normal 11 2 3 10" xfId="53374"/>
    <cellStyle name="Normal 11 2 3 10 2" xfId="53375"/>
    <cellStyle name="Normal 11 2 3 11" xfId="53376"/>
    <cellStyle name="Normal 11 2 3 12" xfId="53377"/>
    <cellStyle name="Normal 11 2 3 2" xfId="53378"/>
    <cellStyle name="Normal 11 2 3 2 10" xfId="53379"/>
    <cellStyle name="Normal 11 2 3 2 2" xfId="53380"/>
    <cellStyle name="Normal 11 2 3 2 2 2" xfId="53381"/>
    <cellStyle name="Normal 11 2 3 2 2 2 2" xfId="53382"/>
    <cellStyle name="Normal 11 2 3 2 2 2 2 2" xfId="53383"/>
    <cellStyle name="Normal 11 2 3 2 2 2 2 3" xfId="53384"/>
    <cellStyle name="Normal 11 2 3 2 2 2 3" xfId="53385"/>
    <cellStyle name="Normal 11 2 3 2 2 2 3 2" xfId="53386"/>
    <cellStyle name="Normal 11 2 3 2 2 2 3 3" xfId="53387"/>
    <cellStyle name="Normal 11 2 3 2 2 2 4" xfId="53388"/>
    <cellStyle name="Normal 11 2 3 2 2 2 4 2" xfId="53389"/>
    <cellStyle name="Normal 11 2 3 2 2 2 5" xfId="53390"/>
    <cellStyle name="Normal 11 2 3 2 2 2 6" xfId="53391"/>
    <cellStyle name="Normal 11 2 3 2 2 3" xfId="53392"/>
    <cellStyle name="Normal 11 2 3 2 2 3 2" xfId="53393"/>
    <cellStyle name="Normal 11 2 3 2 2 3 2 2" xfId="53394"/>
    <cellStyle name="Normal 11 2 3 2 2 3 2 3" xfId="53395"/>
    <cellStyle name="Normal 11 2 3 2 2 3 3" xfId="53396"/>
    <cellStyle name="Normal 11 2 3 2 2 3 3 2" xfId="53397"/>
    <cellStyle name="Normal 11 2 3 2 2 3 3 3" xfId="53398"/>
    <cellStyle name="Normal 11 2 3 2 2 3 4" xfId="53399"/>
    <cellStyle name="Normal 11 2 3 2 2 3 4 2" xfId="53400"/>
    <cellStyle name="Normal 11 2 3 2 2 3 5" xfId="53401"/>
    <cellStyle name="Normal 11 2 3 2 2 3 6" xfId="53402"/>
    <cellStyle name="Normal 11 2 3 2 2 4" xfId="53403"/>
    <cellStyle name="Normal 11 2 3 2 2 4 2" xfId="53404"/>
    <cellStyle name="Normal 11 2 3 2 2 4 2 2" xfId="53405"/>
    <cellStyle name="Normal 11 2 3 2 2 4 2 3" xfId="53406"/>
    <cellStyle name="Normal 11 2 3 2 2 4 3" xfId="53407"/>
    <cellStyle name="Normal 11 2 3 2 2 4 3 2" xfId="53408"/>
    <cellStyle name="Normal 11 2 3 2 2 4 4" xfId="53409"/>
    <cellStyle name="Normal 11 2 3 2 2 4 5" xfId="53410"/>
    <cellStyle name="Normal 11 2 3 2 2 5" xfId="53411"/>
    <cellStyle name="Normal 11 2 3 2 2 5 2" xfId="53412"/>
    <cellStyle name="Normal 11 2 3 2 2 5 3" xfId="53413"/>
    <cellStyle name="Normal 11 2 3 2 2 6" xfId="53414"/>
    <cellStyle name="Normal 11 2 3 2 2 6 2" xfId="53415"/>
    <cellStyle name="Normal 11 2 3 2 2 6 3" xfId="53416"/>
    <cellStyle name="Normal 11 2 3 2 2 7" xfId="53417"/>
    <cellStyle name="Normal 11 2 3 2 2 7 2" xfId="53418"/>
    <cellStyle name="Normal 11 2 3 2 2 8" xfId="53419"/>
    <cellStyle name="Normal 11 2 3 2 2 9" xfId="53420"/>
    <cellStyle name="Normal 11 2 3 2 3" xfId="53421"/>
    <cellStyle name="Normal 11 2 3 2 3 2" xfId="53422"/>
    <cellStyle name="Normal 11 2 3 2 3 2 2" xfId="53423"/>
    <cellStyle name="Normal 11 2 3 2 3 2 3" xfId="53424"/>
    <cellStyle name="Normal 11 2 3 2 3 3" xfId="53425"/>
    <cellStyle name="Normal 11 2 3 2 3 3 2" xfId="53426"/>
    <cellStyle name="Normal 11 2 3 2 3 3 3" xfId="53427"/>
    <cellStyle name="Normal 11 2 3 2 3 4" xfId="53428"/>
    <cellStyle name="Normal 11 2 3 2 3 4 2" xfId="53429"/>
    <cellStyle name="Normal 11 2 3 2 3 5" xfId="53430"/>
    <cellStyle name="Normal 11 2 3 2 3 6" xfId="53431"/>
    <cellStyle name="Normal 11 2 3 2 4" xfId="53432"/>
    <cellStyle name="Normal 11 2 3 2 4 2" xfId="53433"/>
    <cellStyle name="Normal 11 2 3 2 4 2 2" xfId="53434"/>
    <cellStyle name="Normal 11 2 3 2 4 2 3" xfId="53435"/>
    <cellStyle name="Normal 11 2 3 2 4 3" xfId="53436"/>
    <cellStyle name="Normal 11 2 3 2 4 3 2" xfId="53437"/>
    <cellStyle name="Normal 11 2 3 2 4 3 3" xfId="53438"/>
    <cellStyle name="Normal 11 2 3 2 4 4" xfId="53439"/>
    <cellStyle name="Normal 11 2 3 2 4 4 2" xfId="53440"/>
    <cellStyle name="Normal 11 2 3 2 4 5" xfId="53441"/>
    <cellStyle name="Normal 11 2 3 2 4 6" xfId="53442"/>
    <cellStyle name="Normal 11 2 3 2 5" xfId="53443"/>
    <cellStyle name="Normal 11 2 3 2 5 2" xfId="53444"/>
    <cellStyle name="Normal 11 2 3 2 5 2 2" xfId="53445"/>
    <cellStyle name="Normal 11 2 3 2 5 2 3" xfId="53446"/>
    <cellStyle name="Normal 11 2 3 2 5 3" xfId="53447"/>
    <cellStyle name="Normal 11 2 3 2 5 3 2" xfId="53448"/>
    <cellStyle name="Normal 11 2 3 2 5 4" xfId="53449"/>
    <cellStyle name="Normal 11 2 3 2 5 5" xfId="53450"/>
    <cellStyle name="Normal 11 2 3 2 6" xfId="53451"/>
    <cellStyle name="Normal 11 2 3 2 6 2" xfId="53452"/>
    <cellStyle name="Normal 11 2 3 2 6 3" xfId="53453"/>
    <cellStyle name="Normal 11 2 3 2 7" xfId="53454"/>
    <cellStyle name="Normal 11 2 3 2 7 2" xfId="53455"/>
    <cellStyle name="Normal 11 2 3 2 7 3" xfId="53456"/>
    <cellStyle name="Normal 11 2 3 2 8" xfId="53457"/>
    <cellStyle name="Normal 11 2 3 2 8 2" xfId="53458"/>
    <cellStyle name="Normal 11 2 3 2 9" xfId="53459"/>
    <cellStyle name="Normal 11 2 3 3" xfId="53460"/>
    <cellStyle name="Normal 11 2 3 3 2" xfId="53461"/>
    <cellStyle name="Normal 11 2 3 3 2 2" xfId="53462"/>
    <cellStyle name="Normal 11 2 3 3 2 2 2" xfId="53463"/>
    <cellStyle name="Normal 11 2 3 3 2 2 3" xfId="53464"/>
    <cellStyle name="Normal 11 2 3 3 2 3" xfId="53465"/>
    <cellStyle name="Normal 11 2 3 3 2 3 2" xfId="53466"/>
    <cellStyle name="Normal 11 2 3 3 2 3 3" xfId="53467"/>
    <cellStyle name="Normal 11 2 3 3 2 4" xfId="53468"/>
    <cellStyle name="Normal 11 2 3 3 2 4 2" xfId="53469"/>
    <cellStyle name="Normal 11 2 3 3 2 5" xfId="53470"/>
    <cellStyle name="Normal 11 2 3 3 2 6" xfId="53471"/>
    <cellStyle name="Normal 11 2 3 3 3" xfId="53472"/>
    <cellStyle name="Normal 11 2 3 3 3 2" xfId="53473"/>
    <cellStyle name="Normal 11 2 3 3 3 2 2" xfId="53474"/>
    <cellStyle name="Normal 11 2 3 3 3 2 3" xfId="53475"/>
    <cellStyle name="Normal 11 2 3 3 3 3" xfId="53476"/>
    <cellStyle name="Normal 11 2 3 3 3 3 2" xfId="53477"/>
    <cellStyle name="Normal 11 2 3 3 3 3 3" xfId="53478"/>
    <cellStyle name="Normal 11 2 3 3 3 4" xfId="53479"/>
    <cellStyle name="Normal 11 2 3 3 3 4 2" xfId="53480"/>
    <cellStyle name="Normal 11 2 3 3 3 5" xfId="53481"/>
    <cellStyle name="Normal 11 2 3 3 3 6" xfId="53482"/>
    <cellStyle name="Normal 11 2 3 3 4" xfId="53483"/>
    <cellStyle name="Normal 11 2 3 3 4 2" xfId="53484"/>
    <cellStyle name="Normal 11 2 3 3 4 2 2" xfId="53485"/>
    <cellStyle name="Normal 11 2 3 3 4 2 3" xfId="53486"/>
    <cellStyle name="Normal 11 2 3 3 4 3" xfId="53487"/>
    <cellStyle name="Normal 11 2 3 3 4 3 2" xfId="53488"/>
    <cellStyle name="Normal 11 2 3 3 4 4" xfId="53489"/>
    <cellStyle name="Normal 11 2 3 3 4 5" xfId="53490"/>
    <cellStyle name="Normal 11 2 3 3 5" xfId="53491"/>
    <cellStyle name="Normal 11 2 3 3 5 2" xfId="53492"/>
    <cellStyle name="Normal 11 2 3 3 5 3" xfId="53493"/>
    <cellStyle name="Normal 11 2 3 3 6" xfId="53494"/>
    <cellStyle name="Normal 11 2 3 3 6 2" xfId="53495"/>
    <cellStyle name="Normal 11 2 3 3 6 3" xfId="53496"/>
    <cellStyle name="Normal 11 2 3 3 7" xfId="53497"/>
    <cellStyle name="Normal 11 2 3 3 7 2" xfId="53498"/>
    <cellStyle name="Normal 11 2 3 3 8" xfId="53499"/>
    <cellStyle name="Normal 11 2 3 3 9" xfId="53500"/>
    <cellStyle name="Normal 11 2 3 4" xfId="53501"/>
    <cellStyle name="Normal 11 2 3 4 2" xfId="53502"/>
    <cellStyle name="Normal 11 2 3 4 2 2" xfId="53503"/>
    <cellStyle name="Normal 11 2 3 4 2 2 2" xfId="53504"/>
    <cellStyle name="Normal 11 2 3 4 2 2 3" xfId="53505"/>
    <cellStyle name="Normal 11 2 3 4 2 3" xfId="53506"/>
    <cellStyle name="Normal 11 2 3 4 2 3 2" xfId="53507"/>
    <cellStyle name="Normal 11 2 3 4 2 3 3" xfId="53508"/>
    <cellStyle name="Normal 11 2 3 4 2 4" xfId="53509"/>
    <cellStyle name="Normal 11 2 3 4 2 4 2" xfId="53510"/>
    <cellStyle name="Normal 11 2 3 4 2 5" xfId="53511"/>
    <cellStyle name="Normal 11 2 3 4 2 6" xfId="53512"/>
    <cellStyle name="Normal 11 2 3 4 3" xfId="53513"/>
    <cellStyle name="Normal 11 2 3 4 3 2" xfId="53514"/>
    <cellStyle name="Normal 11 2 3 4 3 2 2" xfId="53515"/>
    <cellStyle name="Normal 11 2 3 4 3 2 3" xfId="53516"/>
    <cellStyle name="Normal 11 2 3 4 3 3" xfId="53517"/>
    <cellStyle name="Normal 11 2 3 4 3 3 2" xfId="53518"/>
    <cellStyle name="Normal 11 2 3 4 3 3 3" xfId="53519"/>
    <cellStyle name="Normal 11 2 3 4 3 4" xfId="53520"/>
    <cellStyle name="Normal 11 2 3 4 3 4 2" xfId="53521"/>
    <cellStyle name="Normal 11 2 3 4 3 5" xfId="53522"/>
    <cellStyle name="Normal 11 2 3 4 3 6" xfId="53523"/>
    <cellStyle name="Normal 11 2 3 4 4" xfId="53524"/>
    <cellStyle name="Normal 11 2 3 4 4 2" xfId="53525"/>
    <cellStyle name="Normal 11 2 3 4 4 2 2" xfId="53526"/>
    <cellStyle name="Normal 11 2 3 4 4 2 3" xfId="53527"/>
    <cellStyle name="Normal 11 2 3 4 4 3" xfId="53528"/>
    <cellStyle name="Normal 11 2 3 4 4 3 2" xfId="53529"/>
    <cellStyle name="Normal 11 2 3 4 4 4" xfId="53530"/>
    <cellStyle name="Normal 11 2 3 4 4 5" xfId="53531"/>
    <cellStyle name="Normal 11 2 3 4 5" xfId="53532"/>
    <cellStyle name="Normal 11 2 3 4 5 2" xfId="53533"/>
    <cellStyle name="Normal 11 2 3 4 5 3" xfId="53534"/>
    <cellStyle name="Normal 11 2 3 4 6" xfId="53535"/>
    <cellStyle name="Normal 11 2 3 4 6 2" xfId="53536"/>
    <cellStyle name="Normal 11 2 3 4 6 3" xfId="53537"/>
    <cellStyle name="Normal 11 2 3 4 7" xfId="53538"/>
    <cellStyle name="Normal 11 2 3 4 7 2" xfId="53539"/>
    <cellStyle name="Normal 11 2 3 4 8" xfId="53540"/>
    <cellStyle name="Normal 11 2 3 4 9" xfId="53541"/>
    <cellStyle name="Normal 11 2 3 5" xfId="53542"/>
    <cellStyle name="Normal 11 2 3 5 2" xfId="53543"/>
    <cellStyle name="Normal 11 2 3 5 2 2" xfId="53544"/>
    <cellStyle name="Normal 11 2 3 5 2 3" xfId="53545"/>
    <cellStyle name="Normal 11 2 3 5 3" xfId="53546"/>
    <cellStyle name="Normal 11 2 3 5 3 2" xfId="53547"/>
    <cellStyle name="Normal 11 2 3 5 3 3" xfId="53548"/>
    <cellStyle name="Normal 11 2 3 5 4" xfId="53549"/>
    <cellStyle name="Normal 11 2 3 5 4 2" xfId="53550"/>
    <cellStyle name="Normal 11 2 3 5 5" xfId="53551"/>
    <cellStyle name="Normal 11 2 3 5 6" xfId="53552"/>
    <cellStyle name="Normal 11 2 3 6" xfId="53553"/>
    <cellStyle name="Normal 11 2 3 6 2" xfId="53554"/>
    <cellStyle name="Normal 11 2 3 6 2 2" xfId="53555"/>
    <cellStyle name="Normal 11 2 3 6 2 3" xfId="53556"/>
    <cellStyle name="Normal 11 2 3 6 3" xfId="53557"/>
    <cellStyle name="Normal 11 2 3 6 3 2" xfId="53558"/>
    <cellStyle name="Normal 11 2 3 6 3 3" xfId="53559"/>
    <cellStyle name="Normal 11 2 3 6 4" xfId="53560"/>
    <cellStyle name="Normal 11 2 3 6 4 2" xfId="53561"/>
    <cellStyle name="Normal 11 2 3 6 5" xfId="53562"/>
    <cellStyle name="Normal 11 2 3 6 6" xfId="53563"/>
    <cellStyle name="Normal 11 2 3 7" xfId="53564"/>
    <cellStyle name="Normal 11 2 3 7 2" xfId="53565"/>
    <cellStyle name="Normal 11 2 3 7 2 2" xfId="53566"/>
    <cellStyle name="Normal 11 2 3 7 2 3" xfId="53567"/>
    <cellStyle name="Normal 11 2 3 7 3" xfId="53568"/>
    <cellStyle name="Normal 11 2 3 7 3 2" xfId="53569"/>
    <cellStyle name="Normal 11 2 3 7 4" xfId="53570"/>
    <cellStyle name="Normal 11 2 3 7 5" xfId="53571"/>
    <cellStyle name="Normal 11 2 3 8" xfId="53572"/>
    <cellStyle name="Normal 11 2 3 8 2" xfId="53573"/>
    <cellStyle name="Normal 11 2 3 8 3" xfId="53574"/>
    <cellStyle name="Normal 11 2 3 9" xfId="53575"/>
    <cellStyle name="Normal 11 2 3 9 2" xfId="53576"/>
    <cellStyle name="Normal 11 2 3 9 3" xfId="53577"/>
    <cellStyle name="Normal 11 2 4" xfId="53578"/>
    <cellStyle name="Normal 11 2 4 10" xfId="53579"/>
    <cellStyle name="Normal 11 2 4 2" xfId="53580"/>
    <cellStyle name="Normal 11 2 4 2 2" xfId="53581"/>
    <cellStyle name="Normal 11 2 4 2 2 2" xfId="53582"/>
    <cellStyle name="Normal 11 2 4 2 2 2 2" xfId="53583"/>
    <cellStyle name="Normal 11 2 4 2 2 2 3" xfId="53584"/>
    <cellStyle name="Normal 11 2 4 2 2 3" xfId="53585"/>
    <cellStyle name="Normal 11 2 4 2 2 3 2" xfId="53586"/>
    <cellStyle name="Normal 11 2 4 2 2 3 3" xfId="53587"/>
    <cellStyle name="Normal 11 2 4 2 2 4" xfId="53588"/>
    <cellStyle name="Normal 11 2 4 2 2 4 2" xfId="53589"/>
    <cellStyle name="Normal 11 2 4 2 2 5" xfId="53590"/>
    <cellStyle name="Normal 11 2 4 2 2 6" xfId="53591"/>
    <cellStyle name="Normal 11 2 4 2 3" xfId="53592"/>
    <cellStyle name="Normal 11 2 4 2 3 2" xfId="53593"/>
    <cellStyle name="Normal 11 2 4 2 3 2 2" xfId="53594"/>
    <cellStyle name="Normal 11 2 4 2 3 2 3" xfId="53595"/>
    <cellStyle name="Normal 11 2 4 2 3 3" xfId="53596"/>
    <cellStyle name="Normal 11 2 4 2 3 3 2" xfId="53597"/>
    <cellStyle name="Normal 11 2 4 2 3 3 3" xfId="53598"/>
    <cellStyle name="Normal 11 2 4 2 3 4" xfId="53599"/>
    <cellStyle name="Normal 11 2 4 2 3 4 2" xfId="53600"/>
    <cellStyle name="Normal 11 2 4 2 3 5" xfId="53601"/>
    <cellStyle name="Normal 11 2 4 2 3 6" xfId="53602"/>
    <cellStyle name="Normal 11 2 4 2 4" xfId="53603"/>
    <cellStyle name="Normal 11 2 4 2 4 2" xfId="53604"/>
    <cellStyle name="Normal 11 2 4 2 4 2 2" xfId="53605"/>
    <cellStyle name="Normal 11 2 4 2 4 2 3" xfId="53606"/>
    <cellStyle name="Normal 11 2 4 2 4 3" xfId="53607"/>
    <cellStyle name="Normal 11 2 4 2 4 3 2" xfId="53608"/>
    <cellStyle name="Normal 11 2 4 2 4 4" xfId="53609"/>
    <cellStyle name="Normal 11 2 4 2 4 5" xfId="53610"/>
    <cellStyle name="Normal 11 2 4 2 5" xfId="53611"/>
    <cellStyle name="Normal 11 2 4 2 5 2" xfId="53612"/>
    <cellStyle name="Normal 11 2 4 2 5 3" xfId="53613"/>
    <cellStyle name="Normal 11 2 4 2 6" xfId="53614"/>
    <cellStyle name="Normal 11 2 4 2 6 2" xfId="53615"/>
    <cellStyle name="Normal 11 2 4 2 6 3" xfId="53616"/>
    <cellStyle name="Normal 11 2 4 2 7" xfId="53617"/>
    <cellStyle name="Normal 11 2 4 2 7 2" xfId="53618"/>
    <cellStyle name="Normal 11 2 4 2 8" xfId="53619"/>
    <cellStyle name="Normal 11 2 4 2 9" xfId="53620"/>
    <cellStyle name="Normal 11 2 4 3" xfId="53621"/>
    <cellStyle name="Normal 11 2 4 3 2" xfId="53622"/>
    <cellStyle name="Normal 11 2 4 3 2 2" xfId="53623"/>
    <cellStyle name="Normal 11 2 4 3 2 3" xfId="53624"/>
    <cellStyle name="Normal 11 2 4 3 3" xfId="53625"/>
    <cellStyle name="Normal 11 2 4 3 3 2" xfId="53626"/>
    <cellStyle name="Normal 11 2 4 3 3 3" xfId="53627"/>
    <cellStyle name="Normal 11 2 4 3 4" xfId="53628"/>
    <cellStyle name="Normal 11 2 4 3 4 2" xfId="53629"/>
    <cellStyle name="Normal 11 2 4 3 5" xfId="53630"/>
    <cellStyle name="Normal 11 2 4 3 6" xfId="53631"/>
    <cellStyle name="Normal 11 2 4 4" xfId="53632"/>
    <cellStyle name="Normal 11 2 4 4 2" xfId="53633"/>
    <cellStyle name="Normal 11 2 4 4 2 2" xfId="53634"/>
    <cellStyle name="Normal 11 2 4 4 2 3" xfId="53635"/>
    <cellStyle name="Normal 11 2 4 4 3" xfId="53636"/>
    <cellStyle name="Normal 11 2 4 4 3 2" xfId="53637"/>
    <cellStyle name="Normal 11 2 4 4 3 3" xfId="53638"/>
    <cellStyle name="Normal 11 2 4 4 4" xfId="53639"/>
    <cellStyle name="Normal 11 2 4 4 4 2" xfId="53640"/>
    <cellStyle name="Normal 11 2 4 4 5" xfId="53641"/>
    <cellStyle name="Normal 11 2 4 4 6" xfId="53642"/>
    <cellStyle name="Normal 11 2 4 5" xfId="53643"/>
    <cellStyle name="Normal 11 2 4 5 2" xfId="53644"/>
    <cellStyle name="Normal 11 2 4 5 2 2" xfId="53645"/>
    <cellStyle name="Normal 11 2 4 5 2 3" xfId="53646"/>
    <cellStyle name="Normal 11 2 4 5 3" xfId="53647"/>
    <cellStyle name="Normal 11 2 4 5 3 2" xfId="53648"/>
    <cellStyle name="Normal 11 2 4 5 4" xfId="53649"/>
    <cellStyle name="Normal 11 2 4 5 5" xfId="53650"/>
    <cellStyle name="Normal 11 2 4 6" xfId="53651"/>
    <cellStyle name="Normal 11 2 4 6 2" xfId="53652"/>
    <cellStyle name="Normal 11 2 4 6 3" xfId="53653"/>
    <cellStyle name="Normal 11 2 4 7" xfId="53654"/>
    <cellStyle name="Normal 11 2 4 7 2" xfId="53655"/>
    <cellStyle name="Normal 11 2 4 7 3" xfId="53656"/>
    <cellStyle name="Normal 11 2 4 8" xfId="53657"/>
    <cellStyle name="Normal 11 2 4 8 2" xfId="53658"/>
    <cellStyle name="Normal 11 2 4 9" xfId="53659"/>
    <cellStyle name="Normal 11 2 5" xfId="53660"/>
    <cellStyle name="Normal 11 2 5 2" xfId="53661"/>
    <cellStyle name="Normal 11 2 5 2 2" xfId="53662"/>
    <cellStyle name="Normal 11 2 5 2 2 2" xfId="53663"/>
    <cellStyle name="Normal 11 2 5 2 2 3" xfId="53664"/>
    <cellStyle name="Normal 11 2 5 2 3" xfId="53665"/>
    <cellStyle name="Normal 11 2 5 2 3 2" xfId="53666"/>
    <cellStyle name="Normal 11 2 5 2 3 3" xfId="53667"/>
    <cellStyle name="Normal 11 2 5 2 4" xfId="53668"/>
    <cellStyle name="Normal 11 2 5 2 4 2" xfId="53669"/>
    <cellStyle name="Normal 11 2 5 2 5" xfId="53670"/>
    <cellStyle name="Normal 11 2 5 2 6" xfId="53671"/>
    <cellStyle name="Normal 11 2 5 3" xfId="53672"/>
    <cellStyle name="Normal 11 2 5 3 2" xfId="53673"/>
    <cellStyle name="Normal 11 2 5 3 2 2" xfId="53674"/>
    <cellStyle name="Normal 11 2 5 3 2 3" xfId="53675"/>
    <cellStyle name="Normal 11 2 5 3 3" xfId="53676"/>
    <cellStyle name="Normal 11 2 5 3 3 2" xfId="53677"/>
    <cellStyle name="Normal 11 2 5 3 3 3" xfId="53678"/>
    <cellStyle name="Normal 11 2 5 3 4" xfId="53679"/>
    <cellStyle name="Normal 11 2 5 3 4 2" xfId="53680"/>
    <cellStyle name="Normal 11 2 5 3 5" xfId="53681"/>
    <cellStyle name="Normal 11 2 5 3 6" xfId="53682"/>
    <cellStyle name="Normal 11 2 5 4" xfId="53683"/>
    <cellStyle name="Normal 11 2 5 4 2" xfId="53684"/>
    <cellStyle name="Normal 11 2 5 4 2 2" xfId="53685"/>
    <cellStyle name="Normal 11 2 5 4 2 3" xfId="53686"/>
    <cellStyle name="Normal 11 2 5 4 3" xfId="53687"/>
    <cellStyle name="Normal 11 2 5 4 3 2" xfId="53688"/>
    <cellStyle name="Normal 11 2 5 4 4" xfId="53689"/>
    <cellStyle name="Normal 11 2 5 4 5" xfId="53690"/>
    <cellStyle name="Normal 11 2 5 5" xfId="53691"/>
    <cellStyle name="Normal 11 2 5 5 2" xfId="53692"/>
    <cellStyle name="Normal 11 2 5 5 3" xfId="53693"/>
    <cellStyle name="Normal 11 2 5 6" xfId="53694"/>
    <cellStyle name="Normal 11 2 5 6 2" xfId="53695"/>
    <cellStyle name="Normal 11 2 5 6 3" xfId="53696"/>
    <cellStyle name="Normal 11 2 5 7" xfId="53697"/>
    <cellStyle name="Normal 11 2 5 7 2" xfId="53698"/>
    <cellStyle name="Normal 11 2 5 8" xfId="53699"/>
    <cellStyle name="Normal 11 2 5 9" xfId="53700"/>
    <cellStyle name="Normal 11 2 6" xfId="53701"/>
    <cellStyle name="Normal 11 2 6 2" xfId="53702"/>
    <cellStyle name="Normal 11 2 6 2 2" xfId="53703"/>
    <cellStyle name="Normal 11 2 6 2 2 2" xfId="53704"/>
    <cellStyle name="Normal 11 2 6 2 2 3" xfId="53705"/>
    <cellStyle name="Normal 11 2 6 2 3" xfId="53706"/>
    <cellStyle name="Normal 11 2 6 2 3 2" xfId="53707"/>
    <cellStyle name="Normal 11 2 6 2 3 3" xfId="53708"/>
    <cellStyle name="Normal 11 2 6 2 4" xfId="53709"/>
    <cellStyle name="Normal 11 2 6 2 4 2" xfId="53710"/>
    <cellStyle name="Normal 11 2 6 2 5" xfId="53711"/>
    <cellStyle name="Normal 11 2 6 2 6" xfId="53712"/>
    <cellStyle name="Normal 11 2 6 3" xfId="53713"/>
    <cellStyle name="Normal 11 2 6 3 2" xfId="53714"/>
    <cellStyle name="Normal 11 2 6 3 2 2" xfId="53715"/>
    <cellStyle name="Normal 11 2 6 3 2 3" xfId="53716"/>
    <cellStyle name="Normal 11 2 6 3 3" xfId="53717"/>
    <cellStyle name="Normal 11 2 6 3 3 2" xfId="53718"/>
    <cellStyle name="Normal 11 2 6 3 3 3" xfId="53719"/>
    <cellStyle name="Normal 11 2 6 3 4" xfId="53720"/>
    <cellStyle name="Normal 11 2 6 3 4 2" xfId="53721"/>
    <cellStyle name="Normal 11 2 6 3 5" xfId="53722"/>
    <cellStyle name="Normal 11 2 6 3 6" xfId="53723"/>
    <cellStyle name="Normal 11 2 6 4" xfId="53724"/>
    <cellStyle name="Normal 11 2 6 4 2" xfId="53725"/>
    <cellStyle name="Normal 11 2 6 4 2 2" xfId="53726"/>
    <cellStyle name="Normal 11 2 6 4 2 3" xfId="53727"/>
    <cellStyle name="Normal 11 2 6 4 3" xfId="53728"/>
    <cellStyle name="Normal 11 2 6 4 3 2" xfId="53729"/>
    <cellStyle name="Normal 11 2 6 4 4" xfId="53730"/>
    <cellStyle name="Normal 11 2 6 4 5" xfId="53731"/>
    <cellStyle name="Normal 11 2 6 5" xfId="53732"/>
    <cellStyle name="Normal 11 2 6 5 2" xfId="53733"/>
    <cellStyle name="Normal 11 2 6 5 3" xfId="53734"/>
    <cellStyle name="Normal 11 2 6 6" xfId="53735"/>
    <cellStyle name="Normal 11 2 6 6 2" xfId="53736"/>
    <cellStyle name="Normal 11 2 6 6 3" xfId="53737"/>
    <cellStyle name="Normal 11 2 6 7" xfId="53738"/>
    <cellStyle name="Normal 11 2 6 7 2" xfId="53739"/>
    <cellStyle name="Normal 11 2 6 8" xfId="53740"/>
    <cellStyle name="Normal 11 2 6 9" xfId="53741"/>
    <cellStyle name="Normal 11 2 7" xfId="53742"/>
    <cellStyle name="Normal 11 2 7 2" xfId="53743"/>
    <cellStyle name="Normal 11 2 7 2 2" xfId="53744"/>
    <cellStyle name="Normal 11 2 7 2 3" xfId="53745"/>
    <cellStyle name="Normal 11 2 7 3" xfId="53746"/>
    <cellStyle name="Normal 11 2 7 3 2" xfId="53747"/>
    <cellStyle name="Normal 11 2 7 3 3" xfId="53748"/>
    <cellStyle name="Normal 11 2 7 4" xfId="53749"/>
    <cellStyle name="Normal 11 2 7 4 2" xfId="53750"/>
    <cellStyle name="Normal 11 2 7 5" xfId="53751"/>
    <cellStyle name="Normal 11 2 7 6" xfId="53752"/>
    <cellStyle name="Normal 11 2 8" xfId="53753"/>
    <cellStyle name="Normal 11 2 8 2" xfId="53754"/>
    <cellStyle name="Normal 11 2 8 2 2" xfId="53755"/>
    <cellStyle name="Normal 11 2 8 2 3" xfId="53756"/>
    <cellStyle name="Normal 11 2 8 3" xfId="53757"/>
    <cellStyle name="Normal 11 2 8 3 2" xfId="53758"/>
    <cellStyle name="Normal 11 2 8 3 3" xfId="53759"/>
    <cellStyle name="Normal 11 2 8 4" xfId="53760"/>
    <cellStyle name="Normal 11 2 8 4 2" xfId="53761"/>
    <cellStyle name="Normal 11 2 8 5" xfId="53762"/>
    <cellStyle name="Normal 11 2 8 6" xfId="53763"/>
    <cellStyle name="Normal 11 2 9" xfId="53764"/>
    <cellStyle name="Normal 11 2 9 2" xfId="53765"/>
    <cellStyle name="Normal 11 2 9 2 2" xfId="53766"/>
    <cellStyle name="Normal 11 2 9 2 3" xfId="53767"/>
    <cellStyle name="Normal 11 2 9 3" xfId="53768"/>
    <cellStyle name="Normal 11 2 9 3 2" xfId="53769"/>
    <cellStyle name="Normal 11 2 9 4" xfId="53770"/>
    <cellStyle name="Normal 11 2 9 5" xfId="53771"/>
    <cellStyle name="Normal 11 3" xfId="9220"/>
    <cellStyle name="Normal 11 3 10" xfId="53772"/>
    <cellStyle name="Normal 11 3 10 2" xfId="53773"/>
    <cellStyle name="Normal 11 3 10 3" xfId="53774"/>
    <cellStyle name="Normal 11 3 11" xfId="53775"/>
    <cellStyle name="Normal 11 3 11 2" xfId="53776"/>
    <cellStyle name="Normal 11 3 12" xfId="53777"/>
    <cellStyle name="Normal 11 3 13" xfId="53778"/>
    <cellStyle name="Normal 11 3 2" xfId="53779"/>
    <cellStyle name="Normal 11 3 2 10" xfId="53780"/>
    <cellStyle name="Normal 11 3 2 10 2" xfId="53781"/>
    <cellStyle name="Normal 11 3 2 11" xfId="53782"/>
    <cellStyle name="Normal 11 3 2 12" xfId="53783"/>
    <cellStyle name="Normal 11 3 2 2" xfId="53784"/>
    <cellStyle name="Normal 11 3 2 2 10" xfId="53785"/>
    <cellStyle name="Normal 11 3 2 2 2" xfId="53786"/>
    <cellStyle name="Normal 11 3 2 2 2 2" xfId="53787"/>
    <cellStyle name="Normal 11 3 2 2 2 2 2" xfId="53788"/>
    <cellStyle name="Normal 11 3 2 2 2 2 2 2" xfId="53789"/>
    <cellStyle name="Normal 11 3 2 2 2 2 2 3" xfId="53790"/>
    <cellStyle name="Normal 11 3 2 2 2 2 3" xfId="53791"/>
    <cellStyle name="Normal 11 3 2 2 2 2 3 2" xfId="53792"/>
    <cellStyle name="Normal 11 3 2 2 2 2 3 3" xfId="53793"/>
    <cellStyle name="Normal 11 3 2 2 2 2 4" xfId="53794"/>
    <cellStyle name="Normal 11 3 2 2 2 2 4 2" xfId="53795"/>
    <cellStyle name="Normal 11 3 2 2 2 2 5" xfId="53796"/>
    <cellStyle name="Normal 11 3 2 2 2 2 6" xfId="53797"/>
    <cellStyle name="Normal 11 3 2 2 2 3" xfId="53798"/>
    <cellStyle name="Normal 11 3 2 2 2 3 2" xfId="53799"/>
    <cellStyle name="Normal 11 3 2 2 2 3 2 2" xfId="53800"/>
    <cellStyle name="Normal 11 3 2 2 2 3 2 3" xfId="53801"/>
    <cellStyle name="Normal 11 3 2 2 2 3 3" xfId="53802"/>
    <cellStyle name="Normal 11 3 2 2 2 3 3 2" xfId="53803"/>
    <cellStyle name="Normal 11 3 2 2 2 3 3 3" xfId="53804"/>
    <cellStyle name="Normal 11 3 2 2 2 3 4" xfId="53805"/>
    <cellStyle name="Normal 11 3 2 2 2 3 4 2" xfId="53806"/>
    <cellStyle name="Normal 11 3 2 2 2 3 5" xfId="53807"/>
    <cellStyle name="Normal 11 3 2 2 2 3 6" xfId="53808"/>
    <cellStyle name="Normal 11 3 2 2 2 4" xfId="53809"/>
    <cellStyle name="Normal 11 3 2 2 2 4 2" xfId="53810"/>
    <cellStyle name="Normal 11 3 2 2 2 4 2 2" xfId="53811"/>
    <cellStyle name="Normal 11 3 2 2 2 4 2 3" xfId="53812"/>
    <cellStyle name="Normal 11 3 2 2 2 4 3" xfId="53813"/>
    <cellStyle name="Normal 11 3 2 2 2 4 3 2" xfId="53814"/>
    <cellStyle name="Normal 11 3 2 2 2 4 4" xfId="53815"/>
    <cellStyle name="Normal 11 3 2 2 2 4 5" xfId="53816"/>
    <cellStyle name="Normal 11 3 2 2 2 5" xfId="53817"/>
    <cellStyle name="Normal 11 3 2 2 2 5 2" xfId="53818"/>
    <cellStyle name="Normal 11 3 2 2 2 5 3" xfId="53819"/>
    <cellStyle name="Normal 11 3 2 2 2 6" xfId="53820"/>
    <cellStyle name="Normal 11 3 2 2 2 6 2" xfId="53821"/>
    <cellStyle name="Normal 11 3 2 2 2 6 3" xfId="53822"/>
    <cellStyle name="Normal 11 3 2 2 2 7" xfId="53823"/>
    <cellStyle name="Normal 11 3 2 2 2 7 2" xfId="53824"/>
    <cellStyle name="Normal 11 3 2 2 2 8" xfId="53825"/>
    <cellStyle name="Normal 11 3 2 2 2 9" xfId="53826"/>
    <cellStyle name="Normal 11 3 2 2 3" xfId="53827"/>
    <cellStyle name="Normal 11 3 2 2 3 2" xfId="53828"/>
    <cellStyle name="Normal 11 3 2 2 3 2 2" xfId="53829"/>
    <cellStyle name="Normal 11 3 2 2 3 2 3" xfId="53830"/>
    <cellStyle name="Normal 11 3 2 2 3 3" xfId="53831"/>
    <cellStyle name="Normal 11 3 2 2 3 3 2" xfId="53832"/>
    <cellStyle name="Normal 11 3 2 2 3 3 3" xfId="53833"/>
    <cellStyle name="Normal 11 3 2 2 3 4" xfId="53834"/>
    <cellStyle name="Normal 11 3 2 2 3 4 2" xfId="53835"/>
    <cellStyle name="Normal 11 3 2 2 3 5" xfId="53836"/>
    <cellStyle name="Normal 11 3 2 2 3 6" xfId="53837"/>
    <cellStyle name="Normal 11 3 2 2 4" xfId="53838"/>
    <cellStyle name="Normal 11 3 2 2 4 2" xfId="53839"/>
    <cellStyle name="Normal 11 3 2 2 4 2 2" xfId="53840"/>
    <cellStyle name="Normal 11 3 2 2 4 2 3" xfId="53841"/>
    <cellStyle name="Normal 11 3 2 2 4 3" xfId="53842"/>
    <cellStyle name="Normal 11 3 2 2 4 3 2" xfId="53843"/>
    <cellStyle name="Normal 11 3 2 2 4 3 3" xfId="53844"/>
    <cellStyle name="Normal 11 3 2 2 4 4" xfId="53845"/>
    <cellStyle name="Normal 11 3 2 2 4 4 2" xfId="53846"/>
    <cellStyle name="Normal 11 3 2 2 4 5" xfId="53847"/>
    <cellStyle name="Normal 11 3 2 2 4 6" xfId="53848"/>
    <cellStyle name="Normal 11 3 2 2 5" xfId="53849"/>
    <cellStyle name="Normal 11 3 2 2 5 2" xfId="53850"/>
    <cellStyle name="Normal 11 3 2 2 5 2 2" xfId="53851"/>
    <cellStyle name="Normal 11 3 2 2 5 2 3" xfId="53852"/>
    <cellStyle name="Normal 11 3 2 2 5 3" xfId="53853"/>
    <cellStyle name="Normal 11 3 2 2 5 3 2" xfId="53854"/>
    <cellStyle name="Normal 11 3 2 2 5 4" xfId="53855"/>
    <cellStyle name="Normal 11 3 2 2 5 5" xfId="53856"/>
    <cellStyle name="Normal 11 3 2 2 6" xfId="53857"/>
    <cellStyle name="Normal 11 3 2 2 6 2" xfId="53858"/>
    <cellStyle name="Normal 11 3 2 2 6 3" xfId="53859"/>
    <cellStyle name="Normal 11 3 2 2 7" xfId="53860"/>
    <cellStyle name="Normal 11 3 2 2 7 2" xfId="53861"/>
    <cellStyle name="Normal 11 3 2 2 7 3" xfId="53862"/>
    <cellStyle name="Normal 11 3 2 2 8" xfId="53863"/>
    <cellStyle name="Normal 11 3 2 2 8 2" xfId="53864"/>
    <cellStyle name="Normal 11 3 2 2 9" xfId="53865"/>
    <cellStyle name="Normal 11 3 2 3" xfId="53866"/>
    <cellStyle name="Normal 11 3 2 3 2" xfId="53867"/>
    <cellStyle name="Normal 11 3 2 3 2 2" xfId="53868"/>
    <cellStyle name="Normal 11 3 2 3 2 2 2" xfId="53869"/>
    <cellStyle name="Normal 11 3 2 3 2 2 3" xfId="53870"/>
    <cellStyle name="Normal 11 3 2 3 2 3" xfId="53871"/>
    <cellStyle name="Normal 11 3 2 3 2 3 2" xfId="53872"/>
    <cellStyle name="Normal 11 3 2 3 2 3 3" xfId="53873"/>
    <cellStyle name="Normal 11 3 2 3 2 4" xfId="53874"/>
    <cellStyle name="Normal 11 3 2 3 2 4 2" xfId="53875"/>
    <cellStyle name="Normal 11 3 2 3 2 5" xfId="53876"/>
    <cellStyle name="Normal 11 3 2 3 2 6" xfId="53877"/>
    <cellStyle name="Normal 11 3 2 3 3" xfId="53878"/>
    <cellStyle name="Normal 11 3 2 3 3 2" xfId="53879"/>
    <cellStyle name="Normal 11 3 2 3 3 2 2" xfId="53880"/>
    <cellStyle name="Normal 11 3 2 3 3 2 3" xfId="53881"/>
    <cellStyle name="Normal 11 3 2 3 3 3" xfId="53882"/>
    <cellStyle name="Normal 11 3 2 3 3 3 2" xfId="53883"/>
    <cellStyle name="Normal 11 3 2 3 3 3 3" xfId="53884"/>
    <cellStyle name="Normal 11 3 2 3 3 4" xfId="53885"/>
    <cellStyle name="Normal 11 3 2 3 3 4 2" xfId="53886"/>
    <cellStyle name="Normal 11 3 2 3 3 5" xfId="53887"/>
    <cellStyle name="Normal 11 3 2 3 3 6" xfId="53888"/>
    <cellStyle name="Normal 11 3 2 3 4" xfId="53889"/>
    <cellStyle name="Normal 11 3 2 3 4 2" xfId="53890"/>
    <cellStyle name="Normal 11 3 2 3 4 2 2" xfId="53891"/>
    <cellStyle name="Normal 11 3 2 3 4 2 3" xfId="53892"/>
    <cellStyle name="Normal 11 3 2 3 4 3" xfId="53893"/>
    <cellStyle name="Normal 11 3 2 3 4 3 2" xfId="53894"/>
    <cellStyle name="Normal 11 3 2 3 4 4" xfId="53895"/>
    <cellStyle name="Normal 11 3 2 3 4 5" xfId="53896"/>
    <cellStyle name="Normal 11 3 2 3 5" xfId="53897"/>
    <cellStyle name="Normal 11 3 2 3 5 2" xfId="53898"/>
    <cellStyle name="Normal 11 3 2 3 5 3" xfId="53899"/>
    <cellStyle name="Normal 11 3 2 3 6" xfId="53900"/>
    <cellStyle name="Normal 11 3 2 3 6 2" xfId="53901"/>
    <cellStyle name="Normal 11 3 2 3 6 3" xfId="53902"/>
    <cellStyle name="Normal 11 3 2 3 7" xfId="53903"/>
    <cellStyle name="Normal 11 3 2 3 7 2" xfId="53904"/>
    <cellStyle name="Normal 11 3 2 3 8" xfId="53905"/>
    <cellStyle name="Normal 11 3 2 3 9" xfId="53906"/>
    <cellStyle name="Normal 11 3 2 4" xfId="53907"/>
    <cellStyle name="Normal 11 3 2 4 2" xfId="53908"/>
    <cellStyle name="Normal 11 3 2 4 2 2" xfId="53909"/>
    <cellStyle name="Normal 11 3 2 4 2 2 2" xfId="53910"/>
    <cellStyle name="Normal 11 3 2 4 2 2 3" xfId="53911"/>
    <cellStyle name="Normal 11 3 2 4 2 3" xfId="53912"/>
    <cellStyle name="Normal 11 3 2 4 2 3 2" xfId="53913"/>
    <cellStyle name="Normal 11 3 2 4 2 3 3" xfId="53914"/>
    <cellStyle name="Normal 11 3 2 4 2 4" xfId="53915"/>
    <cellStyle name="Normal 11 3 2 4 2 4 2" xfId="53916"/>
    <cellStyle name="Normal 11 3 2 4 2 5" xfId="53917"/>
    <cellStyle name="Normal 11 3 2 4 2 6" xfId="53918"/>
    <cellStyle name="Normal 11 3 2 4 3" xfId="53919"/>
    <cellStyle name="Normal 11 3 2 4 3 2" xfId="53920"/>
    <cellStyle name="Normal 11 3 2 4 3 2 2" xfId="53921"/>
    <cellStyle name="Normal 11 3 2 4 3 2 3" xfId="53922"/>
    <cellStyle name="Normal 11 3 2 4 3 3" xfId="53923"/>
    <cellStyle name="Normal 11 3 2 4 3 3 2" xfId="53924"/>
    <cellStyle name="Normal 11 3 2 4 3 3 3" xfId="53925"/>
    <cellStyle name="Normal 11 3 2 4 3 4" xfId="53926"/>
    <cellStyle name="Normal 11 3 2 4 3 4 2" xfId="53927"/>
    <cellStyle name="Normal 11 3 2 4 3 5" xfId="53928"/>
    <cellStyle name="Normal 11 3 2 4 3 6" xfId="53929"/>
    <cellStyle name="Normal 11 3 2 4 4" xfId="53930"/>
    <cellStyle name="Normal 11 3 2 4 4 2" xfId="53931"/>
    <cellStyle name="Normal 11 3 2 4 4 2 2" xfId="53932"/>
    <cellStyle name="Normal 11 3 2 4 4 2 3" xfId="53933"/>
    <cellStyle name="Normal 11 3 2 4 4 3" xfId="53934"/>
    <cellStyle name="Normal 11 3 2 4 4 3 2" xfId="53935"/>
    <cellStyle name="Normal 11 3 2 4 4 4" xfId="53936"/>
    <cellStyle name="Normal 11 3 2 4 4 5" xfId="53937"/>
    <cellStyle name="Normal 11 3 2 4 5" xfId="53938"/>
    <cellStyle name="Normal 11 3 2 4 5 2" xfId="53939"/>
    <cellStyle name="Normal 11 3 2 4 5 3" xfId="53940"/>
    <cellStyle name="Normal 11 3 2 4 6" xfId="53941"/>
    <cellStyle name="Normal 11 3 2 4 6 2" xfId="53942"/>
    <cellStyle name="Normal 11 3 2 4 6 3" xfId="53943"/>
    <cellStyle name="Normal 11 3 2 4 7" xfId="53944"/>
    <cellStyle name="Normal 11 3 2 4 7 2" xfId="53945"/>
    <cellStyle name="Normal 11 3 2 4 8" xfId="53946"/>
    <cellStyle name="Normal 11 3 2 4 9" xfId="53947"/>
    <cellStyle name="Normal 11 3 2 5" xfId="53948"/>
    <cellStyle name="Normal 11 3 2 5 2" xfId="53949"/>
    <cellStyle name="Normal 11 3 2 5 2 2" xfId="53950"/>
    <cellStyle name="Normal 11 3 2 5 2 3" xfId="53951"/>
    <cellStyle name="Normal 11 3 2 5 3" xfId="53952"/>
    <cellStyle name="Normal 11 3 2 5 3 2" xfId="53953"/>
    <cellStyle name="Normal 11 3 2 5 3 3" xfId="53954"/>
    <cellStyle name="Normal 11 3 2 5 4" xfId="53955"/>
    <cellStyle name="Normal 11 3 2 5 4 2" xfId="53956"/>
    <cellStyle name="Normal 11 3 2 5 5" xfId="53957"/>
    <cellStyle name="Normal 11 3 2 5 6" xfId="53958"/>
    <cellStyle name="Normal 11 3 2 6" xfId="53959"/>
    <cellStyle name="Normal 11 3 2 6 2" xfId="53960"/>
    <cellStyle name="Normal 11 3 2 6 2 2" xfId="53961"/>
    <cellStyle name="Normal 11 3 2 6 2 3" xfId="53962"/>
    <cellStyle name="Normal 11 3 2 6 3" xfId="53963"/>
    <cellStyle name="Normal 11 3 2 6 3 2" xfId="53964"/>
    <cellStyle name="Normal 11 3 2 6 3 3" xfId="53965"/>
    <cellStyle name="Normal 11 3 2 6 4" xfId="53966"/>
    <cellStyle name="Normal 11 3 2 6 4 2" xfId="53967"/>
    <cellStyle name="Normal 11 3 2 6 5" xfId="53968"/>
    <cellStyle name="Normal 11 3 2 6 6" xfId="53969"/>
    <cellStyle name="Normal 11 3 2 7" xfId="53970"/>
    <cellStyle name="Normal 11 3 2 7 2" xfId="53971"/>
    <cellStyle name="Normal 11 3 2 7 2 2" xfId="53972"/>
    <cellStyle name="Normal 11 3 2 7 2 3" xfId="53973"/>
    <cellStyle name="Normal 11 3 2 7 3" xfId="53974"/>
    <cellStyle name="Normal 11 3 2 7 3 2" xfId="53975"/>
    <cellStyle name="Normal 11 3 2 7 4" xfId="53976"/>
    <cellStyle name="Normal 11 3 2 7 5" xfId="53977"/>
    <cellStyle name="Normal 11 3 2 8" xfId="53978"/>
    <cellStyle name="Normal 11 3 2 8 2" xfId="53979"/>
    <cellStyle name="Normal 11 3 2 8 3" xfId="53980"/>
    <cellStyle name="Normal 11 3 2 9" xfId="53981"/>
    <cellStyle name="Normal 11 3 2 9 2" xfId="53982"/>
    <cellStyle name="Normal 11 3 2 9 3" xfId="53983"/>
    <cellStyle name="Normal 11 3 3" xfId="53984"/>
    <cellStyle name="Normal 11 3 3 10" xfId="53985"/>
    <cellStyle name="Normal 11 3 3 2" xfId="53986"/>
    <cellStyle name="Normal 11 3 3 2 2" xfId="53987"/>
    <cellStyle name="Normal 11 3 3 2 2 2" xfId="53988"/>
    <cellStyle name="Normal 11 3 3 2 2 2 2" xfId="53989"/>
    <cellStyle name="Normal 11 3 3 2 2 2 3" xfId="53990"/>
    <cellStyle name="Normal 11 3 3 2 2 3" xfId="53991"/>
    <cellStyle name="Normal 11 3 3 2 2 3 2" xfId="53992"/>
    <cellStyle name="Normal 11 3 3 2 2 3 3" xfId="53993"/>
    <cellStyle name="Normal 11 3 3 2 2 4" xfId="53994"/>
    <cellStyle name="Normal 11 3 3 2 2 4 2" xfId="53995"/>
    <cellStyle name="Normal 11 3 3 2 2 5" xfId="53996"/>
    <cellStyle name="Normal 11 3 3 2 2 6" xfId="53997"/>
    <cellStyle name="Normal 11 3 3 2 3" xfId="53998"/>
    <cellStyle name="Normal 11 3 3 2 3 2" xfId="53999"/>
    <cellStyle name="Normal 11 3 3 2 3 2 2" xfId="54000"/>
    <cellStyle name="Normal 11 3 3 2 3 2 3" xfId="54001"/>
    <cellStyle name="Normal 11 3 3 2 3 3" xfId="54002"/>
    <cellStyle name="Normal 11 3 3 2 3 3 2" xfId="54003"/>
    <cellStyle name="Normal 11 3 3 2 3 3 3" xfId="54004"/>
    <cellStyle name="Normal 11 3 3 2 3 4" xfId="54005"/>
    <cellStyle name="Normal 11 3 3 2 3 4 2" xfId="54006"/>
    <cellStyle name="Normal 11 3 3 2 3 5" xfId="54007"/>
    <cellStyle name="Normal 11 3 3 2 3 6" xfId="54008"/>
    <cellStyle name="Normal 11 3 3 2 4" xfId="54009"/>
    <cellStyle name="Normal 11 3 3 2 4 2" xfId="54010"/>
    <cellStyle name="Normal 11 3 3 2 4 2 2" xfId="54011"/>
    <cellStyle name="Normal 11 3 3 2 4 2 3" xfId="54012"/>
    <cellStyle name="Normal 11 3 3 2 4 3" xfId="54013"/>
    <cellStyle name="Normal 11 3 3 2 4 3 2" xfId="54014"/>
    <cellStyle name="Normal 11 3 3 2 4 4" xfId="54015"/>
    <cellStyle name="Normal 11 3 3 2 4 5" xfId="54016"/>
    <cellStyle name="Normal 11 3 3 2 5" xfId="54017"/>
    <cellStyle name="Normal 11 3 3 2 5 2" xfId="54018"/>
    <cellStyle name="Normal 11 3 3 2 5 3" xfId="54019"/>
    <cellStyle name="Normal 11 3 3 2 6" xfId="54020"/>
    <cellStyle name="Normal 11 3 3 2 6 2" xfId="54021"/>
    <cellStyle name="Normal 11 3 3 2 6 3" xfId="54022"/>
    <cellStyle name="Normal 11 3 3 2 7" xfId="54023"/>
    <cellStyle name="Normal 11 3 3 2 7 2" xfId="54024"/>
    <cellStyle name="Normal 11 3 3 2 8" xfId="54025"/>
    <cellStyle name="Normal 11 3 3 2 9" xfId="54026"/>
    <cellStyle name="Normal 11 3 3 3" xfId="54027"/>
    <cellStyle name="Normal 11 3 3 3 2" xfId="54028"/>
    <cellStyle name="Normal 11 3 3 3 2 2" xfId="54029"/>
    <cellStyle name="Normal 11 3 3 3 2 3" xfId="54030"/>
    <cellStyle name="Normal 11 3 3 3 3" xfId="54031"/>
    <cellStyle name="Normal 11 3 3 3 3 2" xfId="54032"/>
    <cellStyle name="Normal 11 3 3 3 3 3" xfId="54033"/>
    <cellStyle name="Normal 11 3 3 3 4" xfId="54034"/>
    <cellStyle name="Normal 11 3 3 3 4 2" xfId="54035"/>
    <cellStyle name="Normal 11 3 3 3 5" xfId="54036"/>
    <cellStyle name="Normal 11 3 3 3 6" xfId="54037"/>
    <cellStyle name="Normal 11 3 3 4" xfId="54038"/>
    <cellStyle name="Normal 11 3 3 4 2" xfId="54039"/>
    <cellStyle name="Normal 11 3 3 4 2 2" xfId="54040"/>
    <cellStyle name="Normal 11 3 3 4 2 3" xfId="54041"/>
    <cellStyle name="Normal 11 3 3 4 3" xfId="54042"/>
    <cellStyle name="Normal 11 3 3 4 3 2" xfId="54043"/>
    <cellStyle name="Normal 11 3 3 4 3 3" xfId="54044"/>
    <cellStyle name="Normal 11 3 3 4 4" xfId="54045"/>
    <cellStyle name="Normal 11 3 3 4 4 2" xfId="54046"/>
    <cellStyle name="Normal 11 3 3 4 5" xfId="54047"/>
    <cellStyle name="Normal 11 3 3 4 6" xfId="54048"/>
    <cellStyle name="Normal 11 3 3 5" xfId="54049"/>
    <cellStyle name="Normal 11 3 3 5 2" xfId="54050"/>
    <cellStyle name="Normal 11 3 3 5 2 2" xfId="54051"/>
    <cellStyle name="Normal 11 3 3 5 2 3" xfId="54052"/>
    <cellStyle name="Normal 11 3 3 5 3" xfId="54053"/>
    <cellStyle name="Normal 11 3 3 5 3 2" xfId="54054"/>
    <cellStyle name="Normal 11 3 3 5 4" xfId="54055"/>
    <cellStyle name="Normal 11 3 3 5 5" xfId="54056"/>
    <cellStyle name="Normal 11 3 3 6" xfId="54057"/>
    <cellStyle name="Normal 11 3 3 6 2" xfId="54058"/>
    <cellStyle name="Normal 11 3 3 6 3" xfId="54059"/>
    <cellStyle name="Normal 11 3 3 7" xfId="54060"/>
    <cellStyle name="Normal 11 3 3 7 2" xfId="54061"/>
    <cellStyle name="Normal 11 3 3 7 3" xfId="54062"/>
    <cellStyle name="Normal 11 3 3 8" xfId="54063"/>
    <cellStyle name="Normal 11 3 3 8 2" xfId="54064"/>
    <cellStyle name="Normal 11 3 3 9" xfId="54065"/>
    <cellStyle name="Normal 11 3 4" xfId="54066"/>
    <cellStyle name="Normal 11 3 4 2" xfId="54067"/>
    <cellStyle name="Normal 11 3 4 2 2" xfId="54068"/>
    <cellStyle name="Normal 11 3 4 2 2 2" xfId="54069"/>
    <cellStyle name="Normal 11 3 4 2 2 3" xfId="54070"/>
    <cellStyle name="Normal 11 3 4 2 3" xfId="54071"/>
    <cellStyle name="Normal 11 3 4 2 3 2" xfId="54072"/>
    <cellStyle name="Normal 11 3 4 2 3 3" xfId="54073"/>
    <cellStyle name="Normal 11 3 4 2 4" xfId="54074"/>
    <cellStyle name="Normal 11 3 4 2 4 2" xfId="54075"/>
    <cellStyle name="Normal 11 3 4 2 5" xfId="54076"/>
    <cellStyle name="Normal 11 3 4 2 6" xfId="54077"/>
    <cellStyle name="Normal 11 3 4 3" xfId="54078"/>
    <cellStyle name="Normal 11 3 4 3 2" xfId="54079"/>
    <cellStyle name="Normal 11 3 4 3 2 2" xfId="54080"/>
    <cellStyle name="Normal 11 3 4 3 2 3" xfId="54081"/>
    <cellStyle name="Normal 11 3 4 3 3" xfId="54082"/>
    <cellStyle name="Normal 11 3 4 3 3 2" xfId="54083"/>
    <cellStyle name="Normal 11 3 4 3 3 3" xfId="54084"/>
    <cellStyle name="Normal 11 3 4 3 4" xfId="54085"/>
    <cellStyle name="Normal 11 3 4 3 4 2" xfId="54086"/>
    <cellStyle name="Normal 11 3 4 3 5" xfId="54087"/>
    <cellStyle name="Normal 11 3 4 3 6" xfId="54088"/>
    <cellStyle name="Normal 11 3 4 4" xfId="54089"/>
    <cellStyle name="Normal 11 3 4 4 2" xfId="54090"/>
    <cellStyle name="Normal 11 3 4 4 2 2" xfId="54091"/>
    <cellStyle name="Normal 11 3 4 4 2 3" xfId="54092"/>
    <cellStyle name="Normal 11 3 4 4 3" xfId="54093"/>
    <cellStyle name="Normal 11 3 4 4 3 2" xfId="54094"/>
    <cellStyle name="Normal 11 3 4 4 4" xfId="54095"/>
    <cellStyle name="Normal 11 3 4 4 5" xfId="54096"/>
    <cellStyle name="Normal 11 3 4 5" xfId="54097"/>
    <cellStyle name="Normal 11 3 4 5 2" xfId="54098"/>
    <cellStyle name="Normal 11 3 4 5 3" xfId="54099"/>
    <cellStyle name="Normal 11 3 4 6" xfId="54100"/>
    <cellStyle name="Normal 11 3 4 6 2" xfId="54101"/>
    <cellStyle name="Normal 11 3 4 6 3" xfId="54102"/>
    <cellStyle name="Normal 11 3 4 7" xfId="54103"/>
    <cellStyle name="Normal 11 3 4 7 2" xfId="54104"/>
    <cellStyle name="Normal 11 3 4 8" xfId="54105"/>
    <cellStyle name="Normal 11 3 4 9" xfId="54106"/>
    <cellStyle name="Normal 11 3 5" xfId="54107"/>
    <cellStyle name="Normal 11 3 5 2" xfId="54108"/>
    <cellStyle name="Normal 11 3 5 2 2" xfId="54109"/>
    <cellStyle name="Normal 11 3 5 2 2 2" xfId="54110"/>
    <cellStyle name="Normal 11 3 5 2 2 3" xfId="54111"/>
    <cellStyle name="Normal 11 3 5 2 3" xfId="54112"/>
    <cellStyle name="Normal 11 3 5 2 3 2" xfId="54113"/>
    <cellStyle name="Normal 11 3 5 2 3 3" xfId="54114"/>
    <cellStyle name="Normal 11 3 5 2 4" xfId="54115"/>
    <cellStyle name="Normal 11 3 5 2 4 2" xfId="54116"/>
    <cellStyle name="Normal 11 3 5 2 5" xfId="54117"/>
    <cellStyle name="Normal 11 3 5 2 6" xfId="54118"/>
    <cellStyle name="Normal 11 3 5 3" xfId="54119"/>
    <cellStyle name="Normal 11 3 5 3 2" xfId="54120"/>
    <cellStyle name="Normal 11 3 5 3 2 2" xfId="54121"/>
    <cellStyle name="Normal 11 3 5 3 2 3" xfId="54122"/>
    <cellStyle name="Normal 11 3 5 3 3" xfId="54123"/>
    <cellStyle name="Normal 11 3 5 3 3 2" xfId="54124"/>
    <cellStyle name="Normal 11 3 5 3 3 3" xfId="54125"/>
    <cellStyle name="Normal 11 3 5 3 4" xfId="54126"/>
    <cellStyle name="Normal 11 3 5 3 4 2" xfId="54127"/>
    <cellStyle name="Normal 11 3 5 3 5" xfId="54128"/>
    <cellStyle name="Normal 11 3 5 3 6" xfId="54129"/>
    <cellStyle name="Normal 11 3 5 4" xfId="54130"/>
    <cellStyle name="Normal 11 3 5 4 2" xfId="54131"/>
    <cellStyle name="Normal 11 3 5 4 2 2" xfId="54132"/>
    <cellStyle name="Normal 11 3 5 4 2 3" xfId="54133"/>
    <cellStyle name="Normal 11 3 5 4 3" xfId="54134"/>
    <cellStyle name="Normal 11 3 5 4 3 2" xfId="54135"/>
    <cellStyle name="Normal 11 3 5 4 4" xfId="54136"/>
    <cellStyle name="Normal 11 3 5 4 5" xfId="54137"/>
    <cellStyle name="Normal 11 3 5 5" xfId="54138"/>
    <cellStyle name="Normal 11 3 5 5 2" xfId="54139"/>
    <cellStyle name="Normal 11 3 5 5 3" xfId="54140"/>
    <cellStyle name="Normal 11 3 5 6" xfId="54141"/>
    <cellStyle name="Normal 11 3 5 6 2" xfId="54142"/>
    <cellStyle name="Normal 11 3 5 6 3" xfId="54143"/>
    <cellStyle name="Normal 11 3 5 7" xfId="54144"/>
    <cellStyle name="Normal 11 3 5 7 2" xfId="54145"/>
    <cellStyle name="Normal 11 3 5 8" xfId="54146"/>
    <cellStyle name="Normal 11 3 5 9" xfId="54147"/>
    <cellStyle name="Normal 11 3 6" xfId="54148"/>
    <cellStyle name="Normal 11 3 6 2" xfId="54149"/>
    <cellStyle name="Normal 11 3 6 2 2" xfId="54150"/>
    <cellStyle name="Normal 11 3 6 2 3" xfId="54151"/>
    <cellStyle name="Normal 11 3 6 3" xfId="54152"/>
    <cellStyle name="Normal 11 3 6 3 2" xfId="54153"/>
    <cellStyle name="Normal 11 3 6 3 3" xfId="54154"/>
    <cellStyle name="Normal 11 3 6 4" xfId="54155"/>
    <cellStyle name="Normal 11 3 6 4 2" xfId="54156"/>
    <cellStyle name="Normal 11 3 6 5" xfId="54157"/>
    <cellStyle name="Normal 11 3 6 6" xfId="54158"/>
    <cellStyle name="Normal 11 3 7" xfId="54159"/>
    <cellStyle name="Normal 11 3 7 2" xfId="54160"/>
    <cellStyle name="Normal 11 3 7 2 2" xfId="54161"/>
    <cellStyle name="Normal 11 3 7 2 3" xfId="54162"/>
    <cellStyle name="Normal 11 3 7 3" xfId="54163"/>
    <cellStyle name="Normal 11 3 7 3 2" xfId="54164"/>
    <cellStyle name="Normal 11 3 7 3 3" xfId="54165"/>
    <cellStyle name="Normal 11 3 7 4" xfId="54166"/>
    <cellStyle name="Normal 11 3 7 4 2" xfId="54167"/>
    <cellStyle name="Normal 11 3 7 5" xfId="54168"/>
    <cellStyle name="Normal 11 3 7 6" xfId="54169"/>
    <cellStyle name="Normal 11 3 8" xfId="54170"/>
    <cellStyle name="Normal 11 3 8 2" xfId="54171"/>
    <cellStyle name="Normal 11 3 8 2 2" xfId="54172"/>
    <cellStyle name="Normal 11 3 8 2 3" xfId="54173"/>
    <cellStyle name="Normal 11 3 8 3" xfId="54174"/>
    <cellStyle name="Normal 11 3 8 3 2" xfId="54175"/>
    <cellStyle name="Normal 11 3 8 4" xfId="54176"/>
    <cellStyle name="Normal 11 3 8 5" xfId="54177"/>
    <cellStyle name="Normal 11 3 9" xfId="54178"/>
    <cellStyle name="Normal 11 3 9 2" xfId="54179"/>
    <cellStyle name="Normal 11 3 9 3" xfId="54180"/>
    <cellStyle name="Normal 11 4" xfId="54181"/>
    <cellStyle name="Normal 11 4 10" xfId="54182"/>
    <cellStyle name="Normal 11 4 10 2" xfId="54183"/>
    <cellStyle name="Normal 11 4 11" xfId="54184"/>
    <cellStyle name="Normal 11 4 12" xfId="54185"/>
    <cellStyle name="Normal 11 4 2" xfId="54186"/>
    <cellStyle name="Normal 11 4 2 10" xfId="54187"/>
    <cellStyle name="Normal 11 4 2 2" xfId="54188"/>
    <cellStyle name="Normal 11 4 2 2 2" xfId="54189"/>
    <cellStyle name="Normal 11 4 2 2 2 2" xfId="54190"/>
    <cellStyle name="Normal 11 4 2 2 2 2 2" xfId="54191"/>
    <cellStyle name="Normal 11 4 2 2 2 2 3" xfId="54192"/>
    <cellStyle name="Normal 11 4 2 2 2 3" xfId="54193"/>
    <cellStyle name="Normal 11 4 2 2 2 3 2" xfId="54194"/>
    <cellStyle name="Normal 11 4 2 2 2 3 3" xfId="54195"/>
    <cellStyle name="Normal 11 4 2 2 2 4" xfId="54196"/>
    <cellStyle name="Normal 11 4 2 2 2 4 2" xfId="54197"/>
    <cellStyle name="Normal 11 4 2 2 2 5" xfId="54198"/>
    <cellStyle name="Normal 11 4 2 2 2 6" xfId="54199"/>
    <cellStyle name="Normal 11 4 2 2 3" xfId="54200"/>
    <cellStyle name="Normal 11 4 2 2 3 2" xfId="54201"/>
    <cellStyle name="Normal 11 4 2 2 3 2 2" xfId="54202"/>
    <cellStyle name="Normal 11 4 2 2 3 2 3" xfId="54203"/>
    <cellStyle name="Normal 11 4 2 2 3 3" xfId="54204"/>
    <cellStyle name="Normal 11 4 2 2 3 3 2" xfId="54205"/>
    <cellStyle name="Normal 11 4 2 2 3 3 3" xfId="54206"/>
    <cellStyle name="Normal 11 4 2 2 3 4" xfId="54207"/>
    <cellStyle name="Normal 11 4 2 2 3 4 2" xfId="54208"/>
    <cellStyle name="Normal 11 4 2 2 3 5" xfId="54209"/>
    <cellStyle name="Normal 11 4 2 2 3 6" xfId="54210"/>
    <cellStyle name="Normal 11 4 2 2 4" xfId="54211"/>
    <cellStyle name="Normal 11 4 2 2 4 2" xfId="54212"/>
    <cellStyle name="Normal 11 4 2 2 4 2 2" xfId="54213"/>
    <cellStyle name="Normal 11 4 2 2 4 2 3" xfId="54214"/>
    <cellStyle name="Normal 11 4 2 2 4 3" xfId="54215"/>
    <cellStyle name="Normal 11 4 2 2 4 3 2" xfId="54216"/>
    <cellStyle name="Normal 11 4 2 2 4 4" xfId="54217"/>
    <cellStyle name="Normal 11 4 2 2 4 5" xfId="54218"/>
    <cellStyle name="Normal 11 4 2 2 5" xfId="54219"/>
    <cellStyle name="Normal 11 4 2 2 5 2" xfId="54220"/>
    <cellStyle name="Normal 11 4 2 2 5 3" xfId="54221"/>
    <cellStyle name="Normal 11 4 2 2 6" xfId="54222"/>
    <cellStyle name="Normal 11 4 2 2 6 2" xfId="54223"/>
    <cellStyle name="Normal 11 4 2 2 6 3" xfId="54224"/>
    <cellStyle name="Normal 11 4 2 2 7" xfId="54225"/>
    <cellStyle name="Normal 11 4 2 2 7 2" xfId="54226"/>
    <cellStyle name="Normal 11 4 2 2 8" xfId="54227"/>
    <cellStyle name="Normal 11 4 2 2 9" xfId="54228"/>
    <cellStyle name="Normal 11 4 2 3" xfId="54229"/>
    <cellStyle name="Normal 11 4 2 3 2" xfId="54230"/>
    <cellStyle name="Normal 11 4 2 3 2 2" xfId="54231"/>
    <cellStyle name="Normal 11 4 2 3 2 3" xfId="54232"/>
    <cellStyle name="Normal 11 4 2 3 3" xfId="54233"/>
    <cellStyle name="Normal 11 4 2 3 3 2" xfId="54234"/>
    <cellStyle name="Normal 11 4 2 3 3 3" xfId="54235"/>
    <cellStyle name="Normal 11 4 2 3 4" xfId="54236"/>
    <cellStyle name="Normal 11 4 2 3 4 2" xfId="54237"/>
    <cellStyle name="Normal 11 4 2 3 5" xfId="54238"/>
    <cellStyle name="Normal 11 4 2 3 6" xfId="54239"/>
    <cellStyle name="Normal 11 4 2 4" xfId="54240"/>
    <cellStyle name="Normal 11 4 2 4 2" xfId="54241"/>
    <cellStyle name="Normal 11 4 2 4 2 2" xfId="54242"/>
    <cellStyle name="Normal 11 4 2 4 2 3" xfId="54243"/>
    <cellStyle name="Normal 11 4 2 4 3" xfId="54244"/>
    <cellStyle name="Normal 11 4 2 4 3 2" xfId="54245"/>
    <cellStyle name="Normal 11 4 2 4 3 3" xfId="54246"/>
    <cellStyle name="Normal 11 4 2 4 4" xfId="54247"/>
    <cellStyle name="Normal 11 4 2 4 4 2" xfId="54248"/>
    <cellStyle name="Normal 11 4 2 4 5" xfId="54249"/>
    <cellStyle name="Normal 11 4 2 4 6" xfId="54250"/>
    <cellStyle name="Normal 11 4 2 5" xfId="54251"/>
    <cellStyle name="Normal 11 4 2 5 2" xfId="54252"/>
    <cellStyle name="Normal 11 4 2 5 2 2" xfId="54253"/>
    <cellStyle name="Normal 11 4 2 5 2 3" xfId="54254"/>
    <cellStyle name="Normal 11 4 2 5 3" xfId="54255"/>
    <cellStyle name="Normal 11 4 2 5 3 2" xfId="54256"/>
    <cellStyle name="Normal 11 4 2 5 4" xfId="54257"/>
    <cellStyle name="Normal 11 4 2 5 5" xfId="54258"/>
    <cellStyle name="Normal 11 4 2 6" xfId="54259"/>
    <cellStyle name="Normal 11 4 2 6 2" xfId="54260"/>
    <cellStyle name="Normal 11 4 2 6 3" xfId="54261"/>
    <cellStyle name="Normal 11 4 2 7" xfId="54262"/>
    <cellStyle name="Normal 11 4 2 7 2" xfId="54263"/>
    <cellStyle name="Normal 11 4 2 7 3" xfId="54264"/>
    <cellStyle name="Normal 11 4 2 8" xfId="54265"/>
    <cellStyle name="Normal 11 4 2 8 2" xfId="54266"/>
    <cellStyle name="Normal 11 4 2 9" xfId="54267"/>
    <cellStyle name="Normal 11 4 3" xfId="54268"/>
    <cellStyle name="Normal 11 4 3 2" xfId="54269"/>
    <cellStyle name="Normal 11 4 3 2 2" xfId="54270"/>
    <cellStyle name="Normal 11 4 3 2 2 2" xfId="54271"/>
    <cellStyle name="Normal 11 4 3 2 2 3" xfId="54272"/>
    <cellStyle name="Normal 11 4 3 2 3" xfId="54273"/>
    <cellStyle name="Normal 11 4 3 2 3 2" xfId="54274"/>
    <cellStyle name="Normal 11 4 3 2 3 3" xfId="54275"/>
    <cellStyle name="Normal 11 4 3 2 4" xfId="54276"/>
    <cellStyle name="Normal 11 4 3 2 4 2" xfId="54277"/>
    <cellStyle name="Normal 11 4 3 2 5" xfId="54278"/>
    <cellStyle name="Normal 11 4 3 2 6" xfId="54279"/>
    <cellStyle name="Normal 11 4 3 3" xfId="54280"/>
    <cellStyle name="Normal 11 4 3 3 2" xfId="54281"/>
    <cellStyle name="Normal 11 4 3 3 2 2" xfId="54282"/>
    <cellStyle name="Normal 11 4 3 3 2 3" xfId="54283"/>
    <cellStyle name="Normal 11 4 3 3 3" xfId="54284"/>
    <cellStyle name="Normal 11 4 3 3 3 2" xfId="54285"/>
    <cellStyle name="Normal 11 4 3 3 3 3" xfId="54286"/>
    <cellStyle name="Normal 11 4 3 3 4" xfId="54287"/>
    <cellStyle name="Normal 11 4 3 3 4 2" xfId="54288"/>
    <cellStyle name="Normal 11 4 3 3 5" xfId="54289"/>
    <cellStyle name="Normal 11 4 3 3 6" xfId="54290"/>
    <cellStyle name="Normal 11 4 3 4" xfId="54291"/>
    <cellStyle name="Normal 11 4 3 4 2" xfId="54292"/>
    <cellStyle name="Normal 11 4 3 4 2 2" xfId="54293"/>
    <cellStyle name="Normal 11 4 3 4 2 3" xfId="54294"/>
    <cellStyle name="Normal 11 4 3 4 3" xfId="54295"/>
    <cellStyle name="Normal 11 4 3 4 3 2" xfId="54296"/>
    <cellStyle name="Normal 11 4 3 4 4" xfId="54297"/>
    <cellStyle name="Normal 11 4 3 4 5" xfId="54298"/>
    <cellStyle name="Normal 11 4 3 5" xfId="54299"/>
    <cellStyle name="Normal 11 4 3 5 2" xfId="54300"/>
    <cellStyle name="Normal 11 4 3 5 3" xfId="54301"/>
    <cellStyle name="Normal 11 4 3 6" xfId="54302"/>
    <cellStyle name="Normal 11 4 3 6 2" xfId="54303"/>
    <cellStyle name="Normal 11 4 3 6 3" xfId="54304"/>
    <cellStyle name="Normal 11 4 3 7" xfId="54305"/>
    <cellStyle name="Normal 11 4 3 7 2" xfId="54306"/>
    <cellStyle name="Normal 11 4 3 8" xfId="54307"/>
    <cellStyle name="Normal 11 4 3 9" xfId="54308"/>
    <cellStyle name="Normal 11 4 4" xfId="54309"/>
    <cellStyle name="Normal 11 4 4 2" xfId="54310"/>
    <cellStyle name="Normal 11 4 4 2 2" xfId="54311"/>
    <cellStyle name="Normal 11 4 4 2 2 2" xfId="54312"/>
    <cellStyle name="Normal 11 4 4 2 2 3" xfId="54313"/>
    <cellStyle name="Normal 11 4 4 2 3" xfId="54314"/>
    <cellStyle name="Normal 11 4 4 2 3 2" xfId="54315"/>
    <cellStyle name="Normal 11 4 4 2 3 3" xfId="54316"/>
    <cellStyle name="Normal 11 4 4 2 4" xfId="54317"/>
    <cellStyle name="Normal 11 4 4 2 4 2" xfId="54318"/>
    <cellStyle name="Normal 11 4 4 2 5" xfId="54319"/>
    <cellStyle name="Normal 11 4 4 2 6" xfId="54320"/>
    <cellStyle name="Normal 11 4 4 3" xfId="54321"/>
    <cellStyle name="Normal 11 4 4 3 2" xfId="54322"/>
    <cellStyle name="Normal 11 4 4 3 2 2" xfId="54323"/>
    <cellStyle name="Normal 11 4 4 3 2 3" xfId="54324"/>
    <cellStyle name="Normal 11 4 4 3 3" xfId="54325"/>
    <cellStyle name="Normal 11 4 4 3 3 2" xfId="54326"/>
    <cellStyle name="Normal 11 4 4 3 3 3" xfId="54327"/>
    <cellStyle name="Normal 11 4 4 3 4" xfId="54328"/>
    <cellStyle name="Normal 11 4 4 3 4 2" xfId="54329"/>
    <cellStyle name="Normal 11 4 4 3 5" xfId="54330"/>
    <cellStyle name="Normal 11 4 4 3 6" xfId="54331"/>
    <cellStyle name="Normal 11 4 4 4" xfId="54332"/>
    <cellStyle name="Normal 11 4 4 4 2" xfId="54333"/>
    <cellStyle name="Normal 11 4 4 4 2 2" xfId="54334"/>
    <cellStyle name="Normal 11 4 4 4 2 3" xfId="54335"/>
    <cellStyle name="Normal 11 4 4 4 3" xfId="54336"/>
    <cellStyle name="Normal 11 4 4 4 3 2" xfId="54337"/>
    <cellStyle name="Normal 11 4 4 4 4" xfId="54338"/>
    <cellStyle name="Normal 11 4 4 4 5" xfId="54339"/>
    <cellStyle name="Normal 11 4 4 5" xfId="54340"/>
    <cellStyle name="Normal 11 4 4 5 2" xfId="54341"/>
    <cellStyle name="Normal 11 4 4 5 3" xfId="54342"/>
    <cellStyle name="Normal 11 4 4 6" xfId="54343"/>
    <cellStyle name="Normal 11 4 4 6 2" xfId="54344"/>
    <cellStyle name="Normal 11 4 4 6 3" xfId="54345"/>
    <cellStyle name="Normal 11 4 4 7" xfId="54346"/>
    <cellStyle name="Normal 11 4 4 7 2" xfId="54347"/>
    <cellStyle name="Normal 11 4 4 8" xfId="54348"/>
    <cellStyle name="Normal 11 4 4 9" xfId="54349"/>
    <cellStyle name="Normal 11 4 5" xfId="54350"/>
    <cellStyle name="Normal 11 4 5 2" xfId="54351"/>
    <cellStyle name="Normal 11 4 5 2 2" xfId="54352"/>
    <cellStyle name="Normal 11 4 5 2 3" xfId="54353"/>
    <cellStyle name="Normal 11 4 5 3" xfId="54354"/>
    <cellStyle name="Normal 11 4 5 3 2" xfId="54355"/>
    <cellStyle name="Normal 11 4 5 3 3" xfId="54356"/>
    <cellStyle name="Normal 11 4 5 4" xfId="54357"/>
    <cellStyle name="Normal 11 4 5 4 2" xfId="54358"/>
    <cellStyle name="Normal 11 4 5 5" xfId="54359"/>
    <cellStyle name="Normal 11 4 5 6" xfId="54360"/>
    <cellStyle name="Normal 11 4 6" xfId="54361"/>
    <cellStyle name="Normal 11 4 6 2" xfId="54362"/>
    <cellStyle name="Normal 11 4 6 2 2" xfId="54363"/>
    <cellStyle name="Normal 11 4 6 2 3" xfId="54364"/>
    <cellStyle name="Normal 11 4 6 3" xfId="54365"/>
    <cellStyle name="Normal 11 4 6 3 2" xfId="54366"/>
    <cellStyle name="Normal 11 4 6 3 3" xfId="54367"/>
    <cellStyle name="Normal 11 4 6 4" xfId="54368"/>
    <cellStyle name="Normal 11 4 6 4 2" xfId="54369"/>
    <cellStyle name="Normal 11 4 6 5" xfId="54370"/>
    <cellStyle name="Normal 11 4 6 6" xfId="54371"/>
    <cellStyle name="Normal 11 4 7" xfId="54372"/>
    <cellStyle name="Normal 11 4 7 2" xfId="54373"/>
    <cellStyle name="Normal 11 4 7 2 2" xfId="54374"/>
    <cellStyle name="Normal 11 4 7 2 3" xfId="54375"/>
    <cellStyle name="Normal 11 4 7 3" xfId="54376"/>
    <cellStyle name="Normal 11 4 7 3 2" xfId="54377"/>
    <cellStyle name="Normal 11 4 7 4" xfId="54378"/>
    <cellStyle name="Normal 11 4 7 5" xfId="54379"/>
    <cellStyle name="Normal 11 4 8" xfId="54380"/>
    <cellStyle name="Normal 11 4 8 2" xfId="54381"/>
    <cellStyle name="Normal 11 4 8 3" xfId="54382"/>
    <cellStyle name="Normal 11 4 9" xfId="54383"/>
    <cellStyle name="Normal 11 4 9 2" xfId="54384"/>
    <cellStyle name="Normal 11 4 9 3" xfId="54385"/>
    <cellStyle name="Normal 11 5" xfId="54386"/>
    <cellStyle name="Normal 11 5 10" xfId="54387"/>
    <cellStyle name="Normal 11 5 2" xfId="54388"/>
    <cellStyle name="Normal 11 5 2 2" xfId="54389"/>
    <cellStyle name="Normal 11 5 2 2 2" xfId="54390"/>
    <cellStyle name="Normal 11 5 2 2 2 2" xfId="54391"/>
    <cellStyle name="Normal 11 5 2 2 2 3" xfId="54392"/>
    <cellStyle name="Normal 11 5 2 2 3" xfId="54393"/>
    <cellStyle name="Normal 11 5 2 2 3 2" xfId="54394"/>
    <cellStyle name="Normal 11 5 2 2 3 3" xfId="54395"/>
    <cellStyle name="Normal 11 5 2 2 4" xfId="54396"/>
    <cellStyle name="Normal 11 5 2 2 4 2" xfId="54397"/>
    <cellStyle name="Normal 11 5 2 2 5" xfId="54398"/>
    <cellStyle name="Normal 11 5 2 2 6" xfId="54399"/>
    <cellStyle name="Normal 11 5 2 3" xfId="54400"/>
    <cellStyle name="Normal 11 5 2 3 2" xfId="54401"/>
    <cellStyle name="Normal 11 5 2 3 2 2" xfId="54402"/>
    <cellStyle name="Normal 11 5 2 3 2 3" xfId="54403"/>
    <cellStyle name="Normal 11 5 2 3 3" xfId="54404"/>
    <cellStyle name="Normal 11 5 2 3 3 2" xfId="54405"/>
    <cellStyle name="Normal 11 5 2 3 3 3" xfId="54406"/>
    <cellStyle name="Normal 11 5 2 3 4" xfId="54407"/>
    <cellStyle name="Normal 11 5 2 3 4 2" xfId="54408"/>
    <cellStyle name="Normal 11 5 2 3 5" xfId="54409"/>
    <cellStyle name="Normal 11 5 2 3 6" xfId="54410"/>
    <cellStyle name="Normal 11 5 2 4" xfId="54411"/>
    <cellStyle name="Normal 11 5 2 4 2" xfId="54412"/>
    <cellStyle name="Normal 11 5 2 4 2 2" xfId="54413"/>
    <cellStyle name="Normal 11 5 2 4 2 3" xfId="54414"/>
    <cellStyle name="Normal 11 5 2 4 3" xfId="54415"/>
    <cellStyle name="Normal 11 5 2 4 3 2" xfId="54416"/>
    <cellStyle name="Normal 11 5 2 4 4" xfId="54417"/>
    <cellStyle name="Normal 11 5 2 4 5" xfId="54418"/>
    <cellStyle name="Normal 11 5 2 5" xfId="54419"/>
    <cellStyle name="Normal 11 5 2 5 2" xfId="54420"/>
    <cellStyle name="Normal 11 5 2 5 3" xfId="54421"/>
    <cellStyle name="Normal 11 5 2 6" xfId="54422"/>
    <cellStyle name="Normal 11 5 2 6 2" xfId="54423"/>
    <cellStyle name="Normal 11 5 2 6 3" xfId="54424"/>
    <cellStyle name="Normal 11 5 2 7" xfId="54425"/>
    <cellStyle name="Normal 11 5 2 7 2" xfId="54426"/>
    <cellStyle name="Normal 11 5 2 8" xfId="54427"/>
    <cellStyle name="Normal 11 5 2 9" xfId="54428"/>
    <cellStyle name="Normal 11 5 3" xfId="54429"/>
    <cellStyle name="Normal 11 5 3 2" xfId="54430"/>
    <cellStyle name="Normal 11 5 3 2 2" xfId="54431"/>
    <cellStyle name="Normal 11 5 3 2 3" xfId="54432"/>
    <cellStyle name="Normal 11 5 3 3" xfId="54433"/>
    <cellStyle name="Normal 11 5 3 3 2" xfId="54434"/>
    <cellStyle name="Normal 11 5 3 3 3" xfId="54435"/>
    <cellStyle name="Normal 11 5 3 4" xfId="54436"/>
    <cellStyle name="Normal 11 5 3 4 2" xfId="54437"/>
    <cellStyle name="Normal 11 5 3 5" xfId="54438"/>
    <cellStyle name="Normal 11 5 3 6" xfId="54439"/>
    <cellStyle name="Normal 11 5 4" xfId="54440"/>
    <cellStyle name="Normal 11 5 4 2" xfId="54441"/>
    <cellStyle name="Normal 11 5 4 2 2" xfId="54442"/>
    <cellStyle name="Normal 11 5 4 2 3" xfId="54443"/>
    <cellStyle name="Normal 11 5 4 3" xfId="54444"/>
    <cellStyle name="Normal 11 5 4 3 2" xfId="54445"/>
    <cellStyle name="Normal 11 5 4 3 3" xfId="54446"/>
    <cellStyle name="Normal 11 5 4 4" xfId="54447"/>
    <cellStyle name="Normal 11 5 4 4 2" xfId="54448"/>
    <cellStyle name="Normal 11 5 4 5" xfId="54449"/>
    <cellStyle name="Normal 11 5 4 6" xfId="54450"/>
    <cellStyle name="Normal 11 5 5" xfId="54451"/>
    <cellStyle name="Normal 11 5 5 2" xfId="54452"/>
    <cellStyle name="Normal 11 5 5 2 2" xfId="54453"/>
    <cellStyle name="Normal 11 5 5 2 3" xfId="54454"/>
    <cellStyle name="Normal 11 5 5 3" xfId="54455"/>
    <cellStyle name="Normal 11 5 5 3 2" xfId="54456"/>
    <cellStyle name="Normal 11 5 5 4" xfId="54457"/>
    <cellStyle name="Normal 11 5 5 5" xfId="54458"/>
    <cellStyle name="Normal 11 5 6" xfId="54459"/>
    <cellStyle name="Normal 11 5 6 2" xfId="54460"/>
    <cellStyle name="Normal 11 5 6 3" xfId="54461"/>
    <cellStyle name="Normal 11 5 7" xfId="54462"/>
    <cellStyle name="Normal 11 5 7 2" xfId="54463"/>
    <cellStyle name="Normal 11 5 7 3" xfId="54464"/>
    <cellStyle name="Normal 11 5 8" xfId="54465"/>
    <cellStyle name="Normal 11 5 8 2" xfId="54466"/>
    <cellStyle name="Normal 11 5 9" xfId="54467"/>
    <cellStyle name="Normal 11 6" xfId="54468"/>
    <cellStyle name="Normal 11 6 2" xfId="54469"/>
    <cellStyle name="Normal 11 6 2 2" xfId="54470"/>
    <cellStyle name="Normal 11 6 2 2 2" xfId="54471"/>
    <cellStyle name="Normal 11 6 2 2 3" xfId="54472"/>
    <cellStyle name="Normal 11 6 2 3" xfId="54473"/>
    <cellStyle name="Normal 11 6 2 3 2" xfId="54474"/>
    <cellStyle name="Normal 11 6 2 3 3" xfId="54475"/>
    <cellStyle name="Normal 11 6 2 4" xfId="54476"/>
    <cellStyle name="Normal 11 6 2 4 2" xfId="54477"/>
    <cellStyle name="Normal 11 6 2 5" xfId="54478"/>
    <cellStyle name="Normal 11 6 2 6" xfId="54479"/>
    <cellStyle name="Normal 11 6 3" xfId="54480"/>
    <cellStyle name="Normal 11 6 3 2" xfId="54481"/>
    <cellStyle name="Normal 11 6 3 2 2" xfId="54482"/>
    <cellStyle name="Normal 11 6 3 2 3" xfId="54483"/>
    <cellStyle name="Normal 11 6 3 3" xfId="54484"/>
    <cellStyle name="Normal 11 6 3 3 2" xfId="54485"/>
    <cellStyle name="Normal 11 6 3 3 3" xfId="54486"/>
    <cellStyle name="Normal 11 6 3 4" xfId="54487"/>
    <cellStyle name="Normal 11 6 3 4 2" xfId="54488"/>
    <cellStyle name="Normal 11 6 3 5" xfId="54489"/>
    <cellStyle name="Normal 11 6 3 6" xfId="54490"/>
    <cellStyle name="Normal 11 6 4" xfId="54491"/>
    <cellStyle name="Normal 11 6 4 2" xfId="54492"/>
    <cellStyle name="Normal 11 6 4 2 2" xfId="54493"/>
    <cellStyle name="Normal 11 6 4 2 3" xfId="54494"/>
    <cellStyle name="Normal 11 6 4 3" xfId="54495"/>
    <cellStyle name="Normal 11 6 4 3 2" xfId="54496"/>
    <cellStyle name="Normal 11 6 4 4" xfId="54497"/>
    <cellStyle name="Normal 11 6 4 5" xfId="54498"/>
    <cellStyle name="Normal 11 6 5" xfId="54499"/>
    <cellStyle name="Normal 11 6 5 2" xfId="54500"/>
    <cellStyle name="Normal 11 6 5 3" xfId="54501"/>
    <cellStyle name="Normal 11 6 6" xfId="54502"/>
    <cellStyle name="Normal 11 6 6 2" xfId="54503"/>
    <cellStyle name="Normal 11 6 6 3" xfId="54504"/>
    <cellStyle name="Normal 11 6 7" xfId="54505"/>
    <cellStyle name="Normal 11 6 7 2" xfId="54506"/>
    <cellStyle name="Normal 11 6 8" xfId="54507"/>
    <cellStyle name="Normal 11 6 9" xfId="54508"/>
    <cellStyle name="Normal 11 7" xfId="54509"/>
    <cellStyle name="Normal 11 7 2" xfId="54510"/>
    <cellStyle name="Normal 11 7 2 2" xfId="54511"/>
    <cellStyle name="Normal 11 7 2 2 2" xfId="54512"/>
    <cellStyle name="Normal 11 7 2 2 3" xfId="54513"/>
    <cellStyle name="Normal 11 7 2 3" xfId="54514"/>
    <cellStyle name="Normal 11 7 2 3 2" xfId="54515"/>
    <cellStyle name="Normal 11 7 2 3 3" xfId="54516"/>
    <cellStyle name="Normal 11 7 2 4" xfId="54517"/>
    <cellStyle name="Normal 11 7 2 4 2" xfId="54518"/>
    <cellStyle name="Normal 11 7 2 5" xfId="54519"/>
    <cellStyle name="Normal 11 7 2 6" xfId="54520"/>
    <cellStyle name="Normal 11 7 3" xfId="54521"/>
    <cellStyle name="Normal 11 7 3 2" xfId="54522"/>
    <cellStyle name="Normal 11 7 3 2 2" xfId="54523"/>
    <cellStyle name="Normal 11 7 3 2 3" xfId="54524"/>
    <cellStyle name="Normal 11 7 3 3" xfId="54525"/>
    <cellStyle name="Normal 11 7 3 3 2" xfId="54526"/>
    <cellStyle name="Normal 11 7 3 3 3" xfId="54527"/>
    <cellStyle name="Normal 11 7 3 4" xfId="54528"/>
    <cellStyle name="Normal 11 7 3 4 2" xfId="54529"/>
    <cellStyle name="Normal 11 7 3 5" xfId="54530"/>
    <cellStyle name="Normal 11 7 3 6" xfId="54531"/>
    <cellStyle name="Normal 11 7 4" xfId="54532"/>
    <cellStyle name="Normal 11 7 4 2" xfId="54533"/>
    <cellStyle name="Normal 11 7 4 2 2" xfId="54534"/>
    <cellStyle name="Normal 11 7 4 2 3" xfId="54535"/>
    <cellStyle name="Normal 11 7 4 3" xfId="54536"/>
    <cellStyle name="Normal 11 7 4 3 2" xfId="54537"/>
    <cellStyle name="Normal 11 7 4 4" xfId="54538"/>
    <cellStyle name="Normal 11 7 4 5" xfId="54539"/>
    <cellStyle name="Normal 11 7 5" xfId="54540"/>
    <cellStyle name="Normal 11 7 5 2" xfId="54541"/>
    <cellStyle name="Normal 11 7 5 3" xfId="54542"/>
    <cellStyle name="Normal 11 7 6" xfId="54543"/>
    <cellStyle name="Normal 11 7 6 2" xfId="54544"/>
    <cellStyle name="Normal 11 7 6 3" xfId="54545"/>
    <cellStyle name="Normal 11 7 7" xfId="54546"/>
    <cellStyle name="Normal 11 7 7 2" xfId="54547"/>
    <cellStyle name="Normal 11 7 8" xfId="54548"/>
    <cellStyle name="Normal 11 7 9" xfId="54549"/>
    <cellStyle name="Normal 11 8" xfId="54550"/>
    <cellStyle name="Normal 11 8 2" xfId="54551"/>
    <cellStyle name="Normal 11 8 2 2" xfId="54552"/>
    <cellStyle name="Normal 11 8 2 3" xfId="54553"/>
    <cellStyle name="Normal 11 8 3" xfId="54554"/>
    <cellStyle name="Normal 11 8 3 2" xfId="54555"/>
    <cellStyle name="Normal 11 8 3 3" xfId="54556"/>
    <cellStyle name="Normal 11 8 4" xfId="54557"/>
    <cellStyle name="Normal 11 8 4 2" xfId="54558"/>
    <cellStyle name="Normal 11 8 5" xfId="54559"/>
    <cellStyle name="Normal 11 8 6" xfId="54560"/>
    <cellStyle name="Normal 11 9" xfId="54561"/>
    <cellStyle name="Normal 11 9 2" xfId="54562"/>
    <cellStyle name="Normal 11 9 2 2" xfId="54563"/>
    <cellStyle name="Normal 11 9 2 3" xfId="54564"/>
    <cellStyle name="Normal 11 9 3" xfId="54565"/>
    <cellStyle name="Normal 11 9 3 2" xfId="54566"/>
    <cellStyle name="Normal 11 9 3 3" xfId="54567"/>
    <cellStyle name="Normal 11 9 4" xfId="54568"/>
    <cellStyle name="Normal 11 9 4 2" xfId="54569"/>
    <cellStyle name="Normal 11 9 5" xfId="54570"/>
    <cellStyle name="Normal 11 9 6" xfId="54571"/>
    <cellStyle name="Normal 12" xfId="4401"/>
    <cellStyle name="Normal 12 2" xfId="4402"/>
    <cellStyle name="Normal 12 2 2" xfId="4403"/>
    <cellStyle name="Normal 12 2 2 2" xfId="4404"/>
    <cellStyle name="Normal 12 2 2 2 2" xfId="4405"/>
    <cellStyle name="Normal 12 2 2 2 2 2" xfId="4406"/>
    <cellStyle name="Normal 12 2 2 2 2 2 2" xfId="4407"/>
    <cellStyle name="Normal 12 2 2 2 2 3" xfId="4408"/>
    <cellStyle name="Normal 12 2 2 2 3" xfId="4409"/>
    <cellStyle name="Normal 12 2 2 2 3 2" xfId="4410"/>
    <cellStyle name="Normal 12 2 2 2 4" xfId="4411"/>
    <cellStyle name="Normal 12 2 2 2 5" xfId="59489"/>
    <cellStyle name="Normal 12 2 2 3" xfId="4412"/>
    <cellStyle name="Normal 12 2 2 3 2" xfId="4413"/>
    <cellStyle name="Normal 12 2 2 3 2 2" xfId="4414"/>
    <cellStyle name="Normal 12 2 2 3 3" xfId="4415"/>
    <cellStyle name="Normal 12 2 2 4" xfId="4416"/>
    <cellStyle name="Normal 12 2 2 4 2" xfId="4417"/>
    <cellStyle name="Normal 12 2 2 5" xfId="4418"/>
    <cellStyle name="Normal 12 2 2 6" xfId="59490"/>
    <cellStyle name="Normal 12 2 3" xfId="4419"/>
    <cellStyle name="Normal 12 2 3 2" xfId="4420"/>
    <cellStyle name="Normal 12 2 3 2 2" xfId="4421"/>
    <cellStyle name="Normal 12 2 3 2 2 2" xfId="4422"/>
    <cellStyle name="Normal 12 2 3 2 3" xfId="4423"/>
    <cellStyle name="Normal 12 2 3 3" xfId="4424"/>
    <cellStyle name="Normal 12 2 3 3 2" xfId="4425"/>
    <cellStyle name="Normal 12 2 3 4" xfId="4426"/>
    <cellStyle name="Normal 12 2 3 5" xfId="59491"/>
    <cellStyle name="Normal 12 2 4" xfId="4427"/>
    <cellStyle name="Normal 12 2 4 2" xfId="4428"/>
    <cellStyle name="Normal 12 2 4 2 2" xfId="4429"/>
    <cellStyle name="Normal 12 2 4 3" xfId="4430"/>
    <cellStyle name="Normal 12 2 5" xfId="4431"/>
    <cellStyle name="Normal 12 2 5 2" xfId="4432"/>
    <cellStyle name="Normal 12 2 6" xfId="4433"/>
    <cellStyle name="Normal 12 2 7" xfId="4434"/>
    <cellStyle name="Normal 12 3" xfId="4435"/>
    <cellStyle name="Normal 12 3 2" xfId="4436"/>
    <cellStyle name="Normal 12 3 2 2" xfId="4437"/>
    <cellStyle name="Normal 12 3 2 2 2" xfId="4438"/>
    <cellStyle name="Normal 12 3 2 2 2 2" xfId="4439"/>
    <cellStyle name="Normal 12 3 2 2 3" xfId="4440"/>
    <cellStyle name="Normal 12 3 2 3" xfId="4441"/>
    <cellStyle name="Normal 12 3 2 3 2" xfId="4442"/>
    <cellStyle name="Normal 12 3 2 4" xfId="4443"/>
    <cellStyle name="Normal 12 3 3" xfId="4444"/>
    <cellStyle name="Normal 12 3 3 2" xfId="4445"/>
    <cellStyle name="Normal 12 3 3 2 2" xfId="4446"/>
    <cellStyle name="Normal 12 3 3 3" xfId="4447"/>
    <cellStyle name="Normal 12 3 4" xfId="4448"/>
    <cellStyle name="Normal 12 3 4 2" xfId="4449"/>
    <cellStyle name="Normal 12 3 5" xfId="4450"/>
    <cellStyle name="Normal 12 3 6" xfId="59492"/>
    <cellStyle name="Normal 12 4" xfId="4451"/>
    <cellStyle name="Normal 12 4 2" xfId="4452"/>
    <cellStyle name="Normal 12 4 2 2" xfId="4453"/>
    <cellStyle name="Normal 12 4 2 2 2" xfId="4454"/>
    <cellStyle name="Normal 12 4 2 3" xfId="4455"/>
    <cellStyle name="Normal 12 4 3" xfId="4456"/>
    <cellStyle name="Normal 12 4 3 2" xfId="4457"/>
    <cellStyle name="Normal 12 4 4" xfId="4458"/>
    <cellStyle name="Normal 12 5" xfId="4459"/>
    <cellStyle name="Normal 12 5 2" xfId="4460"/>
    <cellStyle name="Normal 12 5 2 2" xfId="4461"/>
    <cellStyle name="Normal 12 5 3" xfId="4462"/>
    <cellStyle name="Normal 12 6" xfId="4463"/>
    <cellStyle name="Normal 12 6 2" xfId="4464"/>
    <cellStyle name="Normal 12 7" xfId="4465"/>
    <cellStyle name="Normal 12 8" xfId="4466"/>
    <cellStyle name="Normal 13" xfId="4467"/>
    <cellStyle name="Normal 13 10" xfId="54572"/>
    <cellStyle name="Normal 13 10 2" xfId="54573"/>
    <cellStyle name="Normal 13 10 3" xfId="54574"/>
    <cellStyle name="Normal 13 11" xfId="54575"/>
    <cellStyle name="Normal 13 11 2" xfId="54576"/>
    <cellStyle name="Normal 13 11 3" xfId="54577"/>
    <cellStyle name="Normal 13 12" xfId="54578"/>
    <cellStyle name="Normal 13 12 2" xfId="54579"/>
    <cellStyle name="Normal 13 13" xfId="54580"/>
    <cellStyle name="Normal 13 14" xfId="54581"/>
    <cellStyle name="Normal 13 15" xfId="54582"/>
    <cellStyle name="Normal 13 2" xfId="4468"/>
    <cellStyle name="Normal 13 2 10" xfId="54583"/>
    <cellStyle name="Normal 13 2 10 2" xfId="54584"/>
    <cellStyle name="Normal 13 2 10 3" xfId="54585"/>
    <cellStyle name="Normal 13 2 11" xfId="54586"/>
    <cellStyle name="Normal 13 2 11 2" xfId="54587"/>
    <cellStyle name="Normal 13 2 12" xfId="54588"/>
    <cellStyle name="Normal 13 2 13" xfId="54589"/>
    <cellStyle name="Normal 13 2 14" xfId="54590"/>
    <cellStyle name="Normal 13 2 2" xfId="9221"/>
    <cellStyle name="Normal 13 2 2 10" xfId="54591"/>
    <cellStyle name="Normal 13 2 2 10 2" xfId="54592"/>
    <cellStyle name="Normal 13 2 2 11" xfId="54593"/>
    <cellStyle name="Normal 13 2 2 12" xfId="54594"/>
    <cellStyle name="Normal 13 2 2 13" xfId="54595"/>
    <cellStyle name="Normal 13 2 2 2" xfId="9222"/>
    <cellStyle name="Normal 13 2 2 2 10" xfId="54596"/>
    <cellStyle name="Normal 13 2 2 2 2" xfId="54597"/>
    <cellStyle name="Normal 13 2 2 2 2 2" xfId="54598"/>
    <cellStyle name="Normal 13 2 2 2 2 2 2" xfId="54599"/>
    <cellStyle name="Normal 13 2 2 2 2 2 2 2" xfId="54600"/>
    <cellStyle name="Normal 13 2 2 2 2 2 2 3" xfId="54601"/>
    <cellStyle name="Normal 13 2 2 2 2 2 3" xfId="54602"/>
    <cellStyle name="Normal 13 2 2 2 2 2 3 2" xfId="54603"/>
    <cellStyle name="Normal 13 2 2 2 2 2 3 3" xfId="54604"/>
    <cellStyle name="Normal 13 2 2 2 2 2 4" xfId="54605"/>
    <cellStyle name="Normal 13 2 2 2 2 2 4 2" xfId="54606"/>
    <cellStyle name="Normal 13 2 2 2 2 2 5" xfId="54607"/>
    <cellStyle name="Normal 13 2 2 2 2 2 6" xfId="54608"/>
    <cellStyle name="Normal 13 2 2 2 2 3" xfId="54609"/>
    <cellStyle name="Normal 13 2 2 2 2 3 2" xfId="54610"/>
    <cellStyle name="Normal 13 2 2 2 2 3 2 2" xfId="54611"/>
    <cellStyle name="Normal 13 2 2 2 2 3 2 3" xfId="54612"/>
    <cellStyle name="Normal 13 2 2 2 2 3 3" xfId="54613"/>
    <cellStyle name="Normal 13 2 2 2 2 3 3 2" xfId="54614"/>
    <cellStyle name="Normal 13 2 2 2 2 3 3 3" xfId="54615"/>
    <cellStyle name="Normal 13 2 2 2 2 3 4" xfId="54616"/>
    <cellStyle name="Normal 13 2 2 2 2 3 4 2" xfId="54617"/>
    <cellStyle name="Normal 13 2 2 2 2 3 5" xfId="54618"/>
    <cellStyle name="Normal 13 2 2 2 2 3 6" xfId="54619"/>
    <cellStyle name="Normal 13 2 2 2 2 4" xfId="54620"/>
    <cellStyle name="Normal 13 2 2 2 2 4 2" xfId="54621"/>
    <cellStyle name="Normal 13 2 2 2 2 4 2 2" xfId="54622"/>
    <cellStyle name="Normal 13 2 2 2 2 4 2 3" xfId="54623"/>
    <cellStyle name="Normal 13 2 2 2 2 4 3" xfId="54624"/>
    <cellStyle name="Normal 13 2 2 2 2 4 3 2" xfId="54625"/>
    <cellStyle name="Normal 13 2 2 2 2 4 4" xfId="54626"/>
    <cellStyle name="Normal 13 2 2 2 2 4 5" xfId="54627"/>
    <cellStyle name="Normal 13 2 2 2 2 5" xfId="54628"/>
    <cellStyle name="Normal 13 2 2 2 2 5 2" xfId="54629"/>
    <cellStyle name="Normal 13 2 2 2 2 5 3" xfId="54630"/>
    <cellStyle name="Normal 13 2 2 2 2 6" xfId="54631"/>
    <cellStyle name="Normal 13 2 2 2 2 6 2" xfId="54632"/>
    <cellStyle name="Normal 13 2 2 2 2 6 3" xfId="54633"/>
    <cellStyle name="Normal 13 2 2 2 2 7" xfId="54634"/>
    <cellStyle name="Normal 13 2 2 2 2 7 2" xfId="54635"/>
    <cellStyle name="Normal 13 2 2 2 2 8" xfId="54636"/>
    <cellStyle name="Normal 13 2 2 2 2 9" xfId="54637"/>
    <cellStyle name="Normal 13 2 2 2 3" xfId="54638"/>
    <cellStyle name="Normal 13 2 2 2 3 2" xfId="54639"/>
    <cellStyle name="Normal 13 2 2 2 3 2 2" xfId="54640"/>
    <cellStyle name="Normal 13 2 2 2 3 2 3" xfId="54641"/>
    <cellStyle name="Normal 13 2 2 2 3 3" xfId="54642"/>
    <cellStyle name="Normal 13 2 2 2 3 3 2" xfId="54643"/>
    <cellStyle name="Normal 13 2 2 2 3 3 3" xfId="54644"/>
    <cellStyle name="Normal 13 2 2 2 3 4" xfId="54645"/>
    <cellStyle name="Normal 13 2 2 2 3 4 2" xfId="54646"/>
    <cellStyle name="Normal 13 2 2 2 3 5" xfId="54647"/>
    <cellStyle name="Normal 13 2 2 2 3 6" xfId="54648"/>
    <cellStyle name="Normal 13 2 2 2 4" xfId="54649"/>
    <cellStyle name="Normal 13 2 2 2 4 2" xfId="54650"/>
    <cellStyle name="Normal 13 2 2 2 4 2 2" xfId="54651"/>
    <cellStyle name="Normal 13 2 2 2 4 2 3" xfId="54652"/>
    <cellStyle name="Normal 13 2 2 2 4 3" xfId="54653"/>
    <cellStyle name="Normal 13 2 2 2 4 3 2" xfId="54654"/>
    <cellStyle name="Normal 13 2 2 2 4 3 3" xfId="54655"/>
    <cellStyle name="Normal 13 2 2 2 4 4" xfId="54656"/>
    <cellStyle name="Normal 13 2 2 2 4 4 2" xfId="54657"/>
    <cellStyle name="Normal 13 2 2 2 4 5" xfId="54658"/>
    <cellStyle name="Normal 13 2 2 2 4 6" xfId="54659"/>
    <cellStyle name="Normal 13 2 2 2 5" xfId="54660"/>
    <cellStyle name="Normal 13 2 2 2 5 2" xfId="54661"/>
    <cellStyle name="Normal 13 2 2 2 5 2 2" xfId="54662"/>
    <cellStyle name="Normal 13 2 2 2 5 2 3" xfId="54663"/>
    <cellStyle name="Normal 13 2 2 2 5 3" xfId="54664"/>
    <cellStyle name="Normal 13 2 2 2 5 3 2" xfId="54665"/>
    <cellStyle name="Normal 13 2 2 2 5 4" xfId="54666"/>
    <cellStyle name="Normal 13 2 2 2 5 5" xfId="54667"/>
    <cellStyle name="Normal 13 2 2 2 6" xfId="54668"/>
    <cellStyle name="Normal 13 2 2 2 6 2" xfId="54669"/>
    <cellStyle name="Normal 13 2 2 2 6 3" xfId="54670"/>
    <cellStyle name="Normal 13 2 2 2 7" xfId="54671"/>
    <cellStyle name="Normal 13 2 2 2 7 2" xfId="54672"/>
    <cellStyle name="Normal 13 2 2 2 7 3" xfId="54673"/>
    <cellStyle name="Normal 13 2 2 2 8" xfId="54674"/>
    <cellStyle name="Normal 13 2 2 2 8 2" xfId="54675"/>
    <cellStyle name="Normal 13 2 2 2 9" xfId="54676"/>
    <cellStyle name="Normal 13 2 2 3" xfId="54677"/>
    <cellStyle name="Normal 13 2 2 3 2" xfId="54678"/>
    <cellStyle name="Normal 13 2 2 3 2 2" xfId="54679"/>
    <cellStyle name="Normal 13 2 2 3 2 2 2" xfId="54680"/>
    <cellStyle name="Normal 13 2 2 3 2 2 3" xfId="54681"/>
    <cellStyle name="Normal 13 2 2 3 2 3" xfId="54682"/>
    <cellStyle name="Normal 13 2 2 3 2 3 2" xfId="54683"/>
    <cellStyle name="Normal 13 2 2 3 2 3 3" xfId="54684"/>
    <cellStyle name="Normal 13 2 2 3 2 4" xfId="54685"/>
    <cellStyle name="Normal 13 2 2 3 2 4 2" xfId="54686"/>
    <cellStyle name="Normal 13 2 2 3 2 5" xfId="54687"/>
    <cellStyle name="Normal 13 2 2 3 2 6" xfId="54688"/>
    <cellStyle name="Normal 13 2 2 3 3" xfId="54689"/>
    <cellStyle name="Normal 13 2 2 3 3 2" xfId="54690"/>
    <cellStyle name="Normal 13 2 2 3 3 2 2" xfId="54691"/>
    <cellStyle name="Normal 13 2 2 3 3 2 3" xfId="54692"/>
    <cellStyle name="Normal 13 2 2 3 3 3" xfId="54693"/>
    <cellStyle name="Normal 13 2 2 3 3 3 2" xfId="54694"/>
    <cellStyle name="Normal 13 2 2 3 3 3 3" xfId="54695"/>
    <cellStyle name="Normal 13 2 2 3 3 4" xfId="54696"/>
    <cellStyle name="Normal 13 2 2 3 3 4 2" xfId="54697"/>
    <cellStyle name="Normal 13 2 2 3 3 5" xfId="54698"/>
    <cellStyle name="Normal 13 2 2 3 3 6" xfId="54699"/>
    <cellStyle name="Normal 13 2 2 3 4" xfId="54700"/>
    <cellStyle name="Normal 13 2 2 3 4 2" xfId="54701"/>
    <cellStyle name="Normal 13 2 2 3 4 2 2" xfId="54702"/>
    <cellStyle name="Normal 13 2 2 3 4 2 3" xfId="54703"/>
    <cellStyle name="Normal 13 2 2 3 4 3" xfId="54704"/>
    <cellStyle name="Normal 13 2 2 3 4 3 2" xfId="54705"/>
    <cellStyle name="Normal 13 2 2 3 4 4" xfId="54706"/>
    <cellStyle name="Normal 13 2 2 3 4 5" xfId="54707"/>
    <cellStyle name="Normal 13 2 2 3 5" xfId="54708"/>
    <cellStyle name="Normal 13 2 2 3 5 2" xfId="54709"/>
    <cellStyle name="Normal 13 2 2 3 5 3" xfId="54710"/>
    <cellStyle name="Normal 13 2 2 3 6" xfId="54711"/>
    <cellStyle name="Normal 13 2 2 3 6 2" xfId="54712"/>
    <cellStyle name="Normal 13 2 2 3 6 3" xfId="54713"/>
    <cellStyle name="Normal 13 2 2 3 7" xfId="54714"/>
    <cellStyle name="Normal 13 2 2 3 7 2" xfId="54715"/>
    <cellStyle name="Normal 13 2 2 3 8" xfId="54716"/>
    <cellStyle name="Normal 13 2 2 3 9" xfId="54717"/>
    <cellStyle name="Normal 13 2 2 4" xfId="54718"/>
    <cellStyle name="Normal 13 2 2 4 2" xfId="54719"/>
    <cellStyle name="Normal 13 2 2 4 2 2" xfId="54720"/>
    <cellStyle name="Normal 13 2 2 4 2 2 2" xfId="54721"/>
    <cellStyle name="Normal 13 2 2 4 2 2 3" xfId="54722"/>
    <cellStyle name="Normal 13 2 2 4 2 3" xfId="54723"/>
    <cellStyle name="Normal 13 2 2 4 2 3 2" xfId="54724"/>
    <cellStyle name="Normal 13 2 2 4 2 3 3" xfId="54725"/>
    <cellStyle name="Normal 13 2 2 4 2 4" xfId="54726"/>
    <cellStyle name="Normal 13 2 2 4 2 4 2" xfId="54727"/>
    <cellStyle name="Normal 13 2 2 4 2 5" xfId="54728"/>
    <cellStyle name="Normal 13 2 2 4 2 6" xfId="54729"/>
    <cellStyle name="Normal 13 2 2 4 3" xfId="54730"/>
    <cellStyle name="Normal 13 2 2 4 3 2" xfId="54731"/>
    <cellStyle name="Normal 13 2 2 4 3 2 2" xfId="54732"/>
    <cellStyle name="Normal 13 2 2 4 3 2 3" xfId="54733"/>
    <cellStyle name="Normal 13 2 2 4 3 3" xfId="54734"/>
    <cellStyle name="Normal 13 2 2 4 3 3 2" xfId="54735"/>
    <cellStyle name="Normal 13 2 2 4 3 3 3" xfId="54736"/>
    <cellStyle name="Normal 13 2 2 4 3 4" xfId="54737"/>
    <cellStyle name="Normal 13 2 2 4 3 4 2" xfId="54738"/>
    <cellStyle name="Normal 13 2 2 4 3 5" xfId="54739"/>
    <cellStyle name="Normal 13 2 2 4 3 6" xfId="54740"/>
    <cellStyle name="Normal 13 2 2 4 4" xfId="54741"/>
    <cellStyle name="Normal 13 2 2 4 4 2" xfId="54742"/>
    <cellStyle name="Normal 13 2 2 4 4 2 2" xfId="54743"/>
    <cellStyle name="Normal 13 2 2 4 4 2 3" xfId="54744"/>
    <cellStyle name="Normal 13 2 2 4 4 3" xfId="54745"/>
    <cellStyle name="Normal 13 2 2 4 4 3 2" xfId="54746"/>
    <cellStyle name="Normal 13 2 2 4 4 4" xfId="54747"/>
    <cellStyle name="Normal 13 2 2 4 4 5" xfId="54748"/>
    <cellStyle name="Normal 13 2 2 4 5" xfId="54749"/>
    <cellStyle name="Normal 13 2 2 4 5 2" xfId="54750"/>
    <cellStyle name="Normal 13 2 2 4 5 3" xfId="54751"/>
    <cellStyle name="Normal 13 2 2 4 6" xfId="54752"/>
    <cellStyle name="Normal 13 2 2 4 6 2" xfId="54753"/>
    <cellStyle name="Normal 13 2 2 4 6 3" xfId="54754"/>
    <cellStyle name="Normal 13 2 2 4 7" xfId="54755"/>
    <cellStyle name="Normal 13 2 2 4 7 2" xfId="54756"/>
    <cellStyle name="Normal 13 2 2 4 8" xfId="54757"/>
    <cellStyle name="Normal 13 2 2 4 9" xfId="54758"/>
    <cellStyle name="Normal 13 2 2 5" xfId="54759"/>
    <cellStyle name="Normal 13 2 2 5 2" xfId="54760"/>
    <cellStyle name="Normal 13 2 2 5 2 2" xfId="54761"/>
    <cellStyle name="Normal 13 2 2 5 2 3" xfId="54762"/>
    <cellStyle name="Normal 13 2 2 5 3" xfId="54763"/>
    <cellStyle name="Normal 13 2 2 5 3 2" xfId="54764"/>
    <cellStyle name="Normal 13 2 2 5 3 3" xfId="54765"/>
    <cellStyle name="Normal 13 2 2 5 4" xfId="54766"/>
    <cellStyle name="Normal 13 2 2 5 4 2" xfId="54767"/>
    <cellStyle name="Normal 13 2 2 5 5" xfId="54768"/>
    <cellStyle name="Normal 13 2 2 5 6" xfId="54769"/>
    <cellStyle name="Normal 13 2 2 6" xfId="54770"/>
    <cellStyle name="Normal 13 2 2 6 2" xfId="54771"/>
    <cellStyle name="Normal 13 2 2 6 2 2" xfId="54772"/>
    <cellStyle name="Normal 13 2 2 6 2 3" xfId="54773"/>
    <cellStyle name="Normal 13 2 2 6 3" xfId="54774"/>
    <cellStyle name="Normal 13 2 2 6 3 2" xfId="54775"/>
    <cellStyle name="Normal 13 2 2 6 3 3" xfId="54776"/>
    <cellStyle name="Normal 13 2 2 6 4" xfId="54777"/>
    <cellStyle name="Normal 13 2 2 6 4 2" xfId="54778"/>
    <cellStyle name="Normal 13 2 2 6 5" xfId="54779"/>
    <cellStyle name="Normal 13 2 2 6 6" xfId="54780"/>
    <cellStyle name="Normal 13 2 2 7" xfId="54781"/>
    <cellStyle name="Normal 13 2 2 7 2" xfId="54782"/>
    <cellStyle name="Normal 13 2 2 7 2 2" xfId="54783"/>
    <cellStyle name="Normal 13 2 2 7 2 3" xfId="54784"/>
    <cellStyle name="Normal 13 2 2 7 3" xfId="54785"/>
    <cellStyle name="Normal 13 2 2 7 3 2" xfId="54786"/>
    <cellStyle name="Normal 13 2 2 7 4" xfId="54787"/>
    <cellStyle name="Normal 13 2 2 7 5" xfId="54788"/>
    <cellStyle name="Normal 13 2 2 8" xfId="54789"/>
    <cellStyle name="Normal 13 2 2 8 2" xfId="54790"/>
    <cellStyle name="Normal 13 2 2 8 3" xfId="54791"/>
    <cellStyle name="Normal 13 2 2 9" xfId="54792"/>
    <cellStyle name="Normal 13 2 2 9 2" xfId="54793"/>
    <cellStyle name="Normal 13 2 2 9 3" xfId="54794"/>
    <cellStyle name="Normal 13 2 3" xfId="9223"/>
    <cellStyle name="Normal 13 2 3 10" xfId="54795"/>
    <cellStyle name="Normal 13 2 3 2" xfId="54796"/>
    <cellStyle name="Normal 13 2 3 2 2" xfId="54797"/>
    <cellStyle name="Normal 13 2 3 2 2 2" xfId="54798"/>
    <cellStyle name="Normal 13 2 3 2 2 2 2" xfId="54799"/>
    <cellStyle name="Normal 13 2 3 2 2 2 3" xfId="54800"/>
    <cellStyle name="Normal 13 2 3 2 2 3" xfId="54801"/>
    <cellStyle name="Normal 13 2 3 2 2 3 2" xfId="54802"/>
    <cellStyle name="Normal 13 2 3 2 2 3 3" xfId="54803"/>
    <cellStyle name="Normal 13 2 3 2 2 4" xfId="54804"/>
    <cellStyle name="Normal 13 2 3 2 2 4 2" xfId="54805"/>
    <cellStyle name="Normal 13 2 3 2 2 5" xfId="54806"/>
    <cellStyle name="Normal 13 2 3 2 2 6" xfId="54807"/>
    <cellStyle name="Normal 13 2 3 2 3" xfId="54808"/>
    <cellStyle name="Normal 13 2 3 2 3 2" xfId="54809"/>
    <cellStyle name="Normal 13 2 3 2 3 2 2" xfId="54810"/>
    <cellStyle name="Normal 13 2 3 2 3 2 3" xfId="54811"/>
    <cellStyle name="Normal 13 2 3 2 3 3" xfId="54812"/>
    <cellStyle name="Normal 13 2 3 2 3 3 2" xfId="54813"/>
    <cellStyle name="Normal 13 2 3 2 3 3 3" xfId="54814"/>
    <cellStyle name="Normal 13 2 3 2 3 4" xfId="54815"/>
    <cellStyle name="Normal 13 2 3 2 3 4 2" xfId="54816"/>
    <cellStyle name="Normal 13 2 3 2 3 5" xfId="54817"/>
    <cellStyle name="Normal 13 2 3 2 3 6" xfId="54818"/>
    <cellStyle name="Normal 13 2 3 2 4" xfId="54819"/>
    <cellStyle name="Normal 13 2 3 2 4 2" xfId="54820"/>
    <cellStyle name="Normal 13 2 3 2 4 2 2" xfId="54821"/>
    <cellStyle name="Normal 13 2 3 2 4 2 3" xfId="54822"/>
    <cellStyle name="Normal 13 2 3 2 4 3" xfId="54823"/>
    <cellStyle name="Normal 13 2 3 2 4 3 2" xfId="54824"/>
    <cellStyle name="Normal 13 2 3 2 4 4" xfId="54825"/>
    <cellStyle name="Normal 13 2 3 2 4 5" xfId="54826"/>
    <cellStyle name="Normal 13 2 3 2 5" xfId="54827"/>
    <cellStyle name="Normal 13 2 3 2 5 2" xfId="54828"/>
    <cellStyle name="Normal 13 2 3 2 5 3" xfId="54829"/>
    <cellStyle name="Normal 13 2 3 2 6" xfId="54830"/>
    <cellStyle name="Normal 13 2 3 2 6 2" xfId="54831"/>
    <cellStyle name="Normal 13 2 3 2 6 3" xfId="54832"/>
    <cellStyle name="Normal 13 2 3 2 7" xfId="54833"/>
    <cellStyle name="Normal 13 2 3 2 7 2" xfId="54834"/>
    <cellStyle name="Normal 13 2 3 2 8" xfId="54835"/>
    <cellStyle name="Normal 13 2 3 2 9" xfId="54836"/>
    <cellStyle name="Normal 13 2 3 3" xfId="54837"/>
    <cellStyle name="Normal 13 2 3 3 2" xfId="54838"/>
    <cellStyle name="Normal 13 2 3 3 2 2" xfId="54839"/>
    <cellStyle name="Normal 13 2 3 3 2 3" xfId="54840"/>
    <cellStyle name="Normal 13 2 3 3 3" xfId="54841"/>
    <cellStyle name="Normal 13 2 3 3 3 2" xfId="54842"/>
    <cellStyle name="Normal 13 2 3 3 3 3" xfId="54843"/>
    <cellStyle name="Normal 13 2 3 3 4" xfId="54844"/>
    <cellStyle name="Normal 13 2 3 3 4 2" xfId="54845"/>
    <cellStyle name="Normal 13 2 3 3 5" xfId="54846"/>
    <cellStyle name="Normal 13 2 3 3 6" xfId="54847"/>
    <cellStyle name="Normal 13 2 3 4" xfId="54848"/>
    <cellStyle name="Normal 13 2 3 4 2" xfId="54849"/>
    <cellStyle name="Normal 13 2 3 4 2 2" xfId="54850"/>
    <cellStyle name="Normal 13 2 3 4 2 3" xfId="54851"/>
    <cellStyle name="Normal 13 2 3 4 3" xfId="54852"/>
    <cellStyle name="Normal 13 2 3 4 3 2" xfId="54853"/>
    <cellStyle name="Normal 13 2 3 4 3 3" xfId="54854"/>
    <cellStyle name="Normal 13 2 3 4 4" xfId="54855"/>
    <cellStyle name="Normal 13 2 3 4 4 2" xfId="54856"/>
    <cellStyle name="Normal 13 2 3 4 5" xfId="54857"/>
    <cellStyle name="Normal 13 2 3 4 6" xfId="54858"/>
    <cellStyle name="Normal 13 2 3 5" xfId="54859"/>
    <cellStyle name="Normal 13 2 3 5 2" xfId="54860"/>
    <cellStyle name="Normal 13 2 3 5 2 2" xfId="54861"/>
    <cellStyle name="Normal 13 2 3 5 2 3" xfId="54862"/>
    <cellStyle name="Normal 13 2 3 5 3" xfId="54863"/>
    <cellStyle name="Normal 13 2 3 5 3 2" xfId="54864"/>
    <cellStyle name="Normal 13 2 3 5 4" xfId="54865"/>
    <cellStyle name="Normal 13 2 3 5 5" xfId="54866"/>
    <cellStyle name="Normal 13 2 3 6" xfId="54867"/>
    <cellStyle name="Normal 13 2 3 6 2" xfId="54868"/>
    <cellStyle name="Normal 13 2 3 6 3" xfId="54869"/>
    <cellStyle name="Normal 13 2 3 7" xfId="54870"/>
    <cellStyle name="Normal 13 2 3 7 2" xfId="54871"/>
    <cellStyle name="Normal 13 2 3 7 3" xfId="54872"/>
    <cellStyle name="Normal 13 2 3 8" xfId="54873"/>
    <cellStyle name="Normal 13 2 3 8 2" xfId="54874"/>
    <cellStyle name="Normal 13 2 3 9" xfId="54875"/>
    <cellStyle name="Normal 13 2 4" xfId="9224"/>
    <cellStyle name="Normal 13 2 4 2" xfId="54876"/>
    <cellStyle name="Normal 13 2 4 2 2" xfId="54877"/>
    <cellStyle name="Normal 13 2 4 2 2 2" xfId="54878"/>
    <cellStyle name="Normal 13 2 4 2 2 3" xfId="54879"/>
    <cellStyle name="Normal 13 2 4 2 3" xfId="54880"/>
    <cellStyle name="Normal 13 2 4 2 3 2" xfId="54881"/>
    <cellStyle name="Normal 13 2 4 2 3 3" xfId="54882"/>
    <cellStyle name="Normal 13 2 4 2 4" xfId="54883"/>
    <cellStyle name="Normal 13 2 4 2 4 2" xfId="54884"/>
    <cellStyle name="Normal 13 2 4 2 5" xfId="54885"/>
    <cellStyle name="Normal 13 2 4 2 6" xfId="54886"/>
    <cellStyle name="Normal 13 2 4 3" xfId="54887"/>
    <cellStyle name="Normal 13 2 4 3 2" xfId="54888"/>
    <cellStyle name="Normal 13 2 4 3 2 2" xfId="54889"/>
    <cellStyle name="Normal 13 2 4 3 2 3" xfId="54890"/>
    <cellStyle name="Normal 13 2 4 3 3" xfId="54891"/>
    <cellStyle name="Normal 13 2 4 3 3 2" xfId="54892"/>
    <cellStyle name="Normal 13 2 4 3 3 3" xfId="54893"/>
    <cellStyle name="Normal 13 2 4 3 4" xfId="54894"/>
    <cellStyle name="Normal 13 2 4 3 4 2" xfId="54895"/>
    <cellStyle name="Normal 13 2 4 3 5" xfId="54896"/>
    <cellStyle name="Normal 13 2 4 3 6" xfId="54897"/>
    <cellStyle name="Normal 13 2 4 4" xfId="54898"/>
    <cellStyle name="Normal 13 2 4 4 2" xfId="54899"/>
    <cellStyle name="Normal 13 2 4 4 2 2" xfId="54900"/>
    <cellStyle name="Normal 13 2 4 4 2 3" xfId="54901"/>
    <cellStyle name="Normal 13 2 4 4 3" xfId="54902"/>
    <cellStyle name="Normal 13 2 4 4 3 2" xfId="54903"/>
    <cellStyle name="Normal 13 2 4 4 4" xfId="54904"/>
    <cellStyle name="Normal 13 2 4 4 5" xfId="54905"/>
    <cellStyle name="Normal 13 2 4 5" xfId="54906"/>
    <cellStyle name="Normal 13 2 4 5 2" xfId="54907"/>
    <cellStyle name="Normal 13 2 4 5 3" xfId="54908"/>
    <cellStyle name="Normal 13 2 4 6" xfId="54909"/>
    <cellStyle name="Normal 13 2 4 6 2" xfId="54910"/>
    <cellStyle name="Normal 13 2 4 6 3" xfId="54911"/>
    <cellStyle name="Normal 13 2 4 7" xfId="54912"/>
    <cellStyle name="Normal 13 2 4 7 2" xfId="54913"/>
    <cellStyle name="Normal 13 2 4 8" xfId="54914"/>
    <cellStyle name="Normal 13 2 4 9" xfId="54915"/>
    <cellStyle name="Normal 13 2 5" xfId="54916"/>
    <cellStyle name="Normal 13 2 5 2" xfId="54917"/>
    <cellStyle name="Normal 13 2 5 2 2" xfId="54918"/>
    <cellStyle name="Normal 13 2 5 2 2 2" xfId="54919"/>
    <cellStyle name="Normal 13 2 5 2 2 3" xfId="54920"/>
    <cellStyle name="Normal 13 2 5 2 3" xfId="54921"/>
    <cellStyle name="Normal 13 2 5 2 3 2" xfId="54922"/>
    <cellStyle name="Normal 13 2 5 2 3 3" xfId="54923"/>
    <cellStyle name="Normal 13 2 5 2 4" xfId="54924"/>
    <cellStyle name="Normal 13 2 5 2 4 2" xfId="54925"/>
    <cellStyle name="Normal 13 2 5 2 5" xfId="54926"/>
    <cellStyle name="Normal 13 2 5 2 6" xfId="54927"/>
    <cellStyle name="Normal 13 2 5 3" xfId="54928"/>
    <cellStyle name="Normal 13 2 5 3 2" xfId="54929"/>
    <cellStyle name="Normal 13 2 5 3 2 2" xfId="54930"/>
    <cellStyle name="Normal 13 2 5 3 2 3" xfId="54931"/>
    <cellStyle name="Normal 13 2 5 3 3" xfId="54932"/>
    <cellStyle name="Normal 13 2 5 3 3 2" xfId="54933"/>
    <cellStyle name="Normal 13 2 5 3 3 3" xfId="54934"/>
    <cellStyle name="Normal 13 2 5 3 4" xfId="54935"/>
    <cellStyle name="Normal 13 2 5 3 4 2" xfId="54936"/>
    <cellStyle name="Normal 13 2 5 3 5" xfId="54937"/>
    <cellStyle name="Normal 13 2 5 3 6" xfId="54938"/>
    <cellStyle name="Normal 13 2 5 4" xfId="54939"/>
    <cellStyle name="Normal 13 2 5 4 2" xfId="54940"/>
    <cellStyle name="Normal 13 2 5 4 2 2" xfId="54941"/>
    <cellStyle name="Normal 13 2 5 4 2 3" xfId="54942"/>
    <cellStyle name="Normal 13 2 5 4 3" xfId="54943"/>
    <cellStyle name="Normal 13 2 5 4 3 2" xfId="54944"/>
    <cellStyle name="Normal 13 2 5 4 4" xfId="54945"/>
    <cellStyle name="Normal 13 2 5 4 5" xfId="54946"/>
    <cellStyle name="Normal 13 2 5 5" xfId="54947"/>
    <cellStyle name="Normal 13 2 5 5 2" xfId="54948"/>
    <cellStyle name="Normal 13 2 5 5 3" xfId="54949"/>
    <cellStyle name="Normal 13 2 5 6" xfId="54950"/>
    <cellStyle name="Normal 13 2 5 6 2" xfId="54951"/>
    <cellStyle name="Normal 13 2 5 6 3" xfId="54952"/>
    <cellStyle name="Normal 13 2 5 7" xfId="54953"/>
    <cellStyle name="Normal 13 2 5 7 2" xfId="54954"/>
    <cellStyle name="Normal 13 2 5 8" xfId="54955"/>
    <cellStyle name="Normal 13 2 5 9" xfId="54956"/>
    <cellStyle name="Normal 13 2 6" xfId="54957"/>
    <cellStyle name="Normal 13 2 6 2" xfId="54958"/>
    <cellStyle name="Normal 13 2 6 2 2" xfId="54959"/>
    <cellStyle name="Normal 13 2 6 2 3" xfId="54960"/>
    <cellStyle name="Normal 13 2 6 3" xfId="54961"/>
    <cellStyle name="Normal 13 2 6 3 2" xfId="54962"/>
    <cellStyle name="Normal 13 2 6 3 3" xfId="54963"/>
    <cellStyle name="Normal 13 2 6 4" xfId="54964"/>
    <cellStyle name="Normal 13 2 6 4 2" xfId="54965"/>
    <cellStyle name="Normal 13 2 6 5" xfId="54966"/>
    <cellStyle name="Normal 13 2 6 6" xfId="54967"/>
    <cellStyle name="Normal 13 2 7" xfId="54968"/>
    <cellStyle name="Normal 13 2 7 2" xfId="54969"/>
    <cellStyle name="Normal 13 2 7 2 2" xfId="54970"/>
    <cellStyle name="Normal 13 2 7 2 3" xfId="54971"/>
    <cellStyle name="Normal 13 2 7 3" xfId="54972"/>
    <cellStyle name="Normal 13 2 7 3 2" xfId="54973"/>
    <cellStyle name="Normal 13 2 7 3 3" xfId="54974"/>
    <cellStyle name="Normal 13 2 7 4" xfId="54975"/>
    <cellStyle name="Normal 13 2 7 4 2" xfId="54976"/>
    <cellStyle name="Normal 13 2 7 5" xfId="54977"/>
    <cellStyle name="Normal 13 2 7 6" xfId="54978"/>
    <cellStyle name="Normal 13 2 8" xfId="54979"/>
    <cellStyle name="Normal 13 2 8 2" xfId="54980"/>
    <cellStyle name="Normal 13 2 8 2 2" xfId="54981"/>
    <cellStyle name="Normal 13 2 8 2 3" xfId="54982"/>
    <cellStyle name="Normal 13 2 8 3" xfId="54983"/>
    <cellStyle name="Normal 13 2 8 3 2" xfId="54984"/>
    <cellStyle name="Normal 13 2 8 4" xfId="54985"/>
    <cellStyle name="Normal 13 2 8 5" xfId="54986"/>
    <cellStyle name="Normal 13 2 9" xfId="54987"/>
    <cellStyle name="Normal 13 2 9 2" xfId="54988"/>
    <cellStyle name="Normal 13 2 9 3" xfId="54989"/>
    <cellStyle name="Normal 13 3" xfId="9225"/>
    <cellStyle name="Normal 13 3 10" xfId="54990"/>
    <cellStyle name="Normal 13 3 10 2" xfId="54991"/>
    <cellStyle name="Normal 13 3 11" xfId="54992"/>
    <cellStyle name="Normal 13 3 12" xfId="54993"/>
    <cellStyle name="Normal 13 3 13" xfId="54994"/>
    <cellStyle name="Normal 13 3 2" xfId="9226"/>
    <cellStyle name="Normal 13 3 2 10" xfId="54995"/>
    <cellStyle name="Normal 13 3 2 2" xfId="54996"/>
    <cellStyle name="Normal 13 3 2 2 2" xfId="54997"/>
    <cellStyle name="Normal 13 3 2 2 2 2" xfId="54998"/>
    <cellStyle name="Normal 13 3 2 2 2 2 2" xfId="54999"/>
    <cellStyle name="Normal 13 3 2 2 2 2 3" xfId="55000"/>
    <cellStyle name="Normal 13 3 2 2 2 3" xfId="55001"/>
    <cellStyle name="Normal 13 3 2 2 2 3 2" xfId="55002"/>
    <cellStyle name="Normal 13 3 2 2 2 3 3" xfId="55003"/>
    <cellStyle name="Normal 13 3 2 2 2 4" xfId="55004"/>
    <cellStyle name="Normal 13 3 2 2 2 4 2" xfId="55005"/>
    <cellStyle name="Normal 13 3 2 2 2 5" xfId="55006"/>
    <cellStyle name="Normal 13 3 2 2 2 6" xfId="55007"/>
    <cellStyle name="Normal 13 3 2 2 3" xfId="55008"/>
    <cellStyle name="Normal 13 3 2 2 3 2" xfId="55009"/>
    <cellStyle name="Normal 13 3 2 2 3 2 2" xfId="55010"/>
    <cellStyle name="Normal 13 3 2 2 3 2 3" xfId="55011"/>
    <cellStyle name="Normal 13 3 2 2 3 3" xfId="55012"/>
    <cellStyle name="Normal 13 3 2 2 3 3 2" xfId="55013"/>
    <cellStyle name="Normal 13 3 2 2 3 3 3" xfId="55014"/>
    <cellStyle name="Normal 13 3 2 2 3 4" xfId="55015"/>
    <cellStyle name="Normal 13 3 2 2 3 4 2" xfId="55016"/>
    <cellStyle name="Normal 13 3 2 2 3 5" xfId="55017"/>
    <cellStyle name="Normal 13 3 2 2 3 6" xfId="55018"/>
    <cellStyle name="Normal 13 3 2 2 4" xfId="55019"/>
    <cellStyle name="Normal 13 3 2 2 4 2" xfId="55020"/>
    <cellStyle name="Normal 13 3 2 2 4 2 2" xfId="55021"/>
    <cellStyle name="Normal 13 3 2 2 4 2 3" xfId="55022"/>
    <cellStyle name="Normal 13 3 2 2 4 3" xfId="55023"/>
    <cellStyle name="Normal 13 3 2 2 4 3 2" xfId="55024"/>
    <cellStyle name="Normal 13 3 2 2 4 4" xfId="55025"/>
    <cellStyle name="Normal 13 3 2 2 4 5" xfId="55026"/>
    <cellStyle name="Normal 13 3 2 2 5" xfId="55027"/>
    <cellStyle name="Normal 13 3 2 2 5 2" xfId="55028"/>
    <cellStyle name="Normal 13 3 2 2 5 3" xfId="55029"/>
    <cellStyle name="Normal 13 3 2 2 6" xfId="55030"/>
    <cellStyle name="Normal 13 3 2 2 6 2" xfId="55031"/>
    <cellStyle name="Normal 13 3 2 2 6 3" xfId="55032"/>
    <cellStyle name="Normal 13 3 2 2 7" xfId="55033"/>
    <cellStyle name="Normal 13 3 2 2 7 2" xfId="55034"/>
    <cellStyle name="Normal 13 3 2 2 8" xfId="55035"/>
    <cellStyle name="Normal 13 3 2 2 9" xfId="55036"/>
    <cellStyle name="Normal 13 3 2 3" xfId="55037"/>
    <cellStyle name="Normal 13 3 2 3 2" xfId="55038"/>
    <cellStyle name="Normal 13 3 2 3 2 2" xfId="55039"/>
    <cellStyle name="Normal 13 3 2 3 2 3" xfId="55040"/>
    <cellStyle name="Normal 13 3 2 3 3" xfId="55041"/>
    <cellStyle name="Normal 13 3 2 3 3 2" xfId="55042"/>
    <cellStyle name="Normal 13 3 2 3 3 3" xfId="55043"/>
    <cellStyle name="Normal 13 3 2 3 4" xfId="55044"/>
    <cellStyle name="Normal 13 3 2 3 4 2" xfId="55045"/>
    <cellStyle name="Normal 13 3 2 3 5" xfId="55046"/>
    <cellStyle name="Normal 13 3 2 3 6" xfId="55047"/>
    <cellStyle name="Normal 13 3 2 4" xfId="55048"/>
    <cellStyle name="Normal 13 3 2 4 2" xfId="55049"/>
    <cellStyle name="Normal 13 3 2 4 2 2" xfId="55050"/>
    <cellStyle name="Normal 13 3 2 4 2 3" xfId="55051"/>
    <cellStyle name="Normal 13 3 2 4 3" xfId="55052"/>
    <cellStyle name="Normal 13 3 2 4 3 2" xfId="55053"/>
    <cellStyle name="Normal 13 3 2 4 3 3" xfId="55054"/>
    <cellStyle name="Normal 13 3 2 4 4" xfId="55055"/>
    <cellStyle name="Normal 13 3 2 4 4 2" xfId="55056"/>
    <cellStyle name="Normal 13 3 2 4 5" xfId="55057"/>
    <cellStyle name="Normal 13 3 2 4 6" xfId="55058"/>
    <cellStyle name="Normal 13 3 2 5" xfId="55059"/>
    <cellStyle name="Normal 13 3 2 5 2" xfId="55060"/>
    <cellStyle name="Normal 13 3 2 5 2 2" xfId="55061"/>
    <cellStyle name="Normal 13 3 2 5 2 3" xfId="55062"/>
    <cellStyle name="Normal 13 3 2 5 3" xfId="55063"/>
    <cellStyle name="Normal 13 3 2 5 3 2" xfId="55064"/>
    <cellStyle name="Normal 13 3 2 5 4" xfId="55065"/>
    <cellStyle name="Normal 13 3 2 5 5" xfId="55066"/>
    <cellStyle name="Normal 13 3 2 6" xfId="55067"/>
    <cellStyle name="Normal 13 3 2 6 2" xfId="55068"/>
    <cellStyle name="Normal 13 3 2 6 3" xfId="55069"/>
    <cellStyle name="Normal 13 3 2 7" xfId="55070"/>
    <cellStyle name="Normal 13 3 2 7 2" xfId="55071"/>
    <cellStyle name="Normal 13 3 2 7 3" xfId="55072"/>
    <cellStyle name="Normal 13 3 2 8" xfId="55073"/>
    <cellStyle name="Normal 13 3 2 8 2" xfId="55074"/>
    <cellStyle name="Normal 13 3 2 9" xfId="55075"/>
    <cellStyle name="Normal 13 3 3" xfId="55076"/>
    <cellStyle name="Normal 13 3 3 2" xfId="55077"/>
    <cellStyle name="Normal 13 3 3 2 2" xfId="55078"/>
    <cellStyle name="Normal 13 3 3 2 2 2" xfId="55079"/>
    <cellStyle name="Normal 13 3 3 2 2 3" xfId="55080"/>
    <cellStyle name="Normal 13 3 3 2 3" xfId="55081"/>
    <cellStyle name="Normal 13 3 3 2 3 2" xfId="55082"/>
    <cellStyle name="Normal 13 3 3 2 3 3" xfId="55083"/>
    <cellStyle name="Normal 13 3 3 2 4" xfId="55084"/>
    <cellStyle name="Normal 13 3 3 2 4 2" xfId="55085"/>
    <cellStyle name="Normal 13 3 3 2 5" xfId="55086"/>
    <cellStyle name="Normal 13 3 3 2 6" xfId="55087"/>
    <cellStyle name="Normal 13 3 3 3" xfId="55088"/>
    <cellStyle name="Normal 13 3 3 3 2" xfId="55089"/>
    <cellStyle name="Normal 13 3 3 3 2 2" xfId="55090"/>
    <cellStyle name="Normal 13 3 3 3 2 3" xfId="55091"/>
    <cellStyle name="Normal 13 3 3 3 3" xfId="55092"/>
    <cellStyle name="Normal 13 3 3 3 3 2" xfId="55093"/>
    <cellStyle name="Normal 13 3 3 3 3 3" xfId="55094"/>
    <cellStyle name="Normal 13 3 3 3 4" xfId="55095"/>
    <cellStyle name="Normal 13 3 3 3 4 2" xfId="55096"/>
    <cellStyle name="Normal 13 3 3 3 5" xfId="55097"/>
    <cellStyle name="Normal 13 3 3 3 6" xfId="55098"/>
    <cellStyle name="Normal 13 3 3 4" xfId="55099"/>
    <cellStyle name="Normal 13 3 3 4 2" xfId="55100"/>
    <cellStyle name="Normal 13 3 3 4 2 2" xfId="55101"/>
    <cellStyle name="Normal 13 3 3 4 2 3" xfId="55102"/>
    <cellStyle name="Normal 13 3 3 4 3" xfId="55103"/>
    <cellStyle name="Normal 13 3 3 4 3 2" xfId="55104"/>
    <cellStyle name="Normal 13 3 3 4 4" xfId="55105"/>
    <cellStyle name="Normal 13 3 3 4 5" xfId="55106"/>
    <cellStyle name="Normal 13 3 3 5" xfId="55107"/>
    <cellStyle name="Normal 13 3 3 5 2" xfId="55108"/>
    <cellStyle name="Normal 13 3 3 5 3" xfId="55109"/>
    <cellStyle name="Normal 13 3 3 6" xfId="55110"/>
    <cellStyle name="Normal 13 3 3 6 2" xfId="55111"/>
    <cellStyle name="Normal 13 3 3 6 3" xfId="55112"/>
    <cellStyle name="Normal 13 3 3 7" xfId="55113"/>
    <cellStyle name="Normal 13 3 3 7 2" xfId="55114"/>
    <cellStyle name="Normal 13 3 3 8" xfId="55115"/>
    <cellStyle name="Normal 13 3 3 9" xfId="55116"/>
    <cellStyle name="Normal 13 3 4" xfId="55117"/>
    <cellStyle name="Normal 13 3 4 2" xfId="55118"/>
    <cellStyle name="Normal 13 3 4 2 2" xfId="55119"/>
    <cellStyle name="Normal 13 3 4 2 2 2" xfId="55120"/>
    <cellStyle name="Normal 13 3 4 2 2 3" xfId="55121"/>
    <cellStyle name="Normal 13 3 4 2 3" xfId="55122"/>
    <cellStyle name="Normal 13 3 4 2 3 2" xfId="55123"/>
    <cellStyle name="Normal 13 3 4 2 3 3" xfId="55124"/>
    <cellStyle name="Normal 13 3 4 2 4" xfId="55125"/>
    <cellStyle name="Normal 13 3 4 2 4 2" xfId="55126"/>
    <cellStyle name="Normal 13 3 4 2 5" xfId="55127"/>
    <cellStyle name="Normal 13 3 4 2 6" xfId="55128"/>
    <cellStyle name="Normal 13 3 4 3" xfId="55129"/>
    <cellStyle name="Normal 13 3 4 3 2" xfId="55130"/>
    <cellStyle name="Normal 13 3 4 3 2 2" xfId="55131"/>
    <cellStyle name="Normal 13 3 4 3 2 3" xfId="55132"/>
    <cellStyle name="Normal 13 3 4 3 3" xfId="55133"/>
    <cellStyle name="Normal 13 3 4 3 3 2" xfId="55134"/>
    <cellStyle name="Normal 13 3 4 3 3 3" xfId="55135"/>
    <cellStyle name="Normal 13 3 4 3 4" xfId="55136"/>
    <cellStyle name="Normal 13 3 4 3 4 2" xfId="55137"/>
    <cellStyle name="Normal 13 3 4 3 5" xfId="55138"/>
    <cellStyle name="Normal 13 3 4 3 6" xfId="55139"/>
    <cellStyle name="Normal 13 3 4 4" xfId="55140"/>
    <cellStyle name="Normal 13 3 4 4 2" xfId="55141"/>
    <cellStyle name="Normal 13 3 4 4 2 2" xfId="55142"/>
    <cellStyle name="Normal 13 3 4 4 2 3" xfId="55143"/>
    <cellStyle name="Normal 13 3 4 4 3" xfId="55144"/>
    <cellStyle name="Normal 13 3 4 4 3 2" xfId="55145"/>
    <cellStyle name="Normal 13 3 4 4 4" xfId="55146"/>
    <cellStyle name="Normal 13 3 4 4 5" xfId="55147"/>
    <cellStyle name="Normal 13 3 4 5" xfId="55148"/>
    <cellStyle name="Normal 13 3 4 5 2" xfId="55149"/>
    <cellStyle name="Normal 13 3 4 5 3" xfId="55150"/>
    <cellStyle name="Normal 13 3 4 6" xfId="55151"/>
    <cellStyle name="Normal 13 3 4 6 2" xfId="55152"/>
    <cellStyle name="Normal 13 3 4 6 3" xfId="55153"/>
    <cellStyle name="Normal 13 3 4 7" xfId="55154"/>
    <cellStyle name="Normal 13 3 4 7 2" xfId="55155"/>
    <cellStyle name="Normal 13 3 4 8" xfId="55156"/>
    <cellStyle name="Normal 13 3 4 9" xfId="55157"/>
    <cellStyle name="Normal 13 3 5" xfId="55158"/>
    <cellStyle name="Normal 13 3 5 2" xfId="55159"/>
    <cellStyle name="Normal 13 3 5 2 2" xfId="55160"/>
    <cellStyle name="Normal 13 3 5 2 3" xfId="55161"/>
    <cellStyle name="Normal 13 3 5 3" xfId="55162"/>
    <cellStyle name="Normal 13 3 5 3 2" xfId="55163"/>
    <cellStyle name="Normal 13 3 5 3 3" xfId="55164"/>
    <cellStyle name="Normal 13 3 5 4" xfId="55165"/>
    <cellStyle name="Normal 13 3 5 4 2" xfId="55166"/>
    <cellStyle name="Normal 13 3 5 5" xfId="55167"/>
    <cellStyle name="Normal 13 3 5 6" xfId="55168"/>
    <cellStyle name="Normal 13 3 6" xfId="55169"/>
    <cellStyle name="Normal 13 3 6 2" xfId="55170"/>
    <cellStyle name="Normal 13 3 6 2 2" xfId="55171"/>
    <cellStyle name="Normal 13 3 6 2 3" xfId="55172"/>
    <cellStyle name="Normal 13 3 6 3" xfId="55173"/>
    <cellStyle name="Normal 13 3 6 3 2" xfId="55174"/>
    <cellStyle name="Normal 13 3 6 3 3" xfId="55175"/>
    <cellStyle name="Normal 13 3 6 4" xfId="55176"/>
    <cellStyle name="Normal 13 3 6 4 2" xfId="55177"/>
    <cellStyle name="Normal 13 3 6 5" xfId="55178"/>
    <cellStyle name="Normal 13 3 6 6" xfId="55179"/>
    <cellStyle name="Normal 13 3 7" xfId="55180"/>
    <cellStyle name="Normal 13 3 7 2" xfId="55181"/>
    <cellStyle name="Normal 13 3 7 2 2" xfId="55182"/>
    <cellStyle name="Normal 13 3 7 2 3" xfId="55183"/>
    <cellStyle name="Normal 13 3 7 3" xfId="55184"/>
    <cellStyle name="Normal 13 3 7 3 2" xfId="55185"/>
    <cellStyle name="Normal 13 3 7 4" xfId="55186"/>
    <cellStyle name="Normal 13 3 7 5" xfId="55187"/>
    <cellStyle name="Normal 13 3 8" xfId="55188"/>
    <cellStyle name="Normal 13 3 8 2" xfId="55189"/>
    <cellStyle name="Normal 13 3 8 3" xfId="55190"/>
    <cellStyle name="Normal 13 3 9" xfId="55191"/>
    <cellStyle name="Normal 13 3 9 2" xfId="55192"/>
    <cellStyle name="Normal 13 3 9 3" xfId="55193"/>
    <cellStyle name="Normal 13 4" xfId="9227"/>
    <cellStyle name="Normal 13 4 10" xfId="55194"/>
    <cellStyle name="Normal 13 4 2" xfId="55195"/>
    <cellStyle name="Normal 13 4 2 2" xfId="55196"/>
    <cellStyle name="Normal 13 4 2 2 2" xfId="55197"/>
    <cellStyle name="Normal 13 4 2 2 2 2" xfId="55198"/>
    <cellStyle name="Normal 13 4 2 2 2 3" xfId="55199"/>
    <cellStyle name="Normal 13 4 2 2 3" xfId="55200"/>
    <cellStyle name="Normal 13 4 2 2 3 2" xfId="55201"/>
    <cellStyle name="Normal 13 4 2 2 3 3" xfId="55202"/>
    <cellStyle name="Normal 13 4 2 2 4" xfId="55203"/>
    <cellStyle name="Normal 13 4 2 2 4 2" xfId="55204"/>
    <cellStyle name="Normal 13 4 2 2 5" xfId="55205"/>
    <cellStyle name="Normal 13 4 2 2 6" xfId="55206"/>
    <cellStyle name="Normal 13 4 2 3" xfId="55207"/>
    <cellStyle name="Normal 13 4 2 3 2" xfId="55208"/>
    <cellStyle name="Normal 13 4 2 3 2 2" xfId="55209"/>
    <cellStyle name="Normal 13 4 2 3 2 3" xfId="55210"/>
    <cellStyle name="Normal 13 4 2 3 3" xfId="55211"/>
    <cellStyle name="Normal 13 4 2 3 3 2" xfId="55212"/>
    <cellStyle name="Normal 13 4 2 3 3 3" xfId="55213"/>
    <cellStyle name="Normal 13 4 2 3 4" xfId="55214"/>
    <cellStyle name="Normal 13 4 2 3 4 2" xfId="55215"/>
    <cellStyle name="Normal 13 4 2 3 5" xfId="55216"/>
    <cellStyle name="Normal 13 4 2 3 6" xfId="55217"/>
    <cellStyle name="Normal 13 4 2 4" xfId="55218"/>
    <cellStyle name="Normal 13 4 2 4 2" xfId="55219"/>
    <cellStyle name="Normal 13 4 2 4 2 2" xfId="55220"/>
    <cellStyle name="Normal 13 4 2 4 2 3" xfId="55221"/>
    <cellStyle name="Normal 13 4 2 4 3" xfId="55222"/>
    <cellStyle name="Normal 13 4 2 4 3 2" xfId="55223"/>
    <cellStyle name="Normal 13 4 2 4 4" xfId="55224"/>
    <cellStyle name="Normal 13 4 2 4 5" xfId="55225"/>
    <cellStyle name="Normal 13 4 2 5" xfId="55226"/>
    <cellStyle name="Normal 13 4 2 5 2" xfId="55227"/>
    <cellStyle name="Normal 13 4 2 5 3" xfId="55228"/>
    <cellStyle name="Normal 13 4 2 6" xfId="55229"/>
    <cellStyle name="Normal 13 4 2 6 2" xfId="55230"/>
    <cellStyle name="Normal 13 4 2 6 3" xfId="55231"/>
    <cellStyle name="Normal 13 4 2 7" xfId="55232"/>
    <cellStyle name="Normal 13 4 2 7 2" xfId="55233"/>
    <cellStyle name="Normal 13 4 2 8" xfId="55234"/>
    <cellStyle name="Normal 13 4 2 9" xfId="55235"/>
    <cellStyle name="Normal 13 4 3" xfId="55236"/>
    <cellStyle name="Normal 13 4 3 2" xfId="55237"/>
    <cellStyle name="Normal 13 4 3 2 2" xfId="55238"/>
    <cellStyle name="Normal 13 4 3 2 3" xfId="55239"/>
    <cellStyle name="Normal 13 4 3 3" xfId="55240"/>
    <cellStyle name="Normal 13 4 3 3 2" xfId="55241"/>
    <cellStyle name="Normal 13 4 3 3 3" xfId="55242"/>
    <cellStyle name="Normal 13 4 3 4" xfId="55243"/>
    <cellStyle name="Normal 13 4 3 4 2" xfId="55244"/>
    <cellStyle name="Normal 13 4 3 5" xfId="55245"/>
    <cellStyle name="Normal 13 4 3 6" xfId="55246"/>
    <cellStyle name="Normal 13 4 4" xfId="55247"/>
    <cellStyle name="Normal 13 4 4 2" xfId="55248"/>
    <cellStyle name="Normal 13 4 4 2 2" xfId="55249"/>
    <cellStyle name="Normal 13 4 4 2 3" xfId="55250"/>
    <cellStyle name="Normal 13 4 4 3" xfId="55251"/>
    <cellStyle name="Normal 13 4 4 3 2" xfId="55252"/>
    <cellStyle name="Normal 13 4 4 3 3" xfId="55253"/>
    <cellStyle name="Normal 13 4 4 4" xfId="55254"/>
    <cellStyle name="Normal 13 4 4 4 2" xfId="55255"/>
    <cellStyle name="Normal 13 4 4 5" xfId="55256"/>
    <cellStyle name="Normal 13 4 4 6" xfId="55257"/>
    <cellStyle name="Normal 13 4 5" xfId="55258"/>
    <cellStyle name="Normal 13 4 5 2" xfId="55259"/>
    <cellStyle name="Normal 13 4 5 2 2" xfId="55260"/>
    <cellStyle name="Normal 13 4 5 2 3" xfId="55261"/>
    <cellStyle name="Normal 13 4 5 3" xfId="55262"/>
    <cellStyle name="Normal 13 4 5 3 2" xfId="55263"/>
    <cellStyle name="Normal 13 4 5 4" xfId="55264"/>
    <cellStyle name="Normal 13 4 5 5" xfId="55265"/>
    <cellStyle name="Normal 13 4 6" xfId="55266"/>
    <cellStyle name="Normal 13 4 6 2" xfId="55267"/>
    <cellStyle name="Normal 13 4 6 3" xfId="55268"/>
    <cellStyle name="Normal 13 4 7" xfId="55269"/>
    <cellStyle name="Normal 13 4 7 2" xfId="55270"/>
    <cellStyle name="Normal 13 4 7 3" xfId="55271"/>
    <cellStyle name="Normal 13 4 8" xfId="55272"/>
    <cellStyle name="Normal 13 4 8 2" xfId="55273"/>
    <cellStyle name="Normal 13 4 9" xfId="55274"/>
    <cellStyle name="Normal 13 5" xfId="9228"/>
    <cellStyle name="Normal 13 5 2" xfId="55275"/>
    <cellStyle name="Normal 13 5 2 2" xfId="55276"/>
    <cellStyle name="Normal 13 5 2 2 2" xfId="55277"/>
    <cellStyle name="Normal 13 5 2 2 3" xfId="55278"/>
    <cellStyle name="Normal 13 5 2 3" xfId="55279"/>
    <cellStyle name="Normal 13 5 2 3 2" xfId="55280"/>
    <cellStyle name="Normal 13 5 2 3 3" xfId="55281"/>
    <cellStyle name="Normal 13 5 2 4" xfId="55282"/>
    <cellStyle name="Normal 13 5 2 4 2" xfId="55283"/>
    <cellStyle name="Normal 13 5 2 5" xfId="55284"/>
    <cellStyle name="Normal 13 5 2 6" xfId="55285"/>
    <cellStyle name="Normal 13 5 3" xfId="55286"/>
    <cellStyle name="Normal 13 5 3 2" xfId="55287"/>
    <cellStyle name="Normal 13 5 3 2 2" xfId="55288"/>
    <cellStyle name="Normal 13 5 3 2 3" xfId="55289"/>
    <cellStyle name="Normal 13 5 3 3" xfId="55290"/>
    <cellStyle name="Normal 13 5 3 3 2" xfId="55291"/>
    <cellStyle name="Normal 13 5 3 3 3" xfId="55292"/>
    <cellStyle name="Normal 13 5 3 4" xfId="55293"/>
    <cellStyle name="Normal 13 5 3 4 2" xfId="55294"/>
    <cellStyle name="Normal 13 5 3 5" xfId="55295"/>
    <cellStyle name="Normal 13 5 3 6" xfId="55296"/>
    <cellStyle name="Normal 13 5 4" xfId="55297"/>
    <cellStyle name="Normal 13 5 4 2" xfId="55298"/>
    <cellStyle name="Normal 13 5 4 2 2" xfId="55299"/>
    <cellStyle name="Normal 13 5 4 2 3" xfId="55300"/>
    <cellStyle name="Normal 13 5 4 3" xfId="55301"/>
    <cellStyle name="Normal 13 5 4 3 2" xfId="55302"/>
    <cellStyle name="Normal 13 5 4 4" xfId="55303"/>
    <cellStyle name="Normal 13 5 4 5" xfId="55304"/>
    <cellStyle name="Normal 13 5 5" xfId="55305"/>
    <cellStyle name="Normal 13 5 5 2" xfId="55306"/>
    <cellStyle name="Normal 13 5 5 3" xfId="55307"/>
    <cellStyle name="Normal 13 5 6" xfId="55308"/>
    <cellStyle name="Normal 13 5 6 2" xfId="55309"/>
    <cellStyle name="Normal 13 5 6 3" xfId="55310"/>
    <cellStyle name="Normal 13 5 7" xfId="55311"/>
    <cellStyle name="Normal 13 5 7 2" xfId="55312"/>
    <cellStyle name="Normal 13 5 8" xfId="55313"/>
    <cellStyle name="Normal 13 5 9" xfId="55314"/>
    <cellStyle name="Normal 13 6" xfId="55315"/>
    <cellStyle name="Normal 13 6 2" xfId="55316"/>
    <cellStyle name="Normal 13 6 2 2" xfId="55317"/>
    <cellStyle name="Normal 13 6 2 2 2" xfId="55318"/>
    <cellStyle name="Normal 13 6 2 2 3" xfId="55319"/>
    <cellStyle name="Normal 13 6 2 3" xfId="55320"/>
    <cellStyle name="Normal 13 6 2 3 2" xfId="55321"/>
    <cellStyle name="Normal 13 6 2 3 3" xfId="55322"/>
    <cellStyle name="Normal 13 6 2 4" xfId="55323"/>
    <cellStyle name="Normal 13 6 2 4 2" xfId="55324"/>
    <cellStyle name="Normal 13 6 2 5" xfId="55325"/>
    <cellStyle name="Normal 13 6 2 6" xfId="55326"/>
    <cellStyle name="Normal 13 6 3" xfId="55327"/>
    <cellStyle name="Normal 13 6 3 2" xfId="55328"/>
    <cellStyle name="Normal 13 6 3 2 2" xfId="55329"/>
    <cellStyle name="Normal 13 6 3 2 3" xfId="55330"/>
    <cellStyle name="Normal 13 6 3 3" xfId="55331"/>
    <cellStyle name="Normal 13 6 3 3 2" xfId="55332"/>
    <cellStyle name="Normal 13 6 3 3 3" xfId="55333"/>
    <cellStyle name="Normal 13 6 3 4" xfId="55334"/>
    <cellStyle name="Normal 13 6 3 4 2" xfId="55335"/>
    <cellStyle name="Normal 13 6 3 5" xfId="55336"/>
    <cellStyle name="Normal 13 6 3 6" xfId="55337"/>
    <cellStyle name="Normal 13 6 4" xfId="55338"/>
    <cellStyle name="Normal 13 6 4 2" xfId="55339"/>
    <cellStyle name="Normal 13 6 4 2 2" xfId="55340"/>
    <cellStyle name="Normal 13 6 4 2 3" xfId="55341"/>
    <cellStyle name="Normal 13 6 4 3" xfId="55342"/>
    <cellStyle name="Normal 13 6 4 3 2" xfId="55343"/>
    <cellStyle name="Normal 13 6 4 4" xfId="55344"/>
    <cellStyle name="Normal 13 6 4 5" xfId="55345"/>
    <cellStyle name="Normal 13 6 5" xfId="55346"/>
    <cellStyle name="Normal 13 6 5 2" xfId="55347"/>
    <cellStyle name="Normal 13 6 5 3" xfId="55348"/>
    <cellStyle name="Normal 13 6 6" xfId="55349"/>
    <cellStyle name="Normal 13 6 6 2" xfId="55350"/>
    <cellStyle name="Normal 13 6 6 3" xfId="55351"/>
    <cellStyle name="Normal 13 6 7" xfId="55352"/>
    <cellStyle name="Normal 13 6 7 2" xfId="55353"/>
    <cellStyle name="Normal 13 6 8" xfId="55354"/>
    <cellStyle name="Normal 13 6 9" xfId="55355"/>
    <cellStyle name="Normal 13 7" xfId="55356"/>
    <cellStyle name="Normal 13 7 2" xfId="55357"/>
    <cellStyle name="Normal 13 7 2 2" xfId="55358"/>
    <cellStyle name="Normal 13 7 2 3" xfId="55359"/>
    <cellStyle name="Normal 13 7 3" xfId="55360"/>
    <cellStyle name="Normal 13 7 3 2" xfId="55361"/>
    <cellStyle name="Normal 13 7 3 3" xfId="55362"/>
    <cellStyle name="Normal 13 7 4" xfId="55363"/>
    <cellStyle name="Normal 13 7 4 2" xfId="55364"/>
    <cellStyle name="Normal 13 7 5" xfId="55365"/>
    <cellStyle name="Normal 13 7 6" xfId="55366"/>
    <cellStyle name="Normal 13 8" xfId="55367"/>
    <cellStyle name="Normal 13 8 2" xfId="55368"/>
    <cellStyle name="Normal 13 8 2 2" xfId="55369"/>
    <cellStyle name="Normal 13 8 2 3" xfId="55370"/>
    <cellStyle name="Normal 13 8 3" xfId="55371"/>
    <cellStyle name="Normal 13 8 3 2" xfId="55372"/>
    <cellStyle name="Normal 13 8 3 3" xfId="55373"/>
    <cellStyle name="Normal 13 8 4" xfId="55374"/>
    <cellStyle name="Normal 13 8 4 2" xfId="55375"/>
    <cellStyle name="Normal 13 8 5" xfId="55376"/>
    <cellStyle name="Normal 13 8 6" xfId="55377"/>
    <cellStyle name="Normal 13 9" xfId="55378"/>
    <cellStyle name="Normal 13 9 2" xfId="55379"/>
    <cellStyle name="Normal 13 9 2 2" xfId="55380"/>
    <cellStyle name="Normal 13 9 2 3" xfId="55381"/>
    <cellStyle name="Normal 13 9 3" xfId="55382"/>
    <cellStyle name="Normal 13 9 3 2" xfId="55383"/>
    <cellStyle name="Normal 13 9 4" xfId="55384"/>
    <cellStyle name="Normal 13 9 5" xfId="55385"/>
    <cellStyle name="Normal 14" xfId="4469"/>
    <cellStyle name="Normal 14 2" xfId="4470"/>
    <cellStyle name="Normal 14 2 2" xfId="4471"/>
    <cellStyle name="Normal 14 2 2 2" xfId="9229"/>
    <cellStyle name="Normal 14 2 2 2 2" xfId="59493"/>
    <cellStyle name="Normal 14 2 2 3" xfId="9230"/>
    <cellStyle name="Normal 14 2 2 4" xfId="59494"/>
    <cellStyle name="Normal 14 2 3" xfId="4472"/>
    <cellStyle name="Normal 14 2 3 2" xfId="9231"/>
    <cellStyle name="Normal 14 2 4" xfId="9232"/>
    <cellStyle name="Normal 14 2 4 2" xfId="59495"/>
    <cellStyle name="Normal 14 2 5" xfId="59496"/>
    <cellStyle name="Normal 14 2 6" xfId="59497"/>
    <cellStyle name="Normal 14 2 7" xfId="59498"/>
    <cellStyle name="Normal 14 3" xfId="4473"/>
    <cellStyle name="Normal 14 3 2" xfId="9233"/>
    <cellStyle name="Normal 14 3 2 2" xfId="59499"/>
    <cellStyle name="Normal 14 3 3" xfId="9234"/>
    <cellStyle name="Normal 14 3 4" xfId="59500"/>
    <cellStyle name="Normal 14 4" xfId="4474"/>
    <cellStyle name="Normal 14 4 2" xfId="9235"/>
    <cellStyle name="Normal 14 4 3" xfId="59501"/>
    <cellStyle name="Normal 14 4 4" xfId="59502"/>
    <cellStyle name="Normal 14 5" xfId="8768"/>
    <cellStyle name="Normal 14 6" xfId="55386"/>
    <cellStyle name="Normal 15" xfId="4475"/>
    <cellStyle name="Normal 15 10" xfId="55387"/>
    <cellStyle name="Normal 15 10 2" xfId="55388"/>
    <cellStyle name="Normal 15 10 3" xfId="55389"/>
    <cellStyle name="Normal 15 11" xfId="55390"/>
    <cellStyle name="Normal 15 11 2" xfId="55391"/>
    <cellStyle name="Normal 15 12" xfId="55392"/>
    <cellStyle name="Normal 15 13" xfId="55393"/>
    <cellStyle name="Normal 15 14" xfId="55394"/>
    <cellStyle name="Normal 15 2" xfId="4476"/>
    <cellStyle name="Normal 15 2 10" xfId="55395"/>
    <cellStyle name="Normal 15 2 10 2" xfId="55396"/>
    <cellStyle name="Normal 15 2 11" xfId="55397"/>
    <cellStyle name="Normal 15 2 12" xfId="55398"/>
    <cellStyle name="Normal 15 2 13" xfId="55399"/>
    <cellStyle name="Normal 15 2 2" xfId="4477"/>
    <cellStyle name="Normal 15 2 2 10" xfId="55400"/>
    <cellStyle name="Normal 15 2 2 11" xfId="55401"/>
    <cellStyle name="Normal 15 2 2 2" xfId="8416"/>
    <cellStyle name="Normal 15 2 2 2 10" xfId="55402"/>
    <cellStyle name="Normal 15 2 2 2 2" xfId="8417"/>
    <cellStyle name="Normal 15 2 2 2 2 2" xfId="8418"/>
    <cellStyle name="Normal 15 2 2 2 2 2 2" xfId="55403"/>
    <cellStyle name="Normal 15 2 2 2 2 2 3" xfId="55404"/>
    <cellStyle name="Normal 15 2 2 2 2 3" xfId="55405"/>
    <cellStyle name="Normal 15 2 2 2 2 3 2" xfId="55406"/>
    <cellStyle name="Normal 15 2 2 2 2 3 3" xfId="55407"/>
    <cellStyle name="Normal 15 2 2 2 2 4" xfId="55408"/>
    <cellStyle name="Normal 15 2 2 2 2 4 2" xfId="55409"/>
    <cellStyle name="Normal 15 2 2 2 2 5" xfId="55410"/>
    <cellStyle name="Normal 15 2 2 2 2 6" xfId="55411"/>
    <cellStyle name="Normal 15 2 2 2 2 7" xfId="55412"/>
    <cellStyle name="Normal 15 2 2 2 3" xfId="8419"/>
    <cellStyle name="Normal 15 2 2 2 3 2" xfId="55413"/>
    <cellStyle name="Normal 15 2 2 2 3 2 2" xfId="55414"/>
    <cellStyle name="Normal 15 2 2 2 3 2 3" xfId="55415"/>
    <cellStyle name="Normal 15 2 2 2 3 3" xfId="55416"/>
    <cellStyle name="Normal 15 2 2 2 3 3 2" xfId="55417"/>
    <cellStyle name="Normal 15 2 2 2 3 3 3" xfId="55418"/>
    <cellStyle name="Normal 15 2 2 2 3 4" xfId="55419"/>
    <cellStyle name="Normal 15 2 2 2 3 4 2" xfId="55420"/>
    <cellStyle name="Normal 15 2 2 2 3 5" xfId="55421"/>
    <cellStyle name="Normal 15 2 2 2 3 6" xfId="55422"/>
    <cellStyle name="Normal 15 2 2 2 3 7" xfId="55423"/>
    <cellStyle name="Normal 15 2 2 2 4" xfId="55424"/>
    <cellStyle name="Normal 15 2 2 2 4 2" xfId="55425"/>
    <cellStyle name="Normal 15 2 2 2 4 2 2" xfId="55426"/>
    <cellStyle name="Normal 15 2 2 2 4 2 3" xfId="55427"/>
    <cellStyle name="Normal 15 2 2 2 4 3" xfId="55428"/>
    <cellStyle name="Normal 15 2 2 2 4 3 2" xfId="55429"/>
    <cellStyle name="Normal 15 2 2 2 4 4" xfId="55430"/>
    <cellStyle name="Normal 15 2 2 2 4 5" xfId="55431"/>
    <cellStyle name="Normal 15 2 2 2 5" xfId="55432"/>
    <cellStyle name="Normal 15 2 2 2 5 2" xfId="55433"/>
    <cellStyle name="Normal 15 2 2 2 5 3" xfId="55434"/>
    <cellStyle name="Normal 15 2 2 2 6" xfId="55435"/>
    <cellStyle name="Normal 15 2 2 2 6 2" xfId="55436"/>
    <cellStyle name="Normal 15 2 2 2 6 3" xfId="55437"/>
    <cellStyle name="Normal 15 2 2 2 7" xfId="55438"/>
    <cellStyle name="Normal 15 2 2 2 7 2" xfId="55439"/>
    <cellStyle name="Normal 15 2 2 2 8" xfId="55440"/>
    <cellStyle name="Normal 15 2 2 2 9" xfId="55441"/>
    <cellStyle name="Normal 15 2 2 3" xfId="8420"/>
    <cellStyle name="Normal 15 2 2 3 2" xfId="8421"/>
    <cellStyle name="Normal 15 2 2 3 2 2" xfId="55442"/>
    <cellStyle name="Normal 15 2 2 3 2 3" xfId="55443"/>
    <cellStyle name="Normal 15 2 2 3 3" xfId="55444"/>
    <cellStyle name="Normal 15 2 2 3 3 2" xfId="55445"/>
    <cellStyle name="Normal 15 2 2 3 3 3" xfId="55446"/>
    <cellStyle name="Normal 15 2 2 3 4" xfId="55447"/>
    <cellStyle name="Normal 15 2 2 3 4 2" xfId="55448"/>
    <cellStyle name="Normal 15 2 2 3 5" xfId="55449"/>
    <cellStyle name="Normal 15 2 2 3 6" xfId="55450"/>
    <cellStyle name="Normal 15 2 2 3 7" xfId="55451"/>
    <cellStyle name="Normal 15 2 2 4" xfId="8422"/>
    <cellStyle name="Normal 15 2 2 4 2" xfId="55452"/>
    <cellStyle name="Normal 15 2 2 4 2 2" xfId="55453"/>
    <cellStyle name="Normal 15 2 2 4 2 3" xfId="55454"/>
    <cellStyle name="Normal 15 2 2 4 3" xfId="55455"/>
    <cellStyle name="Normal 15 2 2 4 3 2" xfId="55456"/>
    <cellStyle name="Normal 15 2 2 4 3 3" xfId="55457"/>
    <cellStyle name="Normal 15 2 2 4 4" xfId="55458"/>
    <cellStyle name="Normal 15 2 2 4 4 2" xfId="55459"/>
    <cellStyle name="Normal 15 2 2 4 5" xfId="55460"/>
    <cellStyle name="Normal 15 2 2 4 6" xfId="55461"/>
    <cellStyle name="Normal 15 2 2 4 7" xfId="55462"/>
    <cellStyle name="Normal 15 2 2 5" xfId="55463"/>
    <cellStyle name="Normal 15 2 2 5 2" xfId="55464"/>
    <cellStyle name="Normal 15 2 2 5 2 2" xfId="55465"/>
    <cellStyle name="Normal 15 2 2 5 2 3" xfId="55466"/>
    <cellStyle name="Normal 15 2 2 5 3" xfId="55467"/>
    <cellStyle name="Normal 15 2 2 5 3 2" xfId="55468"/>
    <cellStyle name="Normal 15 2 2 5 4" xfId="55469"/>
    <cellStyle name="Normal 15 2 2 5 5" xfId="55470"/>
    <cellStyle name="Normal 15 2 2 6" xfId="55471"/>
    <cellStyle name="Normal 15 2 2 6 2" xfId="55472"/>
    <cellStyle name="Normal 15 2 2 6 3" xfId="55473"/>
    <cellStyle name="Normal 15 2 2 7" xfId="55474"/>
    <cellStyle name="Normal 15 2 2 7 2" xfId="55475"/>
    <cellStyle name="Normal 15 2 2 7 3" xfId="55476"/>
    <cellStyle name="Normal 15 2 2 8" xfId="55477"/>
    <cellStyle name="Normal 15 2 2 8 2" xfId="55478"/>
    <cellStyle name="Normal 15 2 2 9" xfId="55479"/>
    <cellStyle name="Normal 15 2 3" xfId="4478"/>
    <cellStyle name="Normal 15 2 3 10" xfId="55480"/>
    <cellStyle name="Normal 15 2 3 2" xfId="8423"/>
    <cellStyle name="Normal 15 2 3 2 2" xfId="8424"/>
    <cellStyle name="Normal 15 2 3 2 2 2" xfId="55481"/>
    <cellStyle name="Normal 15 2 3 2 2 3" xfId="55482"/>
    <cellStyle name="Normal 15 2 3 2 2 4" xfId="55483"/>
    <cellStyle name="Normal 15 2 3 2 3" xfId="55484"/>
    <cellStyle name="Normal 15 2 3 2 3 2" xfId="55485"/>
    <cellStyle name="Normal 15 2 3 2 3 3" xfId="55486"/>
    <cellStyle name="Normal 15 2 3 2 4" xfId="55487"/>
    <cellStyle name="Normal 15 2 3 2 4 2" xfId="55488"/>
    <cellStyle name="Normal 15 2 3 2 5" xfId="55489"/>
    <cellStyle name="Normal 15 2 3 2 6" xfId="55490"/>
    <cellStyle name="Normal 15 2 3 2 7" xfId="55491"/>
    <cellStyle name="Normal 15 2 3 3" xfId="8425"/>
    <cellStyle name="Normal 15 2 3 3 2" xfId="55492"/>
    <cellStyle name="Normal 15 2 3 3 2 2" xfId="55493"/>
    <cellStyle name="Normal 15 2 3 3 2 3" xfId="55494"/>
    <cellStyle name="Normal 15 2 3 3 3" xfId="55495"/>
    <cellStyle name="Normal 15 2 3 3 3 2" xfId="55496"/>
    <cellStyle name="Normal 15 2 3 3 3 3" xfId="55497"/>
    <cellStyle name="Normal 15 2 3 3 4" xfId="55498"/>
    <cellStyle name="Normal 15 2 3 3 4 2" xfId="55499"/>
    <cellStyle name="Normal 15 2 3 3 5" xfId="55500"/>
    <cellStyle name="Normal 15 2 3 3 6" xfId="55501"/>
    <cellStyle name="Normal 15 2 3 3 7" xfId="55502"/>
    <cellStyle name="Normal 15 2 3 4" xfId="55503"/>
    <cellStyle name="Normal 15 2 3 4 2" xfId="55504"/>
    <cellStyle name="Normal 15 2 3 4 2 2" xfId="55505"/>
    <cellStyle name="Normal 15 2 3 4 2 3" xfId="55506"/>
    <cellStyle name="Normal 15 2 3 4 3" xfId="55507"/>
    <cellStyle name="Normal 15 2 3 4 3 2" xfId="55508"/>
    <cellStyle name="Normal 15 2 3 4 4" xfId="55509"/>
    <cellStyle name="Normal 15 2 3 4 5" xfId="55510"/>
    <cellStyle name="Normal 15 2 3 5" xfId="55511"/>
    <cellStyle name="Normal 15 2 3 5 2" xfId="55512"/>
    <cellStyle name="Normal 15 2 3 5 3" xfId="55513"/>
    <cellStyle name="Normal 15 2 3 6" xfId="55514"/>
    <cellStyle name="Normal 15 2 3 6 2" xfId="55515"/>
    <cellStyle name="Normal 15 2 3 6 3" xfId="55516"/>
    <cellStyle name="Normal 15 2 3 7" xfId="55517"/>
    <cellStyle name="Normal 15 2 3 7 2" xfId="55518"/>
    <cellStyle name="Normal 15 2 3 8" xfId="55519"/>
    <cellStyle name="Normal 15 2 3 9" xfId="55520"/>
    <cellStyle name="Normal 15 2 4" xfId="4479"/>
    <cellStyle name="Normal 15 2 4 10" xfId="55521"/>
    <cellStyle name="Normal 15 2 4 2" xfId="8426"/>
    <cellStyle name="Normal 15 2 4 2 2" xfId="55522"/>
    <cellStyle name="Normal 15 2 4 2 2 2" xfId="55523"/>
    <cellStyle name="Normal 15 2 4 2 2 3" xfId="55524"/>
    <cellStyle name="Normal 15 2 4 2 3" xfId="55525"/>
    <cellStyle name="Normal 15 2 4 2 3 2" xfId="55526"/>
    <cellStyle name="Normal 15 2 4 2 3 3" xfId="55527"/>
    <cellStyle name="Normal 15 2 4 2 4" xfId="55528"/>
    <cellStyle name="Normal 15 2 4 2 4 2" xfId="55529"/>
    <cellStyle name="Normal 15 2 4 2 5" xfId="55530"/>
    <cellStyle name="Normal 15 2 4 2 6" xfId="55531"/>
    <cellStyle name="Normal 15 2 4 2 7" xfId="55532"/>
    <cellStyle name="Normal 15 2 4 3" xfId="55533"/>
    <cellStyle name="Normal 15 2 4 3 2" xfId="55534"/>
    <cellStyle name="Normal 15 2 4 3 2 2" xfId="55535"/>
    <cellStyle name="Normal 15 2 4 3 2 3" xfId="55536"/>
    <cellStyle name="Normal 15 2 4 3 3" xfId="55537"/>
    <cellStyle name="Normal 15 2 4 3 3 2" xfId="55538"/>
    <cellStyle name="Normal 15 2 4 3 3 3" xfId="55539"/>
    <cellStyle name="Normal 15 2 4 3 4" xfId="55540"/>
    <cellStyle name="Normal 15 2 4 3 4 2" xfId="55541"/>
    <cellStyle name="Normal 15 2 4 3 5" xfId="55542"/>
    <cellStyle name="Normal 15 2 4 3 6" xfId="55543"/>
    <cellStyle name="Normal 15 2 4 4" xfId="55544"/>
    <cellStyle name="Normal 15 2 4 4 2" xfId="55545"/>
    <cellStyle name="Normal 15 2 4 4 2 2" xfId="55546"/>
    <cellStyle name="Normal 15 2 4 4 2 3" xfId="55547"/>
    <cellStyle name="Normal 15 2 4 4 3" xfId="55548"/>
    <cellStyle name="Normal 15 2 4 4 3 2" xfId="55549"/>
    <cellStyle name="Normal 15 2 4 4 4" xfId="55550"/>
    <cellStyle name="Normal 15 2 4 4 5" xfId="55551"/>
    <cellStyle name="Normal 15 2 4 5" xfId="55552"/>
    <cellStyle name="Normal 15 2 4 5 2" xfId="55553"/>
    <cellStyle name="Normal 15 2 4 5 3" xfId="55554"/>
    <cellStyle name="Normal 15 2 4 6" xfId="55555"/>
    <cellStyle name="Normal 15 2 4 6 2" xfId="55556"/>
    <cellStyle name="Normal 15 2 4 6 3" xfId="55557"/>
    <cellStyle name="Normal 15 2 4 7" xfId="55558"/>
    <cellStyle name="Normal 15 2 4 7 2" xfId="55559"/>
    <cellStyle name="Normal 15 2 4 8" xfId="55560"/>
    <cellStyle name="Normal 15 2 4 9" xfId="55561"/>
    <cellStyle name="Normal 15 2 5" xfId="8427"/>
    <cellStyle name="Normal 15 2 5 2" xfId="8428"/>
    <cellStyle name="Normal 15 2 5 2 2" xfId="55562"/>
    <cellStyle name="Normal 15 2 5 2 3" xfId="55563"/>
    <cellStyle name="Normal 15 2 5 2 4" xfId="55564"/>
    <cellStyle name="Normal 15 2 5 3" xfId="55565"/>
    <cellStyle name="Normal 15 2 5 3 2" xfId="55566"/>
    <cellStyle name="Normal 15 2 5 3 3" xfId="55567"/>
    <cellStyle name="Normal 15 2 5 4" xfId="55568"/>
    <cellStyle name="Normal 15 2 5 4 2" xfId="55569"/>
    <cellStyle name="Normal 15 2 5 5" xfId="55570"/>
    <cellStyle name="Normal 15 2 5 6" xfId="55571"/>
    <cellStyle name="Normal 15 2 5 7" xfId="55572"/>
    <cellStyle name="Normal 15 2 6" xfId="8429"/>
    <cellStyle name="Normal 15 2 6 2" xfId="55573"/>
    <cellStyle name="Normal 15 2 6 2 2" xfId="55574"/>
    <cellStyle name="Normal 15 2 6 2 3" xfId="55575"/>
    <cellStyle name="Normal 15 2 6 3" xfId="55576"/>
    <cellStyle name="Normal 15 2 6 3 2" xfId="55577"/>
    <cellStyle name="Normal 15 2 6 3 3" xfId="55578"/>
    <cellStyle name="Normal 15 2 6 4" xfId="55579"/>
    <cellStyle name="Normal 15 2 6 4 2" xfId="55580"/>
    <cellStyle name="Normal 15 2 6 5" xfId="55581"/>
    <cellStyle name="Normal 15 2 6 6" xfId="55582"/>
    <cellStyle name="Normal 15 2 6 7" xfId="55583"/>
    <cellStyle name="Normal 15 2 7" xfId="55584"/>
    <cellStyle name="Normal 15 2 7 2" xfId="55585"/>
    <cellStyle name="Normal 15 2 7 2 2" xfId="55586"/>
    <cellStyle name="Normal 15 2 7 2 3" xfId="55587"/>
    <cellStyle name="Normal 15 2 7 3" xfId="55588"/>
    <cellStyle name="Normal 15 2 7 3 2" xfId="55589"/>
    <cellStyle name="Normal 15 2 7 4" xfId="55590"/>
    <cellStyle name="Normal 15 2 7 5" xfId="55591"/>
    <cellStyle name="Normal 15 2 8" xfId="55592"/>
    <cellStyle name="Normal 15 2 8 2" xfId="55593"/>
    <cellStyle name="Normal 15 2 8 3" xfId="55594"/>
    <cellStyle name="Normal 15 2 9" xfId="55595"/>
    <cellStyle name="Normal 15 2 9 2" xfId="55596"/>
    <cellStyle name="Normal 15 2 9 3" xfId="55597"/>
    <cellStyle name="Normal 15 3" xfId="4480"/>
    <cellStyle name="Normal 15 3 10" xfId="55598"/>
    <cellStyle name="Normal 15 3 11" xfId="55599"/>
    <cellStyle name="Normal 15 3 2" xfId="8430"/>
    <cellStyle name="Normal 15 3 2 10" xfId="55600"/>
    <cellStyle name="Normal 15 3 2 2" xfId="8431"/>
    <cellStyle name="Normal 15 3 2 2 2" xfId="8432"/>
    <cellStyle name="Normal 15 3 2 2 2 2" xfId="55601"/>
    <cellStyle name="Normal 15 3 2 2 2 3" xfId="55602"/>
    <cellStyle name="Normal 15 3 2 2 3" xfId="55603"/>
    <cellStyle name="Normal 15 3 2 2 3 2" xfId="55604"/>
    <cellStyle name="Normal 15 3 2 2 3 3" xfId="55605"/>
    <cellStyle name="Normal 15 3 2 2 4" xfId="55606"/>
    <cellStyle name="Normal 15 3 2 2 4 2" xfId="55607"/>
    <cellStyle name="Normal 15 3 2 2 5" xfId="55608"/>
    <cellStyle name="Normal 15 3 2 2 6" xfId="55609"/>
    <cellStyle name="Normal 15 3 2 2 7" xfId="55610"/>
    <cellStyle name="Normal 15 3 2 3" xfId="8433"/>
    <cellStyle name="Normal 15 3 2 3 2" xfId="55611"/>
    <cellStyle name="Normal 15 3 2 3 2 2" xfId="55612"/>
    <cellStyle name="Normal 15 3 2 3 2 3" xfId="55613"/>
    <cellStyle name="Normal 15 3 2 3 3" xfId="55614"/>
    <cellStyle name="Normal 15 3 2 3 3 2" xfId="55615"/>
    <cellStyle name="Normal 15 3 2 3 3 3" xfId="55616"/>
    <cellStyle name="Normal 15 3 2 3 4" xfId="55617"/>
    <cellStyle name="Normal 15 3 2 3 4 2" xfId="55618"/>
    <cellStyle name="Normal 15 3 2 3 5" xfId="55619"/>
    <cellStyle name="Normal 15 3 2 3 6" xfId="55620"/>
    <cellStyle name="Normal 15 3 2 3 7" xfId="55621"/>
    <cellStyle name="Normal 15 3 2 4" xfId="55622"/>
    <cellStyle name="Normal 15 3 2 4 2" xfId="55623"/>
    <cellStyle name="Normal 15 3 2 4 2 2" xfId="55624"/>
    <cellStyle name="Normal 15 3 2 4 2 3" xfId="55625"/>
    <cellStyle name="Normal 15 3 2 4 3" xfId="55626"/>
    <cellStyle name="Normal 15 3 2 4 3 2" xfId="55627"/>
    <cellStyle name="Normal 15 3 2 4 4" xfId="55628"/>
    <cellStyle name="Normal 15 3 2 4 5" xfId="55629"/>
    <cellStyle name="Normal 15 3 2 5" xfId="55630"/>
    <cellStyle name="Normal 15 3 2 5 2" xfId="55631"/>
    <cellStyle name="Normal 15 3 2 5 3" xfId="55632"/>
    <cellStyle name="Normal 15 3 2 6" xfId="55633"/>
    <cellStyle name="Normal 15 3 2 6 2" xfId="55634"/>
    <cellStyle name="Normal 15 3 2 6 3" xfId="55635"/>
    <cellStyle name="Normal 15 3 2 7" xfId="55636"/>
    <cellStyle name="Normal 15 3 2 7 2" xfId="55637"/>
    <cellStyle name="Normal 15 3 2 8" xfId="55638"/>
    <cellStyle name="Normal 15 3 2 9" xfId="55639"/>
    <cellStyle name="Normal 15 3 3" xfId="8434"/>
    <cellStyle name="Normal 15 3 3 2" xfId="8435"/>
    <cellStyle name="Normal 15 3 3 2 2" xfId="55640"/>
    <cellStyle name="Normal 15 3 3 2 3" xfId="55641"/>
    <cellStyle name="Normal 15 3 3 3" xfId="55642"/>
    <cellStyle name="Normal 15 3 3 3 2" xfId="55643"/>
    <cellStyle name="Normal 15 3 3 3 3" xfId="55644"/>
    <cellStyle name="Normal 15 3 3 4" xfId="55645"/>
    <cellStyle name="Normal 15 3 3 4 2" xfId="55646"/>
    <cellStyle name="Normal 15 3 3 5" xfId="55647"/>
    <cellStyle name="Normal 15 3 3 6" xfId="55648"/>
    <cellStyle name="Normal 15 3 3 7" xfId="55649"/>
    <cellStyle name="Normal 15 3 4" xfId="8436"/>
    <cellStyle name="Normal 15 3 4 2" xfId="55650"/>
    <cellStyle name="Normal 15 3 4 2 2" xfId="55651"/>
    <cellStyle name="Normal 15 3 4 2 3" xfId="55652"/>
    <cellStyle name="Normal 15 3 4 3" xfId="55653"/>
    <cellStyle name="Normal 15 3 4 3 2" xfId="55654"/>
    <cellStyle name="Normal 15 3 4 3 3" xfId="55655"/>
    <cellStyle name="Normal 15 3 4 4" xfId="55656"/>
    <cellStyle name="Normal 15 3 4 4 2" xfId="55657"/>
    <cellStyle name="Normal 15 3 4 5" xfId="55658"/>
    <cellStyle name="Normal 15 3 4 6" xfId="55659"/>
    <cellStyle name="Normal 15 3 4 7" xfId="55660"/>
    <cellStyle name="Normal 15 3 5" xfId="55661"/>
    <cellStyle name="Normal 15 3 5 2" xfId="55662"/>
    <cellStyle name="Normal 15 3 5 2 2" xfId="55663"/>
    <cellStyle name="Normal 15 3 5 2 3" xfId="55664"/>
    <cellStyle name="Normal 15 3 5 3" xfId="55665"/>
    <cellStyle name="Normal 15 3 5 3 2" xfId="55666"/>
    <cellStyle name="Normal 15 3 5 4" xfId="55667"/>
    <cellStyle name="Normal 15 3 5 5" xfId="55668"/>
    <cellStyle name="Normal 15 3 6" xfId="55669"/>
    <cellStyle name="Normal 15 3 6 2" xfId="55670"/>
    <cellStyle name="Normal 15 3 6 3" xfId="55671"/>
    <cellStyle name="Normal 15 3 7" xfId="55672"/>
    <cellStyle name="Normal 15 3 7 2" xfId="55673"/>
    <cellStyle name="Normal 15 3 7 3" xfId="55674"/>
    <cellStyle name="Normal 15 3 8" xfId="55675"/>
    <cellStyle name="Normal 15 3 8 2" xfId="55676"/>
    <cellStyle name="Normal 15 3 9" xfId="55677"/>
    <cellStyle name="Normal 15 4" xfId="4481"/>
    <cellStyle name="Normal 15 4 10" xfId="55678"/>
    <cellStyle name="Normal 15 4 2" xfId="8437"/>
    <cellStyle name="Normal 15 4 2 2" xfId="8438"/>
    <cellStyle name="Normal 15 4 2 2 2" xfId="55679"/>
    <cellStyle name="Normal 15 4 2 2 3" xfId="55680"/>
    <cellStyle name="Normal 15 4 2 2 4" xfId="55681"/>
    <cellStyle name="Normal 15 4 2 3" xfId="55682"/>
    <cellStyle name="Normal 15 4 2 3 2" xfId="55683"/>
    <cellStyle name="Normal 15 4 2 3 3" xfId="55684"/>
    <cellStyle name="Normal 15 4 2 4" xfId="55685"/>
    <cellStyle name="Normal 15 4 2 4 2" xfId="55686"/>
    <cellStyle name="Normal 15 4 2 5" xfId="55687"/>
    <cellStyle name="Normal 15 4 2 6" xfId="55688"/>
    <cellStyle name="Normal 15 4 2 7" xfId="55689"/>
    <cellStyle name="Normal 15 4 3" xfId="8439"/>
    <cellStyle name="Normal 15 4 3 2" xfId="55690"/>
    <cellStyle name="Normal 15 4 3 2 2" xfId="55691"/>
    <cellStyle name="Normal 15 4 3 2 3" xfId="55692"/>
    <cellStyle name="Normal 15 4 3 3" xfId="55693"/>
    <cellStyle name="Normal 15 4 3 3 2" xfId="55694"/>
    <cellStyle name="Normal 15 4 3 3 3" xfId="55695"/>
    <cellStyle name="Normal 15 4 3 4" xfId="55696"/>
    <cellStyle name="Normal 15 4 3 4 2" xfId="55697"/>
    <cellStyle name="Normal 15 4 3 5" xfId="55698"/>
    <cellStyle name="Normal 15 4 3 6" xfId="55699"/>
    <cellStyle name="Normal 15 4 3 7" xfId="55700"/>
    <cellStyle name="Normal 15 4 4" xfId="55701"/>
    <cellStyle name="Normal 15 4 4 2" xfId="55702"/>
    <cellStyle name="Normal 15 4 4 2 2" xfId="55703"/>
    <cellStyle name="Normal 15 4 4 2 3" xfId="55704"/>
    <cellStyle name="Normal 15 4 4 3" xfId="55705"/>
    <cellStyle name="Normal 15 4 4 3 2" xfId="55706"/>
    <cellStyle name="Normal 15 4 4 4" xfId="55707"/>
    <cellStyle name="Normal 15 4 4 5" xfId="55708"/>
    <cellStyle name="Normal 15 4 5" xfId="55709"/>
    <cellStyle name="Normal 15 4 5 2" xfId="55710"/>
    <cellStyle name="Normal 15 4 5 3" xfId="55711"/>
    <cellStyle name="Normal 15 4 6" xfId="55712"/>
    <cellStyle name="Normal 15 4 6 2" xfId="55713"/>
    <cellStyle name="Normal 15 4 6 3" xfId="55714"/>
    <cellStyle name="Normal 15 4 7" xfId="55715"/>
    <cellStyle name="Normal 15 4 7 2" xfId="55716"/>
    <cellStyle name="Normal 15 4 8" xfId="55717"/>
    <cellStyle name="Normal 15 4 9" xfId="55718"/>
    <cellStyle name="Normal 15 5" xfId="4482"/>
    <cellStyle name="Normal 15 5 10" xfId="55719"/>
    <cellStyle name="Normal 15 5 2" xfId="8440"/>
    <cellStyle name="Normal 15 5 2 2" xfId="55720"/>
    <cellStyle name="Normal 15 5 2 2 2" xfId="55721"/>
    <cellStyle name="Normal 15 5 2 2 3" xfId="55722"/>
    <cellStyle name="Normal 15 5 2 3" xfId="55723"/>
    <cellStyle name="Normal 15 5 2 3 2" xfId="55724"/>
    <cellStyle name="Normal 15 5 2 3 3" xfId="55725"/>
    <cellStyle name="Normal 15 5 2 4" xfId="55726"/>
    <cellStyle name="Normal 15 5 2 4 2" xfId="55727"/>
    <cellStyle name="Normal 15 5 2 5" xfId="55728"/>
    <cellStyle name="Normal 15 5 2 6" xfId="55729"/>
    <cellStyle name="Normal 15 5 2 7" xfId="55730"/>
    <cellStyle name="Normal 15 5 3" xfId="55731"/>
    <cellStyle name="Normal 15 5 3 2" xfId="55732"/>
    <cellStyle name="Normal 15 5 3 2 2" xfId="55733"/>
    <cellStyle name="Normal 15 5 3 2 3" xfId="55734"/>
    <cellStyle name="Normal 15 5 3 3" xfId="55735"/>
    <cellStyle name="Normal 15 5 3 3 2" xfId="55736"/>
    <cellStyle name="Normal 15 5 3 3 3" xfId="55737"/>
    <cellStyle name="Normal 15 5 3 4" xfId="55738"/>
    <cellStyle name="Normal 15 5 3 4 2" xfId="55739"/>
    <cellStyle name="Normal 15 5 3 5" xfId="55740"/>
    <cellStyle name="Normal 15 5 3 6" xfId="55741"/>
    <cellStyle name="Normal 15 5 4" xfId="55742"/>
    <cellStyle name="Normal 15 5 4 2" xfId="55743"/>
    <cellStyle name="Normal 15 5 4 2 2" xfId="55744"/>
    <cellStyle name="Normal 15 5 4 2 3" xfId="55745"/>
    <cellStyle name="Normal 15 5 4 3" xfId="55746"/>
    <cellStyle name="Normal 15 5 4 3 2" xfId="55747"/>
    <cellStyle name="Normal 15 5 4 4" xfId="55748"/>
    <cellStyle name="Normal 15 5 4 5" xfId="55749"/>
    <cellStyle name="Normal 15 5 5" xfId="55750"/>
    <cellStyle name="Normal 15 5 5 2" xfId="55751"/>
    <cellStyle name="Normal 15 5 5 3" xfId="55752"/>
    <cellStyle name="Normal 15 5 6" xfId="55753"/>
    <cellStyle name="Normal 15 5 6 2" xfId="55754"/>
    <cellStyle name="Normal 15 5 6 3" xfId="55755"/>
    <cellStyle name="Normal 15 5 7" xfId="55756"/>
    <cellStyle name="Normal 15 5 7 2" xfId="55757"/>
    <cellStyle name="Normal 15 5 8" xfId="55758"/>
    <cellStyle name="Normal 15 5 9" xfId="55759"/>
    <cellStyle name="Normal 15 6" xfId="8441"/>
    <cellStyle name="Normal 15 6 2" xfId="8442"/>
    <cellStyle name="Normal 15 6 2 2" xfId="55760"/>
    <cellStyle name="Normal 15 6 2 3" xfId="55761"/>
    <cellStyle name="Normal 15 6 2 4" xfId="55762"/>
    <cellStyle name="Normal 15 6 3" xfId="55763"/>
    <cellStyle name="Normal 15 6 3 2" xfId="55764"/>
    <cellStyle name="Normal 15 6 3 3" xfId="55765"/>
    <cellStyle name="Normal 15 6 4" xfId="55766"/>
    <cellStyle name="Normal 15 6 4 2" xfId="55767"/>
    <cellStyle name="Normal 15 6 5" xfId="55768"/>
    <cellStyle name="Normal 15 6 6" xfId="55769"/>
    <cellStyle name="Normal 15 6 7" xfId="55770"/>
    <cellStyle name="Normal 15 7" xfId="8443"/>
    <cellStyle name="Normal 15 7 2" xfId="55771"/>
    <cellStyle name="Normal 15 7 2 2" xfId="55772"/>
    <cellStyle name="Normal 15 7 2 3" xfId="55773"/>
    <cellStyle name="Normal 15 7 3" xfId="55774"/>
    <cellStyle name="Normal 15 7 3 2" xfId="55775"/>
    <cellStyle name="Normal 15 7 3 3" xfId="55776"/>
    <cellStyle name="Normal 15 7 4" xfId="55777"/>
    <cellStyle name="Normal 15 7 4 2" xfId="55778"/>
    <cellStyle name="Normal 15 7 5" xfId="55779"/>
    <cellStyle name="Normal 15 7 6" xfId="55780"/>
    <cellStyle name="Normal 15 7 7" xfId="55781"/>
    <cellStyle name="Normal 15 8" xfId="9370"/>
    <cellStyle name="Normal 15 8 2" xfId="55782"/>
    <cellStyle name="Normal 15 8 2 2" xfId="55783"/>
    <cellStyle name="Normal 15 8 2 3" xfId="55784"/>
    <cellStyle name="Normal 15 8 3" xfId="55785"/>
    <cellStyle name="Normal 15 8 3 2" xfId="55786"/>
    <cellStyle name="Normal 15 8 4" xfId="55787"/>
    <cellStyle name="Normal 15 8 5" xfId="55788"/>
    <cellStyle name="Normal 15 9" xfId="55789"/>
    <cellStyle name="Normal 15 9 2" xfId="55790"/>
    <cellStyle name="Normal 15 9 3" xfId="55791"/>
    <cellStyle name="Normal 16" xfId="4483"/>
    <cellStyle name="Normal 16 2" xfId="4484"/>
    <cellStyle name="Normal 16 2 2" xfId="9236"/>
    <cellStyle name="Normal 16 2 2 2" xfId="9237"/>
    <cellStyle name="Normal 16 2 3" xfId="9238"/>
    <cellStyle name="Normal 16 2 4" xfId="9239"/>
    <cellStyle name="Normal 16 3" xfId="9240"/>
    <cellStyle name="Normal 16 3 2" xfId="9241"/>
    <cellStyle name="Normal 16 4" xfId="9242"/>
    <cellStyle name="Normal 16 4 2" xfId="55792"/>
    <cellStyle name="Normal 16 5" xfId="9243"/>
    <cellStyle name="Normal 16 6" xfId="55793"/>
    <cellStyle name="Normal 17" xfId="4485"/>
    <cellStyle name="Normal 17 10" xfId="55794"/>
    <cellStyle name="Normal 17 10 2" xfId="55795"/>
    <cellStyle name="Normal 17 11" xfId="55796"/>
    <cellStyle name="Normal 17 12" xfId="55797"/>
    <cellStyle name="Normal 17 13" xfId="55798"/>
    <cellStyle name="Normal 17 2" xfId="4486"/>
    <cellStyle name="Normal 17 2 10" xfId="55799"/>
    <cellStyle name="Normal 17 2 11" xfId="55800"/>
    <cellStyle name="Normal 17 2 2" xfId="4487"/>
    <cellStyle name="Normal 17 2 2 10" xfId="55801"/>
    <cellStyle name="Normal 17 2 2 2" xfId="8444"/>
    <cellStyle name="Normal 17 2 2 2 2" xfId="8445"/>
    <cellStyle name="Normal 17 2 2 2 2 2" xfId="55802"/>
    <cellStyle name="Normal 17 2 2 2 2 3" xfId="55803"/>
    <cellStyle name="Normal 17 2 2 2 3" xfId="55804"/>
    <cellStyle name="Normal 17 2 2 2 3 2" xfId="55805"/>
    <cellStyle name="Normal 17 2 2 2 3 3" xfId="55806"/>
    <cellStyle name="Normal 17 2 2 2 4" xfId="55807"/>
    <cellStyle name="Normal 17 2 2 2 4 2" xfId="55808"/>
    <cellStyle name="Normal 17 2 2 2 5" xfId="55809"/>
    <cellStyle name="Normal 17 2 2 2 6" xfId="55810"/>
    <cellStyle name="Normal 17 2 2 2 7" xfId="55811"/>
    <cellStyle name="Normal 17 2 2 3" xfId="8446"/>
    <cellStyle name="Normal 17 2 2 3 2" xfId="55812"/>
    <cellStyle name="Normal 17 2 2 3 2 2" xfId="55813"/>
    <cellStyle name="Normal 17 2 2 3 2 3" xfId="55814"/>
    <cellStyle name="Normal 17 2 2 3 3" xfId="55815"/>
    <cellStyle name="Normal 17 2 2 3 3 2" xfId="55816"/>
    <cellStyle name="Normal 17 2 2 3 3 3" xfId="55817"/>
    <cellStyle name="Normal 17 2 2 3 4" xfId="55818"/>
    <cellStyle name="Normal 17 2 2 3 4 2" xfId="55819"/>
    <cellStyle name="Normal 17 2 2 3 5" xfId="55820"/>
    <cellStyle name="Normal 17 2 2 3 6" xfId="55821"/>
    <cellStyle name="Normal 17 2 2 3 7" xfId="55822"/>
    <cellStyle name="Normal 17 2 2 4" xfId="55823"/>
    <cellStyle name="Normal 17 2 2 4 2" xfId="55824"/>
    <cellStyle name="Normal 17 2 2 4 2 2" xfId="55825"/>
    <cellStyle name="Normal 17 2 2 4 2 3" xfId="55826"/>
    <cellStyle name="Normal 17 2 2 4 3" xfId="55827"/>
    <cellStyle name="Normal 17 2 2 4 3 2" xfId="55828"/>
    <cellStyle name="Normal 17 2 2 4 4" xfId="55829"/>
    <cellStyle name="Normal 17 2 2 4 5" xfId="55830"/>
    <cellStyle name="Normal 17 2 2 5" xfId="55831"/>
    <cellStyle name="Normal 17 2 2 5 2" xfId="55832"/>
    <cellStyle name="Normal 17 2 2 5 3" xfId="55833"/>
    <cellStyle name="Normal 17 2 2 6" xfId="55834"/>
    <cellStyle name="Normal 17 2 2 6 2" xfId="55835"/>
    <cellStyle name="Normal 17 2 2 6 3" xfId="55836"/>
    <cellStyle name="Normal 17 2 2 7" xfId="55837"/>
    <cellStyle name="Normal 17 2 2 7 2" xfId="55838"/>
    <cellStyle name="Normal 17 2 2 8" xfId="55839"/>
    <cellStyle name="Normal 17 2 2 9" xfId="55840"/>
    <cellStyle name="Normal 17 2 3" xfId="8447"/>
    <cellStyle name="Normal 17 2 3 2" xfId="8448"/>
    <cellStyle name="Normal 17 2 3 2 2" xfId="55841"/>
    <cellStyle name="Normal 17 2 3 2 3" xfId="55842"/>
    <cellStyle name="Normal 17 2 3 3" xfId="55843"/>
    <cellStyle name="Normal 17 2 3 3 2" xfId="55844"/>
    <cellStyle name="Normal 17 2 3 3 3" xfId="55845"/>
    <cellStyle name="Normal 17 2 3 4" xfId="55846"/>
    <cellStyle name="Normal 17 2 3 4 2" xfId="55847"/>
    <cellStyle name="Normal 17 2 3 5" xfId="55848"/>
    <cellStyle name="Normal 17 2 3 6" xfId="55849"/>
    <cellStyle name="Normal 17 2 3 7" xfId="55850"/>
    <cellStyle name="Normal 17 2 4" xfId="8449"/>
    <cellStyle name="Normal 17 2 4 2" xfId="55851"/>
    <cellStyle name="Normal 17 2 4 2 2" xfId="55852"/>
    <cellStyle name="Normal 17 2 4 2 3" xfId="55853"/>
    <cellStyle name="Normal 17 2 4 3" xfId="55854"/>
    <cellStyle name="Normal 17 2 4 3 2" xfId="55855"/>
    <cellStyle name="Normal 17 2 4 3 3" xfId="55856"/>
    <cellStyle name="Normal 17 2 4 4" xfId="55857"/>
    <cellStyle name="Normal 17 2 4 4 2" xfId="55858"/>
    <cellStyle name="Normal 17 2 4 5" xfId="55859"/>
    <cellStyle name="Normal 17 2 4 6" xfId="55860"/>
    <cellStyle name="Normal 17 2 4 7" xfId="55861"/>
    <cellStyle name="Normal 17 2 5" xfId="55862"/>
    <cellStyle name="Normal 17 2 5 2" xfId="55863"/>
    <cellStyle name="Normal 17 2 5 2 2" xfId="55864"/>
    <cellStyle name="Normal 17 2 5 2 3" xfId="55865"/>
    <cellStyle name="Normal 17 2 5 3" xfId="55866"/>
    <cellStyle name="Normal 17 2 5 3 2" xfId="55867"/>
    <cellStyle name="Normal 17 2 5 4" xfId="55868"/>
    <cellStyle name="Normal 17 2 5 5" xfId="55869"/>
    <cellStyle name="Normal 17 2 6" xfId="55870"/>
    <cellStyle name="Normal 17 2 6 2" xfId="55871"/>
    <cellStyle name="Normal 17 2 6 3" xfId="55872"/>
    <cellStyle name="Normal 17 2 7" xfId="55873"/>
    <cellStyle name="Normal 17 2 7 2" xfId="55874"/>
    <cellStyle name="Normal 17 2 7 3" xfId="55875"/>
    <cellStyle name="Normal 17 2 8" xfId="55876"/>
    <cellStyle name="Normal 17 2 8 2" xfId="55877"/>
    <cellStyle name="Normal 17 2 9" xfId="55878"/>
    <cellStyle name="Normal 17 3" xfId="4488"/>
    <cellStyle name="Normal 17 3 10" xfId="55879"/>
    <cellStyle name="Normal 17 3 2" xfId="8450"/>
    <cellStyle name="Normal 17 3 2 2" xfId="8451"/>
    <cellStyle name="Normal 17 3 2 2 2" xfId="55880"/>
    <cellStyle name="Normal 17 3 2 2 3" xfId="55881"/>
    <cellStyle name="Normal 17 3 2 2 4" xfId="55882"/>
    <cellStyle name="Normal 17 3 2 3" xfId="55883"/>
    <cellStyle name="Normal 17 3 2 3 2" xfId="55884"/>
    <cellStyle name="Normal 17 3 2 3 3" xfId="55885"/>
    <cellStyle name="Normal 17 3 2 4" xfId="55886"/>
    <cellStyle name="Normal 17 3 2 4 2" xfId="55887"/>
    <cellStyle name="Normal 17 3 2 5" xfId="55888"/>
    <cellStyle name="Normal 17 3 2 6" xfId="55889"/>
    <cellStyle name="Normal 17 3 2 7" xfId="55890"/>
    <cellStyle name="Normal 17 3 3" xfId="8452"/>
    <cellStyle name="Normal 17 3 3 2" xfId="55891"/>
    <cellStyle name="Normal 17 3 3 2 2" xfId="55892"/>
    <cellStyle name="Normal 17 3 3 2 3" xfId="55893"/>
    <cellStyle name="Normal 17 3 3 3" xfId="55894"/>
    <cellStyle name="Normal 17 3 3 3 2" xfId="55895"/>
    <cellStyle name="Normal 17 3 3 3 3" xfId="55896"/>
    <cellStyle name="Normal 17 3 3 4" xfId="55897"/>
    <cellStyle name="Normal 17 3 3 4 2" xfId="55898"/>
    <cellStyle name="Normal 17 3 3 5" xfId="55899"/>
    <cellStyle name="Normal 17 3 3 6" xfId="55900"/>
    <cellStyle name="Normal 17 3 3 7" xfId="55901"/>
    <cellStyle name="Normal 17 3 4" xfId="55902"/>
    <cellStyle name="Normal 17 3 4 2" xfId="55903"/>
    <cellStyle name="Normal 17 3 4 2 2" xfId="55904"/>
    <cellStyle name="Normal 17 3 4 2 3" xfId="55905"/>
    <cellStyle name="Normal 17 3 4 3" xfId="55906"/>
    <cellStyle name="Normal 17 3 4 3 2" xfId="55907"/>
    <cellStyle name="Normal 17 3 4 4" xfId="55908"/>
    <cellStyle name="Normal 17 3 4 5" xfId="55909"/>
    <cellStyle name="Normal 17 3 5" xfId="55910"/>
    <cellStyle name="Normal 17 3 5 2" xfId="55911"/>
    <cellStyle name="Normal 17 3 5 3" xfId="55912"/>
    <cellStyle name="Normal 17 3 6" xfId="55913"/>
    <cellStyle name="Normal 17 3 6 2" xfId="55914"/>
    <cellStyle name="Normal 17 3 6 3" xfId="55915"/>
    <cellStyle name="Normal 17 3 7" xfId="55916"/>
    <cellStyle name="Normal 17 3 7 2" xfId="55917"/>
    <cellStyle name="Normal 17 3 8" xfId="55918"/>
    <cellStyle name="Normal 17 3 9" xfId="55919"/>
    <cellStyle name="Normal 17 4" xfId="8453"/>
    <cellStyle name="Normal 17 4 10" xfId="55920"/>
    <cellStyle name="Normal 17 4 2" xfId="8454"/>
    <cellStyle name="Normal 17 4 2 2" xfId="55921"/>
    <cellStyle name="Normal 17 4 2 2 2" xfId="55922"/>
    <cellStyle name="Normal 17 4 2 2 3" xfId="55923"/>
    <cellStyle name="Normal 17 4 2 3" xfId="55924"/>
    <cellStyle name="Normal 17 4 2 3 2" xfId="55925"/>
    <cellStyle name="Normal 17 4 2 3 3" xfId="55926"/>
    <cellStyle name="Normal 17 4 2 4" xfId="55927"/>
    <cellStyle name="Normal 17 4 2 4 2" xfId="55928"/>
    <cellStyle name="Normal 17 4 2 5" xfId="55929"/>
    <cellStyle name="Normal 17 4 2 6" xfId="55930"/>
    <cellStyle name="Normal 17 4 2 7" xfId="55931"/>
    <cellStyle name="Normal 17 4 3" xfId="55932"/>
    <cellStyle name="Normal 17 4 3 2" xfId="55933"/>
    <cellStyle name="Normal 17 4 3 2 2" xfId="55934"/>
    <cellStyle name="Normal 17 4 3 2 3" xfId="55935"/>
    <cellStyle name="Normal 17 4 3 3" xfId="55936"/>
    <cellStyle name="Normal 17 4 3 3 2" xfId="55937"/>
    <cellStyle name="Normal 17 4 3 3 3" xfId="55938"/>
    <cellStyle name="Normal 17 4 3 4" xfId="55939"/>
    <cellStyle name="Normal 17 4 3 4 2" xfId="55940"/>
    <cellStyle name="Normal 17 4 3 5" xfId="55941"/>
    <cellStyle name="Normal 17 4 3 6" xfId="55942"/>
    <cellStyle name="Normal 17 4 4" xfId="55943"/>
    <cellStyle name="Normal 17 4 4 2" xfId="55944"/>
    <cellStyle name="Normal 17 4 4 2 2" xfId="55945"/>
    <cellStyle name="Normal 17 4 4 2 3" xfId="55946"/>
    <cellStyle name="Normal 17 4 4 3" xfId="55947"/>
    <cellStyle name="Normal 17 4 4 3 2" xfId="55948"/>
    <cellStyle name="Normal 17 4 4 4" xfId="55949"/>
    <cellStyle name="Normal 17 4 4 5" xfId="55950"/>
    <cellStyle name="Normal 17 4 5" xfId="55951"/>
    <cellStyle name="Normal 17 4 5 2" xfId="55952"/>
    <cellStyle name="Normal 17 4 5 3" xfId="55953"/>
    <cellStyle name="Normal 17 4 6" xfId="55954"/>
    <cellStyle name="Normal 17 4 6 2" xfId="55955"/>
    <cellStyle name="Normal 17 4 6 3" xfId="55956"/>
    <cellStyle name="Normal 17 4 7" xfId="55957"/>
    <cellStyle name="Normal 17 4 7 2" xfId="55958"/>
    <cellStyle name="Normal 17 4 8" xfId="55959"/>
    <cellStyle name="Normal 17 4 9" xfId="55960"/>
    <cellStyle name="Normal 17 5" xfId="8455"/>
    <cellStyle name="Normal 17 5 2" xfId="8456"/>
    <cellStyle name="Normal 17 5 2 2" xfId="55961"/>
    <cellStyle name="Normal 17 5 2 3" xfId="55962"/>
    <cellStyle name="Normal 17 5 2 4" xfId="55963"/>
    <cellStyle name="Normal 17 5 3" xfId="55964"/>
    <cellStyle name="Normal 17 5 3 2" xfId="55965"/>
    <cellStyle name="Normal 17 5 3 3" xfId="55966"/>
    <cellStyle name="Normal 17 5 4" xfId="55967"/>
    <cellStyle name="Normal 17 5 4 2" xfId="55968"/>
    <cellStyle name="Normal 17 5 5" xfId="55969"/>
    <cellStyle name="Normal 17 5 6" xfId="55970"/>
    <cellStyle name="Normal 17 5 7" xfId="55971"/>
    <cellStyle name="Normal 17 6" xfId="8457"/>
    <cellStyle name="Normal 17 6 2" xfId="55972"/>
    <cellStyle name="Normal 17 6 2 2" xfId="55973"/>
    <cellStyle name="Normal 17 6 2 3" xfId="55974"/>
    <cellStyle name="Normal 17 6 3" xfId="55975"/>
    <cellStyle name="Normal 17 6 3 2" xfId="55976"/>
    <cellStyle name="Normal 17 6 3 3" xfId="55977"/>
    <cellStyle name="Normal 17 6 4" xfId="55978"/>
    <cellStyle name="Normal 17 6 4 2" xfId="55979"/>
    <cellStyle name="Normal 17 6 5" xfId="55980"/>
    <cellStyle name="Normal 17 6 6" xfId="55981"/>
    <cellStyle name="Normal 17 6 7" xfId="55982"/>
    <cellStyle name="Normal 17 7" xfId="55983"/>
    <cellStyle name="Normal 17 7 2" xfId="55984"/>
    <cellStyle name="Normal 17 7 2 2" xfId="55985"/>
    <cellStyle name="Normal 17 7 2 3" xfId="55986"/>
    <cellStyle name="Normal 17 7 3" xfId="55987"/>
    <cellStyle name="Normal 17 7 3 2" xfId="55988"/>
    <cellStyle name="Normal 17 7 4" xfId="55989"/>
    <cellStyle name="Normal 17 7 5" xfId="55990"/>
    <cellStyle name="Normal 17 8" xfId="55991"/>
    <cellStyle name="Normal 17 8 2" xfId="55992"/>
    <cellStyle name="Normal 17 8 3" xfId="55993"/>
    <cellStyle name="Normal 17 9" xfId="55994"/>
    <cellStyle name="Normal 17 9 2" xfId="55995"/>
    <cellStyle name="Normal 17 9 3" xfId="55996"/>
    <cellStyle name="Normal 18" xfId="4489"/>
    <cellStyle name="Normal 18 2" xfId="4490"/>
    <cellStyle name="Normal 18 2 2" xfId="4491"/>
    <cellStyle name="Normal 18 2 2 2" xfId="55997"/>
    <cellStyle name="Normal 18 2 2 3" xfId="59503"/>
    <cellStyle name="Normal 18 2 3" xfId="55998"/>
    <cellStyle name="Normal 18 2 4" xfId="59504"/>
    <cellStyle name="Normal 18 2 5" xfId="59505"/>
    <cellStyle name="Normal 18 2 6" xfId="59506"/>
    <cellStyle name="Normal 18 2 7" xfId="59507"/>
    <cellStyle name="Normal 18 3" xfId="4492"/>
    <cellStyle name="Normal 18 3 2" xfId="55999"/>
    <cellStyle name="Normal 18 3 2 2" xfId="59508"/>
    <cellStyle name="Normal 18 3 3" xfId="59509"/>
    <cellStyle name="Normal 18 3 4" xfId="59510"/>
    <cellStyle name="Normal 18 3 5" xfId="59511"/>
    <cellStyle name="Normal 18 3 6" xfId="59512"/>
    <cellStyle name="Normal 18 4" xfId="9244"/>
    <cellStyle name="Normal 18 4 2" xfId="56000"/>
    <cellStyle name="Normal 18 5" xfId="56001"/>
    <cellStyle name="Normal 18 5 2" xfId="56002"/>
    <cellStyle name="Normal 18 6" xfId="56003"/>
    <cellStyle name="Normal 18 7" xfId="56004"/>
    <cellStyle name="Normal 18 8" xfId="56005"/>
    <cellStyle name="Normal 19" xfId="4493"/>
    <cellStyle name="Normal 19 2" xfId="4494"/>
    <cellStyle name="Normal 19 2 2" xfId="9245"/>
    <cellStyle name="Normal 19 2 2 2" xfId="9246"/>
    <cellStyle name="Normal 19 2 3" xfId="9247"/>
    <cellStyle name="Normal 19 2 4" xfId="9248"/>
    <cellStyle name="Normal 19 3" xfId="9249"/>
    <cellStyle name="Normal 19 3 2" xfId="9250"/>
    <cellStyle name="Normal 19 4" xfId="9251"/>
    <cellStyle name="Normal 19 4 2" xfId="56006"/>
    <cellStyle name="Normal 19 5" xfId="9252"/>
    <cellStyle name="Normal 19 6" xfId="56007"/>
    <cellStyle name="Normal 2" xfId="4495"/>
    <cellStyle name="Normal 2 10" xfId="8458"/>
    <cellStyle name="Normal 2 10 2" xfId="8459"/>
    <cellStyle name="Normal 2 10 2 2" xfId="59513"/>
    <cellStyle name="Normal 2 10 3" xfId="57816"/>
    <cellStyle name="Normal 2 11" xfId="8460"/>
    <cellStyle name="Normal 2 11 2" xfId="8461"/>
    <cellStyle name="Normal 2 11 2 2" xfId="59514"/>
    <cellStyle name="Normal 2 11 3" xfId="59515"/>
    <cellStyle name="Normal 2 12" xfId="8462"/>
    <cellStyle name="Normal 2 12 2" xfId="59516"/>
    <cellStyle name="Normal 2 13" xfId="9844"/>
    <cellStyle name="Normal 2 14" xfId="9845"/>
    <cellStyle name="Normal 2 15" xfId="9846"/>
    <cellStyle name="Normal 2 16" xfId="9847"/>
    <cellStyle name="Normal 2 17" xfId="9848"/>
    <cellStyle name="Normal 2 18" xfId="59517"/>
    <cellStyle name="Normal 2 18 2" xfId="59518"/>
    <cellStyle name="Normal 2 18 2 2" xfId="59519"/>
    <cellStyle name="Normal 2 18 3" xfId="59520"/>
    <cellStyle name="Normal 2 18 4" xfId="59521"/>
    <cellStyle name="Normal 2 19" xfId="59522"/>
    <cellStyle name="Normal 2 19 2" xfId="59523"/>
    <cellStyle name="Normal 2 2" xfId="4496"/>
    <cellStyle name="Normal 2 2 2" xfId="4497"/>
    <cellStyle name="Normal 2 2 2 2" xfId="4498"/>
    <cellStyle name="Normal 2 2 2 2 2" xfId="9849"/>
    <cellStyle name="Normal 2 2 2 2 3" xfId="56008"/>
    <cellStyle name="Normal 2 2 2 3" xfId="8463"/>
    <cellStyle name="Normal 2 2 2 3 2" xfId="9850"/>
    <cellStyle name="Normal 2 2 2 3 3" xfId="56009"/>
    <cellStyle name="Normal 2 2 2 4" xfId="8464"/>
    <cellStyle name="Normal 2 2 2 4 2" xfId="9851"/>
    <cellStyle name="Normal 2 2 2 5" xfId="9852"/>
    <cellStyle name="Normal 2 2 3" xfId="4499"/>
    <cellStyle name="Normal 2 2 3 2" xfId="9853"/>
    <cellStyle name="Normal 2 2 3 3" xfId="56010"/>
    <cellStyle name="Normal 2 2 4" xfId="4500"/>
    <cellStyle name="Normal 2 2 4 2" xfId="4501"/>
    <cellStyle name="Normal 2 2 4 2 2" xfId="4502"/>
    <cellStyle name="Normal 2 2 4 2 2 2" xfId="59524"/>
    <cellStyle name="Normal 2 2 4 2 2 2 2" xfId="59525"/>
    <cellStyle name="Normal 2 2 4 2 2 3" xfId="59526"/>
    <cellStyle name="Normal 2 2 4 2 2 4" xfId="59527"/>
    <cellStyle name="Normal 2 2 4 2 3" xfId="59528"/>
    <cellStyle name="Normal 2 2 4 2 3 2" xfId="59529"/>
    <cellStyle name="Normal 2 2 4 2 4" xfId="59530"/>
    <cellStyle name="Normal 2 2 4 2 5" xfId="59531"/>
    <cellStyle name="Normal 2 2 4 3" xfId="4503"/>
    <cellStyle name="Normal 2 2 4 3 2" xfId="59532"/>
    <cellStyle name="Normal 2 2 4 3 2 2" xfId="59533"/>
    <cellStyle name="Normal 2 2 4 3 3" xfId="59534"/>
    <cellStyle name="Normal 2 2 4 3 4" xfId="59535"/>
    <cellStyle name="Normal 2 2 4 4" xfId="59536"/>
    <cellStyle name="Normal 2 2 4 4 2" xfId="59537"/>
    <cellStyle name="Normal 2 2 4 5" xfId="59538"/>
    <cellStyle name="Normal 2 2 4 5 2" xfId="59539"/>
    <cellStyle name="Normal 2 2 4 6" xfId="59540"/>
    <cellStyle name="Normal 2 2 4 7" xfId="59541"/>
    <cellStyle name="Normal 2 2 5" xfId="4504"/>
    <cellStyle name="Normal 2 2 5 2" xfId="59542"/>
    <cellStyle name="Normal 2 2 5 2 2" xfId="59543"/>
    <cellStyle name="Normal 2 2 5 2 3" xfId="59544"/>
    <cellStyle name="Normal 2 2 5 3" xfId="59545"/>
    <cellStyle name="Normal 2 2 5 4" xfId="59546"/>
    <cellStyle name="Normal 2 2 5 5" xfId="59547"/>
    <cellStyle name="Normal 2 2 5 6" xfId="59548"/>
    <cellStyle name="Normal 2 2 6" xfId="9253"/>
    <cellStyle name="Normal 2 2 6 2" xfId="59549"/>
    <cellStyle name="Normal 2 2 6 2 2" xfId="59550"/>
    <cellStyle name="Normal 2 2 6 3" xfId="59551"/>
    <cellStyle name="Normal 2 2 6 4" xfId="59552"/>
    <cellStyle name="Normal 2 2 6 5" xfId="59553"/>
    <cellStyle name="Normal 2 2 7" xfId="9854"/>
    <cellStyle name="Normal 2 2 8" xfId="59554"/>
    <cellStyle name="Normal 2 2 8 2" xfId="59555"/>
    <cellStyle name="Normal 2 2 8 3" xfId="59556"/>
    <cellStyle name="Normal 2 20" xfId="59557"/>
    <cellStyle name="Normal 2 20 2" xfId="59558"/>
    <cellStyle name="Normal 2 20 3" xfId="59559"/>
    <cellStyle name="Normal 2 21" xfId="59560"/>
    <cellStyle name="Normal 2 21 2" xfId="59561"/>
    <cellStyle name="Normal 2 22" xfId="59562"/>
    <cellStyle name="Normal 2 23" xfId="61972"/>
    <cellStyle name="Normal 2 24" xfId="61979"/>
    <cellStyle name="Normal 2 3" xfId="4505"/>
    <cellStyle name="Normal 2 3 2" xfId="4506"/>
    <cellStyle name="Normal 2 3 2 2" xfId="9855"/>
    <cellStyle name="Normal 2 3 2 3" xfId="56011"/>
    <cellStyle name="Normal 2 3 2 4" xfId="56012"/>
    <cellStyle name="Normal 2 3 3" xfId="9856"/>
    <cellStyle name="Normal 2 3 3 2" xfId="56013"/>
    <cellStyle name="Normal 2 3 3 3" xfId="56014"/>
    <cellStyle name="Normal 2 3 4" xfId="9857"/>
    <cellStyle name="Normal 2 3 4 2" xfId="59563"/>
    <cellStyle name="Normal 2 3 4 2 2" xfId="59564"/>
    <cellStyle name="Normal 2 3 4 3" xfId="59565"/>
    <cellStyle name="Normal 2 3 4 4" xfId="59566"/>
    <cellStyle name="Normal 2 3 4 5" xfId="59567"/>
    <cellStyle name="Normal 2 3 5" xfId="9858"/>
    <cellStyle name="Normal 2 3 5 2" xfId="56015"/>
    <cellStyle name="Normal 2 3 5 2 2" xfId="59568"/>
    <cellStyle name="Normal 2 3 5 3" xfId="59569"/>
    <cellStyle name="Normal 2 3 5 4" xfId="59570"/>
    <cellStyle name="Normal 2 3 5 5" xfId="59571"/>
    <cellStyle name="Normal 2 3 6" xfId="9859"/>
    <cellStyle name="Normal 2 3 6 2" xfId="59572"/>
    <cellStyle name="Normal 2 4" xfId="4507"/>
    <cellStyle name="Normal 2 4 2" xfId="8465"/>
    <cellStyle name="Normal 2 4 2 2" xfId="9860"/>
    <cellStyle name="Normal 2 4 2 2 2" xfId="56016"/>
    <cellStyle name="Normal 2 4 2 3" xfId="56017"/>
    <cellStyle name="Normal 2 4 2 3 2" xfId="56018"/>
    <cellStyle name="Normal 2 4 2 4" xfId="56019"/>
    <cellStyle name="Normal 2 4 2 5" xfId="56020"/>
    <cellStyle name="Normal 2 4 3" xfId="8466"/>
    <cellStyle name="Normal 2 4 3 2" xfId="9861"/>
    <cellStyle name="Normal 2 4 3 2 2" xfId="56021"/>
    <cellStyle name="Normal 2 4 3 3" xfId="56022"/>
    <cellStyle name="Normal 2 4 3 3 2" xfId="56023"/>
    <cellStyle name="Normal 2 4 3 4" xfId="56024"/>
    <cellStyle name="Normal 2 4 3 5" xfId="56025"/>
    <cellStyle name="Normal 2 4 4" xfId="8467"/>
    <cellStyle name="Normal 2 4 4 2" xfId="9862"/>
    <cellStyle name="Normal 2 4 4 2 2" xfId="56026"/>
    <cellStyle name="Normal 2 4 4 3" xfId="56027"/>
    <cellStyle name="Normal 2 4 4 4" xfId="56028"/>
    <cellStyle name="Normal 2 4 5" xfId="9863"/>
    <cellStyle name="Normal 2 4 5 2" xfId="56029"/>
    <cellStyle name="Normal 2 4 6" xfId="56030"/>
    <cellStyle name="Normal 2 4 7" xfId="56031"/>
    <cellStyle name="Normal 2 4 8" xfId="56032"/>
    <cellStyle name="Normal 2 41" xfId="8675"/>
    <cellStyle name="Normal 2 43" xfId="8676"/>
    <cellStyle name="Normal 2 5" xfId="4508"/>
    <cellStyle name="Normal 2 5 2" xfId="4509"/>
    <cellStyle name="Normal 2 5 2 2" xfId="4510"/>
    <cellStyle name="Normal 2 5 2 2 2" xfId="59573"/>
    <cellStyle name="Normal 2 5 2 2 2 2" xfId="59574"/>
    <cellStyle name="Normal 2 5 2 2 3" xfId="59575"/>
    <cellStyle name="Normal 2 5 2 2 4" xfId="59576"/>
    <cellStyle name="Normal 2 5 2 3" xfId="4511"/>
    <cellStyle name="Normal 2 5 2 3 2" xfId="59577"/>
    <cellStyle name="Normal 2 5 2 3 2 2" xfId="59578"/>
    <cellStyle name="Normal 2 5 2 3 3" xfId="59579"/>
    <cellStyle name="Normal 2 5 2 3 4" xfId="59580"/>
    <cellStyle name="Normal 2 5 2 4" xfId="59581"/>
    <cellStyle name="Normal 2 5 2 4 2" xfId="59582"/>
    <cellStyle name="Normal 2 5 2 5" xfId="59583"/>
    <cellStyle name="Normal 2 5 2 6" xfId="59584"/>
    <cellStyle name="Normal 2 5 2 7" xfId="59585"/>
    <cellStyle name="Normal 2 5 3" xfId="4512"/>
    <cellStyle name="Normal 2 5 3 2" xfId="56033"/>
    <cellStyle name="Normal 2 5 3 2 2" xfId="59586"/>
    <cellStyle name="Normal 2 5 3 3" xfId="59587"/>
    <cellStyle name="Normal 2 5 3 4" xfId="59588"/>
    <cellStyle name="Normal 2 5 4" xfId="4513"/>
    <cellStyle name="Normal 2 5 4 2" xfId="59589"/>
    <cellStyle name="Normal 2 5 4 2 2" xfId="59590"/>
    <cellStyle name="Normal 2 5 4 3" xfId="59591"/>
    <cellStyle name="Normal 2 5 4 4" xfId="59592"/>
    <cellStyle name="Normal 2 5 5" xfId="9254"/>
    <cellStyle name="Normal 2 5 6" xfId="59593"/>
    <cellStyle name="Normal 2 6" xfId="4514"/>
    <cellStyle name="Normal 2 6 2" xfId="9255"/>
    <cellStyle name="Normal 2 6 2 2" xfId="9256"/>
    <cellStyle name="Normal 2 6 3" xfId="9257"/>
    <cellStyle name="Normal 2 6 3 2" xfId="56034"/>
    <cellStyle name="Normal 2 6 4" xfId="9258"/>
    <cellStyle name="Normal 2 6 4 2" xfId="56035"/>
    <cellStyle name="Normal 2 6 5" xfId="56036"/>
    <cellStyle name="Normal 2 6 5 2" xfId="56037"/>
    <cellStyle name="Normal 2 6 6" xfId="56038"/>
    <cellStyle name="Normal 2 6 7" xfId="56039"/>
    <cellStyle name="Normal 2 7" xfId="8468"/>
    <cellStyle name="Normal 2 7 2" xfId="8469"/>
    <cellStyle name="Normal 2 7 2 2" xfId="8470"/>
    <cellStyle name="Normal 2 7 2 2 2" xfId="8471"/>
    <cellStyle name="Normal 2 7 2 2 3" xfId="59594"/>
    <cellStyle name="Normal 2 7 2 3" xfId="8472"/>
    <cellStyle name="Normal 2 7 2 3 2" xfId="59595"/>
    <cellStyle name="Normal 2 7 2 4" xfId="56040"/>
    <cellStyle name="Normal 2 7 2 5" xfId="56041"/>
    <cellStyle name="Normal 2 7 3" xfId="8473"/>
    <cellStyle name="Normal 2 7 3 2" xfId="8474"/>
    <cellStyle name="Normal 2 7 3 2 2" xfId="59596"/>
    <cellStyle name="Normal 2 7 3 3" xfId="59597"/>
    <cellStyle name="Normal 2 7 3 4" xfId="59598"/>
    <cellStyle name="Normal 2 7 3 5" xfId="59599"/>
    <cellStyle name="Normal 2 7 4" xfId="8475"/>
    <cellStyle name="Normal 2 7 4 2" xfId="59600"/>
    <cellStyle name="Normal 2 7 4 2 2" xfId="59601"/>
    <cellStyle name="Normal 2 7 4 3" xfId="59602"/>
    <cellStyle name="Normal 2 7 4 4" xfId="59603"/>
    <cellStyle name="Normal 2 7 4 5" xfId="59604"/>
    <cellStyle name="Normal 2 7 5" xfId="56042"/>
    <cellStyle name="Normal 2 7 6" xfId="56043"/>
    <cellStyle name="Normal 2 8" xfId="8476"/>
    <cellStyle name="Normal 2 8 2" xfId="8477"/>
    <cellStyle name="Normal 2 8 2 2" xfId="8478"/>
    <cellStyle name="Normal 2 8 2 2 2" xfId="59605"/>
    <cellStyle name="Normal 2 8 2 3" xfId="59606"/>
    <cellStyle name="Normal 2 8 2 4" xfId="59607"/>
    <cellStyle name="Normal 2 8 2 5" xfId="59608"/>
    <cellStyle name="Normal 2 8 3" xfId="8479"/>
    <cellStyle name="Normal 2 8 3 2" xfId="59609"/>
    <cellStyle name="Normal 2 8 3 2 2" xfId="59610"/>
    <cellStyle name="Normal 2 8 3 3" xfId="59611"/>
    <cellStyle name="Normal 2 8 3 4" xfId="59612"/>
    <cellStyle name="Normal 2 8 3 5" xfId="59613"/>
    <cellStyle name="Normal 2 8 4" xfId="56044"/>
    <cellStyle name="Normal 2 8 5" xfId="56045"/>
    <cellStyle name="Normal 2 9" xfId="8480"/>
    <cellStyle name="Normal 2 9 2" xfId="8481"/>
    <cellStyle name="Normal 2 9 2 2" xfId="59614"/>
    <cellStyle name="Normal 2 9 2 2 2" xfId="59615"/>
    <cellStyle name="Normal 2 9 2 3" xfId="59616"/>
    <cellStyle name="Normal 2 9 2 4" xfId="59617"/>
    <cellStyle name="Normal 2 9 2 5" xfId="59618"/>
    <cellStyle name="Normal 2 9 3" xfId="56046"/>
    <cellStyle name="Normal 2_183302" xfId="8770"/>
    <cellStyle name="Normal 20" xfId="4515"/>
    <cellStyle name="Normal 20 2" xfId="4516"/>
    <cellStyle name="Normal 20 2 2" xfId="4517"/>
    <cellStyle name="Normal 20 2 2 2" xfId="59619"/>
    <cellStyle name="Normal 20 2 3" xfId="59620"/>
    <cellStyle name="Normal 20 2 4" xfId="59621"/>
    <cellStyle name="Normal 20 2 5" xfId="59622"/>
    <cellStyle name="Normal 20 3" xfId="4518"/>
    <cellStyle name="Normal 20 3 2" xfId="56047"/>
    <cellStyle name="Normal 20 3 3" xfId="59623"/>
    <cellStyle name="Normal 20 3 4" xfId="59624"/>
    <cellStyle name="Normal 20 4" xfId="9259"/>
    <cellStyle name="Normal 20 4 2" xfId="56048"/>
    <cellStyle name="Normal 20 5" xfId="56049"/>
    <cellStyle name="Normal 20 5 2" xfId="56050"/>
    <cellStyle name="Normal 20 6" xfId="56051"/>
    <cellStyle name="Normal 20 7" xfId="56052"/>
    <cellStyle name="Normal 20 8" xfId="56053"/>
    <cellStyle name="Normal 21" xfId="4519"/>
    <cellStyle name="Normal 21 2" xfId="4520"/>
    <cellStyle name="Normal 21 2 2" xfId="9260"/>
    <cellStyle name="Normal 21 3" xfId="9261"/>
    <cellStyle name="Normal 21 3 2" xfId="56054"/>
    <cellStyle name="Normal 21 4" xfId="56055"/>
    <cellStyle name="Normal 21 4 2" xfId="56056"/>
    <cellStyle name="Normal 21 5" xfId="56057"/>
    <cellStyle name="Normal 21 5 2" xfId="56058"/>
    <cellStyle name="Normal 21 6" xfId="56059"/>
    <cellStyle name="Normal 21 7" xfId="56060"/>
    <cellStyle name="Normal 21 8" xfId="56061"/>
    <cellStyle name="Normal 22" xfId="4521"/>
    <cellStyle name="Normal 22 2" xfId="4522"/>
    <cellStyle name="Normal 22 2 2" xfId="56062"/>
    <cellStyle name="Normal 22 2 3" xfId="59625"/>
    <cellStyle name="Normal 22 2 4" xfId="59626"/>
    <cellStyle name="Normal 22 2 5" xfId="59627"/>
    <cellStyle name="Normal 22 3" xfId="4523"/>
    <cellStyle name="Normal 22 3 2" xfId="56063"/>
    <cellStyle name="Normal 22 4" xfId="9262"/>
    <cellStyle name="Normal 22 4 2" xfId="56064"/>
    <cellStyle name="Normal 22 5" xfId="56065"/>
    <cellStyle name="Normal 22 6" xfId="56066"/>
    <cellStyle name="Normal 23" xfId="4524"/>
    <cellStyle name="Normal 23 2" xfId="4525"/>
    <cellStyle name="Normal 23 2 2" xfId="9263"/>
    <cellStyle name="Normal 23 2 2 2" xfId="9264"/>
    <cellStyle name="Normal 23 2 3" xfId="9265"/>
    <cellStyle name="Normal 23 2 4" xfId="9266"/>
    <cellStyle name="Normal 23 2 5" xfId="59628"/>
    <cellStyle name="Normal 23 3" xfId="4526"/>
    <cellStyle name="Normal 23 3 2" xfId="9267"/>
    <cellStyle name="Normal 23 3 3" xfId="9268"/>
    <cellStyle name="Normal 23 4" xfId="9269"/>
    <cellStyle name="Normal 23 5" xfId="9270"/>
    <cellStyle name="Normal 24" xfId="4527"/>
    <cellStyle name="Normal 24 2" xfId="4528"/>
    <cellStyle name="Normal 24 2 2" xfId="9271"/>
    <cellStyle name="Normal 24 3" xfId="4529"/>
    <cellStyle name="Normal 24 4" xfId="9272"/>
    <cellStyle name="Normal 25" xfId="4530"/>
    <cellStyle name="Normal 25 2" xfId="4531"/>
    <cellStyle name="Normal 25 3" xfId="56067"/>
    <cellStyle name="Normal 26" xfId="4532"/>
    <cellStyle name="Normal 26 2" xfId="4533"/>
    <cellStyle name="Normal 26 2 2" xfId="9864"/>
    <cellStyle name="Normal 26 3" xfId="9865"/>
    <cellStyle name="Normal 26 3 2" xfId="59629"/>
    <cellStyle name="Normal 26 3 3" xfId="59630"/>
    <cellStyle name="Normal 26 4" xfId="59631"/>
    <cellStyle name="Normal 26 4 2" xfId="59632"/>
    <cellStyle name="Normal 26 4 3" xfId="59633"/>
    <cellStyle name="Normal 26 5" xfId="59634"/>
    <cellStyle name="Normal 26 5 2" xfId="59635"/>
    <cellStyle name="Normal 26 6" xfId="59636"/>
    <cellStyle name="Normal 26 7" xfId="59637"/>
    <cellStyle name="Normal 26 8" xfId="59638"/>
    <cellStyle name="Normal 27" xfId="4534"/>
    <cellStyle name="Normal 27 2" xfId="4535"/>
    <cellStyle name="Normal 27 2 2" xfId="4536"/>
    <cellStyle name="Normal 27 2 2 2" xfId="4537"/>
    <cellStyle name="Normal 27 2 2 3" xfId="59639"/>
    <cellStyle name="Normal 27 2 3" xfId="4538"/>
    <cellStyle name="Normal 27 2 4" xfId="59640"/>
    <cellStyle name="Normal 27 3" xfId="4539"/>
    <cellStyle name="Normal 27 3 2" xfId="4540"/>
    <cellStyle name="Normal 27 3 3" xfId="59641"/>
    <cellStyle name="Normal 27 4" xfId="4541"/>
    <cellStyle name="Normal 27 5" xfId="9273"/>
    <cellStyle name="Normal 28" xfId="4542"/>
    <cellStyle name="Normal 28 2" xfId="4543"/>
    <cellStyle name="Normal 28 2 2" xfId="4544"/>
    <cellStyle name="Normal 28 2 2 2" xfId="4545"/>
    <cellStyle name="Normal 28 2 3" xfId="4546"/>
    <cellStyle name="Normal 28 2 3 2" xfId="59642"/>
    <cellStyle name="Normal 28 2 4" xfId="9274"/>
    <cellStyle name="Normal 28 3" xfId="4547"/>
    <cellStyle name="Normal 28 3 2" xfId="4548"/>
    <cellStyle name="Normal 28 4" xfId="4549"/>
    <cellStyle name="Normal 28 4 2" xfId="59643"/>
    <cellStyle name="Normal 28 4 3" xfId="59644"/>
    <cellStyle name="Normal 28 5" xfId="9275"/>
    <cellStyle name="Normal 28 5 2" xfId="59645"/>
    <cellStyle name="Normal 28 6" xfId="59646"/>
    <cellStyle name="Normal 28 7" xfId="59647"/>
    <cellStyle name="Normal 28 8" xfId="59648"/>
    <cellStyle name="Normal 29" xfId="4550"/>
    <cellStyle name="Normal 29 2" xfId="4551"/>
    <cellStyle name="Normal 29 2 2" xfId="4552"/>
    <cellStyle name="Normal 29 2 3" xfId="59649"/>
    <cellStyle name="Normal 29 2 4" xfId="59650"/>
    <cellStyle name="Normal 29 3" xfId="4553"/>
    <cellStyle name="Normal 29 3 2" xfId="59651"/>
    <cellStyle name="Normal 29 4" xfId="9276"/>
    <cellStyle name="Normal 29 5" xfId="9371"/>
    <cellStyle name="Normal 29 6" xfId="59652"/>
    <cellStyle name="Normal 3" xfId="4"/>
    <cellStyle name="Normal 3 10" xfId="9866"/>
    <cellStyle name="Normal 3 11" xfId="9867"/>
    <cellStyle name="Normal 3 12" xfId="9868"/>
    <cellStyle name="Normal 3 13" xfId="9869"/>
    <cellStyle name="Normal 3 14" xfId="9870"/>
    <cellStyle name="Normal 3 15" xfId="9871"/>
    <cellStyle name="Normal 3 16" xfId="9872"/>
    <cellStyle name="Normal 3 17" xfId="9873"/>
    <cellStyle name="Normal 3 17 2" xfId="9874"/>
    <cellStyle name="Normal 3 17 2 2" xfId="9875"/>
    <cellStyle name="Normal 3 17 3" xfId="9876"/>
    <cellStyle name="Normal 3 18" xfId="9877"/>
    <cellStyle name="Normal 3 18 2" xfId="9878"/>
    <cellStyle name="Normal 3 18 2 2" xfId="59653"/>
    <cellStyle name="Normal 3 18 2 3" xfId="59654"/>
    <cellStyle name="Normal 3 18 3" xfId="59655"/>
    <cellStyle name="Normal 3 18 3 2" xfId="59656"/>
    <cellStyle name="Normal 3 18 4" xfId="59657"/>
    <cellStyle name="Normal 3 18 5" xfId="59658"/>
    <cellStyle name="Normal 3 18 6" xfId="59659"/>
    <cellStyle name="Normal 3 19" xfId="9879"/>
    <cellStyle name="Normal 3 19 2" xfId="59660"/>
    <cellStyle name="Normal 3 19 3" xfId="59661"/>
    <cellStyle name="Normal 3 2" xfId="4554"/>
    <cellStyle name="Normal 3 2 2" xfId="4555"/>
    <cellStyle name="Normal 3 2 2 2" xfId="9880"/>
    <cellStyle name="Normal 3 2 2 3" xfId="56068"/>
    <cellStyle name="Normal 3 2 3" xfId="8482"/>
    <cellStyle name="Normal 3 2 3 2" xfId="56069"/>
    <cellStyle name="Normal 3 2 3 3" xfId="56070"/>
    <cellStyle name="Normal 3 2 4" xfId="9881"/>
    <cellStyle name="Normal 3 2 4 2" xfId="56071"/>
    <cellStyle name="Normal 3 2 4 3" xfId="59662"/>
    <cellStyle name="Normal 3 2 4 4" xfId="59663"/>
    <cellStyle name="Normal 3 2 5 2" xfId="61981"/>
    <cellStyle name="Normal 3 20" xfId="59664"/>
    <cellStyle name="Normal 3 20 2" xfId="59665"/>
    <cellStyle name="Normal 3 20 3" xfId="59666"/>
    <cellStyle name="Normal 3 21" xfId="59667"/>
    <cellStyle name="Normal 3 22" xfId="59668"/>
    <cellStyle name="Normal 3 23" xfId="59669"/>
    <cellStyle name="Normal 3 3" xfId="4556"/>
    <cellStyle name="Normal 3 3 2" xfId="9277"/>
    <cellStyle name="Normal 3 3 2 2" xfId="9278"/>
    <cellStyle name="Normal 3 3 2 2 2" xfId="9279"/>
    <cellStyle name="Normal 3 3 2 3" xfId="9280"/>
    <cellStyle name="Normal 3 3 3" xfId="9281"/>
    <cellStyle name="Normal 3 3 3 2" xfId="9282"/>
    <cellStyle name="Normal 3 3 4" xfId="9283"/>
    <cellStyle name="Normal 3 3 5" xfId="9284"/>
    <cellStyle name="Normal 3 4" xfId="4557"/>
    <cellStyle name="Normal 3 4 2" xfId="9882"/>
    <cellStyle name="Normal 3 4 2 2" xfId="56072"/>
    <cellStyle name="Normal 3 4 3" xfId="9883"/>
    <cellStyle name="Normal 3 4 3 2" xfId="9884"/>
    <cellStyle name="Normal 3 4 4" xfId="9885"/>
    <cellStyle name="Normal 3 4 5" xfId="59670"/>
    <cellStyle name="Normal 3 5" xfId="4558"/>
    <cellStyle name="Normal 3 5 2" xfId="56073"/>
    <cellStyle name="Normal 3 6" xfId="9285"/>
    <cellStyle name="Normal 3 7" xfId="9886"/>
    <cellStyle name="Normal 3 8" xfId="9887"/>
    <cellStyle name="Normal 3 9" xfId="9888"/>
    <cellStyle name="Normal 3_183302" xfId="8771"/>
    <cellStyle name="Normal 30" xfId="4559"/>
    <cellStyle name="Normal 30 2" xfId="4560"/>
    <cellStyle name="Normal 30 2 2" xfId="59671"/>
    <cellStyle name="Normal 30 2 3" xfId="59672"/>
    <cellStyle name="Normal 30 2 4" xfId="59673"/>
    <cellStyle name="Normal 30 3" xfId="9286"/>
    <cellStyle name="Normal 30 3 2" xfId="59674"/>
    <cellStyle name="Normal 30 4" xfId="59675"/>
    <cellStyle name="Normal 30 5" xfId="59676"/>
    <cellStyle name="Normal 30 6" xfId="59677"/>
    <cellStyle name="Normal 30 7" xfId="59678"/>
    <cellStyle name="Normal 31" xfId="4561"/>
    <cellStyle name="Normal 31 2" xfId="4562"/>
    <cellStyle name="Normal 31 2 2" xfId="4563"/>
    <cellStyle name="Normal 31 2 3" xfId="59679"/>
    <cellStyle name="Normal 31 2 4" xfId="59680"/>
    <cellStyle name="Normal 31 3" xfId="4564"/>
    <cellStyle name="Normal 31 3 2" xfId="59681"/>
    <cellStyle name="Normal 31 4" xfId="9287"/>
    <cellStyle name="Normal 31 5" xfId="59682"/>
    <cellStyle name="Normal 31 6" xfId="59683"/>
    <cellStyle name="Normal 31 7" xfId="59684"/>
    <cellStyle name="Normal 32" xfId="4565"/>
    <cellStyle name="Normal 32 2" xfId="4566"/>
    <cellStyle name="Normal 32 2 2" xfId="59685"/>
    <cellStyle name="Normal 32 2 3" xfId="59686"/>
    <cellStyle name="Normal 32 2 4" xfId="59687"/>
    <cellStyle name="Normal 32 3" xfId="9288"/>
    <cellStyle name="Normal 32 3 2" xfId="59688"/>
    <cellStyle name="Normal 32 4" xfId="59689"/>
    <cellStyle name="Normal 32 5" xfId="59690"/>
    <cellStyle name="Normal 32 6" xfId="59691"/>
    <cellStyle name="Normal 32 7" xfId="59692"/>
    <cellStyle name="Normal 33" xfId="4567"/>
    <cellStyle name="Normal 33 2" xfId="4568"/>
    <cellStyle name="Normal 33 2 2" xfId="59693"/>
    <cellStyle name="Normal 33 2 3" xfId="59694"/>
    <cellStyle name="Normal 33 2 4" xfId="59695"/>
    <cellStyle name="Normal 33 3" xfId="56074"/>
    <cellStyle name="Normal 33 4" xfId="59696"/>
    <cellStyle name="Normal 33 5" xfId="59697"/>
    <cellStyle name="Normal 33 6" xfId="59698"/>
    <cellStyle name="Normal 34" xfId="4569"/>
    <cellStyle name="Normal 34 2" xfId="4570"/>
    <cellStyle name="Normal 34 2 2" xfId="59699"/>
    <cellStyle name="Normal 34 3" xfId="59700"/>
    <cellStyle name="Normal 34 4" xfId="59701"/>
    <cellStyle name="Normal 34 4 2" xfId="59702"/>
    <cellStyle name="Normal 34 4 3" xfId="59703"/>
    <cellStyle name="Normal 34 5" xfId="59704"/>
    <cellStyle name="Normal 34 6" xfId="59705"/>
    <cellStyle name="Normal 34 7" xfId="59706"/>
    <cellStyle name="Normal 35" xfId="4571"/>
    <cellStyle name="Normal 35 2" xfId="4572"/>
    <cellStyle name="Normal 35 2 2" xfId="59707"/>
    <cellStyle name="Normal 35 2 3" xfId="59708"/>
    <cellStyle name="Normal 35 3" xfId="59709"/>
    <cellStyle name="Normal 35 4" xfId="59710"/>
    <cellStyle name="Normal 35 5" xfId="59711"/>
    <cellStyle name="Normal 36" xfId="4573"/>
    <cellStyle name="Normal 36 2" xfId="4574"/>
    <cellStyle name="Normal 36 2 2" xfId="59712"/>
    <cellStyle name="Normal 36 2 3" xfId="59713"/>
    <cellStyle name="Normal 36 3" xfId="59714"/>
    <cellStyle name="Normal 36 4" xfId="59715"/>
    <cellStyle name="Normal 36 5" xfId="59716"/>
    <cellStyle name="Normal 37" xfId="4575"/>
    <cellStyle name="Normal 37 2" xfId="4576"/>
    <cellStyle name="Normal 37 2 2" xfId="59717"/>
    <cellStyle name="Normal 37 3" xfId="59718"/>
    <cellStyle name="Normal 37 4" xfId="59719"/>
    <cellStyle name="Normal 37 5" xfId="59720"/>
    <cellStyle name="Normal 38" xfId="4577"/>
    <cellStyle name="Normal 38 2" xfId="4578"/>
    <cellStyle name="Normal 38 2 2" xfId="4579"/>
    <cellStyle name="Normal 38 3" xfId="4580"/>
    <cellStyle name="Normal 38 4" xfId="59721"/>
    <cellStyle name="Normal 38 5" xfId="59722"/>
    <cellStyle name="Normal 39" xfId="4581"/>
    <cellStyle name="Normal 39 2" xfId="4582"/>
    <cellStyle name="Normal 39 3" xfId="4583"/>
    <cellStyle name="Normal 4" xfId="4584"/>
    <cellStyle name="Normal 4 10" xfId="59723"/>
    <cellStyle name="Normal 4 11" xfId="59724"/>
    <cellStyle name="Normal 4 2" xfId="4585"/>
    <cellStyle name="Normal 4 2 10" xfId="8483"/>
    <cellStyle name="Normal 4 2 10 2" xfId="59725"/>
    <cellStyle name="Normal 4 2 10 2 2" xfId="59726"/>
    <cellStyle name="Normal 4 2 10 3" xfId="59727"/>
    <cellStyle name="Normal 4 2 10 4" xfId="59728"/>
    <cellStyle name="Normal 4 2 10 5" xfId="59729"/>
    <cellStyle name="Normal 4 2 11" xfId="59730"/>
    <cellStyle name="Normal 4 2 2" xfId="4586"/>
    <cellStyle name="Normal 4 2 2 10" xfId="59731"/>
    <cellStyle name="Normal 4 2 2 11" xfId="59732"/>
    <cellStyle name="Normal 4 2 2 2" xfId="4587"/>
    <cellStyle name="Normal 4 2 2 2 10" xfId="59733"/>
    <cellStyle name="Normal 4 2 2 2 2" xfId="4588"/>
    <cellStyle name="Normal 4 2 2 2 2 2" xfId="4589"/>
    <cellStyle name="Normal 4 2 2 2 2 2 2" xfId="4590"/>
    <cellStyle name="Normal 4 2 2 2 2 2 2 2" xfId="8484"/>
    <cellStyle name="Normal 4 2 2 2 2 2 2 2 2" xfId="8485"/>
    <cellStyle name="Normal 4 2 2 2 2 2 2 2 3" xfId="59734"/>
    <cellStyle name="Normal 4 2 2 2 2 2 2 3" xfId="8486"/>
    <cellStyle name="Normal 4 2 2 2 2 2 2 3 2" xfId="59735"/>
    <cellStyle name="Normal 4 2 2 2 2 2 2 4" xfId="59736"/>
    <cellStyle name="Normal 4 2 2 2 2 2 2 5" xfId="59737"/>
    <cellStyle name="Normal 4 2 2 2 2 2 3" xfId="8487"/>
    <cellStyle name="Normal 4 2 2 2 2 2 3 2" xfId="8488"/>
    <cellStyle name="Normal 4 2 2 2 2 2 3 3" xfId="59738"/>
    <cellStyle name="Normal 4 2 2 2 2 2 4" xfId="8489"/>
    <cellStyle name="Normal 4 2 2 2 2 2 4 2" xfId="59739"/>
    <cellStyle name="Normal 4 2 2 2 2 2 5" xfId="59740"/>
    <cellStyle name="Normal 4 2 2 2 2 2 6" xfId="59741"/>
    <cellStyle name="Normal 4 2 2 2 2 3" xfId="4591"/>
    <cellStyle name="Normal 4 2 2 2 2 3 2" xfId="8490"/>
    <cellStyle name="Normal 4 2 2 2 2 3 2 2" xfId="8491"/>
    <cellStyle name="Normal 4 2 2 2 2 3 2 2 2" xfId="59742"/>
    <cellStyle name="Normal 4 2 2 2 2 3 2 3" xfId="59743"/>
    <cellStyle name="Normal 4 2 2 2 2 3 2 4" xfId="59744"/>
    <cellStyle name="Normal 4 2 2 2 2 3 2 5" xfId="59745"/>
    <cellStyle name="Normal 4 2 2 2 2 3 3" xfId="8492"/>
    <cellStyle name="Normal 4 2 2 2 2 3 3 2" xfId="59746"/>
    <cellStyle name="Normal 4 2 2 2 2 3 4" xfId="59747"/>
    <cellStyle name="Normal 4 2 2 2 2 3 5" xfId="59748"/>
    <cellStyle name="Normal 4 2 2 2 2 3 6" xfId="59749"/>
    <cellStyle name="Normal 4 2 2 2 2 4" xfId="8493"/>
    <cellStyle name="Normal 4 2 2 2 2 4 2" xfId="8494"/>
    <cellStyle name="Normal 4 2 2 2 2 4 2 2" xfId="59750"/>
    <cellStyle name="Normal 4 2 2 2 2 4 3" xfId="59751"/>
    <cellStyle name="Normal 4 2 2 2 2 4 4" xfId="59752"/>
    <cellStyle name="Normal 4 2 2 2 2 4 5" xfId="59753"/>
    <cellStyle name="Normal 4 2 2 2 2 5" xfId="8495"/>
    <cellStyle name="Normal 4 2 2 2 2 5 2" xfId="8496"/>
    <cellStyle name="Normal 4 2 2 2 2 5 2 2" xfId="59754"/>
    <cellStyle name="Normal 4 2 2 2 2 5 3" xfId="59755"/>
    <cellStyle name="Normal 4 2 2 2 2 5 4" xfId="59756"/>
    <cellStyle name="Normal 4 2 2 2 2 5 5" xfId="59757"/>
    <cellStyle name="Normal 4 2 2 2 2 6" xfId="8497"/>
    <cellStyle name="Normal 4 2 2 2 2 6 2" xfId="59758"/>
    <cellStyle name="Normal 4 2 2 2 2 7" xfId="59759"/>
    <cellStyle name="Normal 4 2 2 2 2 8" xfId="59760"/>
    <cellStyle name="Normal 4 2 2 2 2 9" xfId="59761"/>
    <cellStyle name="Normal 4 2 2 2 3" xfId="4592"/>
    <cellStyle name="Normal 4 2 2 2 3 2" xfId="4593"/>
    <cellStyle name="Normal 4 2 2 2 3 2 2" xfId="8498"/>
    <cellStyle name="Normal 4 2 2 2 3 2 2 2" xfId="8499"/>
    <cellStyle name="Normal 4 2 2 2 3 2 2 3" xfId="59762"/>
    <cellStyle name="Normal 4 2 2 2 3 2 3" xfId="8500"/>
    <cellStyle name="Normal 4 2 2 2 3 2 3 2" xfId="59763"/>
    <cellStyle name="Normal 4 2 2 2 3 2 4" xfId="59764"/>
    <cellStyle name="Normal 4 2 2 2 3 2 5" xfId="59765"/>
    <cellStyle name="Normal 4 2 2 2 3 3" xfId="8501"/>
    <cellStyle name="Normal 4 2 2 2 3 3 2" xfId="8502"/>
    <cellStyle name="Normal 4 2 2 2 3 3 3" xfId="59766"/>
    <cellStyle name="Normal 4 2 2 2 3 4" xfId="8503"/>
    <cellStyle name="Normal 4 2 2 2 3 4 2" xfId="59767"/>
    <cellStyle name="Normal 4 2 2 2 3 5" xfId="59768"/>
    <cellStyle name="Normal 4 2 2 2 3 6" xfId="59769"/>
    <cellStyle name="Normal 4 2 2 2 4" xfId="4594"/>
    <cellStyle name="Normal 4 2 2 2 4 2" xfId="8504"/>
    <cellStyle name="Normal 4 2 2 2 4 2 2" xfId="8505"/>
    <cellStyle name="Normal 4 2 2 2 4 2 2 2" xfId="59770"/>
    <cellStyle name="Normal 4 2 2 2 4 2 3" xfId="59771"/>
    <cellStyle name="Normal 4 2 2 2 4 2 4" xfId="59772"/>
    <cellStyle name="Normal 4 2 2 2 4 2 5" xfId="59773"/>
    <cellStyle name="Normal 4 2 2 2 4 3" xfId="8506"/>
    <cellStyle name="Normal 4 2 2 2 4 3 2" xfId="59774"/>
    <cellStyle name="Normal 4 2 2 2 4 4" xfId="59775"/>
    <cellStyle name="Normal 4 2 2 2 4 5" xfId="59776"/>
    <cellStyle name="Normal 4 2 2 2 4 6" xfId="59777"/>
    <cellStyle name="Normal 4 2 2 2 5" xfId="8507"/>
    <cellStyle name="Normal 4 2 2 2 5 2" xfId="8508"/>
    <cellStyle name="Normal 4 2 2 2 5 2 2" xfId="59778"/>
    <cellStyle name="Normal 4 2 2 2 5 3" xfId="59779"/>
    <cellStyle name="Normal 4 2 2 2 5 4" xfId="59780"/>
    <cellStyle name="Normal 4 2 2 2 5 5" xfId="59781"/>
    <cellStyle name="Normal 4 2 2 2 6" xfId="8509"/>
    <cellStyle name="Normal 4 2 2 2 6 2" xfId="8510"/>
    <cellStyle name="Normal 4 2 2 2 6 2 2" xfId="59782"/>
    <cellStyle name="Normal 4 2 2 2 6 3" xfId="59783"/>
    <cellStyle name="Normal 4 2 2 2 6 4" xfId="59784"/>
    <cellStyle name="Normal 4 2 2 2 6 5" xfId="59785"/>
    <cellStyle name="Normal 4 2 2 2 7" xfId="8511"/>
    <cellStyle name="Normal 4 2 2 2 7 2" xfId="59786"/>
    <cellStyle name="Normal 4 2 2 2 8" xfId="59787"/>
    <cellStyle name="Normal 4 2 2 2 9" xfId="59788"/>
    <cellStyle name="Normal 4 2 2 3" xfId="4595"/>
    <cellStyle name="Normal 4 2 2 3 2" xfId="4596"/>
    <cellStyle name="Normal 4 2 2 3 2 2" xfId="4597"/>
    <cellStyle name="Normal 4 2 2 3 2 2 2" xfId="8512"/>
    <cellStyle name="Normal 4 2 2 3 2 2 2 2" xfId="8513"/>
    <cellStyle name="Normal 4 2 2 3 2 2 2 3" xfId="59789"/>
    <cellStyle name="Normal 4 2 2 3 2 2 3" xfId="8514"/>
    <cellStyle name="Normal 4 2 2 3 2 2 3 2" xfId="59790"/>
    <cellStyle name="Normal 4 2 2 3 2 2 4" xfId="59791"/>
    <cellStyle name="Normal 4 2 2 3 2 2 5" xfId="59792"/>
    <cellStyle name="Normal 4 2 2 3 2 3" xfId="8515"/>
    <cellStyle name="Normal 4 2 2 3 2 3 2" xfId="8516"/>
    <cellStyle name="Normal 4 2 2 3 2 3 3" xfId="59793"/>
    <cellStyle name="Normal 4 2 2 3 2 4" xfId="8517"/>
    <cellStyle name="Normal 4 2 2 3 2 4 2" xfId="59794"/>
    <cellStyle name="Normal 4 2 2 3 2 5" xfId="59795"/>
    <cellStyle name="Normal 4 2 2 3 2 6" xfId="59796"/>
    <cellStyle name="Normal 4 2 2 3 3" xfId="4598"/>
    <cellStyle name="Normal 4 2 2 3 3 2" xfId="8518"/>
    <cellStyle name="Normal 4 2 2 3 3 2 2" xfId="8519"/>
    <cellStyle name="Normal 4 2 2 3 3 2 2 2" xfId="59797"/>
    <cellStyle name="Normal 4 2 2 3 3 2 3" xfId="59798"/>
    <cellStyle name="Normal 4 2 2 3 3 2 4" xfId="59799"/>
    <cellStyle name="Normal 4 2 2 3 3 2 5" xfId="59800"/>
    <cellStyle name="Normal 4 2 2 3 3 3" xfId="8520"/>
    <cellStyle name="Normal 4 2 2 3 3 3 2" xfId="59801"/>
    <cellStyle name="Normal 4 2 2 3 3 4" xfId="59802"/>
    <cellStyle name="Normal 4 2 2 3 3 5" xfId="59803"/>
    <cellStyle name="Normal 4 2 2 3 3 6" xfId="59804"/>
    <cellStyle name="Normal 4 2 2 3 4" xfId="8521"/>
    <cellStyle name="Normal 4 2 2 3 4 2" xfId="8522"/>
    <cellStyle name="Normal 4 2 2 3 4 2 2" xfId="59805"/>
    <cellStyle name="Normal 4 2 2 3 4 3" xfId="59806"/>
    <cellStyle name="Normal 4 2 2 3 4 4" xfId="59807"/>
    <cellStyle name="Normal 4 2 2 3 4 5" xfId="59808"/>
    <cellStyle name="Normal 4 2 2 3 5" xfId="8523"/>
    <cellStyle name="Normal 4 2 2 3 5 2" xfId="8524"/>
    <cellStyle name="Normal 4 2 2 3 5 2 2" xfId="59809"/>
    <cellStyle name="Normal 4 2 2 3 5 3" xfId="59810"/>
    <cellStyle name="Normal 4 2 2 3 5 4" xfId="59811"/>
    <cellStyle name="Normal 4 2 2 3 5 5" xfId="59812"/>
    <cellStyle name="Normal 4 2 2 3 6" xfId="8525"/>
    <cellStyle name="Normal 4 2 2 3 6 2" xfId="59813"/>
    <cellStyle name="Normal 4 2 2 3 7" xfId="59814"/>
    <cellStyle name="Normal 4 2 2 3 8" xfId="59815"/>
    <cellStyle name="Normal 4 2 2 3 9" xfId="59816"/>
    <cellStyle name="Normal 4 2 2 4" xfId="4599"/>
    <cellStyle name="Normal 4 2 2 4 2" xfId="4600"/>
    <cellStyle name="Normal 4 2 2 4 2 2" xfId="8526"/>
    <cellStyle name="Normal 4 2 2 4 2 2 2" xfId="8527"/>
    <cellStyle name="Normal 4 2 2 4 2 2 3" xfId="59817"/>
    <cellStyle name="Normal 4 2 2 4 2 3" xfId="8528"/>
    <cellStyle name="Normal 4 2 2 4 2 3 2" xfId="59818"/>
    <cellStyle name="Normal 4 2 2 4 2 4" xfId="59819"/>
    <cellStyle name="Normal 4 2 2 4 2 5" xfId="59820"/>
    <cellStyle name="Normal 4 2 2 4 3" xfId="8529"/>
    <cellStyle name="Normal 4 2 2 4 3 2" xfId="8530"/>
    <cellStyle name="Normal 4 2 2 4 3 3" xfId="59821"/>
    <cellStyle name="Normal 4 2 2 4 4" xfId="8531"/>
    <cellStyle name="Normal 4 2 2 4 4 2" xfId="59822"/>
    <cellStyle name="Normal 4 2 2 4 5" xfId="59823"/>
    <cellStyle name="Normal 4 2 2 4 6" xfId="59824"/>
    <cellStyle name="Normal 4 2 2 5" xfId="4601"/>
    <cellStyle name="Normal 4 2 2 5 2" xfId="8532"/>
    <cellStyle name="Normal 4 2 2 5 2 2" xfId="8533"/>
    <cellStyle name="Normal 4 2 2 5 2 2 2" xfId="59825"/>
    <cellStyle name="Normal 4 2 2 5 2 3" xfId="59826"/>
    <cellStyle name="Normal 4 2 2 5 2 4" xfId="59827"/>
    <cellStyle name="Normal 4 2 2 5 2 5" xfId="59828"/>
    <cellStyle name="Normal 4 2 2 5 3" xfId="8534"/>
    <cellStyle name="Normal 4 2 2 5 3 2" xfId="59829"/>
    <cellStyle name="Normal 4 2 2 5 4" xfId="59830"/>
    <cellStyle name="Normal 4 2 2 5 5" xfId="59831"/>
    <cellStyle name="Normal 4 2 2 5 6" xfId="59832"/>
    <cellStyle name="Normal 4 2 2 6" xfId="8535"/>
    <cellStyle name="Normal 4 2 2 6 2" xfId="8536"/>
    <cellStyle name="Normal 4 2 2 6 2 2" xfId="59833"/>
    <cellStyle name="Normal 4 2 2 6 3" xfId="59834"/>
    <cellStyle name="Normal 4 2 2 6 4" xfId="59835"/>
    <cellStyle name="Normal 4 2 2 6 5" xfId="59836"/>
    <cellStyle name="Normal 4 2 2 7" xfId="8537"/>
    <cellStyle name="Normal 4 2 2 7 2" xfId="8538"/>
    <cellStyle name="Normal 4 2 2 7 2 2" xfId="59837"/>
    <cellStyle name="Normal 4 2 2 7 3" xfId="59838"/>
    <cellStyle name="Normal 4 2 2 7 4" xfId="59839"/>
    <cellStyle name="Normal 4 2 2 7 5" xfId="59840"/>
    <cellStyle name="Normal 4 2 2 8" xfId="8539"/>
    <cellStyle name="Normal 4 2 2 8 2" xfId="59841"/>
    <cellStyle name="Normal 4 2 2 9" xfId="59842"/>
    <cellStyle name="Normal 4 2 3" xfId="4602"/>
    <cellStyle name="Normal 4 2 3 10" xfId="59843"/>
    <cellStyle name="Normal 4 2 3 11" xfId="59844"/>
    <cellStyle name="Normal 4 2 3 2" xfId="4603"/>
    <cellStyle name="Normal 4 2 3 2 10" xfId="59845"/>
    <cellStyle name="Normal 4 2 3 2 2" xfId="4604"/>
    <cellStyle name="Normal 4 2 3 2 2 2" xfId="4605"/>
    <cellStyle name="Normal 4 2 3 2 2 2 2" xfId="8540"/>
    <cellStyle name="Normal 4 2 3 2 2 2 2 2" xfId="8541"/>
    <cellStyle name="Normal 4 2 3 2 2 2 2 2 2" xfId="8542"/>
    <cellStyle name="Normal 4 2 3 2 2 2 2 2 3" xfId="59846"/>
    <cellStyle name="Normal 4 2 3 2 2 2 2 3" xfId="8543"/>
    <cellStyle name="Normal 4 2 3 2 2 2 2 3 2" xfId="59847"/>
    <cellStyle name="Normal 4 2 3 2 2 2 2 4" xfId="59848"/>
    <cellStyle name="Normal 4 2 3 2 2 2 2 5" xfId="59849"/>
    <cellStyle name="Normal 4 2 3 2 2 2 3" xfId="8544"/>
    <cellStyle name="Normal 4 2 3 2 2 2 3 2" xfId="8545"/>
    <cellStyle name="Normal 4 2 3 2 2 2 3 3" xfId="59850"/>
    <cellStyle name="Normal 4 2 3 2 2 2 4" xfId="8546"/>
    <cellStyle name="Normal 4 2 3 2 2 2 4 2" xfId="59851"/>
    <cellStyle name="Normal 4 2 3 2 2 2 5" xfId="59852"/>
    <cellStyle name="Normal 4 2 3 2 2 2 6" xfId="59853"/>
    <cellStyle name="Normal 4 2 3 2 2 3" xfId="8547"/>
    <cellStyle name="Normal 4 2 3 2 2 3 2" xfId="8548"/>
    <cellStyle name="Normal 4 2 3 2 2 3 2 2" xfId="8549"/>
    <cellStyle name="Normal 4 2 3 2 2 3 2 2 2" xfId="59854"/>
    <cellStyle name="Normal 4 2 3 2 2 3 2 3" xfId="59855"/>
    <cellStyle name="Normal 4 2 3 2 2 3 2 4" xfId="59856"/>
    <cellStyle name="Normal 4 2 3 2 2 3 2 5" xfId="59857"/>
    <cellStyle name="Normal 4 2 3 2 2 3 3" xfId="8550"/>
    <cellStyle name="Normal 4 2 3 2 2 3 3 2" xfId="59858"/>
    <cellStyle name="Normal 4 2 3 2 2 3 4" xfId="59859"/>
    <cellStyle name="Normal 4 2 3 2 2 3 5" xfId="59860"/>
    <cellStyle name="Normal 4 2 3 2 2 3 6" xfId="59861"/>
    <cellStyle name="Normal 4 2 3 2 2 4" xfId="8551"/>
    <cellStyle name="Normal 4 2 3 2 2 4 2" xfId="8552"/>
    <cellStyle name="Normal 4 2 3 2 2 4 2 2" xfId="59862"/>
    <cellStyle name="Normal 4 2 3 2 2 4 3" xfId="59863"/>
    <cellStyle name="Normal 4 2 3 2 2 4 4" xfId="59864"/>
    <cellStyle name="Normal 4 2 3 2 2 4 5" xfId="59865"/>
    <cellStyle name="Normal 4 2 3 2 2 5" xfId="8553"/>
    <cellStyle name="Normal 4 2 3 2 2 5 2" xfId="8554"/>
    <cellStyle name="Normal 4 2 3 2 2 5 2 2" xfId="59866"/>
    <cellStyle name="Normal 4 2 3 2 2 5 3" xfId="59867"/>
    <cellStyle name="Normal 4 2 3 2 2 5 4" xfId="59868"/>
    <cellStyle name="Normal 4 2 3 2 2 5 5" xfId="59869"/>
    <cellStyle name="Normal 4 2 3 2 2 6" xfId="8555"/>
    <cellStyle name="Normal 4 2 3 2 2 6 2" xfId="59870"/>
    <cellStyle name="Normal 4 2 3 2 2 7" xfId="59871"/>
    <cellStyle name="Normal 4 2 3 2 2 8" xfId="59872"/>
    <cellStyle name="Normal 4 2 3 2 2 9" xfId="59873"/>
    <cellStyle name="Normal 4 2 3 2 3" xfId="4606"/>
    <cellStyle name="Normal 4 2 3 2 3 2" xfId="8556"/>
    <cellStyle name="Normal 4 2 3 2 3 2 2" xfId="8557"/>
    <cellStyle name="Normal 4 2 3 2 3 2 2 2" xfId="8558"/>
    <cellStyle name="Normal 4 2 3 2 3 2 2 3" xfId="59874"/>
    <cellStyle name="Normal 4 2 3 2 3 2 3" xfId="8559"/>
    <cellStyle name="Normal 4 2 3 2 3 2 3 2" xfId="59875"/>
    <cellStyle name="Normal 4 2 3 2 3 2 4" xfId="59876"/>
    <cellStyle name="Normal 4 2 3 2 3 2 5" xfId="59877"/>
    <cellStyle name="Normal 4 2 3 2 3 3" xfId="8560"/>
    <cellStyle name="Normal 4 2 3 2 3 3 2" xfId="8561"/>
    <cellStyle name="Normal 4 2 3 2 3 3 3" xfId="59878"/>
    <cellStyle name="Normal 4 2 3 2 3 4" xfId="8562"/>
    <cellStyle name="Normal 4 2 3 2 3 4 2" xfId="59879"/>
    <cellStyle name="Normal 4 2 3 2 3 5" xfId="59880"/>
    <cellStyle name="Normal 4 2 3 2 3 6" xfId="59881"/>
    <cellStyle name="Normal 4 2 3 2 4" xfId="8563"/>
    <cellStyle name="Normal 4 2 3 2 4 2" xfId="8564"/>
    <cellStyle name="Normal 4 2 3 2 4 2 2" xfId="8565"/>
    <cellStyle name="Normal 4 2 3 2 4 2 2 2" xfId="59882"/>
    <cellStyle name="Normal 4 2 3 2 4 2 3" xfId="59883"/>
    <cellStyle name="Normal 4 2 3 2 4 2 4" xfId="59884"/>
    <cellStyle name="Normal 4 2 3 2 4 2 5" xfId="59885"/>
    <cellStyle name="Normal 4 2 3 2 4 3" xfId="8566"/>
    <cellStyle name="Normal 4 2 3 2 4 3 2" xfId="59886"/>
    <cellStyle name="Normal 4 2 3 2 4 4" xfId="59887"/>
    <cellStyle name="Normal 4 2 3 2 4 5" xfId="59888"/>
    <cellStyle name="Normal 4 2 3 2 4 6" xfId="59889"/>
    <cellStyle name="Normal 4 2 3 2 5" xfId="8567"/>
    <cellStyle name="Normal 4 2 3 2 5 2" xfId="8568"/>
    <cellStyle name="Normal 4 2 3 2 5 2 2" xfId="59890"/>
    <cellStyle name="Normal 4 2 3 2 5 3" xfId="59891"/>
    <cellStyle name="Normal 4 2 3 2 5 4" xfId="59892"/>
    <cellStyle name="Normal 4 2 3 2 5 5" xfId="59893"/>
    <cellStyle name="Normal 4 2 3 2 6" xfId="8569"/>
    <cellStyle name="Normal 4 2 3 2 6 2" xfId="8570"/>
    <cellStyle name="Normal 4 2 3 2 6 2 2" xfId="59894"/>
    <cellStyle name="Normal 4 2 3 2 6 3" xfId="59895"/>
    <cellStyle name="Normal 4 2 3 2 6 4" xfId="59896"/>
    <cellStyle name="Normal 4 2 3 2 6 5" xfId="59897"/>
    <cellStyle name="Normal 4 2 3 2 7" xfId="8571"/>
    <cellStyle name="Normal 4 2 3 2 7 2" xfId="59898"/>
    <cellStyle name="Normal 4 2 3 2 8" xfId="59899"/>
    <cellStyle name="Normal 4 2 3 2 9" xfId="59900"/>
    <cellStyle name="Normal 4 2 3 3" xfId="4607"/>
    <cellStyle name="Normal 4 2 3 3 2" xfId="4608"/>
    <cellStyle name="Normal 4 2 3 3 2 2" xfId="8572"/>
    <cellStyle name="Normal 4 2 3 3 2 2 2" xfId="8573"/>
    <cellStyle name="Normal 4 2 3 3 2 2 2 2" xfId="8574"/>
    <cellStyle name="Normal 4 2 3 3 2 2 2 3" xfId="59901"/>
    <cellStyle name="Normal 4 2 3 3 2 2 3" xfId="8575"/>
    <cellStyle name="Normal 4 2 3 3 2 2 3 2" xfId="59902"/>
    <cellStyle name="Normal 4 2 3 3 2 2 4" xfId="59903"/>
    <cellStyle name="Normal 4 2 3 3 2 2 5" xfId="59904"/>
    <cellStyle name="Normal 4 2 3 3 2 3" xfId="8576"/>
    <cellStyle name="Normal 4 2 3 3 2 3 2" xfId="8577"/>
    <cellStyle name="Normal 4 2 3 3 2 3 3" xfId="59905"/>
    <cellStyle name="Normal 4 2 3 3 2 4" xfId="8578"/>
    <cellStyle name="Normal 4 2 3 3 2 4 2" xfId="59906"/>
    <cellStyle name="Normal 4 2 3 3 2 5" xfId="59907"/>
    <cellStyle name="Normal 4 2 3 3 2 6" xfId="59908"/>
    <cellStyle name="Normal 4 2 3 3 3" xfId="8579"/>
    <cellStyle name="Normal 4 2 3 3 3 2" xfId="8580"/>
    <cellStyle name="Normal 4 2 3 3 3 2 2" xfId="8581"/>
    <cellStyle name="Normal 4 2 3 3 3 2 2 2" xfId="59909"/>
    <cellStyle name="Normal 4 2 3 3 3 2 3" xfId="59910"/>
    <cellStyle name="Normal 4 2 3 3 3 2 4" xfId="59911"/>
    <cellStyle name="Normal 4 2 3 3 3 2 5" xfId="59912"/>
    <cellStyle name="Normal 4 2 3 3 3 3" xfId="8582"/>
    <cellStyle name="Normal 4 2 3 3 3 3 2" xfId="59913"/>
    <cellStyle name="Normal 4 2 3 3 3 4" xfId="59914"/>
    <cellStyle name="Normal 4 2 3 3 3 5" xfId="59915"/>
    <cellStyle name="Normal 4 2 3 3 3 6" xfId="59916"/>
    <cellStyle name="Normal 4 2 3 3 4" xfId="8583"/>
    <cellStyle name="Normal 4 2 3 3 4 2" xfId="8584"/>
    <cellStyle name="Normal 4 2 3 3 4 2 2" xfId="59917"/>
    <cellStyle name="Normal 4 2 3 3 4 3" xfId="59918"/>
    <cellStyle name="Normal 4 2 3 3 4 4" xfId="59919"/>
    <cellStyle name="Normal 4 2 3 3 4 5" xfId="59920"/>
    <cellStyle name="Normal 4 2 3 3 5" xfId="8585"/>
    <cellStyle name="Normal 4 2 3 3 5 2" xfId="8586"/>
    <cellStyle name="Normal 4 2 3 3 5 2 2" xfId="59921"/>
    <cellStyle name="Normal 4 2 3 3 5 3" xfId="59922"/>
    <cellStyle name="Normal 4 2 3 3 5 4" xfId="59923"/>
    <cellStyle name="Normal 4 2 3 3 5 5" xfId="59924"/>
    <cellStyle name="Normal 4 2 3 3 6" xfId="8587"/>
    <cellStyle name="Normal 4 2 3 3 6 2" xfId="59925"/>
    <cellStyle name="Normal 4 2 3 3 7" xfId="59926"/>
    <cellStyle name="Normal 4 2 3 3 8" xfId="59927"/>
    <cellStyle name="Normal 4 2 3 3 9" xfId="59928"/>
    <cellStyle name="Normal 4 2 3 4" xfId="4609"/>
    <cellStyle name="Normal 4 2 3 4 2" xfId="8588"/>
    <cellStyle name="Normal 4 2 3 4 2 2" xfId="8589"/>
    <cellStyle name="Normal 4 2 3 4 2 2 2" xfId="8590"/>
    <cellStyle name="Normal 4 2 3 4 2 2 3" xfId="59929"/>
    <cellStyle name="Normal 4 2 3 4 2 3" xfId="8591"/>
    <cellStyle name="Normal 4 2 3 4 2 3 2" xfId="59930"/>
    <cellStyle name="Normal 4 2 3 4 2 4" xfId="59931"/>
    <cellStyle name="Normal 4 2 3 4 2 5" xfId="59932"/>
    <cellStyle name="Normal 4 2 3 4 3" xfId="8592"/>
    <cellStyle name="Normal 4 2 3 4 3 2" xfId="8593"/>
    <cellStyle name="Normal 4 2 3 4 3 3" xfId="59933"/>
    <cellStyle name="Normal 4 2 3 4 4" xfId="8594"/>
    <cellStyle name="Normal 4 2 3 4 4 2" xfId="59934"/>
    <cellStyle name="Normal 4 2 3 4 5" xfId="59935"/>
    <cellStyle name="Normal 4 2 3 4 6" xfId="59936"/>
    <cellStyle name="Normal 4 2 3 5" xfId="8595"/>
    <cellStyle name="Normal 4 2 3 5 2" xfId="8596"/>
    <cellStyle name="Normal 4 2 3 5 2 2" xfId="8597"/>
    <cellStyle name="Normal 4 2 3 5 2 2 2" xfId="59937"/>
    <cellStyle name="Normal 4 2 3 5 2 3" xfId="59938"/>
    <cellStyle name="Normal 4 2 3 5 2 4" xfId="59939"/>
    <cellStyle name="Normal 4 2 3 5 2 5" xfId="59940"/>
    <cellStyle name="Normal 4 2 3 5 3" xfId="8598"/>
    <cellStyle name="Normal 4 2 3 5 3 2" xfId="59941"/>
    <cellStyle name="Normal 4 2 3 5 4" xfId="59942"/>
    <cellStyle name="Normal 4 2 3 5 5" xfId="59943"/>
    <cellStyle name="Normal 4 2 3 5 6" xfId="59944"/>
    <cellStyle name="Normal 4 2 3 6" xfId="8599"/>
    <cellStyle name="Normal 4 2 3 6 2" xfId="8600"/>
    <cellStyle name="Normal 4 2 3 6 2 2" xfId="59945"/>
    <cellStyle name="Normal 4 2 3 6 3" xfId="59946"/>
    <cellStyle name="Normal 4 2 3 6 4" xfId="59947"/>
    <cellStyle name="Normal 4 2 3 6 5" xfId="59948"/>
    <cellStyle name="Normal 4 2 3 7" xfId="8601"/>
    <cellStyle name="Normal 4 2 3 7 2" xfId="8602"/>
    <cellStyle name="Normal 4 2 3 7 2 2" xfId="59949"/>
    <cellStyle name="Normal 4 2 3 7 3" xfId="59950"/>
    <cellStyle name="Normal 4 2 3 7 4" xfId="59951"/>
    <cellStyle name="Normal 4 2 3 7 5" xfId="59952"/>
    <cellStyle name="Normal 4 2 3 8" xfId="8603"/>
    <cellStyle name="Normal 4 2 3 8 2" xfId="59953"/>
    <cellStyle name="Normal 4 2 3 9" xfId="59954"/>
    <cellStyle name="Normal 4 2 4" xfId="4610"/>
    <cellStyle name="Normal 4 2 4 10" xfId="59955"/>
    <cellStyle name="Normal 4 2 4 2" xfId="4611"/>
    <cellStyle name="Normal 4 2 4 2 2" xfId="4612"/>
    <cellStyle name="Normal 4 2 4 2 2 2" xfId="8604"/>
    <cellStyle name="Normal 4 2 4 2 2 2 2" xfId="8605"/>
    <cellStyle name="Normal 4 2 4 2 2 2 2 2" xfId="8606"/>
    <cellStyle name="Normal 4 2 4 2 2 2 2 3" xfId="59956"/>
    <cellStyle name="Normal 4 2 4 2 2 2 3" xfId="8607"/>
    <cellStyle name="Normal 4 2 4 2 2 2 3 2" xfId="59957"/>
    <cellStyle name="Normal 4 2 4 2 2 2 4" xfId="59958"/>
    <cellStyle name="Normal 4 2 4 2 2 2 5" xfId="59959"/>
    <cellStyle name="Normal 4 2 4 2 2 3" xfId="8608"/>
    <cellStyle name="Normal 4 2 4 2 2 3 2" xfId="8609"/>
    <cellStyle name="Normal 4 2 4 2 2 3 3" xfId="59960"/>
    <cellStyle name="Normal 4 2 4 2 2 4" xfId="8610"/>
    <cellStyle name="Normal 4 2 4 2 2 4 2" xfId="59961"/>
    <cellStyle name="Normal 4 2 4 2 2 5" xfId="59962"/>
    <cellStyle name="Normal 4 2 4 2 2 6" xfId="59963"/>
    <cellStyle name="Normal 4 2 4 2 3" xfId="8611"/>
    <cellStyle name="Normal 4 2 4 2 3 2" xfId="8612"/>
    <cellStyle name="Normal 4 2 4 2 3 2 2" xfId="8613"/>
    <cellStyle name="Normal 4 2 4 2 3 2 2 2" xfId="59964"/>
    <cellStyle name="Normal 4 2 4 2 3 2 3" xfId="59965"/>
    <cellStyle name="Normal 4 2 4 2 3 2 4" xfId="59966"/>
    <cellStyle name="Normal 4 2 4 2 3 2 5" xfId="59967"/>
    <cellStyle name="Normal 4 2 4 2 3 3" xfId="8614"/>
    <cellStyle name="Normal 4 2 4 2 3 3 2" xfId="59968"/>
    <cellStyle name="Normal 4 2 4 2 3 4" xfId="59969"/>
    <cellStyle name="Normal 4 2 4 2 3 5" xfId="59970"/>
    <cellStyle name="Normal 4 2 4 2 3 6" xfId="59971"/>
    <cellStyle name="Normal 4 2 4 2 4" xfId="8615"/>
    <cellStyle name="Normal 4 2 4 2 4 2" xfId="8616"/>
    <cellStyle name="Normal 4 2 4 2 4 2 2" xfId="59972"/>
    <cellStyle name="Normal 4 2 4 2 4 3" xfId="59973"/>
    <cellStyle name="Normal 4 2 4 2 4 4" xfId="59974"/>
    <cellStyle name="Normal 4 2 4 2 4 5" xfId="59975"/>
    <cellStyle name="Normal 4 2 4 2 5" xfId="8617"/>
    <cellStyle name="Normal 4 2 4 2 5 2" xfId="8618"/>
    <cellStyle name="Normal 4 2 4 2 5 2 2" xfId="59976"/>
    <cellStyle name="Normal 4 2 4 2 5 3" xfId="59977"/>
    <cellStyle name="Normal 4 2 4 2 5 4" xfId="59978"/>
    <cellStyle name="Normal 4 2 4 2 5 5" xfId="59979"/>
    <cellStyle name="Normal 4 2 4 2 6" xfId="8619"/>
    <cellStyle name="Normal 4 2 4 2 6 2" xfId="59980"/>
    <cellStyle name="Normal 4 2 4 2 7" xfId="59981"/>
    <cellStyle name="Normal 4 2 4 2 8" xfId="59982"/>
    <cellStyle name="Normal 4 2 4 2 9" xfId="59983"/>
    <cellStyle name="Normal 4 2 4 3" xfId="4613"/>
    <cellStyle name="Normal 4 2 4 3 2" xfId="8620"/>
    <cellStyle name="Normal 4 2 4 3 2 2" xfId="8621"/>
    <cellStyle name="Normal 4 2 4 3 2 2 2" xfId="8622"/>
    <cellStyle name="Normal 4 2 4 3 2 2 3" xfId="59984"/>
    <cellStyle name="Normal 4 2 4 3 2 3" xfId="8623"/>
    <cellStyle name="Normal 4 2 4 3 2 3 2" xfId="59985"/>
    <cellStyle name="Normal 4 2 4 3 2 4" xfId="59986"/>
    <cellStyle name="Normal 4 2 4 3 2 5" xfId="59987"/>
    <cellStyle name="Normal 4 2 4 3 3" xfId="8624"/>
    <cellStyle name="Normal 4 2 4 3 3 2" xfId="8625"/>
    <cellStyle name="Normal 4 2 4 3 3 3" xfId="59988"/>
    <cellStyle name="Normal 4 2 4 3 4" xfId="8626"/>
    <cellStyle name="Normal 4 2 4 3 4 2" xfId="59989"/>
    <cellStyle name="Normal 4 2 4 3 5" xfId="59990"/>
    <cellStyle name="Normal 4 2 4 3 6" xfId="59991"/>
    <cellStyle name="Normal 4 2 4 4" xfId="8627"/>
    <cellStyle name="Normal 4 2 4 4 2" xfId="8628"/>
    <cellStyle name="Normal 4 2 4 4 2 2" xfId="8629"/>
    <cellStyle name="Normal 4 2 4 4 2 2 2" xfId="59992"/>
    <cellStyle name="Normal 4 2 4 4 2 3" xfId="59993"/>
    <cellStyle name="Normal 4 2 4 4 2 4" xfId="59994"/>
    <cellStyle name="Normal 4 2 4 4 2 5" xfId="59995"/>
    <cellStyle name="Normal 4 2 4 4 3" xfId="8630"/>
    <cellStyle name="Normal 4 2 4 4 3 2" xfId="59996"/>
    <cellStyle name="Normal 4 2 4 4 4" xfId="59997"/>
    <cellStyle name="Normal 4 2 4 4 5" xfId="59998"/>
    <cellStyle name="Normal 4 2 4 4 6" xfId="59999"/>
    <cellStyle name="Normal 4 2 4 5" xfId="8631"/>
    <cellStyle name="Normal 4 2 4 5 2" xfId="8632"/>
    <cellStyle name="Normal 4 2 4 5 2 2" xfId="60000"/>
    <cellStyle name="Normal 4 2 4 5 3" xfId="60001"/>
    <cellStyle name="Normal 4 2 4 5 4" xfId="60002"/>
    <cellStyle name="Normal 4 2 4 5 5" xfId="60003"/>
    <cellStyle name="Normal 4 2 4 6" xfId="8633"/>
    <cellStyle name="Normal 4 2 4 6 2" xfId="8634"/>
    <cellStyle name="Normal 4 2 4 6 2 2" xfId="60004"/>
    <cellStyle name="Normal 4 2 4 6 3" xfId="60005"/>
    <cellStyle name="Normal 4 2 4 6 4" xfId="60006"/>
    <cellStyle name="Normal 4 2 4 6 5" xfId="60007"/>
    <cellStyle name="Normal 4 2 4 7" xfId="8635"/>
    <cellStyle name="Normal 4 2 4 7 2" xfId="60008"/>
    <cellStyle name="Normal 4 2 4 8" xfId="60009"/>
    <cellStyle name="Normal 4 2 4 9" xfId="60010"/>
    <cellStyle name="Normal 4 2 5" xfId="4614"/>
    <cellStyle name="Normal 4 2 5 2" xfId="4615"/>
    <cellStyle name="Normal 4 2 5 2 2" xfId="8636"/>
    <cellStyle name="Normal 4 2 5 2 2 2" xfId="8637"/>
    <cellStyle name="Normal 4 2 5 2 2 2 2" xfId="8638"/>
    <cellStyle name="Normal 4 2 5 2 2 2 3" xfId="60011"/>
    <cellStyle name="Normal 4 2 5 2 2 3" xfId="8639"/>
    <cellStyle name="Normal 4 2 5 2 2 3 2" xfId="60012"/>
    <cellStyle name="Normal 4 2 5 2 2 4" xfId="60013"/>
    <cellStyle name="Normal 4 2 5 2 2 5" xfId="60014"/>
    <cellStyle name="Normal 4 2 5 2 3" xfId="8640"/>
    <cellStyle name="Normal 4 2 5 2 3 2" xfId="8641"/>
    <cellStyle name="Normal 4 2 5 2 3 3" xfId="60015"/>
    <cellStyle name="Normal 4 2 5 2 4" xfId="8642"/>
    <cellStyle name="Normal 4 2 5 2 4 2" xfId="60016"/>
    <cellStyle name="Normal 4 2 5 2 5" xfId="60017"/>
    <cellStyle name="Normal 4 2 5 2 6" xfId="60018"/>
    <cellStyle name="Normal 4 2 5 3" xfId="8643"/>
    <cellStyle name="Normal 4 2 5 3 2" xfId="8644"/>
    <cellStyle name="Normal 4 2 5 3 2 2" xfId="8645"/>
    <cellStyle name="Normal 4 2 5 3 2 2 2" xfId="60019"/>
    <cellStyle name="Normal 4 2 5 3 2 3" xfId="60020"/>
    <cellStyle name="Normal 4 2 5 3 2 4" xfId="60021"/>
    <cellStyle name="Normal 4 2 5 3 2 5" xfId="60022"/>
    <cellStyle name="Normal 4 2 5 3 3" xfId="8646"/>
    <cellStyle name="Normal 4 2 5 3 3 2" xfId="60023"/>
    <cellStyle name="Normal 4 2 5 3 4" xfId="60024"/>
    <cellStyle name="Normal 4 2 5 3 5" xfId="60025"/>
    <cellStyle name="Normal 4 2 5 3 6" xfId="60026"/>
    <cellStyle name="Normal 4 2 5 4" xfId="8647"/>
    <cellStyle name="Normal 4 2 5 4 2" xfId="8648"/>
    <cellStyle name="Normal 4 2 5 4 2 2" xfId="60027"/>
    <cellStyle name="Normal 4 2 5 4 3" xfId="60028"/>
    <cellStyle name="Normal 4 2 5 4 4" xfId="60029"/>
    <cellStyle name="Normal 4 2 5 4 5" xfId="60030"/>
    <cellStyle name="Normal 4 2 5 5" xfId="8649"/>
    <cellStyle name="Normal 4 2 5 5 2" xfId="8650"/>
    <cellStyle name="Normal 4 2 5 5 2 2" xfId="60031"/>
    <cellStyle name="Normal 4 2 5 5 3" xfId="60032"/>
    <cellStyle name="Normal 4 2 5 5 4" xfId="60033"/>
    <cellStyle name="Normal 4 2 5 5 5" xfId="60034"/>
    <cellStyle name="Normal 4 2 5 6" xfId="8651"/>
    <cellStyle name="Normal 4 2 5 6 2" xfId="60035"/>
    <cellStyle name="Normal 4 2 5 7" xfId="60036"/>
    <cellStyle name="Normal 4 2 5 8" xfId="60037"/>
    <cellStyle name="Normal 4 2 5 9" xfId="60038"/>
    <cellStyle name="Normal 4 2 6" xfId="4616"/>
    <cellStyle name="Normal 4 2 6 2" xfId="8652"/>
    <cellStyle name="Normal 4 2 6 2 2" xfId="8653"/>
    <cellStyle name="Normal 4 2 6 2 2 2" xfId="8654"/>
    <cellStyle name="Normal 4 2 6 2 2 3" xfId="60039"/>
    <cellStyle name="Normal 4 2 6 2 3" xfId="8655"/>
    <cellStyle name="Normal 4 2 6 2 3 2" xfId="60040"/>
    <cellStyle name="Normal 4 2 6 2 4" xfId="60041"/>
    <cellStyle name="Normal 4 2 6 2 5" xfId="60042"/>
    <cellStyle name="Normal 4 2 6 3" xfId="8656"/>
    <cellStyle name="Normal 4 2 6 3 2" xfId="8657"/>
    <cellStyle name="Normal 4 2 6 3 3" xfId="60043"/>
    <cellStyle name="Normal 4 2 6 4" xfId="8658"/>
    <cellStyle name="Normal 4 2 6 4 2" xfId="60044"/>
    <cellStyle name="Normal 4 2 6 5" xfId="60045"/>
    <cellStyle name="Normal 4 2 6 6" xfId="60046"/>
    <cellStyle name="Normal 4 2 7" xfId="8659"/>
    <cellStyle name="Normal 4 2 7 2" xfId="8660"/>
    <cellStyle name="Normal 4 2 7 2 2" xfId="8661"/>
    <cellStyle name="Normal 4 2 7 2 2 2" xfId="60047"/>
    <cellStyle name="Normal 4 2 7 2 3" xfId="60048"/>
    <cellStyle name="Normal 4 2 7 2 4" xfId="60049"/>
    <cellStyle name="Normal 4 2 7 2 5" xfId="60050"/>
    <cellStyle name="Normal 4 2 7 3" xfId="8662"/>
    <cellStyle name="Normal 4 2 7 3 2" xfId="60051"/>
    <cellStyle name="Normal 4 2 7 4" xfId="60052"/>
    <cellStyle name="Normal 4 2 7 5" xfId="60053"/>
    <cellStyle name="Normal 4 2 7 6" xfId="60054"/>
    <cellStyle name="Normal 4 2 8" xfId="8663"/>
    <cellStyle name="Normal 4 2 8 2" xfId="8664"/>
    <cellStyle name="Normal 4 2 8 2 2" xfId="60055"/>
    <cellStyle name="Normal 4 2 8 3" xfId="60056"/>
    <cellStyle name="Normal 4 2 8 4" xfId="60057"/>
    <cellStyle name="Normal 4 2 8 5" xfId="60058"/>
    <cellStyle name="Normal 4 2 9" xfId="8665"/>
    <cellStyle name="Normal 4 2 9 2" xfId="8666"/>
    <cellStyle name="Normal 4 2 9 2 2" xfId="60059"/>
    <cellStyle name="Normal 4 2 9 3" xfId="60060"/>
    <cellStyle name="Normal 4 2 9 4" xfId="60061"/>
    <cellStyle name="Normal 4 2 9 5" xfId="60062"/>
    <cellStyle name="Normal 4 3" xfId="4617"/>
    <cellStyle name="Normal 4 3 2" xfId="4618"/>
    <cellStyle name="Normal 4 3 2 2" xfId="4619"/>
    <cellStyle name="Normal 4 3 2 2 2" xfId="4620"/>
    <cellStyle name="Normal 4 3 2 2 2 2" xfId="4621"/>
    <cellStyle name="Normal 4 3 2 2 3" xfId="4622"/>
    <cellStyle name="Normal 4 3 2 3" xfId="4623"/>
    <cellStyle name="Normal 4 3 2 3 2" xfId="4624"/>
    <cellStyle name="Normal 4 3 2 4" xfId="4625"/>
    <cellStyle name="Normal 4 3 2 5" xfId="60063"/>
    <cellStyle name="Normal 4 3 3" xfId="4626"/>
    <cellStyle name="Normal 4 3 3 2" xfId="4627"/>
    <cellStyle name="Normal 4 3 3 2 2" xfId="4628"/>
    <cellStyle name="Normal 4 3 3 3" xfId="4629"/>
    <cellStyle name="Normal 4 3 4" xfId="4630"/>
    <cellStyle name="Normal 4 3 4 2" xfId="4631"/>
    <cellStyle name="Normal 4 3 5" xfId="4632"/>
    <cellStyle name="Normal 4 3 6" xfId="60064"/>
    <cellStyle name="Normal 4 4" xfId="4633"/>
    <cellStyle name="Normal 4 4 2" xfId="4634"/>
    <cellStyle name="Normal 4 4 2 2" xfId="4635"/>
    <cellStyle name="Normal 4 4 2 2 2" xfId="4636"/>
    <cellStyle name="Normal 4 4 2 2 3" xfId="60065"/>
    <cellStyle name="Normal 4 4 2 3" xfId="4637"/>
    <cellStyle name="Normal 4 4 2 4" xfId="60066"/>
    <cellStyle name="Normal 4 4 3" xfId="4638"/>
    <cellStyle name="Normal 4 4 3 2" xfId="4639"/>
    <cellStyle name="Normal 4 4 3 3" xfId="60067"/>
    <cellStyle name="Normal 4 4 4" xfId="4640"/>
    <cellStyle name="Normal 4 4 5" xfId="60068"/>
    <cellStyle name="Normal 4 4 6" xfId="60069"/>
    <cellStyle name="Normal 4 4 7" xfId="60070"/>
    <cellStyle name="Normal 4 5" xfId="4641"/>
    <cellStyle name="Normal 4 5 2" xfId="4642"/>
    <cellStyle name="Normal 4 5 2 2" xfId="4643"/>
    <cellStyle name="Normal 4 5 2 3" xfId="60071"/>
    <cellStyle name="Normal 4 5 3" xfId="4644"/>
    <cellStyle name="Normal 4 5 4" xfId="60072"/>
    <cellStyle name="Normal 4 6" xfId="4645"/>
    <cellStyle name="Normal 4 6 2" xfId="4646"/>
    <cellStyle name="Normal 4 6 3" xfId="60073"/>
    <cellStyle name="Normal 4 7" xfId="4647"/>
    <cellStyle name="Normal 4 7 2" xfId="60074"/>
    <cellStyle name="Normal 4 8" xfId="4648"/>
    <cellStyle name="Normal 4 9" xfId="9289"/>
    <cellStyle name="Normal 4_183302" xfId="8772"/>
    <cellStyle name="Normal 40" xfId="4649"/>
    <cellStyle name="Normal 40 2" xfId="4650"/>
    <cellStyle name="Normal 41" xfId="4651"/>
    <cellStyle name="Normal 41 2" xfId="4652"/>
    <cellStyle name="Normal 42" xfId="4653"/>
    <cellStyle name="Normal 42 2" xfId="60075"/>
    <cellStyle name="Normal 42 3" xfId="60076"/>
    <cellStyle name="Normal 42 4" xfId="60077"/>
    <cellStyle name="Normal 43" xfId="4654"/>
    <cellStyle name="Normal 43 2" xfId="60078"/>
    <cellStyle name="Normal 43 3" xfId="60079"/>
    <cellStyle name="Normal 44" xfId="4655"/>
    <cellStyle name="Normal 44 2" xfId="60080"/>
    <cellStyle name="Normal 44 3" xfId="60081"/>
    <cellStyle name="Normal 45" xfId="4656"/>
    <cellStyle name="Normal 45 2" xfId="60082"/>
    <cellStyle name="Normal 45 3" xfId="60083"/>
    <cellStyle name="Normal 46" xfId="1"/>
    <cellStyle name="Normal 46 2" xfId="9290"/>
    <cellStyle name="Normal 46 2 2" xfId="56075"/>
    <cellStyle name="Normal 46 3" xfId="60084"/>
    <cellStyle name="Normal 47" xfId="8207"/>
    <cellStyle name="Normal 47 2" xfId="56076"/>
    <cellStyle name="Normal 47 3" xfId="60085"/>
    <cellStyle name="Normal 48" xfId="8667"/>
    <cellStyle name="Normal 48 2" xfId="60086"/>
    <cellStyle name="Normal 48 3" xfId="60087"/>
    <cellStyle name="Normal 49" xfId="8671"/>
    <cellStyle name="Normal 49 2" xfId="60088"/>
    <cellStyle name="Normal 49 3" xfId="60089"/>
    <cellStyle name="Normal 49 4" xfId="61970"/>
    <cellStyle name="Normal 5" xfId="4657"/>
    <cellStyle name="Normal 5 10" xfId="4658"/>
    <cellStyle name="Normal 5 10 2" xfId="4659"/>
    <cellStyle name="Normal 5 10 2 2" xfId="4660"/>
    <cellStyle name="Normal 5 10 2 2 2" xfId="4661"/>
    <cellStyle name="Normal 5 10 2 3" xfId="4662"/>
    <cellStyle name="Normal 5 10 3" xfId="4663"/>
    <cellStyle name="Normal 5 10 3 2" xfId="4664"/>
    <cellStyle name="Normal 5 10 4" xfId="4665"/>
    <cellStyle name="Normal 5 11" xfId="4666"/>
    <cellStyle name="Normal 5 11 2" xfId="4667"/>
    <cellStyle name="Normal 5 11 2 2" xfId="4668"/>
    <cellStyle name="Normal 5 11 3" xfId="4669"/>
    <cellStyle name="Normal 5 12" xfId="4670"/>
    <cellStyle name="Normal 5 12 2" xfId="4671"/>
    <cellStyle name="Normal 5 13" xfId="9291"/>
    <cellStyle name="Normal 5 2" xfId="4672"/>
    <cellStyle name="Normal 5 2 10" xfId="4673"/>
    <cellStyle name="Normal 5 2 11" xfId="60090"/>
    <cellStyle name="Normal 5 2 2" xfId="4674"/>
    <cellStyle name="Normal 5 2 2 2" xfId="4675"/>
    <cellStyle name="Normal 5 2 2 2 2" xfId="4676"/>
    <cellStyle name="Normal 5 2 2 2 2 2" xfId="4677"/>
    <cellStyle name="Normal 5 2 2 2 2 2 2" xfId="4678"/>
    <cellStyle name="Normal 5 2 2 2 2 2 2 2" xfId="4679"/>
    <cellStyle name="Normal 5 2 2 2 2 2 2 2 2" xfId="4680"/>
    <cellStyle name="Normal 5 2 2 2 2 2 2 3" xfId="4681"/>
    <cellStyle name="Normal 5 2 2 2 2 2 3" xfId="4682"/>
    <cellStyle name="Normal 5 2 2 2 2 2 3 2" xfId="4683"/>
    <cellStyle name="Normal 5 2 2 2 2 2 4" xfId="4684"/>
    <cellStyle name="Normal 5 2 2 2 2 3" xfId="4685"/>
    <cellStyle name="Normal 5 2 2 2 2 3 2" xfId="4686"/>
    <cellStyle name="Normal 5 2 2 2 2 3 2 2" xfId="4687"/>
    <cellStyle name="Normal 5 2 2 2 2 3 3" xfId="4688"/>
    <cellStyle name="Normal 5 2 2 2 2 4" xfId="4689"/>
    <cellStyle name="Normal 5 2 2 2 2 4 2" xfId="4690"/>
    <cellStyle name="Normal 5 2 2 2 2 5" xfId="4691"/>
    <cellStyle name="Normal 5 2 2 2 2 6" xfId="60091"/>
    <cellStyle name="Normal 5 2 2 2 3" xfId="4692"/>
    <cellStyle name="Normal 5 2 2 2 3 2" xfId="4693"/>
    <cellStyle name="Normal 5 2 2 2 3 2 2" xfId="4694"/>
    <cellStyle name="Normal 5 2 2 2 3 2 2 2" xfId="4695"/>
    <cellStyle name="Normal 5 2 2 2 3 2 3" xfId="4696"/>
    <cellStyle name="Normal 5 2 2 2 3 3" xfId="4697"/>
    <cellStyle name="Normal 5 2 2 2 3 3 2" xfId="4698"/>
    <cellStyle name="Normal 5 2 2 2 3 4" xfId="4699"/>
    <cellStyle name="Normal 5 2 2 2 4" xfId="4700"/>
    <cellStyle name="Normal 5 2 2 2 4 2" xfId="4701"/>
    <cellStyle name="Normal 5 2 2 2 4 2 2" xfId="4702"/>
    <cellStyle name="Normal 5 2 2 2 4 3" xfId="4703"/>
    <cellStyle name="Normal 5 2 2 2 5" xfId="4704"/>
    <cellStyle name="Normal 5 2 2 2 5 2" xfId="4705"/>
    <cellStyle name="Normal 5 2 2 2 6" xfId="4706"/>
    <cellStyle name="Normal 5 2 2 2 7" xfId="60092"/>
    <cellStyle name="Normal 5 2 2 3" xfId="4707"/>
    <cellStyle name="Normal 5 2 2 3 2" xfId="4708"/>
    <cellStyle name="Normal 5 2 2 3 2 2" xfId="4709"/>
    <cellStyle name="Normal 5 2 2 3 2 2 2" xfId="4710"/>
    <cellStyle name="Normal 5 2 2 3 2 2 2 2" xfId="4711"/>
    <cellStyle name="Normal 5 2 2 3 2 2 3" xfId="4712"/>
    <cellStyle name="Normal 5 2 2 3 2 3" xfId="4713"/>
    <cellStyle name="Normal 5 2 2 3 2 3 2" xfId="4714"/>
    <cellStyle name="Normal 5 2 2 3 2 4" xfId="4715"/>
    <cellStyle name="Normal 5 2 2 3 3" xfId="4716"/>
    <cellStyle name="Normal 5 2 2 3 3 2" xfId="4717"/>
    <cellStyle name="Normal 5 2 2 3 3 2 2" xfId="4718"/>
    <cellStyle name="Normal 5 2 2 3 3 3" xfId="4719"/>
    <cellStyle name="Normal 5 2 2 3 4" xfId="4720"/>
    <cellStyle name="Normal 5 2 2 3 4 2" xfId="4721"/>
    <cellStyle name="Normal 5 2 2 3 5" xfId="4722"/>
    <cellStyle name="Normal 5 2 2 3 6" xfId="60093"/>
    <cellStyle name="Normal 5 2 2 4" xfId="4723"/>
    <cellStyle name="Normal 5 2 2 4 2" xfId="4724"/>
    <cellStyle name="Normal 5 2 2 4 2 2" xfId="4725"/>
    <cellStyle name="Normal 5 2 2 4 2 2 2" xfId="4726"/>
    <cellStyle name="Normal 5 2 2 4 2 2 2 2" xfId="4727"/>
    <cellStyle name="Normal 5 2 2 4 2 2 3" xfId="4728"/>
    <cellStyle name="Normal 5 2 2 4 2 3" xfId="4729"/>
    <cellStyle name="Normal 5 2 2 4 2 3 2" xfId="4730"/>
    <cellStyle name="Normal 5 2 2 4 2 4" xfId="4731"/>
    <cellStyle name="Normal 5 2 2 4 3" xfId="4732"/>
    <cellStyle name="Normal 5 2 2 4 3 2" xfId="4733"/>
    <cellStyle name="Normal 5 2 2 4 3 2 2" xfId="4734"/>
    <cellStyle name="Normal 5 2 2 4 3 3" xfId="4735"/>
    <cellStyle name="Normal 5 2 2 4 4" xfId="4736"/>
    <cellStyle name="Normal 5 2 2 4 4 2" xfId="4737"/>
    <cellStyle name="Normal 5 2 2 4 5" xfId="4738"/>
    <cellStyle name="Normal 5 2 2 5" xfId="4739"/>
    <cellStyle name="Normal 5 2 2 5 2" xfId="4740"/>
    <cellStyle name="Normal 5 2 2 5 2 2" xfId="4741"/>
    <cellStyle name="Normal 5 2 2 5 2 2 2" xfId="4742"/>
    <cellStyle name="Normal 5 2 2 5 2 3" xfId="4743"/>
    <cellStyle name="Normal 5 2 2 5 3" xfId="4744"/>
    <cellStyle name="Normal 5 2 2 5 3 2" xfId="4745"/>
    <cellStyle name="Normal 5 2 2 5 4" xfId="4746"/>
    <cellStyle name="Normal 5 2 2 6" xfId="4747"/>
    <cellStyle name="Normal 5 2 2 6 2" xfId="4748"/>
    <cellStyle name="Normal 5 2 2 6 2 2" xfId="4749"/>
    <cellStyle name="Normal 5 2 2 6 3" xfId="4750"/>
    <cellStyle name="Normal 5 2 2 7" xfId="4751"/>
    <cellStyle name="Normal 5 2 2 7 2" xfId="4752"/>
    <cellStyle name="Normal 5 2 2 8" xfId="4753"/>
    <cellStyle name="Normal 5 2 2 9" xfId="60094"/>
    <cellStyle name="Normal 5 2 3" xfId="4754"/>
    <cellStyle name="Normal 5 2 3 2" xfId="4755"/>
    <cellStyle name="Normal 5 2 3 2 2" xfId="4756"/>
    <cellStyle name="Normal 5 2 3 2 2 2" xfId="4757"/>
    <cellStyle name="Normal 5 2 3 2 2 2 2" xfId="4758"/>
    <cellStyle name="Normal 5 2 3 2 2 2 2 2" xfId="4759"/>
    <cellStyle name="Normal 5 2 3 2 2 2 3" xfId="4760"/>
    <cellStyle name="Normal 5 2 3 2 2 3" xfId="4761"/>
    <cellStyle name="Normal 5 2 3 2 2 3 2" xfId="4762"/>
    <cellStyle name="Normal 5 2 3 2 2 4" xfId="4763"/>
    <cellStyle name="Normal 5 2 3 2 3" xfId="4764"/>
    <cellStyle name="Normal 5 2 3 2 3 2" xfId="4765"/>
    <cellStyle name="Normal 5 2 3 2 3 2 2" xfId="4766"/>
    <cellStyle name="Normal 5 2 3 2 3 3" xfId="4767"/>
    <cellStyle name="Normal 5 2 3 2 4" xfId="4768"/>
    <cellStyle name="Normal 5 2 3 2 4 2" xfId="4769"/>
    <cellStyle name="Normal 5 2 3 2 5" xfId="4770"/>
    <cellStyle name="Normal 5 2 3 3" xfId="4771"/>
    <cellStyle name="Normal 5 2 3 3 2" xfId="4772"/>
    <cellStyle name="Normal 5 2 3 3 2 2" xfId="4773"/>
    <cellStyle name="Normal 5 2 3 3 2 2 2" xfId="4774"/>
    <cellStyle name="Normal 5 2 3 3 2 3" xfId="4775"/>
    <cellStyle name="Normal 5 2 3 3 3" xfId="4776"/>
    <cellStyle name="Normal 5 2 3 3 3 2" xfId="4777"/>
    <cellStyle name="Normal 5 2 3 3 4" xfId="4778"/>
    <cellStyle name="Normal 5 2 3 4" xfId="4779"/>
    <cellStyle name="Normal 5 2 3 4 2" xfId="4780"/>
    <cellStyle name="Normal 5 2 3 4 2 2" xfId="4781"/>
    <cellStyle name="Normal 5 2 3 4 3" xfId="4782"/>
    <cellStyle name="Normal 5 2 3 5" xfId="4783"/>
    <cellStyle name="Normal 5 2 3 5 2" xfId="4784"/>
    <cellStyle name="Normal 5 2 3 6" xfId="4785"/>
    <cellStyle name="Normal 5 2 3 7" xfId="60095"/>
    <cellStyle name="Normal 5 2 4" xfId="4786"/>
    <cellStyle name="Normal 5 2 4 2" xfId="4787"/>
    <cellStyle name="Normal 5 2 4 2 2" xfId="4788"/>
    <cellStyle name="Normal 5 2 4 2 2 2" xfId="4789"/>
    <cellStyle name="Normal 5 2 4 2 2 2 2" xfId="4790"/>
    <cellStyle name="Normal 5 2 4 2 2 3" xfId="4791"/>
    <cellStyle name="Normal 5 2 4 2 3" xfId="4792"/>
    <cellStyle name="Normal 5 2 4 2 3 2" xfId="4793"/>
    <cellStyle name="Normal 5 2 4 2 4" xfId="4794"/>
    <cellStyle name="Normal 5 2 4 2 5" xfId="60096"/>
    <cellStyle name="Normal 5 2 4 3" xfId="4795"/>
    <cellStyle name="Normal 5 2 4 3 2" xfId="4796"/>
    <cellStyle name="Normal 5 2 4 3 2 2" xfId="4797"/>
    <cellStyle name="Normal 5 2 4 3 3" xfId="4798"/>
    <cellStyle name="Normal 5 2 4 4" xfId="4799"/>
    <cellStyle name="Normal 5 2 4 4 2" xfId="4800"/>
    <cellStyle name="Normal 5 2 4 5" xfId="4801"/>
    <cellStyle name="Normal 5 2 4 6" xfId="60097"/>
    <cellStyle name="Normal 5 2 5" xfId="4802"/>
    <cellStyle name="Normal 5 2 5 2" xfId="4803"/>
    <cellStyle name="Normal 5 2 5 2 2" xfId="4804"/>
    <cellStyle name="Normal 5 2 5 2 2 2" xfId="4805"/>
    <cellStyle name="Normal 5 2 5 2 2 2 2" xfId="4806"/>
    <cellStyle name="Normal 5 2 5 2 2 3" xfId="4807"/>
    <cellStyle name="Normal 5 2 5 2 3" xfId="4808"/>
    <cellStyle name="Normal 5 2 5 2 3 2" xfId="4809"/>
    <cellStyle name="Normal 5 2 5 2 4" xfId="4810"/>
    <cellStyle name="Normal 5 2 5 3" xfId="4811"/>
    <cellStyle name="Normal 5 2 5 3 2" xfId="4812"/>
    <cellStyle name="Normal 5 2 5 3 2 2" xfId="4813"/>
    <cellStyle name="Normal 5 2 5 3 3" xfId="4814"/>
    <cellStyle name="Normal 5 2 5 4" xfId="4815"/>
    <cellStyle name="Normal 5 2 5 4 2" xfId="4816"/>
    <cellStyle name="Normal 5 2 5 5" xfId="4817"/>
    <cellStyle name="Normal 5 2 5 6" xfId="60098"/>
    <cellStyle name="Normal 5 2 6" xfId="4818"/>
    <cellStyle name="Normal 5 2 6 2" xfId="4819"/>
    <cellStyle name="Normal 5 2 6 2 2" xfId="4820"/>
    <cellStyle name="Normal 5 2 6 2 2 2" xfId="4821"/>
    <cellStyle name="Normal 5 2 6 2 3" xfId="4822"/>
    <cellStyle name="Normal 5 2 6 3" xfId="4823"/>
    <cellStyle name="Normal 5 2 6 3 2" xfId="4824"/>
    <cellStyle name="Normal 5 2 6 4" xfId="4825"/>
    <cellStyle name="Normal 5 2 7" xfId="4826"/>
    <cellStyle name="Normal 5 2 7 2" xfId="4827"/>
    <cellStyle name="Normal 5 2 7 2 2" xfId="4828"/>
    <cellStyle name="Normal 5 2 7 3" xfId="4829"/>
    <cellStyle name="Normal 5 2 8" xfId="4830"/>
    <cellStyle name="Normal 5 2 8 2" xfId="4831"/>
    <cellStyle name="Normal 5 2 9" xfId="4832"/>
    <cellStyle name="Normal 5 3" xfId="4833"/>
    <cellStyle name="Normal 5 3 10" xfId="4834"/>
    <cellStyle name="Normal 5 3 11" xfId="60099"/>
    <cellStyle name="Normal 5 3 2" xfId="4835"/>
    <cellStyle name="Normal 5 3 2 2" xfId="4836"/>
    <cellStyle name="Normal 5 3 2 2 2" xfId="4837"/>
    <cellStyle name="Normal 5 3 2 2 2 2" xfId="4838"/>
    <cellStyle name="Normal 5 3 2 2 2 2 2" xfId="4839"/>
    <cellStyle name="Normal 5 3 2 2 2 2 2 2" xfId="4840"/>
    <cellStyle name="Normal 5 3 2 2 2 2 2 2 2" xfId="4841"/>
    <cellStyle name="Normal 5 3 2 2 2 2 2 3" xfId="4842"/>
    <cellStyle name="Normal 5 3 2 2 2 2 3" xfId="4843"/>
    <cellStyle name="Normal 5 3 2 2 2 2 3 2" xfId="4844"/>
    <cellStyle name="Normal 5 3 2 2 2 2 4" xfId="4845"/>
    <cellStyle name="Normal 5 3 2 2 2 3" xfId="4846"/>
    <cellStyle name="Normal 5 3 2 2 2 3 2" xfId="4847"/>
    <cellStyle name="Normal 5 3 2 2 2 3 2 2" xfId="4848"/>
    <cellStyle name="Normal 5 3 2 2 2 3 3" xfId="4849"/>
    <cellStyle name="Normal 5 3 2 2 2 4" xfId="4850"/>
    <cellStyle name="Normal 5 3 2 2 2 4 2" xfId="4851"/>
    <cellStyle name="Normal 5 3 2 2 2 5" xfId="4852"/>
    <cellStyle name="Normal 5 3 2 2 3" xfId="4853"/>
    <cellStyle name="Normal 5 3 2 2 3 2" xfId="4854"/>
    <cellStyle name="Normal 5 3 2 2 3 2 2" xfId="4855"/>
    <cellStyle name="Normal 5 3 2 2 3 2 2 2" xfId="4856"/>
    <cellStyle name="Normal 5 3 2 2 3 2 3" xfId="4857"/>
    <cellStyle name="Normal 5 3 2 2 3 3" xfId="4858"/>
    <cellStyle name="Normal 5 3 2 2 3 3 2" xfId="4859"/>
    <cellStyle name="Normal 5 3 2 2 3 4" xfId="4860"/>
    <cellStyle name="Normal 5 3 2 2 4" xfId="4861"/>
    <cellStyle name="Normal 5 3 2 2 4 2" xfId="4862"/>
    <cellStyle name="Normal 5 3 2 2 4 2 2" xfId="4863"/>
    <cellStyle name="Normal 5 3 2 2 4 3" xfId="4864"/>
    <cellStyle name="Normal 5 3 2 2 5" xfId="4865"/>
    <cellStyle name="Normal 5 3 2 2 5 2" xfId="4866"/>
    <cellStyle name="Normal 5 3 2 2 6" xfId="4867"/>
    <cellStyle name="Normal 5 3 2 3" xfId="4868"/>
    <cellStyle name="Normal 5 3 2 3 2" xfId="4869"/>
    <cellStyle name="Normal 5 3 2 3 2 2" xfId="4870"/>
    <cellStyle name="Normal 5 3 2 3 2 2 2" xfId="4871"/>
    <cellStyle name="Normal 5 3 2 3 2 2 2 2" xfId="4872"/>
    <cellStyle name="Normal 5 3 2 3 2 2 3" xfId="4873"/>
    <cellStyle name="Normal 5 3 2 3 2 3" xfId="4874"/>
    <cellStyle name="Normal 5 3 2 3 2 3 2" xfId="4875"/>
    <cellStyle name="Normal 5 3 2 3 2 4" xfId="4876"/>
    <cellStyle name="Normal 5 3 2 3 3" xfId="4877"/>
    <cellStyle name="Normal 5 3 2 3 3 2" xfId="4878"/>
    <cellStyle name="Normal 5 3 2 3 3 2 2" xfId="4879"/>
    <cellStyle name="Normal 5 3 2 3 3 3" xfId="4880"/>
    <cellStyle name="Normal 5 3 2 3 4" xfId="4881"/>
    <cellStyle name="Normal 5 3 2 3 4 2" xfId="4882"/>
    <cellStyle name="Normal 5 3 2 3 5" xfId="4883"/>
    <cellStyle name="Normal 5 3 2 4" xfId="4884"/>
    <cellStyle name="Normal 5 3 2 4 2" xfId="4885"/>
    <cellStyle name="Normal 5 3 2 4 2 2" xfId="4886"/>
    <cellStyle name="Normal 5 3 2 4 2 2 2" xfId="4887"/>
    <cellStyle name="Normal 5 3 2 4 2 2 2 2" xfId="4888"/>
    <cellStyle name="Normal 5 3 2 4 2 2 3" xfId="4889"/>
    <cellStyle name="Normal 5 3 2 4 2 3" xfId="4890"/>
    <cellStyle name="Normal 5 3 2 4 2 3 2" xfId="4891"/>
    <cellStyle name="Normal 5 3 2 4 2 4" xfId="4892"/>
    <cellStyle name="Normal 5 3 2 4 3" xfId="4893"/>
    <cellStyle name="Normal 5 3 2 4 3 2" xfId="4894"/>
    <cellStyle name="Normal 5 3 2 4 3 2 2" xfId="4895"/>
    <cellStyle name="Normal 5 3 2 4 3 3" xfId="4896"/>
    <cellStyle name="Normal 5 3 2 4 4" xfId="4897"/>
    <cellStyle name="Normal 5 3 2 4 4 2" xfId="4898"/>
    <cellStyle name="Normal 5 3 2 4 5" xfId="4899"/>
    <cellStyle name="Normal 5 3 2 5" xfId="4900"/>
    <cellStyle name="Normal 5 3 2 5 2" xfId="4901"/>
    <cellStyle name="Normal 5 3 2 5 2 2" xfId="4902"/>
    <cellStyle name="Normal 5 3 2 5 2 2 2" xfId="4903"/>
    <cellStyle name="Normal 5 3 2 5 2 3" xfId="4904"/>
    <cellStyle name="Normal 5 3 2 5 3" xfId="4905"/>
    <cellStyle name="Normal 5 3 2 5 3 2" xfId="4906"/>
    <cellStyle name="Normal 5 3 2 5 4" xfId="4907"/>
    <cellStyle name="Normal 5 3 2 6" xfId="4908"/>
    <cellStyle name="Normal 5 3 2 6 2" xfId="4909"/>
    <cellStyle name="Normal 5 3 2 6 2 2" xfId="4910"/>
    <cellStyle name="Normal 5 3 2 6 3" xfId="4911"/>
    <cellStyle name="Normal 5 3 2 7" xfId="4912"/>
    <cellStyle name="Normal 5 3 2 7 2" xfId="4913"/>
    <cellStyle name="Normal 5 3 2 8" xfId="4914"/>
    <cellStyle name="Normal 5 3 3" xfId="4915"/>
    <cellStyle name="Normal 5 3 3 2" xfId="4916"/>
    <cellStyle name="Normal 5 3 3 2 2" xfId="4917"/>
    <cellStyle name="Normal 5 3 3 2 2 2" xfId="4918"/>
    <cellStyle name="Normal 5 3 3 2 2 2 2" xfId="4919"/>
    <cellStyle name="Normal 5 3 3 2 2 2 2 2" xfId="4920"/>
    <cellStyle name="Normal 5 3 3 2 2 2 3" xfId="4921"/>
    <cellStyle name="Normal 5 3 3 2 2 3" xfId="4922"/>
    <cellStyle name="Normal 5 3 3 2 2 3 2" xfId="4923"/>
    <cellStyle name="Normal 5 3 3 2 2 4" xfId="4924"/>
    <cellStyle name="Normal 5 3 3 2 3" xfId="4925"/>
    <cellStyle name="Normal 5 3 3 2 3 2" xfId="4926"/>
    <cellStyle name="Normal 5 3 3 2 3 2 2" xfId="4927"/>
    <cellStyle name="Normal 5 3 3 2 3 3" xfId="4928"/>
    <cellStyle name="Normal 5 3 3 2 4" xfId="4929"/>
    <cellStyle name="Normal 5 3 3 2 4 2" xfId="4930"/>
    <cellStyle name="Normal 5 3 3 2 5" xfId="4931"/>
    <cellStyle name="Normal 5 3 3 3" xfId="4932"/>
    <cellStyle name="Normal 5 3 3 3 2" xfId="4933"/>
    <cellStyle name="Normal 5 3 3 3 2 2" xfId="4934"/>
    <cellStyle name="Normal 5 3 3 3 2 2 2" xfId="4935"/>
    <cellStyle name="Normal 5 3 3 3 2 3" xfId="4936"/>
    <cellStyle name="Normal 5 3 3 3 3" xfId="4937"/>
    <cellStyle name="Normal 5 3 3 3 3 2" xfId="4938"/>
    <cellStyle name="Normal 5 3 3 3 4" xfId="4939"/>
    <cellStyle name="Normal 5 3 3 4" xfId="4940"/>
    <cellStyle name="Normal 5 3 3 4 2" xfId="4941"/>
    <cellStyle name="Normal 5 3 3 4 2 2" xfId="4942"/>
    <cellStyle name="Normal 5 3 3 4 3" xfId="4943"/>
    <cellStyle name="Normal 5 3 3 5" xfId="4944"/>
    <cellStyle name="Normal 5 3 3 5 2" xfId="4945"/>
    <cellStyle name="Normal 5 3 3 6" xfId="4946"/>
    <cellStyle name="Normal 5 3 4" xfId="4947"/>
    <cellStyle name="Normal 5 3 4 2" xfId="4948"/>
    <cellStyle name="Normal 5 3 4 2 2" xfId="4949"/>
    <cellStyle name="Normal 5 3 4 2 2 2" xfId="4950"/>
    <cellStyle name="Normal 5 3 4 2 2 2 2" xfId="4951"/>
    <cellStyle name="Normal 5 3 4 2 2 3" xfId="4952"/>
    <cellStyle name="Normal 5 3 4 2 3" xfId="4953"/>
    <cellStyle name="Normal 5 3 4 2 3 2" xfId="4954"/>
    <cellStyle name="Normal 5 3 4 2 4" xfId="4955"/>
    <cellStyle name="Normal 5 3 4 3" xfId="4956"/>
    <cellStyle name="Normal 5 3 4 3 2" xfId="4957"/>
    <cellStyle name="Normal 5 3 4 3 2 2" xfId="4958"/>
    <cellStyle name="Normal 5 3 4 3 3" xfId="4959"/>
    <cellStyle name="Normal 5 3 4 4" xfId="4960"/>
    <cellStyle name="Normal 5 3 4 4 2" xfId="4961"/>
    <cellStyle name="Normal 5 3 4 5" xfId="4962"/>
    <cellStyle name="Normal 5 3 5" xfId="4963"/>
    <cellStyle name="Normal 5 3 5 2" xfId="4964"/>
    <cellStyle name="Normal 5 3 5 2 2" xfId="4965"/>
    <cellStyle name="Normal 5 3 5 2 2 2" xfId="4966"/>
    <cellStyle name="Normal 5 3 5 2 2 2 2" xfId="4967"/>
    <cellStyle name="Normal 5 3 5 2 2 3" xfId="4968"/>
    <cellStyle name="Normal 5 3 5 2 3" xfId="4969"/>
    <cellStyle name="Normal 5 3 5 2 3 2" xfId="4970"/>
    <cellStyle name="Normal 5 3 5 2 4" xfId="4971"/>
    <cellStyle name="Normal 5 3 5 3" xfId="4972"/>
    <cellStyle name="Normal 5 3 5 3 2" xfId="4973"/>
    <cellStyle name="Normal 5 3 5 3 2 2" xfId="4974"/>
    <cellStyle name="Normal 5 3 5 3 3" xfId="4975"/>
    <cellStyle name="Normal 5 3 5 4" xfId="4976"/>
    <cellStyle name="Normal 5 3 5 4 2" xfId="4977"/>
    <cellStyle name="Normal 5 3 5 5" xfId="4978"/>
    <cellStyle name="Normal 5 3 6" xfId="4979"/>
    <cellStyle name="Normal 5 3 6 2" xfId="4980"/>
    <cellStyle name="Normal 5 3 6 2 2" xfId="4981"/>
    <cellStyle name="Normal 5 3 6 2 2 2" xfId="4982"/>
    <cellStyle name="Normal 5 3 6 2 3" xfId="4983"/>
    <cellStyle name="Normal 5 3 6 3" xfId="4984"/>
    <cellStyle name="Normal 5 3 6 3 2" xfId="4985"/>
    <cellStyle name="Normal 5 3 6 4" xfId="4986"/>
    <cellStyle name="Normal 5 3 7" xfId="4987"/>
    <cellStyle name="Normal 5 3 7 2" xfId="4988"/>
    <cellStyle name="Normal 5 3 7 2 2" xfId="4989"/>
    <cellStyle name="Normal 5 3 7 3" xfId="4990"/>
    <cellStyle name="Normal 5 3 8" xfId="4991"/>
    <cellStyle name="Normal 5 3 8 2" xfId="4992"/>
    <cellStyle name="Normal 5 3 9" xfId="4993"/>
    <cellStyle name="Normal 5 4" xfId="4994"/>
    <cellStyle name="Normal 5 4 10" xfId="4995"/>
    <cellStyle name="Normal 5 4 2" xfId="4996"/>
    <cellStyle name="Normal 5 4 2 2" xfId="4997"/>
    <cellStyle name="Normal 5 4 2 2 2" xfId="4998"/>
    <cellStyle name="Normal 5 4 2 2 2 2" xfId="4999"/>
    <cellStyle name="Normal 5 4 2 2 2 2 2" xfId="5000"/>
    <cellStyle name="Normal 5 4 2 2 2 2 2 2" xfId="5001"/>
    <cellStyle name="Normal 5 4 2 2 2 2 3" xfId="5002"/>
    <cellStyle name="Normal 5 4 2 2 2 3" xfId="5003"/>
    <cellStyle name="Normal 5 4 2 2 2 3 2" xfId="5004"/>
    <cellStyle name="Normal 5 4 2 2 2 4" xfId="5005"/>
    <cellStyle name="Normal 5 4 2 2 3" xfId="5006"/>
    <cellStyle name="Normal 5 4 2 2 3 2" xfId="5007"/>
    <cellStyle name="Normal 5 4 2 2 3 2 2" xfId="5008"/>
    <cellStyle name="Normal 5 4 2 2 3 3" xfId="5009"/>
    <cellStyle name="Normal 5 4 2 2 4" xfId="5010"/>
    <cellStyle name="Normal 5 4 2 2 4 2" xfId="5011"/>
    <cellStyle name="Normal 5 4 2 2 5" xfId="5012"/>
    <cellStyle name="Normal 5 4 2 2 6" xfId="60100"/>
    <cellStyle name="Normal 5 4 2 3" xfId="5013"/>
    <cellStyle name="Normal 5 4 2 3 2" xfId="5014"/>
    <cellStyle name="Normal 5 4 2 3 2 2" xfId="5015"/>
    <cellStyle name="Normal 5 4 2 3 2 2 2" xfId="5016"/>
    <cellStyle name="Normal 5 4 2 3 2 2 2 2" xfId="5017"/>
    <cellStyle name="Normal 5 4 2 3 2 2 3" xfId="5018"/>
    <cellStyle name="Normal 5 4 2 3 2 3" xfId="5019"/>
    <cellStyle name="Normal 5 4 2 3 2 3 2" xfId="5020"/>
    <cellStyle name="Normal 5 4 2 3 2 4" xfId="5021"/>
    <cellStyle name="Normal 5 4 2 3 3" xfId="5022"/>
    <cellStyle name="Normal 5 4 2 3 3 2" xfId="5023"/>
    <cellStyle name="Normal 5 4 2 3 3 2 2" xfId="5024"/>
    <cellStyle name="Normal 5 4 2 3 3 3" xfId="5025"/>
    <cellStyle name="Normal 5 4 2 3 4" xfId="5026"/>
    <cellStyle name="Normal 5 4 2 3 4 2" xfId="5027"/>
    <cellStyle name="Normal 5 4 2 3 5" xfId="5028"/>
    <cellStyle name="Normal 5 4 2 4" xfId="5029"/>
    <cellStyle name="Normal 5 4 2 4 2" xfId="5030"/>
    <cellStyle name="Normal 5 4 2 4 2 2" xfId="5031"/>
    <cellStyle name="Normal 5 4 2 4 2 2 2" xfId="5032"/>
    <cellStyle name="Normal 5 4 2 4 2 2 2 2" xfId="56077"/>
    <cellStyle name="Normal 5 4 2 4 2 2 2 3" xfId="56078"/>
    <cellStyle name="Normal 5 4 2 4 2 2 2 4" xfId="56079"/>
    <cellStyle name="Normal 5 4 2 4 2 2 3" xfId="56080"/>
    <cellStyle name="Normal 5 4 2 4 2 2 3 2" xfId="56081"/>
    <cellStyle name="Normal 5 4 2 4 2 2 3 3" xfId="56082"/>
    <cellStyle name="Normal 5 4 2 4 2 2 4" xfId="56083"/>
    <cellStyle name="Normal 5 4 2 4 2 2 4 2" xfId="56084"/>
    <cellStyle name="Normal 5 4 2 4 2 2 5" xfId="56085"/>
    <cellStyle name="Normal 5 4 2 4 2 2 6" xfId="56086"/>
    <cellStyle name="Normal 5 4 2 4 2 3" xfId="5033"/>
    <cellStyle name="Normal 5 4 2 4 2 3 2" xfId="56087"/>
    <cellStyle name="Normal 5 4 2 4 2 4" xfId="56088"/>
    <cellStyle name="Normal 5 4 2 4 2 5" xfId="56089"/>
    <cellStyle name="Normal 5 4 2 4 3" xfId="5034"/>
    <cellStyle name="Normal 5 4 2 4 3 2" xfId="5035"/>
    <cellStyle name="Normal 5 4 2 4 4" xfId="5036"/>
    <cellStyle name="Normal 5 4 2 4 4 2" xfId="56090"/>
    <cellStyle name="Normal 5 4 2 4 5" xfId="56091"/>
    <cellStyle name="Normal 5 4 2 4 6" xfId="56092"/>
    <cellStyle name="Normal 5 4 2 5" xfId="5037"/>
    <cellStyle name="Normal 5 4 2 5 2" xfId="5038"/>
    <cellStyle name="Normal 5 4 2 5 2 2" xfId="5039"/>
    <cellStyle name="Normal 5 4 2 5 3" xfId="5040"/>
    <cellStyle name="Normal 5 4 2 6" xfId="5041"/>
    <cellStyle name="Normal 5 4 2 6 2" xfId="5042"/>
    <cellStyle name="Normal 5 4 2 7" xfId="5043"/>
    <cellStyle name="Normal 5 4 2 8" xfId="56093"/>
    <cellStyle name="Normal 5 4 3" xfId="5044"/>
    <cellStyle name="Normal 5 4 3 2" xfId="5045"/>
    <cellStyle name="Normal 5 4 3 2 2" xfId="5046"/>
    <cellStyle name="Normal 5 4 3 2 2 2" xfId="5047"/>
    <cellStyle name="Normal 5 4 3 2 2 2 2" xfId="5048"/>
    <cellStyle name="Normal 5 4 3 2 2 2 2 2" xfId="5049"/>
    <cellStyle name="Normal 5 4 3 2 2 2 3" xfId="5050"/>
    <cellStyle name="Normal 5 4 3 2 2 3" xfId="5051"/>
    <cellStyle name="Normal 5 4 3 2 2 3 2" xfId="5052"/>
    <cellStyle name="Normal 5 4 3 2 2 4" xfId="5053"/>
    <cellStyle name="Normal 5 4 3 2 3" xfId="5054"/>
    <cellStyle name="Normal 5 4 3 2 3 2" xfId="5055"/>
    <cellStyle name="Normal 5 4 3 2 3 2 2" xfId="5056"/>
    <cellStyle name="Normal 5 4 3 2 3 3" xfId="5057"/>
    <cellStyle name="Normal 5 4 3 2 4" xfId="5058"/>
    <cellStyle name="Normal 5 4 3 2 4 2" xfId="5059"/>
    <cellStyle name="Normal 5 4 3 2 5" xfId="5060"/>
    <cellStyle name="Normal 5 4 3 3" xfId="5061"/>
    <cellStyle name="Normal 5 4 3 3 2" xfId="5062"/>
    <cellStyle name="Normal 5 4 3 3 2 2" xfId="5063"/>
    <cellStyle name="Normal 5 4 3 3 2 2 2" xfId="5064"/>
    <cellStyle name="Normal 5 4 3 3 2 3" xfId="5065"/>
    <cellStyle name="Normal 5 4 3 3 3" xfId="5066"/>
    <cellStyle name="Normal 5 4 3 3 3 2" xfId="5067"/>
    <cellStyle name="Normal 5 4 3 3 4" xfId="5068"/>
    <cellStyle name="Normal 5 4 3 4" xfId="5069"/>
    <cellStyle name="Normal 5 4 3 4 2" xfId="5070"/>
    <cellStyle name="Normal 5 4 3 4 2 2" xfId="5071"/>
    <cellStyle name="Normal 5 4 3 4 3" xfId="5072"/>
    <cellStyle name="Normal 5 4 3 5" xfId="5073"/>
    <cellStyle name="Normal 5 4 3 5 2" xfId="5074"/>
    <cellStyle name="Normal 5 4 3 6" xfId="5075"/>
    <cellStyle name="Normal 5 4 3 7" xfId="60101"/>
    <cellStyle name="Normal 5 4 4" xfId="5076"/>
    <cellStyle name="Normal 5 4 4 2" xfId="5077"/>
    <cellStyle name="Normal 5 4 4 2 2" xfId="5078"/>
    <cellStyle name="Normal 5 4 4 2 2 2" xfId="5079"/>
    <cellStyle name="Normal 5 4 4 2 2 2 2" xfId="5080"/>
    <cellStyle name="Normal 5 4 4 2 2 3" xfId="5081"/>
    <cellStyle name="Normal 5 4 4 2 3" xfId="5082"/>
    <cellStyle name="Normal 5 4 4 2 3 2" xfId="5083"/>
    <cellStyle name="Normal 5 4 4 2 4" xfId="5084"/>
    <cellStyle name="Normal 5 4 4 3" xfId="5085"/>
    <cellStyle name="Normal 5 4 4 3 2" xfId="5086"/>
    <cellStyle name="Normal 5 4 4 3 2 2" xfId="5087"/>
    <cellStyle name="Normal 5 4 4 3 3" xfId="5088"/>
    <cellStyle name="Normal 5 4 4 4" xfId="5089"/>
    <cellStyle name="Normal 5 4 4 4 2" xfId="5090"/>
    <cellStyle name="Normal 5 4 4 5" xfId="5091"/>
    <cellStyle name="Normal 5 4 5" xfId="5092"/>
    <cellStyle name="Normal 5 4 5 2" xfId="5093"/>
    <cellStyle name="Normal 5 4 5 2 2" xfId="5094"/>
    <cellStyle name="Normal 5 4 5 2 2 2" xfId="5095"/>
    <cellStyle name="Normal 5 4 5 2 2 2 2" xfId="5096"/>
    <cellStyle name="Normal 5 4 5 2 2 3" xfId="5097"/>
    <cellStyle name="Normal 5 4 5 2 3" xfId="5098"/>
    <cellStyle name="Normal 5 4 5 2 3 2" xfId="5099"/>
    <cellStyle name="Normal 5 4 5 2 4" xfId="5100"/>
    <cellStyle name="Normal 5 4 5 3" xfId="5101"/>
    <cellStyle name="Normal 5 4 5 3 2" xfId="5102"/>
    <cellStyle name="Normal 5 4 5 3 2 2" xfId="5103"/>
    <cellStyle name="Normal 5 4 5 3 3" xfId="5104"/>
    <cellStyle name="Normal 5 4 5 4" xfId="5105"/>
    <cellStyle name="Normal 5 4 5 4 2" xfId="5106"/>
    <cellStyle name="Normal 5 4 5 5" xfId="5107"/>
    <cellStyle name="Normal 5 4 6" xfId="5108"/>
    <cellStyle name="Normal 5 4 6 2" xfId="5109"/>
    <cellStyle name="Normal 5 4 6 2 2" xfId="5110"/>
    <cellStyle name="Normal 5 4 6 2 2 2" xfId="5111"/>
    <cellStyle name="Normal 5 4 6 2 3" xfId="5112"/>
    <cellStyle name="Normal 5 4 6 3" xfId="5113"/>
    <cellStyle name="Normal 5 4 6 3 2" xfId="5114"/>
    <cellStyle name="Normal 5 4 6 4" xfId="5115"/>
    <cellStyle name="Normal 5 4 7" xfId="5116"/>
    <cellStyle name="Normal 5 4 7 2" xfId="5117"/>
    <cellStyle name="Normal 5 4 7 2 2" xfId="5118"/>
    <cellStyle name="Normal 5 4 7 3" xfId="5119"/>
    <cellStyle name="Normal 5 4 8" xfId="5120"/>
    <cellStyle name="Normal 5 4 8 2" xfId="5121"/>
    <cellStyle name="Normal 5 4 9" xfId="5122"/>
    <cellStyle name="Normal 5 5" xfId="5123"/>
    <cellStyle name="Normal 5 5 10" xfId="56094"/>
    <cellStyle name="Normal 5 5 2" xfId="5124"/>
    <cellStyle name="Normal 5 5 2 2" xfId="5125"/>
    <cellStyle name="Normal 5 5 2 2 2" xfId="5126"/>
    <cellStyle name="Normal 5 5 2 2 2 2" xfId="5127"/>
    <cellStyle name="Normal 5 5 2 2 2 2 2" xfId="5128"/>
    <cellStyle name="Normal 5 5 2 2 2 3" xfId="5129"/>
    <cellStyle name="Normal 5 5 2 2 3" xfId="5130"/>
    <cellStyle name="Normal 5 5 2 2 3 2" xfId="5131"/>
    <cellStyle name="Normal 5 5 2 2 4" xfId="5132"/>
    <cellStyle name="Normal 5 5 2 2 5" xfId="56095"/>
    <cellStyle name="Normal 5 5 2 3" xfId="5133"/>
    <cellStyle name="Normal 5 5 2 3 2" xfId="5134"/>
    <cellStyle name="Normal 5 5 2 3 2 2" xfId="5135"/>
    <cellStyle name="Normal 5 5 2 3 2 2 2" xfId="56096"/>
    <cellStyle name="Normal 5 5 2 3 2 2 2 2" xfId="56097"/>
    <cellStyle name="Normal 5 5 2 3 2 2 2 3" xfId="56098"/>
    <cellStyle name="Normal 5 5 2 3 2 2 2 4" xfId="56099"/>
    <cellStyle name="Normal 5 5 2 3 2 2 3" xfId="56100"/>
    <cellStyle name="Normal 5 5 2 3 2 2 3 2" xfId="56101"/>
    <cellStyle name="Normal 5 5 2 3 2 2 3 3" xfId="56102"/>
    <cellStyle name="Normal 5 5 2 3 2 2 4" xfId="56103"/>
    <cellStyle name="Normal 5 5 2 3 2 2 4 2" xfId="56104"/>
    <cellStyle name="Normal 5 5 2 3 2 2 5" xfId="56105"/>
    <cellStyle name="Normal 5 5 2 3 2 2 6" xfId="56106"/>
    <cellStyle name="Normal 5 5 2 3 2 3" xfId="56107"/>
    <cellStyle name="Normal 5 5 2 3 2 3 2" xfId="56108"/>
    <cellStyle name="Normal 5 5 2 3 2 4" xfId="56109"/>
    <cellStyle name="Normal 5 5 2 3 2 5" xfId="56110"/>
    <cellStyle name="Normal 5 5 2 3 3" xfId="5136"/>
    <cellStyle name="Normal 5 5 2 3 3 2" xfId="56111"/>
    <cellStyle name="Normal 5 5 2 3 4" xfId="56112"/>
    <cellStyle name="Normal 5 5 2 3 4 2" xfId="56113"/>
    <cellStyle name="Normal 5 5 2 3 5" xfId="56114"/>
    <cellStyle name="Normal 5 5 2 3 6" xfId="56115"/>
    <cellStyle name="Normal 5 5 2 4" xfId="5137"/>
    <cellStyle name="Normal 5 5 2 4 2" xfId="5138"/>
    <cellStyle name="Normal 5 5 2 5" xfId="5139"/>
    <cellStyle name="Normal 5 5 2 5 2" xfId="56116"/>
    <cellStyle name="Normal 5 5 2 6" xfId="56117"/>
    <cellStyle name="Normal 5 5 2 7" xfId="56118"/>
    <cellStyle name="Normal 5 5 3" xfId="5140"/>
    <cellStyle name="Normal 5 5 3 2" xfId="5141"/>
    <cellStyle name="Normal 5 5 3 2 2" xfId="5142"/>
    <cellStyle name="Normal 5 5 3 2 2 2" xfId="5143"/>
    <cellStyle name="Normal 5 5 3 2 2 2 2" xfId="5144"/>
    <cellStyle name="Normal 5 5 3 2 2 3" xfId="5145"/>
    <cellStyle name="Normal 5 5 3 2 3" xfId="5146"/>
    <cellStyle name="Normal 5 5 3 2 3 2" xfId="5147"/>
    <cellStyle name="Normal 5 5 3 2 4" xfId="5148"/>
    <cellStyle name="Normal 5 5 3 3" xfId="5149"/>
    <cellStyle name="Normal 5 5 3 3 2" xfId="5150"/>
    <cellStyle name="Normal 5 5 3 3 2 2" xfId="5151"/>
    <cellStyle name="Normal 5 5 3 3 3" xfId="5152"/>
    <cellStyle name="Normal 5 5 3 4" xfId="5153"/>
    <cellStyle name="Normal 5 5 3 4 2" xfId="5154"/>
    <cellStyle name="Normal 5 5 3 5" xfId="5155"/>
    <cellStyle name="Normal 5 5 4" xfId="5156"/>
    <cellStyle name="Normal 5 5 4 2" xfId="5157"/>
    <cellStyle name="Normal 5 5 4 2 2" xfId="5158"/>
    <cellStyle name="Normal 5 5 4 2 2 2" xfId="5159"/>
    <cellStyle name="Normal 5 5 4 2 3" xfId="5160"/>
    <cellStyle name="Normal 5 5 4 3" xfId="5161"/>
    <cellStyle name="Normal 5 5 4 3 2" xfId="5162"/>
    <cellStyle name="Normal 5 5 4 4" xfId="5163"/>
    <cellStyle name="Normal 5 5 5" xfId="5164"/>
    <cellStyle name="Normal 5 5 5 2" xfId="5165"/>
    <cellStyle name="Normal 5 5 5 2 2" xfId="5166"/>
    <cellStyle name="Normal 5 5 5 3" xfId="5167"/>
    <cellStyle name="Normal 5 5 6" xfId="5168"/>
    <cellStyle name="Normal 5 5 6 2" xfId="5169"/>
    <cellStyle name="Normal 5 5 7" xfId="5170"/>
    <cellStyle name="Normal 5 5 8" xfId="56119"/>
    <cellStyle name="Normal 5 5 8 2" xfId="56120"/>
    <cellStyle name="Normal 5 5 9" xfId="56121"/>
    <cellStyle name="Normal 5 6" xfId="5171"/>
    <cellStyle name="Normal 5 6 2" xfId="5172"/>
    <cellStyle name="Normal 5 6 2 2" xfId="5173"/>
    <cellStyle name="Normal 5 6 2 2 2" xfId="5174"/>
    <cellStyle name="Normal 5 6 2 2 2 2" xfId="5175"/>
    <cellStyle name="Normal 5 6 2 2 2 2 2" xfId="5176"/>
    <cellStyle name="Normal 5 6 2 2 2 3" xfId="5177"/>
    <cellStyle name="Normal 5 6 2 2 3" xfId="5178"/>
    <cellStyle name="Normal 5 6 2 2 3 2" xfId="5179"/>
    <cellStyle name="Normal 5 6 2 2 4" xfId="5180"/>
    <cellStyle name="Normal 5 6 2 3" xfId="5181"/>
    <cellStyle name="Normal 5 6 2 3 2" xfId="5182"/>
    <cellStyle name="Normal 5 6 2 3 2 2" xfId="5183"/>
    <cellStyle name="Normal 5 6 2 3 3" xfId="5184"/>
    <cellStyle name="Normal 5 6 2 4" xfId="5185"/>
    <cellStyle name="Normal 5 6 2 4 2" xfId="5186"/>
    <cellStyle name="Normal 5 6 2 5" xfId="5187"/>
    <cellStyle name="Normal 5 6 3" xfId="5188"/>
    <cellStyle name="Normal 5 6 3 2" xfId="5189"/>
    <cellStyle name="Normal 5 6 3 2 2" xfId="5190"/>
    <cellStyle name="Normal 5 6 3 2 2 2" xfId="5191"/>
    <cellStyle name="Normal 5 6 3 2 3" xfId="5192"/>
    <cellStyle name="Normal 5 6 3 3" xfId="5193"/>
    <cellStyle name="Normal 5 6 3 3 2" xfId="5194"/>
    <cellStyle name="Normal 5 6 3 4" xfId="5195"/>
    <cellStyle name="Normal 5 6 4" xfId="5196"/>
    <cellStyle name="Normal 5 6 4 2" xfId="5197"/>
    <cellStyle name="Normal 5 6 4 2 2" xfId="5198"/>
    <cellStyle name="Normal 5 6 4 3" xfId="5199"/>
    <cellStyle name="Normal 5 6 5" xfId="5200"/>
    <cellStyle name="Normal 5 6 5 2" xfId="5201"/>
    <cellStyle name="Normal 5 6 6" xfId="5202"/>
    <cellStyle name="Normal 5 7" xfId="5203"/>
    <cellStyle name="Normal 5 7 2" xfId="5204"/>
    <cellStyle name="Normal 5 7 2 2" xfId="5205"/>
    <cellStyle name="Normal 5 7 2 2 2" xfId="5206"/>
    <cellStyle name="Normal 5 7 2 2 2 2" xfId="5207"/>
    <cellStyle name="Normal 5 7 2 2 3" xfId="5208"/>
    <cellStyle name="Normal 5 7 2 3" xfId="5209"/>
    <cellStyle name="Normal 5 7 2 3 2" xfId="5210"/>
    <cellStyle name="Normal 5 7 2 4" xfId="5211"/>
    <cellStyle name="Normal 5 7 3" xfId="5212"/>
    <cellStyle name="Normal 5 7 3 2" xfId="5213"/>
    <cellStyle name="Normal 5 7 3 2 2" xfId="5214"/>
    <cellStyle name="Normal 5 7 3 3" xfId="5215"/>
    <cellStyle name="Normal 5 7 4" xfId="5216"/>
    <cellStyle name="Normal 5 7 4 2" xfId="5217"/>
    <cellStyle name="Normal 5 7 5" xfId="5218"/>
    <cellStyle name="Normal 5 8" xfId="5219"/>
    <cellStyle name="Normal 5 8 2" xfId="5220"/>
    <cellStyle name="Normal 5 8 2 2" xfId="5221"/>
    <cellStyle name="Normal 5 8 2 2 2" xfId="5222"/>
    <cellStyle name="Normal 5 8 2 2 2 2" xfId="5223"/>
    <cellStyle name="Normal 5 8 2 2 3" xfId="5224"/>
    <cellStyle name="Normal 5 8 2 3" xfId="5225"/>
    <cellStyle name="Normal 5 8 2 3 2" xfId="5226"/>
    <cellStyle name="Normal 5 8 2 4" xfId="5227"/>
    <cellStyle name="Normal 5 8 3" xfId="5228"/>
    <cellStyle name="Normal 5 8 3 2" xfId="5229"/>
    <cellStyle name="Normal 5 8 3 2 2" xfId="5230"/>
    <cellStyle name="Normal 5 8 3 3" xfId="5231"/>
    <cellStyle name="Normal 5 8 4" xfId="5232"/>
    <cellStyle name="Normal 5 8 4 2" xfId="5233"/>
    <cellStyle name="Normal 5 8 5" xfId="5234"/>
    <cellStyle name="Normal 5 9" xfId="5235"/>
    <cellStyle name="Normal 5 9 2" xfId="5236"/>
    <cellStyle name="Normal 5 9 2 2" xfId="5237"/>
    <cellStyle name="Normal 5 9 2 2 2" xfId="5238"/>
    <cellStyle name="Normal 5 9 2 3" xfId="5239"/>
    <cellStyle name="Normal 5 9 3" xfId="5240"/>
    <cellStyle name="Normal 5 9 3 2" xfId="5241"/>
    <cellStyle name="Normal 5 9 4" xfId="5242"/>
    <cellStyle name="Normal 5_183302" xfId="8773"/>
    <cellStyle name="Normal 50" xfId="8673"/>
    <cellStyle name="Normal 50 2" xfId="60102"/>
    <cellStyle name="Normal 50 3" xfId="60103"/>
    <cellStyle name="Normal 51" xfId="8674"/>
    <cellStyle name="Normal 51 2" xfId="56122"/>
    <cellStyle name="Normal 51 3" xfId="60104"/>
    <cellStyle name="Normal 52" xfId="8733"/>
    <cellStyle name="Normal 52 2" xfId="60105"/>
    <cellStyle name="Normal 52 3" xfId="60106"/>
    <cellStyle name="Normal 53" xfId="8767"/>
    <cellStyle name="Normal 53 2" xfId="56123"/>
    <cellStyle name="Normal 53 3" xfId="60107"/>
    <cellStyle name="Normal 54" xfId="9372"/>
    <cellStyle name="Normal 54 2" xfId="56124"/>
    <cellStyle name="Normal 54 3" xfId="60108"/>
    <cellStyle name="Normal 55" xfId="56125"/>
    <cellStyle name="Normal 55 2" xfId="60109"/>
    <cellStyle name="Normal 55 3" xfId="60110"/>
    <cellStyle name="Normal 56" xfId="56126"/>
    <cellStyle name="Normal 56 2" xfId="60111"/>
    <cellStyle name="Normal 57" xfId="57817"/>
    <cellStyle name="Normal 57 2" xfId="60112"/>
    <cellStyle name="Normal 58" xfId="60113"/>
    <cellStyle name="Normal 58 2" xfId="60114"/>
    <cellStyle name="Normal 59" xfId="60115"/>
    <cellStyle name="Normal 6" xfId="5243"/>
    <cellStyle name="Normal 6 10" xfId="60116"/>
    <cellStyle name="Normal 6 11" xfId="60117"/>
    <cellStyle name="Normal 6 2" xfId="5244"/>
    <cellStyle name="Normal 6 2 2" xfId="5245"/>
    <cellStyle name="Normal 6 2 2 2" xfId="5246"/>
    <cellStyle name="Normal 6 2 2 2 2" xfId="5247"/>
    <cellStyle name="Normal 6 2 2 2 2 2" xfId="5248"/>
    <cellStyle name="Normal 6 2 2 2 2 2 2" xfId="5249"/>
    <cellStyle name="Normal 6 2 2 2 2 3" xfId="5250"/>
    <cellStyle name="Normal 6 2 2 2 3" xfId="5251"/>
    <cellStyle name="Normal 6 2 2 2 3 2" xfId="5252"/>
    <cellStyle name="Normal 6 2 2 2 4" xfId="5253"/>
    <cellStyle name="Normal 6 2 2 2 5" xfId="60118"/>
    <cellStyle name="Normal 6 2 2 3" xfId="5254"/>
    <cellStyle name="Normal 6 2 2 3 2" xfId="5255"/>
    <cellStyle name="Normal 6 2 2 3 2 2" xfId="5256"/>
    <cellStyle name="Normal 6 2 2 3 3" xfId="5257"/>
    <cellStyle name="Normal 6 2 2 4" xfId="5258"/>
    <cellStyle name="Normal 6 2 2 4 2" xfId="5259"/>
    <cellStyle name="Normal 6 2 2 5" xfId="5260"/>
    <cellStyle name="Normal 6 2 2 6" xfId="60119"/>
    <cellStyle name="Normal 6 2 3" xfId="5261"/>
    <cellStyle name="Normal 6 2 3 2" xfId="5262"/>
    <cellStyle name="Normal 6 2 3 2 2" xfId="5263"/>
    <cellStyle name="Normal 6 2 3 2 2 2" xfId="5264"/>
    <cellStyle name="Normal 6 2 3 2 3" xfId="5265"/>
    <cellStyle name="Normal 6 2 3 3" xfId="5266"/>
    <cellStyle name="Normal 6 2 3 3 2" xfId="5267"/>
    <cellStyle name="Normal 6 2 3 4" xfId="5268"/>
    <cellStyle name="Normal 6 2 3 5" xfId="60120"/>
    <cellStyle name="Normal 6 2 4" xfId="5269"/>
    <cellStyle name="Normal 6 2 4 2" xfId="5270"/>
    <cellStyle name="Normal 6 2 4 2 2" xfId="5271"/>
    <cellStyle name="Normal 6 2 4 3" xfId="5272"/>
    <cellStyle name="Normal 6 2 5" xfId="5273"/>
    <cellStyle name="Normal 6 2 5 2" xfId="5274"/>
    <cellStyle name="Normal 6 2 6" xfId="5275"/>
    <cellStyle name="Normal 6 2 7" xfId="5276"/>
    <cellStyle name="Normal 6 2 8" xfId="60121"/>
    <cellStyle name="Normal 6 3" xfId="5277"/>
    <cellStyle name="Normal 6 3 2" xfId="5278"/>
    <cellStyle name="Normal 6 3 2 2" xfId="5279"/>
    <cellStyle name="Normal 6 3 2 2 2" xfId="5280"/>
    <cellStyle name="Normal 6 3 2 2 2 2" xfId="5281"/>
    <cellStyle name="Normal 6 3 2 2 3" xfId="5282"/>
    <cellStyle name="Normal 6 3 2 3" xfId="5283"/>
    <cellStyle name="Normal 6 3 2 3 2" xfId="5284"/>
    <cellStyle name="Normal 6 3 2 4" xfId="5285"/>
    <cellStyle name="Normal 6 3 2 5" xfId="60122"/>
    <cellStyle name="Normal 6 3 3" xfId="5286"/>
    <cellStyle name="Normal 6 3 3 2" xfId="5287"/>
    <cellStyle name="Normal 6 3 3 2 2" xfId="5288"/>
    <cellStyle name="Normal 6 3 3 3" xfId="5289"/>
    <cellStyle name="Normal 6 3 4" xfId="5290"/>
    <cellStyle name="Normal 6 3 4 2" xfId="5291"/>
    <cellStyle name="Normal 6 3 5" xfId="5292"/>
    <cellStyle name="Normal 6 3 6" xfId="5293"/>
    <cellStyle name="Normal 6 3 7" xfId="60123"/>
    <cellStyle name="Normal 6 4" xfId="5294"/>
    <cellStyle name="Normal 6 4 2" xfId="5295"/>
    <cellStyle name="Normal 6 4 2 2" xfId="5296"/>
    <cellStyle name="Normal 6 4 2 2 2" xfId="5297"/>
    <cellStyle name="Normal 6 4 2 2 3" xfId="60124"/>
    <cellStyle name="Normal 6 4 2 3" xfId="5298"/>
    <cellStyle name="Normal 6 4 2 3 2" xfId="60125"/>
    <cellStyle name="Normal 6 4 2 4" xfId="60126"/>
    <cellStyle name="Normal 6 4 2 5" xfId="60127"/>
    <cellStyle name="Normal 6 4 2 6" xfId="60128"/>
    <cellStyle name="Normal 6 4 3" xfId="5299"/>
    <cellStyle name="Normal 6 4 3 2" xfId="5300"/>
    <cellStyle name="Normal 6 4 3 3" xfId="60129"/>
    <cellStyle name="Normal 6 4 4" xfId="5301"/>
    <cellStyle name="Normal 6 4 4 2" xfId="60130"/>
    <cellStyle name="Normal 6 4 4 3" xfId="60131"/>
    <cellStyle name="Normal 6 4 5" xfId="5302"/>
    <cellStyle name="Normal 6 4 5 2" xfId="60132"/>
    <cellStyle name="Normal 6 4 6" xfId="60133"/>
    <cellStyle name="Normal 6 4 7" xfId="60134"/>
    <cellStyle name="Normal 6 4 8" xfId="60135"/>
    <cellStyle name="Normal 6 5" xfId="5303"/>
    <cellStyle name="Normal 6 5 2" xfId="5304"/>
    <cellStyle name="Normal 6 5 2 2" xfId="5305"/>
    <cellStyle name="Normal 6 5 2 2 2" xfId="60136"/>
    <cellStyle name="Normal 6 5 2 3" xfId="60137"/>
    <cellStyle name="Normal 6 5 3" xfId="5306"/>
    <cellStyle name="Normal 6 5 3 2" xfId="60138"/>
    <cellStyle name="Normal 6 5 4" xfId="60139"/>
    <cellStyle name="Normal 6 5 5" xfId="60140"/>
    <cellStyle name="Normal 6 5 6" xfId="60141"/>
    <cellStyle name="Normal 6 6" xfId="5307"/>
    <cellStyle name="Normal 6 6 2" xfId="5308"/>
    <cellStyle name="Normal 6 6 2 2" xfId="60142"/>
    <cellStyle name="Normal 6 6 3" xfId="60143"/>
    <cellStyle name="Normal 6 6 4" xfId="60144"/>
    <cellStyle name="Normal 6 6 5" xfId="60145"/>
    <cellStyle name="Normal 6 7" xfId="5309"/>
    <cellStyle name="Normal 6 7 2" xfId="60146"/>
    <cellStyle name="Normal 6 7 3" xfId="60147"/>
    <cellStyle name="Normal 6 8" xfId="5310"/>
    <cellStyle name="Normal 6 8 2" xfId="60148"/>
    <cellStyle name="Normal 6 8 3" xfId="60149"/>
    <cellStyle name="Normal 6 9" xfId="60150"/>
    <cellStyle name="Normal 6_183302" xfId="8774"/>
    <cellStyle name="Normal 60" xfId="60151"/>
    <cellStyle name="Normal 61" xfId="60152"/>
    <cellStyle name="Normal 62" xfId="60153"/>
    <cellStyle name="Normal 63" xfId="60154"/>
    <cellStyle name="Normal 64" xfId="60155"/>
    <cellStyle name="Normal 65" xfId="60156"/>
    <cellStyle name="Normal 66" xfId="60157"/>
    <cellStyle name="Normal 67" xfId="60158"/>
    <cellStyle name="Normal 68" xfId="60159"/>
    <cellStyle name="Normal 69" xfId="60160"/>
    <cellStyle name="Normal 7" xfId="5311"/>
    <cellStyle name="Normal 7 10" xfId="5312"/>
    <cellStyle name="Normal 7 11" xfId="5313"/>
    <cellStyle name="Normal 7 2" xfId="5314"/>
    <cellStyle name="Normal 7 2 2" xfId="5315"/>
    <cellStyle name="Normal 7 2 2 2" xfId="5316"/>
    <cellStyle name="Normal 7 2 2 2 2" xfId="5317"/>
    <cellStyle name="Normal 7 2 2 2 2 2" xfId="5318"/>
    <cellStyle name="Normal 7 2 2 2 2 2 2" xfId="5319"/>
    <cellStyle name="Normal 7 2 2 2 2 2 2 2" xfId="5320"/>
    <cellStyle name="Normal 7 2 2 2 2 2 3" xfId="5321"/>
    <cellStyle name="Normal 7 2 2 2 2 3" xfId="5322"/>
    <cellStyle name="Normal 7 2 2 2 2 3 2" xfId="5323"/>
    <cellStyle name="Normal 7 2 2 2 2 4" xfId="5324"/>
    <cellStyle name="Normal 7 2 2 2 3" xfId="5325"/>
    <cellStyle name="Normal 7 2 2 2 3 2" xfId="5326"/>
    <cellStyle name="Normal 7 2 2 2 3 2 2" xfId="5327"/>
    <cellStyle name="Normal 7 2 2 2 3 3" xfId="5328"/>
    <cellStyle name="Normal 7 2 2 2 4" xfId="5329"/>
    <cellStyle name="Normal 7 2 2 2 4 2" xfId="5330"/>
    <cellStyle name="Normal 7 2 2 2 5" xfId="5331"/>
    <cellStyle name="Normal 7 2 2 2 6" xfId="60161"/>
    <cellStyle name="Normal 7 2 2 3" xfId="5332"/>
    <cellStyle name="Normal 7 2 2 3 2" xfId="5333"/>
    <cellStyle name="Normal 7 2 2 3 2 2" xfId="5334"/>
    <cellStyle name="Normal 7 2 2 3 2 2 2" xfId="5335"/>
    <cellStyle name="Normal 7 2 2 3 2 3" xfId="5336"/>
    <cellStyle name="Normal 7 2 2 3 3" xfId="5337"/>
    <cellStyle name="Normal 7 2 2 3 3 2" xfId="5338"/>
    <cellStyle name="Normal 7 2 2 3 4" xfId="5339"/>
    <cellStyle name="Normal 7 2 2 4" xfId="5340"/>
    <cellStyle name="Normal 7 2 2 4 2" xfId="5341"/>
    <cellStyle name="Normal 7 2 2 4 2 2" xfId="5342"/>
    <cellStyle name="Normal 7 2 2 4 3" xfId="5343"/>
    <cellStyle name="Normal 7 2 2 5" xfId="5344"/>
    <cellStyle name="Normal 7 2 2 5 2" xfId="5345"/>
    <cellStyle name="Normal 7 2 2 6" xfId="5346"/>
    <cellStyle name="Normal 7 2 2 7" xfId="60162"/>
    <cellStyle name="Normal 7 2 3" xfId="5347"/>
    <cellStyle name="Normal 7 2 3 2" xfId="5348"/>
    <cellStyle name="Normal 7 2 3 2 2" xfId="5349"/>
    <cellStyle name="Normal 7 2 3 2 2 2" xfId="5350"/>
    <cellStyle name="Normal 7 2 3 2 2 2 2" xfId="5351"/>
    <cellStyle name="Normal 7 2 3 2 2 3" xfId="5352"/>
    <cellStyle name="Normal 7 2 3 2 3" xfId="5353"/>
    <cellStyle name="Normal 7 2 3 2 3 2" xfId="5354"/>
    <cellStyle name="Normal 7 2 3 2 4" xfId="5355"/>
    <cellStyle name="Normal 7 2 3 3" xfId="5356"/>
    <cellStyle name="Normal 7 2 3 3 2" xfId="5357"/>
    <cellStyle name="Normal 7 2 3 3 2 2" xfId="5358"/>
    <cellStyle name="Normal 7 2 3 3 3" xfId="5359"/>
    <cellStyle name="Normal 7 2 3 4" xfId="5360"/>
    <cellStyle name="Normal 7 2 3 4 2" xfId="5361"/>
    <cellStyle name="Normal 7 2 3 5" xfId="5362"/>
    <cellStyle name="Normal 7 2 3 6" xfId="60163"/>
    <cellStyle name="Normal 7 2 4" xfId="5363"/>
    <cellStyle name="Normal 7 2 4 2" xfId="5364"/>
    <cellStyle name="Normal 7 2 4 2 2" xfId="5365"/>
    <cellStyle name="Normal 7 2 4 2 2 2" xfId="5366"/>
    <cellStyle name="Normal 7 2 4 2 2 2 2" xfId="5367"/>
    <cellStyle name="Normal 7 2 4 2 2 3" xfId="5368"/>
    <cellStyle name="Normal 7 2 4 2 3" xfId="5369"/>
    <cellStyle name="Normal 7 2 4 2 3 2" xfId="5370"/>
    <cellStyle name="Normal 7 2 4 2 4" xfId="5371"/>
    <cellStyle name="Normal 7 2 4 3" xfId="5372"/>
    <cellStyle name="Normal 7 2 4 3 2" xfId="5373"/>
    <cellStyle name="Normal 7 2 4 3 2 2" xfId="5374"/>
    <cellStyle name="Normal 7 2 4 3 3" xfId="5375"/>
    <cellStyle name="Normal 7 2 4 4" xfId="5376"/>
    <cellStyle name="Normal 7 2 4 4 2" xfId="5377"/>
    <cellStyle name="Normal 7 2 4 5" xfId="5378"/>
    <cellStyle name="Normal 7 2 5" xfId="5379"/>
    <cellStyle name="Normal 7 2 5 2" xfId="5380"/>
    <cellStyle name="Normal 7 2 5 2 2" xfId="5381"/>
    <cellStyle name="Normal 7 2 5 2 2 2" xfId="5382"/>
    <cellStyle name="Normal 7 2 5 2 3" xfId="5383"/>
    <cellStyle name="Normal 7 2 5 3" xfId="5384"/>
    <cellStyle name="Normal 7 2 5 3 2" xfId="5385"/>
    <cellStyle name="Normal 7 2 5 4" xfId="5386"/>
    <cellStyle name="Normal 7 2 6" xfId="5387"/>
    <cellStyle name="Normal 7 2 6 2" xfId="5388"/>
    <cellStyle name="Normal 7 2 6 2 2" xfId="5389"/>
    <cellStyle name="Normal 7 2 6 3" xfId="5390"/>
    <cellStyle name="Normal 7 2 7" xfId="5391"/>
    <cellStyle name="Normal 7 2 7 2" xfId="5392"/>
    <cellStyle name="Normal 7 2 8" xfId="5393"/>
    <cellStyle name="Normal 7 2 9" xfId="60164"/>
    <cellStyle name="Normal 7 3" xfId="5394"/>
    <cellStyle name="Normal 7 3 2" xfId="5395"/>
    <cellStyle name="Normal 7 3 2 2" xfId="5396"/>
    <cellStyle name="Normal 7 3 2 2 2" xfId="5397"/>
    <cellStyle name="Normal 7 3 2 2 2 2" xfId="5398"/>
    <cellStyle name="Normal 7 3 2 2 2 2 2" xfId="5399"/>
    <cellStyle name="Normal 7 3 2 2 2 3" xfId="5400"/>
    <cellStyle name="Normal 7 3 2 2 3" xfId="5401"/>
    <cellStyle name="Normal 7 3 2 2 3 2" xfId="5402"/>
    <cellStyle name="Normal 7 3 2 2 4" xfId="5403"/>
    <cellStyle name="Normal 7 3 2 3" xfId="5404"/>
    <cellStyle name="Normal 7 3 2 3 2" xfId="5405"/>
    <cellStyle name="Normal 7 3 2 3 2 2" xfId="5406"/>
    <cellStyle name="Normal 7 3 2 3 3" xfId="5407"/>
    <cellStyle name="Normal 7 3 2 4" xfId="5408"/>
    <cellStyle name="Normal 7 3 2 4 2" xfId="5409"/>
    <cellStyle name="Normal 7 3 2 5" xfId="5410"/>
    <cellStyle name="Normal 7 3 2 6" xfId="60165"/>
    <cellStyle name="Normal 7 3 3" xfId="5411"/>
    <cellStyle name="Normal 7 3 3 2" xfId="5412"/>
    <cellStyle name="Normal 7 3 3 2 2" xfId="5413"/>
    <cellStyle name="Normal 7 3 3 2 2 2" xfId="5414"/>
    <cellStyle name="Normal 7 3 3 2 3" xfId="5415"/>
    <cellStyle name="Normal 7 3 3 3" xfId="5416"/>
    <cellStyle name="Normal 7 3 3 3 2" xfId="5417"/>
    <cellStyle name="Normal 7 3 3 4" xfId="5418"/>
    <cellStyle name="Normal 7 3 4" xfId="5419"/>
    <cellStyle name="Normal 7 3 4 2" xfId="5420"/>
    <cellStyle name="Normal 7 3 4 2 2" xfId="5421"/>
    <cellStyle name="Normal 7 3 4 3" xfId="5422"/>
    <cellStyle name="Normal 7 3 5" xfId="5423"/>
    <cellStyle name="Normal 7 3 5 2" xfId="5424"/>
    <cellStyle name="Normal 7 3 6" xfId="5425"/>
    <cellStyle name="Normal 7 3 7" xfId="60166"/>
    <cellStyle name="Normal 7 4" xfId="5426"/>
    <cellStyle name="Normal 7 4 2" xfId="5427"/>
    <cellStyle name="Normal 7 4 2 2" xfId="5428"/>
    <cellStyle name="Normal 7 4 2 2 2" xfId="5429"/>
    <cellStyle name="Normal 7 4 2 2 2 2" xfId="5430"/>
    <cellStyle name="Normal 7 4 2 2 3" xfId="5431"/>
    <cellStyle name="Normal 7 4 2 3" xfId="5432"/>
    <cellStyle name="Normal 7 4 2 3 2" xfId="5433"/>
    <cellStyle name="Normal 7 4 2 4" xfId="5434"/>
    <cellStyle name="Normal 7 4 2 5" xfId="60167"/>
    <cellStyle name="Normal 7 4 3" xfId="5435"/>
    <cellStyle name="Normal 7 4 3 2" xfId="5436"/>
    <cellStyle name="Normal 7 4 3 2 2" xfId="5437"/>
    <cellStyle name="Normal 7 4 3 3" xfId="5438"/>
    <cellStyle name="Normal 7 4 4" xfId="5439"/>
    <cellStyle name="Normal 7 4 4 2" xfId="5440"/>
    <cellStyle name="Normal 7 4 5" xfId="5441"/>
    <cellStyle name="Normal 7 4 6" xfId="60168"/>
    <cellStyle name="Normal 7 4 7" xfId="60169"/>
    <cellStyle name="Normal 7 5" xfId="5442"/>
    <cellStyle name="Normal 7 5 2" xfId="5443"/>
    <cellStyle name="Normal 7 5 2 2" xfId="5444"/>
    <cellStyle name="Normal 7 5 2 2 2" xfId="5445"/>
    <cellStyle name="Normal 7 5 2 2 2 2" xfId="5446"/>
    <cellStyle name="Normal 7 5 2 2 3" xfId="5447"/>
    <cellStyle name="Normal 7 5 2 3" xfId="5448"/>
    <cellStyle name="Normal 7 5 2 3 2" xfId="5449"/>
    <cellStyle name="Normal 7 5 2 4" xfId="5450"/>
    <cellStyle name="Normal 7 5 3" xfId="5451"/>
    <cellStyle name="Normal 7 5 3 2" xfId="5452"/>
    <cellStyle name="Normal 7 5 3 2 2" xfId="5453"/>
    <cellStyle name="Normal 7 5 3 3" xfId="5454"/>
    <cellStyle name="Normal 7 5 4" xfId="5455"/>
    <cellStyle name="Normal 7 5 4 2" xfId="5456"/>
    <cellStyle name="Normal 7 5 5" xfId="5457"/>
    <cellStyle name="Normal 7 5 6" xfId="60170"/>
    <cellStyle name="Normal 7 6" xfId="5458"/>
    <cellStyle name="Normal 7 6 2" xfId="5459"/>
    <cellStyle name="Normal 7 6 2 2" xfId="5460"/>
    <cellStyle name="Normal 7 6 2 2 2" xfId="5461"/>
    <cellStyle name="Normal 7 6 2 3" xfId="5462"/>
    <cellStyle name="Normal 7 6 3" xfId="5463"/>
    <cellStyle name="Normal 7 6 3 2" xfId="5464"/>
    <cellStyle name="Normal 7 6 4" xfId="5465"/>
    <cellStyle name="Normal 7 7" xfId="5466"/>
    <cellStyle name="Normal 7 7 2" xfId="5467"/>
    <cellStyle name="Normal 7 7 2 2" xfId="5468"/>
    <cellStyle name="Normal 7 7 3" xfId="5469"/>
    <cellStyle name="Normal 7 8" xfId="5470"/>
    <cellStyle name="Normal 7 8 2" xfId="5471"/>
    <cellStyle name="Normal 7 8 2 2" xfId="5472"/>
    <cellStyle name="Normal 7 8 3" xfId="5473"/>
    <cellStyle name="Normal 7 9" xfId="5474"/>
    <cellStyle name="Normal 7 9 2" xfId="5475"/>
    <cellStyle name="Normal 7_183302" xfId="8775"/>
    <cellStyle name="Normal 70" xfId="60171"/>
    <cellStyle name="Normal 71" xfId="60172"/>
    <cellStyle name="Normal 72" xfId="60173"/>
    <cellStyle name="Normal 73" xfId="60174"/>
    <cellStyle name="Normal 74" xfId="60175"/>
    <cellStyle name="Normal 74 2" xfId="61982"/>
    <cellStyle name="Normal 75" xfId="60176"/>
    <cellStyle name="Normal 76" xfId="60177"/>
    <cellStyle name="Normal 77" xfId="60178"/>
    <cellStyle name="Normal 78" xfId="60179"/>
    <cellStyle name="Normal 79" xfId="60180"/>
    <cellStyle name="Normal 8" xfId="5476"/>
    <cellStyle name="Normal 8 2" xfId="5477"/>
    <cellStyle name="Normal 8 2 2" xfId="5478"/>
    <cellStyle name="Normal 8 2 2 2" xfId="5479"/>
    <cellStyle name="Normal 8 2 2 2 2" xfId="5480"/>
    <cellStyle name="Normal 8 2 2 2 2 2" xfId="5481"/>
    <cellStyle name="Normal 8 2 2 2 2 2 2" xfId="5482"/>
    <cellStyle name="Normal 8 2 2 2 2 3" xfId="5483"/>
    <cellStyle name="Normal 8 2 2 2 3" xfId="5484"/>
    <cellStyle name="Normal 8 2 2 2 3 2" xfId="5485"/>
    <cellStyle name="Normal 8 2 2 2 4" xfId="5486"/>
    <cellStyle name="Normal 8 2 2 2 5" xfId="60181"/>
    <cellStyle name="Normal 8 2 2 3" xfId="5487"/>
    <cellStyle name="Normal 8 2 2 3 2" xfId="5488"/>
    <cellStyle name="Normal 8 2 2 3 2 2" xfId="5489"/>
    <cellStyle name="Normal 8 2 2 3 3" xfId="5490"/>
    <cellStyle name="Normal 8 2 2 4" xfId="5491"/>
    <cellStyle name="Normal 8 2 2 4 2" xfId="5492"/>
    <cellStyle name="Normal 8 2 2 5" xfId="5493"/>
    <cellStyle name="Normal 8 2 2 6" xfId="60182"/>
    <cellStyle name="Normal 8 2 3" xfId="5494"/>
    <cellStyle name="Normal 8 2 3 2" xfId="5495"/>
    <cellStyle name="Normal 8 2 3 2 2" xfId="5496"/>
    <cellStyle name="Normal 8 2 3 2 2 2" xfId="5497"/>
    <cellStyle name="Normal 8 2 3 2 3" xfId="5498"/>
    <cellStyle name="Normal 8 2 3 3" xfId="5499"/>
    <cellStyle name="Normal 8 2 3 3 2" xfId="5500"/>
    <cellStyle name="Normal 8 2 3 4" xfId="5501"/>
    <cellStyle name="Normal 8 2 3 5" xfId="60183"/>
    <cellStyle name="Normal 8 2 4" xfId="5502"/>
    <cellStyle name="Normal 8 2 4 2" xfId="5503"/>
    <cellStyle name="Normal 8 2 4 2 2" xfId="5504"/>
    <cellStyle name="Normal 8 2 4 3" xfId="5505"/>
    <cellStyle name="Normal 8 2 5" xfId="5506"/>
    <cellStyle name="Normal 8 2 5 2" xfId="5507"/>
    <cellStyle name="Normal 8 2 6" xfId="5508"/>
    <cellStyle name="Normal 8 2 7" xfId="5509"/>
    <cellStyle name="Normal 8 2 8" xfId="60184"/>
    <cellStyle name="Normal 8 3" xfId="5510"/>
    <cellStyle name="Normal 8 3 2" xfId="5511"/>
    <cellStyle name="Normal 8 3 2 2" xfId="5512"/>
    <cellStyle name="Normal 8 3 2 2 2" xfId="5513"/>
    <cellStyle name="Normal 8 3 2 2 2 2" xfId="5514"/>
    <cellStyle name="Normal 8 3 2 2 3" xfId="5515"/>
    <cellStyle name="Normal 8 3 2 3" xfId="5516"/>
    <cellStyle name="Normal 8 3 2 3 2" xfId="5517"/>
    <cellStyle name="Normal 8 3 2 4" xfId="5518"/>
    <cellStyle name="Normal 8 3 2 5" xfId="60185"/>
    <cellStyle name="Normal 8 3 3" xfId="5519"/>
    <cellStyle name="Normal 8 3 3 2" xfId="5520"/>
    <cellStyle name="Normal 8 3 3 2 2" xfId="5521"/>
    <cellStyle name="Normal 8 3 3 3" xfId="5522"/>
    <cellStyle name="Normal 8 3 4" xfId="5523"/>
    <cellStyle name="Normal 8 3 4 2" xfId="5524"/>
    <cellStyle name="Normal 8 3 5" xfId="5525"/>
    <cellStyle name="Normal 8 3 6" xfId="60186"/>
    <cellStyle name="Normal 8 4" xfId="5526"/>
    <cellStyle name="Normal 8 4 2" xfId="5527"/>
    <cellStyle name="Normal 8 4 2 2" xfId="5528"/>
    <cellStyle name="Normal 8 4 2 2 2" xfId="5529"/>
    <cellStyle name="Normal 8 4 2 3" xfId="5530"/>
    <cellStyle name="Normal 8 4 3" xfId="5531"/>
    <cellStyle name="Normal 8 4 3 2" xfId="5532"/>
    <cellStyle name="Normal 8 4 4" xfId="5533"/>
    <cellStyle name="Normal 8 4 5" xfId="60187"/>
    <cellStyle name="Normal 8 5" xfId="5534"/>
    <cellStyle name="Normal 8 5 2" xfId="5535"/>
    <cellStyle name="Normal 8 5 2 2" xfId="5536"/>
    <cellStyle name="Normal 8 5 3" xfId="5537"/>
    <cellStyle name="Normal 8 6" xfId="5538"/>
    <cellStyle name="Normal 8 6 2" xfId="5539"/>
    <cellStyle name="Normal 8 7" xfId="5540"/>
    <cellStyle name="Normal 8 8" xfId="5541"/>
    <cellStyle name="Normal 8_183302" xfId="8776"/>
    <cellStyle name="Normal 80" xfId="60188"/>
    <cellStyle name="Normal 81" xfId="60189"/>
    <cellStyle name="Normal 82" xfId="60190"/>
    <cellStyle name="Normal 83" xfId="60191"/>
    <cellStyle name="Normal 84" xfId="61971"/>
    <cellStyle name="Normal 85" xfId="61973"/>
    <cellStyle name="Normal 86" xfId="61975"/>
    <cellStyle name="Normal 86 2" xfId="61978"/>
    <cellStyle name="Normal 9" xfId="5542"/>
    <cellStyle name="Normal 9 2" xfId="5543"/>
    <cellStyle name="Normal 9 2 2" xfId="5544"/>
    <cellStyle name="Normal 9 2 2 2" xfId="5545"/>
    <cellStyle name="Normal 9 2 2 2 2" xfId="5546"/>
    <cellStyle name="Normal 9 2 2 2 2 2" xfId="5547"/>
    <cellStyle name="Normal 9 2 2 2 2 2 2" xfId="5548"/>
    <cellStyle name="Normal 9 2 2 2 2 3" xfId="5549"/>
    <cellStyle name="Normal 9 2 2 2 2 4" xfId="9292"/>
    <cellStyle name="Normal 9 2 2 2 3" xfId="5550"/>
    <cellStyle name="Normal 9 2 2 2 3 2" xfId="5551"/>
    <cellStyle name="Normal 9 2 2 2 4" xfId="5552"/>
    <cellStyle name="Normal 9 2 2 2 5" xfId="5553"/>
    <cellStyle name="Normal 9 2 2 2 6" xfId="9293"/>
    <cellStyle name="Normal 9 2 2 3" xfId="5554"/>
    <cellStyle name="Normal 9 2 2 3 2" xfId="5555"/>
    <cellStyle name="Normal 9 2 2 3 2 2" xfId="5556"/>
    <cellStyle name="Normal 9 2 2 3 3" xfId="5557"/>
    <cellStyle name="Normal 9 2 2 3 4" xfId="9294"/>
    <cellStyle name="Normal 9 2 2 4" xfId="5558"/>
    <cellStyle name="Normal 9 2 2 4 2" xfId="5559"/>
    <cellStyle name="Normal 9 2 2 5" xfId="5560"/>
    <cellStyle name="Normal 9 2 2 6" xfId="5561"/>
    <cellStyle name="Normal 9 2 2 7" xfId="9295"/>
    <cellStyle name="Normal 9 2 3" xfId="5562"/>
    <cellStyle name="Normal 9 2 3 2" xfId="5563"/>
    <cellStyle name="Normal 9 2 3 2 2" xfId="5564"/>
    <cellStyle name="Normal 9 2 3 2 2 2" xfId="5565"/>
    <cellStyle name="Normal 9 2 3 2 3" xfId="5566"/>
    <cellStyle name="Normal 9 2 3 2 4" xfId="9296"/>
    <cellStyle name="Normal 9 2 3 3" xfId="5567"/>
    <cellStyle name="Normal 9 2 3 3 2" xfId="5568"/>
    <cellStyle name="Normal 9 2 3 4" xfId="5569"/>
    <cellStyle name="Normal 9 2 3 5" xfId="5570"/>
    <cellStyle name="Normal 9 2 3 6" xfId="9297"/>
    <cellStyle name="Normal 9 2 4" xfId="5571"/>
    <cellStyle name="Normal 9 2 4 2" xfId="5572"/>
    <cellStyle name="Normal 9 2 4 2 2" xfId="5573"/>
    <cellStyle name="Normal 9 2 4 3" xfId="5574"/>
    <cellStyle name="Normal 9 2 4 4" xfId="9298"/>
    <cellStyle name="Normal 9 2 5" xfId="5575"/>
    <cellStyle name="Normal 9 2 5 2" xfId="5576"/>
    <cellStyle name="Normal 9 2 6" xfId="5577"/>
    <cellStyle name="Normal 9 2 7" xfId="5578"/>
    <cellStyle name="Normal 9 2 8" xfId="9299"/>
    <cellStyle name="Normal 9 3" xfId="5579"/>
    <cellStyle name="Normal 9 3 2" xfId="5580"/>
    <cellStyle name="Normal 9 3 2 2" xfId="5581"/>
    <cellStyle name="Normal 9 3 2 2 2" xfId="5582"/>
    <cellStyle name="Normal 9 3 2 2 2 2" xfId="5583"/>
    <cellStyle name="Normal 9 3 2 2 3" xfId="5584"/>
    <cellStyle name="Normal 9 3 2 2 4" xfId="9300"/>
    <cellStyle name="Normal 9 3 2 3" xfId="5585"/>
    <cellStyle name="Normal 9 3 2 3 2" xfId="5586"/>
    <cellStyle name="Normal 9 3 2 4" xfId="5587"/>
    <cellStyle name="Normal 9 3 2 5" xfId="5588"/>
    <cellStyle name="Normal 9 3 2 6" xfId="9301"/>
    <cellStyle name="Normal 9 3 3" xfId="5589"/>
    <cellStyle name="Normal 9 3 3 2" xfId="5590"/>
    <cellStyle name="Normal 9 3 3 2 2" xfId="5591"/>
    <cellStyle name="Normal 9 3 3 3" xfId="5592"/>
    <cellStyle name="Normal 9 3 3 4" xfId="9302"/>
    <cellStyle name="Normal 9 3 4" xfId="5593"/>
    <cellStyle name="Normal 9 3 4 2" xfId="5594"/>
    <cellStyle name="Normal 9 3 5" xfId="5595"/>
    <cellStyle name="Normal 9 3 6" xfId="5596"/>
    <cellStyle name="Normal 9 3 7" xfId="9303"/>
    <cellStyle name="Normal 9 4" xfId="5597"/>
    <cellStyle name="Normal 9 4 2" xfId="5598"/>
    <cellStyle name="Normal 9 4 2 2" xfId="5599"/>
    <cellStyle name="Normal 9 4 2 2 2" xfId="5600"/>
    <cellStyle name="Normal 9 4 2 3" xfId="5601"/>
    <cellStyle name="Normal 9 4 2 4" xfId="9304"/>
    <cellStyle name="Normal 9 4 3" xfId="5602"/>
    <cellStyle name="Normal 9 4 3 2" xfId="5603"/>
    <cellStyle name="Normal 9 4 4" xfId="5604"/>
    <cellStyle name="Normal 9 4 5" xfId="5605"/>
    <cellStyle name="Normal 9 4 6" xfId="9305"/>
    <cellStyle name="Normal 9 5" xfId="5606"/>
    <cellStyle name="Normal 9 5 2" xfId="5607"/>
    <cellStyle name="Normal 9 5 2 2" xfId="5608"/>
    <cellStyle name="Normal 9 5 3" xfId="5609"/>
    <cellStyle name="Normal 9 5 4" xfId="9306"/>
    <cellStyle name="Normal 9 6" xfId="5610"/>
    <cellStyle name="Normal 9 6 2" xfId="5611"/>
    <cellStyle name="Normal 9 7" xfId="5612"/>
    <cellStyle name="Normal 9 8" xfId="5613"/>
    <cellStyle name="Normal 9 9" xfId="9307"/>
    <cellStyle name="Normal_AFUDC Dec 2008 Balance by Acct Rev" xfId="61980"/>
    <cellStyle name="Normal_KU COS Print File 2003q3" xfId="8670"/>
    <cellStyle name="Normal_KU ESM Forms 2001(Final Order 10-16-02)" xfId="9375"/>
    <cellStyle name="Normal_Schedules A thru L Cost of Servive June 30, 2009" xfId="8677"/>
    <cellStyle name="Note 10" xfId="5614"/>
    <cellStyle name="Note 10 10" xfId="5615"/>
    <cellStyle name="Note 10 10 2" xfId="60192"/>
    <cellStyle name="Note 10 11" xfId="5616"/>
    <cellStyle name="Note 10 12" xfId="60193"/>
    <cellStyle name="Note 10 13" xfId="60194"/>
    <cellStyle name="Note 10 2" xfId="5617"/>
    <cellStyle name="Note 10 2 10" xfId="5618"/>
    <cellStyle name="Note 10 2 2" xfId="5619"/>
    <cellStyle name="Note 10 2 2 2" xfId="60195"/>
    <cellStyle name="Note 10 2 3" xfId="5620"/>
    <cellStyle name="Note 10 2 3 2" xfId="60196"/>
    <cellStyle name="Note 10 2 4" xfId="5621"/>
    <cellStyle name="Note 10 2 4 2" xfId="60197"/>
    <cellStyle name="Note 10 2 5" xfId="5622"/>
    <cellStyle name="Note 10 2 5 2" xfId="60198"/>
    <cellStyle name="Note 10 2 6" xfId="5623"/>
    <cellStyle name="Note 10 2 6 2" xfId="60199"/>
    <cellStyle name="Note 10 2 7" xfId="5624"/>
    <cellStyle name="Note 10 2 7 2" xfId="60200"/>
    <cellStyle name="Note 10 2 8" xfId="5625"/>
    <cellStyle name="Note 10 2 8 2" xfId="60201"/>
    <cellStyle name="Note 10 2 9" xfId="5626"/>
    <cellStyle name="Note 10 2 9 2" xfId="60202"/>
    <cellStyle name="Note 10 3" xfId="5627"/>
    <cellStyle name="Note 10 3 2" xfId="60203"/>
    <cellStyle name="Note 10 4" xfId="5628"/>
    <cellStyle name="Note 10 4 2" xfId="60204"/>
    <cellStyle name="Note 10 5" xfId="5629"/>
    <cellStyle name="Note 10 5 2" xfId="60205"/>
    <cellStyle name="Note 10 6" xfId="5630"/>
    <cellStyle name="Note 10 6 2" xfId="60206"/>
    <cellStyle name="Note 10 7" xfId="5631"/>
    <cellStyle name="Note 10 7 2" xfId="60207"/>
    <cellStyle name="Note 10 8" xfId="5632"/>
    <cellStyle name="Note 10 8 2" xfId="60208"/>
    <cellStyle name="Note 10 9" xfId="5633"/>
    <cellStyle name="Note 10 9 2" xfId="60209"/>
    <cellStyle name="Note 11" xfId="5634"/>
    <cellStyle name="Note 11 10" xfId="5635"/>
    <cellStyle name="Note 11 10 2" xfId="60210"/>
    <cellStyle name="Note 11 11" xfId="5636"/>
    <cellStyle name="Note 11 12" xfId="60211"/>
    <cellStyle name="Note 11 13" xfId="60212"/>
    <cellStyle name="Note 11 2" xfId="5637"/>
    <cellStyle name="Note 11 2 10" xfId="5638"/>
    <cellStyle name="Note 11 2 2" xfId="5639"/>
    <cellStyle name="Note 11 2 2 2" xfId="60213"/>
    <cellStyle name="Note 11 2 3" xfId="5640"/>
    <cellStyle name="Note 11 2 3 2" xfId="60214"/>
    <cellStyle name="Note 11 2 4" xfId="5641"/>
    <cellStyle name="Note 11 2 4 2" xfId="60215"/>
    <cellStyle name="Note 11 2 5" xfId="5642"/>
    <cellStyle name="Note 11 2 5 2" xfId="60216"/>
    <cellStyle name="Note 11 2 6" xfId="5643"/>
    <cellStyle name="Note 11 2 6 2" xfId="60217"/>
    <cellStyle name="Note 11 2 7" xfId="5644"/>
    <cellStyle name="Note 11 2 7 2" xfId="60218"/>
    <cellStyle name="Note 11 2 8" xfId="5645"/>
    <cellStyle name="Note 11 2 8 2" xfId="60219"/>
    <cellStyle name="Note 11 2 9" xfId="5646"/>
    <cellStyle name="Note 11 2 9 2" xfId="60220"/>
    <cellStyle name="Note 11 3" xfId="5647"/>
    <cellStyle name="Note 11 3 2" xfId="60221"/>
    <cellStyle name="Note 11 4" xfId="5648"/>
    <cellStyle name="Note 11 4 2" xfId="60222"/>
    <cellStyle name="Note 11 5" xfId="5649"/>
    <cellStyle name="Note 11 5 2" xfId="60223"/>
    <cellStyle name="Note 11 6" xfId="5650"/>
    <cellStyle name="Note 11 6 2" xfId="60224"/>
    <cellStyle name="Note 11 7" xfId="5651"/>
    <cellStyle name="Note 11 7 2" xfId="60225"/>
    <cellStyle name="Note 11 8" xfId="5652"/>
    <cellStyle name="Note 11 8 2" xfId="60226"/>
    <cellStyle name="Note 11 9" xfId="5653"/>
    <cellStyle name="Note 11 9 2" xfId="60227"/>
    <cellStyle name="Note 12" xfId="5654"/>
    <cellStyle name="Note 12 10" xfId="5655"/>
    <cellStyle name="Note 12 10 2" xfId="60228"/>
    <cellStyle name="Note 12 11" xfId="5656"/>
    <cellStyle name="Note 12 12" xfId="60229"/>
    <cellStyle name="Note 12 13" xfId="60230"/>
    <cellStyle name="Note 12 2" xfId="5657"/>
    <cellStyle name="Note 12 2 10" xfId="5658"/>
    <cellStyle name="Note 12 2 2" xfId="5659"/>
    <cellStyle name="Note 12 2 2 2" xfId="60231"/>
    <cellStyle name="Note 12 2 3" xfId="5660"/>
    <cellStyle name="Note 12 2 3 2" xfId="60232"/>
    <cellStyle name="Note 12 2 4" xfId="5661"/>
    <cellStyle name="Note 12 2 4 2" xfId="60233"/>
    <cellStyle name="Note 12 2 5" xfId="5662"/>
    <cellStyle name="Note 12 2 5 2" xfId="60234"/>
    <cellStyle name="Note 12 2 6" xfId="5663"/>
    <cellStyle name="Note 12 2 6 2" xfId="60235"/>
    <cellStyle name="Note 12 2 7" xfId="5664"/>
    <cellStyle name="Note 12 2 7 2" xfId="60236"/>
    <cellStyle name="Note 12 2 8" xfId="5665"/>
    <cellStyle name="Note 12 2 8 2" xfId="60237"/>
    <cellStyle name="Note 12 2 9" xfId="5666"/>
    <cellStyle name="Note 12 2 9 2" xfId="60238"/>
    <cellStyle name="Note 12 3" xfId="5667"/>
    <cellStyle name="Note 12 3 2" xfId="60239"/>
    <cellStyle name="Note 12 4" xfId="5668"/>
    <cellStyle name="Note 12 4 2" xfId="60240"/>
    <cellStyle name="Note 12 5" xfId="5669"/>
    <cellStyle name="Note 12 5 2" xfId="60241"/>
    <cellStyle name="Note 12 6" xfId="5670"/>
    <cellStyle name="Note 12 6 2" xfId="60242"/>
    <cellStyle name="Note 12 7" xfId="5671"/>
    <cellStyle name="Note 12 7 2" xfId="60243"/>
    <cellStyle name="Note 12 8" xfId="5672"/>
    <cellStyle name="Note 12 8 2" xfId="60244"/>
    <cellStyle name="Note 12 9" xfId="5673"/>
    <cellStyle name="Note 12 9 2" xfId="60245"/>
    <cellStyle name="Note 13" xfId="5674"/>
    <cellStyle name="Note 13 10" xfId="5675"/>
    <cellStyle name="Note 13 10 2" xfId="60246"/>
    <cellStyle name="Note 13 11" xfId="5676"/>
    <cellStyle name="Note 13 12" xfId="60247"/>
    <cellStyle name="Note 13 13" xfId="60248"/>
    <cellStyle name="Note 13 2" xfId="5677"/>
    <cellStyle name="Note 13 2 10" xfId="5678"/>
    <cellStyle name="Note 13 2 2" xfId="5679"/>
    <cellStyle name="Note 13 2 2 2" xfId="60249"/>
    <cellStyle name="Note 13 2 3" xfId="5680"/>
    <cellStyle name="Note 13 2 3 2" xfId="60250"/>
    <cellStyle name="Note 13 2 4" xfId="5681"/>
    <cellStyle name="Note 13 2 4 2" xfId="60251"/>
    <cellStyle name="Note 13 2 5" xfId="5682"/>
    <cellStyle name="Note 13 2 5 2" xfId="60252"/>
    <cellStyle name="Note 13 2 6" xfId="5683"/>
    <cellStyle name="Note 13 2 6 2" xfId="60253"/>
    <cellStyle name="Note 13 2 7" xfId="5684"/>
    <cellStyle name="Note 13 2 7 2" xfId="60254"/>
    <cellStyle name="Note 13 2 8" xfId="5685"/>
    <cellStyle name="Note 13 2 8 2" xfId="60255"/>
    <cellStyle name="Note 13 2 9" xfId="5686"/>
    <cellStyle name="Note 13 2 9 2" xfId="60256"/>
    <cellStyle name="Note 13 3" xfId="5687"/>
    <cellStyle name="Note 13 3 2" xfId="60257"/>
    <cellStyle name="Note 13 4" xfId="5688"/>
    <cellStyle name="Note 13 4 2" xfId="60258"/>
    <cellStyle name="Note 13 5" xfId="5689"/>
    <cellStyle name="Note 13 5 2" xfId="60259"/>
    <cellStyle name="Note 13 6" xfId="5690"/>
    <cellStyle name="Note 13 6 2" xfId="60260"/>
    <cellStyle name="Note 13 7" xfId="5691"/>
    <cellStyle name="Note 13 7 2" xfId="60261"/>
    <cellStyle name="Note 13 8" xfId="5692"/>
    <cellStyle name="Note 13 8 2" xfId="60262"/>
    <cellStyle name="Note 13 9" xfId="5693"/>
    <cellStyle name="Note 13 9 2" xfId="60263"/>
    <cellStyle name="Note 14" xfId="5694"/>
    <cellStyle name="Note 14 10" xfId="5695"/>
    <cellStyle name="Note 14 10 2" xfId="60264"/>
    <cellStyle name="Note 14 11" xfId="5696"/>
    <cellStyle name="Note 14 12" xfId="60265"/>
    <cellStyle name="Note 14 13" xfId="60266"/>
    <cellStyle name="Note 14 2" xfId="5697"/>
    <cellStyle name="Note 14 2 10" xfId="5698"/>
    <cellStyle name="Note 14 2 2" xfId="5699"/>
    <cellStyle name="Note 14 2 2 2" xfId="60267"/>
    <cellStyle name="Note 14 2 3" xfId="5700"/>
    <cellStyle name="Note 14 2 3 2" xfId="60268"/>
    <cellStyle name="Note 14 2 4" xfId="5701"/>
    <cellStyle name="Note 14 2 4 2" xfId="60269"/>
    <cellStyle name="Note 14 2 5" xfId="5702"/>
    <cellStyle name="Note 14 2 5 2" xfId="60270"/>
    <cellStyle name="Note 14 2 6" xfId="5703"/>
    <cellStyle name="Note 14 2 6 2" xfId="60271"/>
    <cellStyle name="Note 14 2 7" xfId="5704"/>
    <cellStyle name="Note 14 2 7 2" xfId="60272"/>
    <cellStyle name="Note 14 2 8" xfId="5705"/>
    <cellStyle name="Note 14 2 8 2" xfId="60273"/>
    <cellStyle name="Note 14 2 9" xfId="5706"/>
    <cellStyle name="Note 14 2 9 2" xfId="60274"/>
    <cellStyle name="Note 14 3" xfId="5707"/>
    <cellStyle name="Note 14 3 2" xfId="60275"/>
    <cellStyle name="Note 14 4" xfId="5708"/>
    <cellStyle name="Note 14 4 2" xfId="60276"/>
    <cellStyle name="Note 14 5" xfId="5709"/>
    <cellStyle name="Note 14 5 2" xfId="60277"/>
    <cellStyle name="Note 14 6" xfId="5710"/>
    <cellStyle name="Note 14 6 2" xfId="60278"/>
    <cellStyle name="Note 14 7" xfId="5711"/>
    <cellStyle name="Note 14 7 2" xfId="60279"/>
    <cellStyle name="Note 14 8" xfId="5712"/>
    <cellStyle name="Note 14 8 2" xfId="60280"/>
    <cellStyle name="Note 14 9" xfId="5713"/>
    <cellStyle name="Note 14 9 2" xfId="60281"/>
    <cellStyle name="Note 15" xfId="5714"/>
    <cellStyle name="Note 15 10" xfId="5715"/>
    <cellStyle name="Note 15 10 2" xfId="60282"/>
    <cellStyle name="Note 15 11" xfId="5716"/>
    <cellStyle name="Note 15 12" xfId="60283"/>
    <cellStyle name="Note 15 2" xfId="5717"/>
    <cellStyle name="Note 15 2 10" xfId="5718"/>
    <cellStyle name="Note 15 2 2" xfId="5719"/>
    <cellStyle name="Note 15 2 2 2" xfId="60284"/>
    <cellStyle name="Note 15 2 3" xfId="5720"/>
    <cellStyle name="Note 15 2 3 2" xfId="60285"/>
    <cellStyle name="Note 15 2 4" xfId="5721"/>
    <cellStyle name="Note 15 2 4 2" xfId="60286"/>
    <cellStyle name="Note 15 2 5" xfId="5722"/>
    <cellStyle name="Note 15 2 5 2" xfId="60287"/>
    <cellStyle name="Note 15 2 6" xfId="5723"/>
    <cellStyle name="Note 15 2 6 2" xfId="60288"/>
    <cellStyle name="Note 15 2 7" xfId="5724"/>
    <cellStyle name="Note 15 2 7 2" xfId="60289"/>
    <cellStyle name="Note 15 2 8" xfId="5725"/>
    <cellStyle name="Note 15 2 8 2" xfId="60290"/>
    <cellStyle name="Note 15 2 9" xfId="5726"/>
    <cellStyle name="Note 15 2 9 2" xfId="60291"/>
    <cellStyle name="Note 15 3" xfId="5727"/>
    <cellStyle name="Note 15 3 2" xfId="60292"/>
    <cellStyle name="Note 15 4" xfId="5728"/>
    <cellStyle name="Note 15 4 2" xfId="60293"/>
    <cellStyle name="Note 15 5" xfId="5729"/>
    <cellStyle name="Note 15 5 2" xfId="60294"/>
    <cellStyle name="Note 15 6" xfId="5730"/>
    <cellStyle name="Note 15 6 2" xfId="60295"/>
    <cellStyle name="Note 15 7" xfId="5731"/>
    <cellStyle name="Note 15 7 2" xfId="60296"/>
    <cellStyle name="Note 15 8" xfId="5732"/>
    <cellStyle name="Note 15 8 2" xfId="60297"/>
    <cellStyle name="Note 15 9" xfId="5733"/>
    <cellStyle name="Note 15 9 2" xfId="60298"/>
    <cellStyle name="Note 16" xfId="5734"/>
    <cellStyle name="Note 16 10" xfId="5735"/>
    <cellStyle name="Note 16 10 2" xfId="60299"/>
    <cellStyle name="Note 16 11" xfId="5736"/>
    <cellStyle name="Note 16 2" xfId="5737"/>
    <cellStyle name="Note 16 2 10" xfId="5738"/>
    <cellStyle name="Note 16 2 2" xfId="5739"/>
    <cellStyle name="Note 16 2 2 2" xfId="60300"/>
    <cellStyle name="Note 16 2 3" xfId="5740"/>
    <cellStyle name="Note 16 2 3 2" xfId="60301"/>
    <cellStyle name="Note 16 2 4" xfId="5741"/>
    <cellStyle name="Note 16 2 4 2" xfId="60302"/>
    <cellStyle name="Note 16 2 5" xfId="5742"/>
    <cellStyle name="Note 16 2 5 2" xfId="60303"/>
    <cellStyle name="Note 16 2 6" xfId="5743"/>
    <cellStyle name="Note 16 2 6 2" xfId="60304"/>
    <cellStyle name="Note 16 2 7" xfId="5744"/>
    <cellStyle name="Note 16 2 7 2" xfId="60305"/>
    <cellStyle name="Note 16 2 8" xfId="5745"/>
    <cellStyle name="Note 16 2 8 2" xfId="60306"/>
    <cellStyle name="Note 16 2 9" xfId="5746"/>
    <cellStyle name="Note 16 2 9 2" xfId="60307"/>
    <cellStyle name="Note 16 3" xfId="5747"/>
    <cellStyle name="Note 16 3 2" xfId="60308"/>
    <cellStyle name="Note 16 4" xfId="5748"/>
    <cellStyle name="Note 16 4 2" xfId="60309"/>
    <cellStyle name="Note 16 5" xfId="5749"/>
    <cellStyle name="Note 16 5 2" xfId="60310"/>
    <cellStyle name="Note 16 6" xfId="5750"/>
    <cellStyle name="Note 16 6 2" xfId="60311"/>
    <cellStyle name="Note 16 7" xfId="5751"/>
    <cellStyle name="Note 16 7 2" xfId="60312"/>
    <cellStyle name="Note 16 8" xfId="5752"/>
    <cellStyle name="Note 16 8 2" xfId="60313"/>
    <cellStyle name="Note 16 9" xfId="5753"/>
    <cellStyle name="Note 16 9 2" xfId="60314"/>
    <cellStyle name="Note 17" xfId="5754"/>
    <cellStyle name="Note 17 10" xfId="5755"/>
    <cellStyle name="Note 17 10 2" xfId="60315"/>
    <cellStyle name="Note 17 11" xfId="5756"/>
    <cellStyle name="Note 17 2" xfId="5757"/>
    <cellStyle name="Note 17 2 10" xfId="5758"/>
    <cellStyle name="Note 17 2 2" xfId="5759"/>
    <cellStyle name="Note 17 2 2 2" xfId="60316"/>
    <cellStyle name="Note 17 2 3" xfId="5760"/>
    <cellStyle name="Note 17 2 3 2" xfId="60317"/>
    <cellStyle name="Note 17 2 4" xfId="5761"/>
    <cellStyle name="Note 17 2 4 2" xfId="60318"/>
    <cellStyle name="Note 17 2 5" xfId="5762"/>
    <cellStyle name="Note 17 2 5 2" xfId="60319"/>
    <cellStyle name="Note 17 2 6" xfId="5763"/>
    <cellStyle name="Note 17 2 6 2" xfId="60320"/>
    <cellStyle name="Note 17 2 7" xfId="5764"/>
    <cellStyle name="Note 17 2 7 2" xfId="60321"/>
    <cellStyle name="Note 17 2 8" xfId="5765"/>
    <cellStyle name="Note 17 2 8 2" xfId="60322"/>
    <cellStyle name="Note 17 2 9" xfId="5766"/>
    <cellStyle name="Note 17 2 9 2" xfId="60323"/>
    <cellStyle name="Note 17 3" xfId="5767"/>
    <cellStyle name="Note 17 3 2" xfId="60324"/>
    <cellStyle name="Note 17 4" xfId="5768"/>
    <cellStyle name="Note 17 4 2" xfId="60325"/>
    <cellStyle name="Note 17 5" xfId="5769"/>
    <cellStyle name="Note 17 5 2" xfId="60326"/>
    <cellStyle name="Note 17 6" xfId="5770"/>
    <cellStyle name="Note 17 6 2" xfId="60327"/>
    <cellStyle name="Note 17 7" xfId="5771"/>
    <cellStyle name="Note 17 7 2" xfId="60328"/>
    <cellStyle name="Note 17 8" xfId="5772"/>
    <cellStyle name="Note 17 8 2" xfId="60329"/>
    <cellStyle name="Note 17 9" xfId="5773"/>
    <cellStyle name="Note 17 9 2" xfId="60330"/>
    <cellStyle name="Note 18" xfId="5774"/>
    <cellStyle name="Note 18 10" xfId="5775"/>
    <cellStyle name="Note 18 10 2" xfId="60331"/>
    <cellStyle name="Note 18 11" xfId="5776"/>
    <cellStyle name="Note 18 2" xfId="5777"/>
    <cellStyle name="Note 18 2 10" xfId="5778"/>
    <cellStyle name="Note 18 2 2" xfId="5779"/>
    <cellStyle name="Note 18 2 2 2" xfId="60332"/>
    <cellStyle name="Note 18 2 3" xfId="5780"/>
    <cellStyle name="Note 18 2 3 2" xfId="60333"/>
    <cellStyle name="Note 18 2 4" xfId="5781"/>
    <cellStyle name="Note 18 2 4 2" xfId="60334"/>
    <cellStyle name="Note 18 2 5" xfId="5782"/>
    <cellStyle name="Note 18 2 5 2" xfId="60335"/>
    <cellStyle name="Note 18 2 6" xfId="5783"/>
    <cellStyle name="Note 18 2 6 2" xfId="60336"/>
    <cellStyle name="Note 18 2 7" xfId="5784"/>
    <cellStyle name="Note 18 2 7 2" xfId="60337"/>
    <cellStyle name="Note 18 2 8" xfId="5785"/>
    <cellStyle name="Note 18 2 8 2" xfId="60338"/>
    <cellStyle name="Note 18 2 9" xfId="5786"/>
    <cellStyle name="Note 18 2 9 2" xfId="60339"/>
    <cellStyle name="Note 18 3" xfId="5787"/>
    <cellStyle name="Note 18 3 2" xfId="60340"/>
    <cellStyle name="Note 18 4" xfId="5788"/>
    <cellStyle name="Note 18 4 2" xfId="60341"/>
    <cellStyle name="Note 18 5" xfId="5789"/>
    <cellStyle name="Note 18 5 2" xfId="60342"/>
    <cellStyle name="Note 18 6" xfId="5790"/>
    <cellStyle name="Note 18 6 2" xfId="60343"/>
    <cellStyle name="Note 18 7" xfId="5791"/>
    <cellStyle name="Note 18 7 2" xfId="60344"/>
    <cellStyle name="Note 18 8" xfId="5792"/>
    <cellStyle name="Note 18 8 2" xfId="60345"/>
    <cellStyle name="Note 18 9" xfId="5793"/>
    <cellStyle name="Note 18 9 2" xfId="60346"/>
    <cellStyle name="Note 19" xfId="5794"/>
    <cellStyle name="Note 19 10" xfId="5795"/>
    <cellStyle name="Note 19 10 2" xfId="60347"/>
    <cellStyle name="Note 19 11" xfId="5796"/>
    <cellStyle name="Note 19 2" xfId="5797"/>
    <cellStyle name="Note 19 2 10" xfId="5798"/>
    <cellStyle name="Note 19 2 2" xfId="5799"/>
    <cellStyle name="Note 19 2 2 2" xfId="60348"/>
    <cellStyle name="Note 19 2 3" xfId="5800"/>
    <cellStyle name="Note 19 2 3 2" xfId="60349"/>
    <cellStyle name="Note 19 2 4" xfId="5801"/>
    <cellStyle name="Note 19 2 4 2" xfId="60350"/>
    <cellStyle name="Note 19 2 5" xfId="5802"/>
    <cellStyle name="Note 19 2 5 2" xfId="60351"/>
    <cellStyle name="Note 19 2 6" xfId="5803"/>
    <cellStyle name="Note 19 2 6 2" xfId="60352"/>
    <cellStyle name="Note 19 2 7" xfId="5804"/>
    <cellStyle name="Note 19 2 7 2" xfId="60353"/>
    <cellStyle name="Note 19 2 8" xfId="5805"/>
    <cellStyle name="Note 19 2 8 2" xfId="60354"/>
    <cellStyle name="Note 19 2 9" xfId="5806"/>
    <cellStyle name="Note 19 2 9 2" xfId="60355"/>
    <cellStyle name="Note 19 3" xfId="5807"/>
    <cellStyle name="Note 19 3 2" xfId="60356"/>
    <cellStyle name="Note 19 4" xfId="5808"/>
    <cellStyle name="Note 19 4 2" xfId="60357"/>
    <cellStyle name="Note 19 5" xfId="5809"/>
    <cellStyle name="Note 19 5 2" xfId="60358"/>
    <cellStyle name="Note 19 6" xfId="5810"/>
    <cellStyle name="Note 19 6 2" xfId="60359"/>
    <cellStyle name="Note 19 7" xfId="5811"/>
    <cellStyle name="Note 19 7 2" xfId="60360"/>
    <cellStyle name="Note 19 8" xfId="5812"/>
    <cellStyle name="Note 19 8 2" xfId="60361"/>
    <cellStyle name="Note 19 9" xfId="5813"/>
    <cellStyle name="Note 19 9 2" xfId="60362"/>
    <cellStyle name="Note 2" xfId="5814"/>
    <cellStyle name="Note 2 10" xfId="5815"/>
    <cellStyle name="Note 2 10 2" xfId="60363"/>
    <cellStyle name="Note 2 11" xfId="5816"/>
    <cellStyle name="Note 2 12" xfId="5817"/>
    <cellStyle name="Note 2 12 2" xfId="60364"/>
    <cellStyle name="Note 2 12 3" xfId="60365"/>
    <cellStyle name="Note 2 12 4" xfId="60366"/>
    <cellStyle name="Note 2 13" xfId="9308"/>
    <cellStyle name="Note 2 14" xfId="60367"/>
    <cellStyle name="Note 2 15" xfId="60368"/>
    <cellStyle name="Note 2 16" xfId="60369"/>
    <cellStyle name="Note 2 2" xfId="5818"/>
    <cellStyle name="Note 2 2 10" xfId="5819"/>
    <cellStyle name="Note 2 2 11" xfId="5820"/>
    <cellStyle name="Note 2 2 12" xfId="9309"/>
    <cellStyle name="Note 2 2 2" xfId="5821"/>
    <cellStyle name="Note 2 2 2 2" xfId="5822"/>
    <cellStyle name="Note 2 2 2 2 2" xfId="5823"/>
    <cellStyle name="Note 2 2 2 2 2 2" xfId="5824"/>
    <cellStyle name="Note 2 2 2 2 2 2 2" xfId="5825"/>
    <cellStyle name="Note 2 2 2 2 2 3" xfId="5826"/>
    <cellStyle name="Note 2 2 2 2 2 4" xfId="9310"/>
    <cellStyle name="Note 2 2 2 2 3" xfId="5827"/>
    <cellStyle name="Note 2 2 2 2 3 2" xfId="5828"/>
    <cellStyle name="Note 2 2 2 2 4" xfId="5829"/>
    <cellStyle name="Note 2 2 2 2 5" xfId="9311"/>
    <cellStyle name="Note 2 2 2 3" xfId="5830"/>
    <cellStyle name="Note 2 2 2 3 2" xfId="5831"/>
    <cellStyle name="Note 2 2 2 3 2 2" xfId="5832"/>
    <cellStyle name="Note 2 2 2 3 3" xfId="5833"/>
    <cellStyle name="Note 2 2 2 3 4" xfId="9312"/>
    <cellStyle name="Note 2 2 2 4" xfId="5834"/>
    <cellStyle name="Note 2 2 2 4 2" xfId="5835"/>
    <cellStyle name="Note 2 2 2 5" xfId="5836"/>
    <cellStyle name="Note 2 2 2 6" xfId="5837"/>
    <cellStyle name="Note 2 2 2 7" xfId="9313"/>
    <cellStyle name="Note 2 2 3" xfId="5838"/>
    <cellStyle name="Note 2 2 3 2" xfId="5839"/>
    <cellStyle name="Note 2 2 3 2 2" xfId="5840"/>
    <cellStyle name="Note 2 2 3 2 2 2" xfId="5841"/>
    <cellStyle name="Note 2 2 3 2 3" xfId="5842"/>
    <cellStyle name="Note 2 2 3 2 4" xfId="9314"/>
    <cellStyle name="Note 2 2 3 2 5" xfId="60370"/>
    <cellStyle name="Note 2 2 3 3" xfId="5843"/>
    <cellStyle name="Note 2 2 3 3 2" xfId="5844"/>
    <cellStyle name="Note 2 2 3 4" xfId="5845"/>
    <cellStyle name="Note 2 2 3 5" xfId="5846"/>
    <cellStyle name="Note 2 2 3 6" xfId="9315"/>
    <cellStyle name="Note 2 2 4" xfId="5847"/>
    <cellStyle name="Note 2 2 4 2" xfId="5848"/>
    <cellStyle name="Note 2 2 4 2 2" xfId="5849"/>
    <cellStyle name="Note 2 2 4 2 3" xfId="60371"/>
    <cellStyle name="Note 2 2 4 2 4" xfId="60372"/>
    <cellStyle name="Note 2 2 4 3" xfId="5850"/>
    <cellStyle name="Note 2 2 4 4" xfId="5851"/>
    <cellStyle name="Note 2 2 4 5" xfId="9316"/>
    <cellStyle name="Note 2 2 5" xfId="5852"/>
    <cellStyle name="Note 2 2 5 2" xfId="5853"/>
    <cellStyle name="Note 2 2 5 3" xfId="5854"/>
    <cellStyle name="Note 2 2 6" xfId="5855"/>
    <cellStyle name="Note 2 2 6 2" xfId="5856"/>
    <cellStyle name="Note 2 2 7" xfId="5857"/>
    <cellStyle name="Note 2 2 7 2" xfId="60373"/>
    <cellStyle name="Note 2 2 8" xfId="5858"/>
    <cellStyle name="Note 2 2 8 2" xfId="60374"/>
    <cellStyle name="Note 2 2 9" xfId="5859"/>
    <cellStyle name="Note 2 2 9 2" xfId="60375"/>
    <cellStyle name="Note 2 3" xfId="5860"/>
    <cellStyle name="Note 2 3 2" xfId="5861"/>
    <cellStyle name="Note 2 3 2 2" xfId="5862"/>
    <cellStyle name="Note 2 3 2 2 2" xfId="5863"/>
    <cellStyle name="Note 2 3 2 2 2 2" xfId="5864"/>
    <cellStyle name="Note 2 3 2 2 3" xfId="5865"/>
    <cellStyle name="Note 2 3 2 2 4" xfId="60376"/>
    <cellStyle name="Note 2 3 2 3" xfId="5866"/>
    <cellStyle name="Note 2 3 2 3 2" xfId="5867"/>
    <cellStyle name="Note 2 3 2 4" xfId="5868"/>
    <cellStyle name="Note 2 3 2 5" xfId="60377"/>
    <cellStyle name="Note 2 3 3" xfId="5869"/>
    <cellStyle name="Note 2 3 3 2" xfId="5870"/>
    <cellStyle name="Note 2 3 3 2 2" xfId="5871"/>
    <cellStyle name="Note 2 3 3 3" xfId="5872"/>
    <cellStyle name="Note 2 3 3 4" xfId="60378"/>
    <cellStyle name="Note 2 3 3 5" xfId="60379"/>
    <cellStyle name="Note 2 3 4" xfId="5873"/>
    <cellStyle name="Note 2 3 4 2" xfId="5874"/>
    <cellStyle name="Note 2 3 5" xfId="5875"/>
    <cellStyle name="Note 2 3 6" xfId="5876"/>
    <cellStyle name="Note 2 3 7" xfId="60380"/>
    <cellStyle name="Note 2 4" xfId="5877"/>
    <cellStyle name="Note 2 4 2" xfId="5878"/>
    <cellStyle name="Note 2 4 2 2" xfId="5879"/>
    <cellStyle name="Note 2 4 2 2 2" xfId="5880"/>
    <cellStyle name="Note 2 4 2 2 3" xfId="60381"/>
    <cellStyle name="Note 2 4 2 3" xfId="5881"/>
    <cellStyle name="Note 2 4 2 4" xfId="60382"/>
    <cellStyle name="Note 2 4 2 5" xfId="60383"/>
    <cellStyle name="Note 2 4 3" xfId="5882"/>
    <cellStyle name="Note 2 4 3 2" xfId="5883"/>
    <cellStyle name="Note 2 4 3 3" xfId="60384"/>
    <cellStyle name="Note 2 4 4" xfId="5884"/>
    <cellStyle name="Note 2 4 4 2" xfId="60385"/>
    <cellStyle name="Note 2 4 5" xfId="5885"/>
    <cellStyle name="Note 2 4 6" xfId="60386"/>
    <cellStyle name="Note 2 4 7" xfId="60387"/>
    <cellStyle name="Note 2 5" xfId="5886"/>
    <cellStyle name="Note 2 5 2" xfId="5887"/>
    <cellStyle name="Note 2 5 2 2" xfId="5888"/>
    <cellStyle name="Note 2 5 2 3" xfId="60388"/>
    <cellStyle name="Note 2 5 2 4" xfId="60389"/>
    <cellStyle name="Note 2 5 2 5" xfId="60390"/>
    <cellStyle name="Note 2 5 3" xfId="5889"/>
    <cellStyle name="Note 2 5 4" xfId="5890"/>
    <cellStyle name="Note 2 5 5" xfId="60391"/>
    <cellStyle name="Note 2 6" xfId="5891"/>
    <cellStyle name="Note 2 6 2" xfId="5892"/>
    <cellStyle name="Note 2 6 2 2" xfId="60392"/>
    <cellStyle name="Note 2 6 2 3" xfId="60393"/>
    <cellStyle name="Note 2 6 2 4" xfId="60394"/>
    <cellStyle name="Note 2 6 3" xfId="5893"/>
    <cellStyle name="Note 2 6 4" xfId="60395"/>
    <cellStyle name="Note 2 6 5" xfId="60396"/>
    <cellStyle name="Note 2 7" xfId="5894"/>
    <cellStyle name="Note 2 7 2" xfId="5895"/>
    <cellStyle name="Note 2 7 2 2" xfId="60397"/>
    <cellStyle name="Note 2 7 2 3" xfId="60398"/>
    <cellStyle name="Note 2 7 2 4" xfId="60399"/>
    <cellStyle name="Note 2 7 3" xfId="60400"/>
    <cellStyle name="Note 2 7 4" xfId="60401"/>
    <cellStyle name="Note 2 7 5" xfId="60402"/>
    <cellStyle name="Note 2 8" xfId="5896"/>
    <cellStyle name="Note 2 8 2" xfId="60403"/>
    <cellStyle name="Note 2 9" xfId="5897"/>
    <cellStyle name="Note 2 9 2" xfId="60404"/>
    <cellStyle name="Note 20" xfId="5898"/>
    <cellStyle name="Note 20 10" xfId="5899"/>
    <cellStyle name="Note 20 10 2" xfId="60405"/>
    <cellStyle name="Note 20 11" xfId="5900"/>
    <cellStyle name="Note 20 2" xfId="5901"/>
    <cellStyle name="Note 20 2 10" xfId="5902"/>
    <cellStyle name="Note 20 2 2" xfId="5903"/>
    <cellStyle name="Note 20 2 2 2" xfId="60406"/>
    <cellStyle name="Note 20 2 3" xfId="5904"/>
    <cellStyle name="Note 20 2 3 2" xfId="60407"/>
    <cellStyle name="Note 20 2 4" xfId="5905"/>
    <cellStyle name="Note 20 2 4 2" xfId="60408"/>
    <cellStyle name="Note 20 2 5" xfId="5906"/>
    <cellStyle name="Note 20 2 5 2" xfId="60409"/>
    <cellStyle name="Note 20 2 6" xfId="5907"/>
    <cellStyle name="Note 20 2 6 2" xfId="60410"/>
    <cellStyle name="Note 20 2 7" xfId="5908"/>
    <cellStyle name="Note 20 2 7 2" xfId="60411"/>
    <cellStyle name="Note 20 2 8" xfId="5909"/>
    <cellStyle name="Note 20 2 8 2" xfId="60412"/>
    <cellStyle name="Note 20 2 9" xfId="5910"/>
    <cellStyle name="Note 20 2 9 2" xfId="60413"/>
    <cellStyle name="Note 20 3" xfId="5911"/>
    <cellStyle name="Note 20 3 2" xfId="60414"/>
    <cellStyle name="Note 20 4" xfId="5912"/>
    <cellStyle name="Note 20 4 2" xfId="60415"/>
    <cellStyle name="Note 20 5" xfId="5913"/>
    <cellStyle name="Note 20 5 2" xfId="60416"/>
    <cellStyle name="Note 20 6" xfId="5914"/>
    <cellStyle name="Note 20 6 2" xfId="60417"/>
    <cellStyle name="Note 20 7" xfId="5915"/>
    <cellStyle name="Note 20 7 2" xfId="60418"/>
    <cellStyle name="Note 20 8" xfId="5916"/>
    <cellStyle name="Note 20 8 2" xfId="60419"/>
    <cellStyle name="Note 20 9" xfId="5917"/>
    <cellStyle name="Note 20 9 2" xfId="60420"/>
    <cellStyle name="Note 21" xfId="5918"/>
    <cellStyle name="Note 21 10" xfId="5919"/>
    <cellStyle name="Note 21 10 2" xfId="60421"/>
    <cellStyle name="Note 21 11" xfId="5920"/>
    <cellStyle name="Note 21 2" xfId="5921"/>
    <cellStyle name="Note 21 2 10" xfId="5922"/>
    <cellStyle name="Note 21 2 2" xfId="5923"/>
    <cellStyle name="Note 21 2 2 2" xfId="60422"/>
    <cellStyle name="Note 21 2 3" xfId="5924"/>
    <cellStyle name="Note 21 2 3 2" xfId="60423"/>
    <cellStyle name="Note 21 2 4" xfId="5925"/>
    <cellStyle name="Note 21 2 4 2" xfId="60424"/>
    <cellStyle name="Note 21 2 5" xfId="5926"/>
    <cellStyle name="Note 21 2 5 2" xfId="60425"/>
    <cellStyle name="Note 21 2 6" xfId="5927"/>
    <cellStyle name="Note 21 2 6 2" xfId="60426"/>
    <cellStyle name="Note 21 2 7" xfId="5928"/>
    <cellStyle name="Note 21 2 7 2" xfId="60427"/>
    <cellStyle name="Note 21 2 8" xfId="5929"/>
    <cellStyle name="Note 21 2 8 2" xfId="60428"/>
    <cellStyle name="Note 21 2 9" xfId="5930"/>
    <cellStyle name="Note 21 2 9 2" xfId="60429"/>
    <cellStyle name="Note 21 3" xfId="5931"/>
    <cellStyle name="Note 21 3 2" xfId="60430"/>
    <cellStyle name="Note 21 4" xfId="5932"/>
    <cellStyle name="Note 21 4 2" xfId="60431"/>
    <cellStyle name="Note 21 5" xfId="5933"/>
    <cellStyle name="Note 21 5 2" xfId="60432"/>
    <cellStyle name="Note 21 6" xfId="5934"/>
    <cellStyle name="Note 21 6 2" xfId="60433"/>
    <cellStyle name="Note 21 7" xfId="5935"/>
    <cellStyle name="Note 21 7 2" xfId="60434"/>
    <cellStyle name="Note 21 8" xfId="5936"/>
    <cellStyle name="Note 21 8 2" xfId="60435"/>
    <cellStyle name="Note 21 9" xfId="5937"/>
    <cellStyle name="Note 21 9 2" xfId="60436"/>
    <cellStyle name="Note 22" xfId="5938"/>
    <cellStyle name="Note 22 10" xfId="5939"/>
    <cellStyle name="Note 22 2" xfId="5940"/>
    <cellStyle name="Note 22 2 2" xfId="60437"/>
    <cellStyle name="Note 22 3" xfId="5941"/>
    <cellStyle name="Note 22 3 2" xfId="60438"/>
    <cellStyle name="Note 22 4" xfId="5942"/>
    <cellStyle name="Note 22 4 2" xfId="60439"/>
    <cellStyle name="Note 22 5" xfId="5943"/>
    <cellStyle name="Note 22 5 2" xfId="60440"/>
    <cellStyle name="Note 22 6" xfId="5944"/>
    <cellStyle name="Note 22 6 2" xfId="60441"/>
    <cellStyle name="Note 22 7" xfId="5945"/>
    <cellStyle name="Note 22 7 2" xfId="60442"/>
    <cellStyle name="Note 22 8" xfId="5946"/>
    <cellStyle name="Note 22 8 2" xfId="60443"/>
    <cellStyle name="Note 22 9" xfId="5947"/>
    <cellStyle name="Note 22 9 2" xfId="60444"/>
    <cellStyle name="Note 23" xfId="5948"/>
    <cellStyle name="Note 23 2" xfId="60445"/>
    <cellStyle name="Note 23 2 2" xfId="60446"/>
    <cellStyle name="Note 23 3" xfId="60447"/>
    <cellStyle name="Note 23 4" xfId="60448"/>
    <cellStyle name="Note 24" xfId="9317"/>
    <cellStyle name="Note 3" xfId="5949"/>
    <cellStyle name="Note 3 10" xfId="5950"/>
    <cellStyle name="Note 3 10 2" xfId="60449"/>
    <cellStyle name="Note 3 11" xfId="5951"/>
    <cellStyle name="Note 3 12" xfId="5952"/>
    <cellStyle name="Note 3 13" xfId="9318"/>
    <cellStyle name="Note 3 2" xfId="5953"/>
    <cellStyle name="Note 3 2 10" xfId="5954"/>
    <cellStyle name="Note 3 2 11" xfId="5955"/>
    <cellStyle name="Note 3 2 12" xfId="60450"/>
    <cellStyle name="Note 3 2 2" xfId="5956"/>
    <cellStyle name="Note 3 2 2 2" xfId="5957"/>
    <cellStyle name="Note 3 2 2 2 2" xfId="5958"/>
    <cellStyle name="Note 3 2 2 2 2 2" xfId="5959"/>
    <cellStyle name="Note 3 2 2 2 2 2 2" xfId="5960"/>
    <cellStyle name="Note 3 2 2 2 2 3" xfId="5961"/>
    <cellStyle name="Note 3 2 2 2 3" xfId="5962"/>
    <cellStyle name="Note 3 2 2 2 3 2" xfId="5963"/>
    <cellStyle name="Note 3 2 2 2 4" xfId="5964"/>
    <cellStyle name="Note 3 2 2 3" xfId="5965"/>
    <cellStyle name="Note 3 2 2 3 2" xfId="5966"/>
    <cellStyle name="Note 3 2 2 3 2 2" xfId="5967"/>
    <cellStyle name="Note 3 2 2 3 3" xfId="5968"/>
    <cellStyle name="Note 3 2 2 4" xfId="5969"/>
    <cellStyle name="Note 3 2 2 4 2" xfId="5970"/>
    <cellStyle name="Note 3 2 2 5" xfId="5971"/>
    <cellStyle name="Note 3 2 2 6" xfId="5972"/>
    <cellStyle name="Note 3 2 3" xfId="5973"/>
    <cellStyle name="Note 3 2 3 2" xfId="5974"/>
    <cellStyle name="Note 3 2 3 2 2" xfId="5975"/>
    <cellStyle name="Note 3 2 3 2 2 2" xfId="5976"/>
    <cellStyle name="Note 3 2 3 2 3" xfId="5977"/>
    <cellStyle name="Note 3 2 3 3" xfId="5978"/>
    <cellStyle name="Note 3 2 3 3 2" xfId="5979"/>
    <cellStyle name="Note 3 2 3 4" xfId="5980"/>
    <cellStyle name="Note 3 2 3 5" xfId="5981"/>
    <cellStyle name="Note 3 2 4" xfId="5982"/>
    <cellStyle name="Note 3 2 4 2" xfId="5983"/>
    <cellStyle name="Note 3 2 4 2 2" xfId="5984"/>
    <cellStyle name="Note 3 2 4 3" xfId="5985"/>
    <cellStyle name="Note 3 2 4 4" xfId="5986"/>
    <cellStyle name="Note 3 2 5" xfId="5987"/>
    <cellStyle name="Note 3 2 5 2" xfId="5988"/>
    <cellStyle name="Note 3 2 5 3" xfId="5989"/>
    <cellStyle name="Note 3 2 6" xfId="5990"/>
    <cellStyle name="Note 3 2 6 2" xfId="5991"/>
    <cellStyle name="Note 3 2 7" xfId="5992"/>
    <cellStyle name="Note 3 2 7 2" xfId="60451"/>
    <cellStyle name="Note 3 2 8" xfId="5993"/>
    <cellStyle name="Note 3 2 8 2" xfId="60452"/>
    <cellStyle name="Note 3 2 9" xfId="5994"/>
    <cellStyle name="Note 3 2 9 2" xfId="60453"/>
    <cellStyle name="Note 3 3" xfId="5995"/>
    <cellStyle name="Note 3 3 2" xfId="5996"/>
    <cellStyle name="Note 3 3 2 2" xfId="5997"/>
    <cellStyle name="Note 3 3 2 2 2" xfId="5998"/>
    <cellStyle name="Note 3 3 2 2 2 2" xfId="5999"/>
    <cellStyle name="Note 3 3 2 2 3" xfId="6000"/>
    <cellStyle name="Note 3 3 2 3" xfId="6001"/>
    <cellStyle name="Note 3 3 2 3 2" xfId="6002"/>
    <cellStyle name="Note 3 3 2 4" xfId="6003"/>
    <cellStyle name="Note 3 3 3" xfId="6004"/>
    <cellStyle name="Note 3 3 3 2" xfId="6005"/>
    <cellStyle name="Note 3 3 3 2 2" xfId="6006"/>
    <cellStyle name="Note 3 3 3 3" xfId="6007"/>
    <cellStyle name="Note 3 3 4" xfId="6008"/>
    <cellStyle name="Note 3 3 4 2" xfId="6009"/>
    <cellStyle name="Note 3 3 5" xfId="6010"/>
    <cellStyle name="Note 3 3 6" xfId="6011"/>
    <cellStyle name="Note 3 3 7" xfId="60454"/>
    <cellStyle name="Note 3 4" xfId="6012"/>
    <cellStyle name="Note 3 4 2" xfId="6013"/>
    <cellStyle name="Note 3 4 2 2" xfId="6014"/>
    <cellStyle name="Note 3 4 2 2 2" xfId="6015"/>
    <cellStyle name="Note 3 4 2 3" xfId="6016"/>
    <cellStyle name="Note 3 4 2 4" xfId="60455"/>
    <cellStyle name="Note 3 4 3" xfId="6017"/>
    <cellStyle name="Note 3 4 3 2" xfId="6018"/>
    <cellStyle name="Note 3 4 4" xfId="6019"/>
    <cellStyle name="Note 3 4 5" xfId="6020"/>
    <cellStyle name="Note 3 5" xfId="6021"/>
    <cellStyle name="Note 3 5 2" xfId="6022"/>
    <cellStyle name="Note 3 5 2 2" xfId="6023"/>
    <cellStyle name="Note 3 5 3" xfId="6024"/>
    <cellStyle name="Note 3 5 4" xfId="6025"/>
    <cellStyle name="Note 3 6" xfId="6026"/>
    <cellStyle name="Note 3 6 2" xfId="6027"/>
    <cellStyle name="Note 3 6 3" xfId="6028"/>
    <cellStyle name="Note 3 7" xfId="6029"/>
    <cellStyle name="Note 3 7 2" xfId="6030"/>
    <cellStyle name="Note 3 8" xfId="6031"/>
    <cellStyle name="Note 3 8 2" xfId="60456"/>
    <cellStyle name="Note 3 9" xfId="6032"/>
    <cellStyle name="Note 3 9 2" xfId="60457"/>
    <cellStyle name="Note 4" xfId="6033"/>
    <cellStyle name="Note 4 10" xfId="6034"/>
    <cellStyle name="Note 4 10 2" xfId="60458"/>
    <cellStyle name="Note 4 11" xfId="6035"/>
    <cellStyle name="Note 4 12" xfId="6036"/>
    <cellStyle name="Note 4 13" xfId="9319"/>
    <cellStyle name="Note 4 2" xfId="6037"/>
    <cellStyle name="Note 4 2 10" xfId="6038"/>
    <cellStyle name="Note 4 2 11" xfId="6039"/>
    <cellStyle name="Note 4 2 12" xfId="9320"/>
    <cellStyle name="Note 4 2 2" xfId="6040"/>
    <cellStyle name="Note 4 2 2 2" xfId="6041"/>
    <cellStyle name="Note 4 2 2 2 2" xfId="6042"/>
    <cellStyle name="Note 4 2 2 2 2 2" xfId="6043"/>
    <cellStyle name="Note 4 2 2 2 2 2 2" xfId="6044"/>
    <cellStyle name="Note 4 2 2 2 2 3" xfId="6045"/>
    <cellStyle name="Note 4 2 2 2 3" xfId="6046"/>
    <cellStyle name="Note 4 2 2 2 3 2" xfId="6047"/>
    <cellStyle name="Note 4 2 2 2 4" xfId="6048"/>
    <cellStyle name="Note 4 2 2 2 5" xfId="9321"/>
    <cellStyle name="Note 4 2 2 3" xfId="6049"/>
    <cellStyle name="Note 4 2 2 3 2" xfId="6050"/>
    <cellStyle name="Note 4 2 2 3 2 2" xfId="6051"/>
    <cellStyle name="Note 4 2 2 3 3" xfId="6052"/>
    <cellStyle name="Note 4 2 2 4" xfId="6053"/>
    <cellStyle name="Note 4 2 2 4 2" xfId="6054"/>
    <cellStyle name="Note 4 2 2 5" xfId="6055"/>
    <cellStyle name="Note 4 2 2 6" xfId="6056"/>
    <cellStyle name="Note 4 2 2 7" xfId="9322"/>
    <cellStyle name="Note 4 2 3" xfId="6057"/>
    <cellStyle name="Note 4 2 3 2" xfId="6058"/>
    <cellStyle name="Note 4 2 3 2 2" xfId="6059"/>
    <cellStyle name="Note 4 2 3 2 2 2" xfId="6060"/>
    <cellStyle name="Note 4 2 3 2 3" xfId="6061"/>
    <cellStyle name="Note 4 2 3 3" xfId="6062"/>
    <cellStyle name="Note 4 2 3 3 2" xfId="6063"/>
    <cellStyle name="Note 4 2 3 4" xfId="6064"/>
    <cellStyle name="Note 4 2 3 5" xfId="6065"/>
    <cellStyle name="Note 4 2 3 6" xfId="9323"/>
    <cellStyle name="Note 4 2 4" xfId="6066"/>
    <cellStyle name="Note 4 2 4 2" xfId="6067"/>
    <cellStyle name="Note 4 2 4 2 2" xfId="6068"/>
    <cellStyle name="Note 4 2 4 3" xfId="6069"/>
    <cellStyle name="Note 4 2 4 4" xfId="6070"/>
    <cellStyle name="Note 4 2 5" xfId="6071"/>
    <cellStyle name="Note 4 2 5 2" xfId="6072"/>
    <cellStyle name="Note 4 2 5 3" xfId="6073"/>
    <cellStyle name="Note 4 2 6" xfId="6074"/>
    <cellStyle name="Note 4 2 6 2" xfId="6075"/>
    <cellStyle name="Note 4 2 7" xfId="6076"/>
    <cellStyle name="Note 4 2 7 2" xfId="60459"/>
    <cellStyle name="Note 4 2 8" xfId="6077"/>
    <cellStyle name="Note 4 2 8 2" xfId="60460"/>
    <cellStyle name="Note 4 2 9" xfId="6078"/>
    <cellStyle name="Note 4 2 9 2" xfId="60461"/>
    <cellStyle name="Note 4 3" xfId="6079"/>
    <cellStyle name="Note 4 3 2" xfId="6080"/>
    <cellStyle name="Note 4 3 2 2" xfId="6081"/>
    <cellStyle name="Note 4 3 2 2 2" xfId="6082"/>
    <cellStyle name="Note 4 3 2 2 2 2" xfId="6083"/>
    <cellStyle name="Note 4 3 2 2 3" xfId="6084"/>
    <cellStyle name="Note 4 3 2 3" xfId="6085"/>
    <cellStyle name="Note 4 3 2 3 2" xfId="6086"/>
    <cellStyle name="Note 4 3 2 4" xfId="6087"/>
    <cellStyle name="Note 4 3 2 5" xfId="9324"/>
    <cellStyle name="Note 4 3 3" xfId="6088"/>
    <cellStyle name="Note 4 3 3 2" xfId="6089"/>
    <cellStyle name="Note 4 3 3 2 2" xfId="6090"/>
    <cellStyle name="Note 4 3 3 3" xfId="6091"/>
    <cellStyle name="Note 4 3 4" xfId="6092"/>
    <cellStyle name="Note 4 3 4 2" xfId="6093"/>
    <cellStyle name="Note 4 3 5" xfId="6094"/>
    <cellStyle name="Note 4 3 6" xfId="6095"/>
    <cellStyle name="Note 4 3 7" xfId="9325"/>
    <cellStyle name="Note 4 4" xfId="6096"/>
    <cellStyle name="Note 4 4 2" xfId="6097"/>
    <cellStyle name="Note 4 4 2 2" xfId="6098"/>
    <cellStyle name="Note 4 4 2 2 2" xfId="6099"/>
    <cellStyle name="Note 4 4 2 3" xfId="6100"/>
    <cellStyle name="Note 4 4 3" xfId="6101"/>
    <cellStyle name="Note 4 4 3 2" xfId="6102"/>
    <cellStyle name="Note 4 4 4" xfId="6103"/>
    <cellStyle name="Note 4 4 5" xfId="6104"/>
    <cellStyle name="Note 4 4 6" xfId="9326"/>
    <cellStyle name="Note 4 5" xfId="6105"/>
    <cellStyle name="Note 4 5 2" xfId="6106"/>
    <cellStyle name="Note 4 5 2 2" xfId="6107"/>
    <cellStyle name="Note 4 5 3" xfId="6108"/>
    <cellStyle name="Note 4 5 4" xfId="6109"/>
    <cellStyle name="Note 4 6" xfId="6110"/>
    <cellStyle name="Note 4 6 2" xfId="6111"/>
    <cellStyle name="Note 4 6 3" xfId="6112"/>
    <cellStyle name="Note 4 7" xfId="6113"/>
    <cellStyle name="Note 4 7 2" xfId="6114"/>
    <cellStyle name="Note 4 8" xfId="6115"/>
    <cellStyle name="Note 4 8 2" xfId="60462"/>
    <cellStyle name="Note 4 9" xfId="6116"/>
    <cellStyle name="Note 4 9 2" xfId="60463"/>
    <cellStyle name="Note 5" xfId="6117"/>
    <cellStyle name="Note 5 10" xfId="6118"/>
    <cellStyle name="Note 5 10 2" xfId="56127"/>
    <cellStyle name="Note 5 10 2 2" xfId="56128"/>
    <cellStyle name="Note 5 10 2 3" xfId="56129"/>
    <cellStyle name="Note 5 10 3" xfId="56130"/>
    <cellStyle name="Note 5 10 3 2" xfId="56131"/>
    <cellStyle name="Note 5 10 4" xfId="56132"/>
    <cellStyle name="Note 5 10 5" xfId="56133"/>
    <cellStyle name="Note 5 11" xfId="6119"/>
    <cellStyle name="Note 5 11 2" xfId="56134"/>
    <cellStyle name="Note 5 11 3" xfId="56135"/>
    <cellStyle name="Note 5 12" xfId="6120"/>
    <cellStyle name="Note 5 12 2" xfId="56136"/>
    <cellStyle name="Note 5 12 3" xfId="56137"/>
    <cellStyle name="Note 5 13" xfId="9327"/>
    <cellStyle name="Note 5 13 2" xfId="56138"/>
    <cellStyle name="Note 5 14" xfId="56139"/>
    <cellStyle name="Note 5 15" xfId="56140"/>
    <cellStyle name="Note 5 16" xfId="56141"/>
    <cellStyle name="Note 5 2" xfId="6121"/>
    <cellStyle name="Note 5 2 10" xfId="6122"/>
    <cellStyle name="Note 5 2 10 2" xfId="56142"/>
    <cellStyle name="Note 5 2 10 3" xfId="56143"/>
    <cellStyle name="Note 5 2 11" xfId="6123"/>
    <cellStyle name="Note 5 2 11 2" xfId="56144"/>
    <cellStyle name="Note 5 2 11 3" xfId="56145"/>
    <cellStyle name="Note 5 2 12" xfId="9328"/>
    <cellStyle name="Note 5 2 12 2" xfId="56146"/>
    <cellStyle name="Note 5 2 13" xfId="56147"/>
    <cellStyle name="Note 5 2 14" xfId="56148"/>
    <cellStyle name="Note 5 2 15" xfId="56149"/>
    <cellStyle name="Note 5 2 2" xfId="6124"/>
    <cellStyle name="Note 5 2 2 10" xfId="56150"/>
    <cellStyle name="Note 5 2 2 10 2" xfId="56151"/>
    <cellStyle name="Note 5 2 2 10 3" xfId="56152"/>
    <cellStyle name="Note 5 2 2 11" xfId="56153"/>
    <cellStyle name="Note 5 2 2 11 2" xfId="56154"/>
    <cellStyle name="Note 5 2 2 12" xfId="56155"/>
    <cellStyle name="Note 5 2 2 13" xfId="56156"/>
    <cellStyle name="Note 5 2 2 2" xfId="6125"/>
    <cellStyle name="Note 5 2 2 2 10" xfId="56157"/>
    <cellStyle name="Note 5 2 2 2 10 2" xfId="56158"/>
    <cellStyle name="Note 5 2 2 2 11" xfId="56159"/>
    <cellStyle name="Note 5 2 2 2 12" xfId="56160"/>
    <cellStyle name="Note 5 2 2 2 2" xfId="9329"/>
    <cellStyle name="Note 5 2 2 2 2 10" xfId="56161"/>
    <cellStyle name="Note 5 2 2 2 2 2" xfId="56162"/>
    <cellStyle name="Note 5 2 2 2 2 2 2" xfId="56163"/>
    <cellStyle name="Note 5 2 2 2 2 2 2 2" xfId="56164"/>
    <cellStyle name="Note 5 2 2 2 2 2 2 2 2" xfId="56165"/>
    <cellStyle name="Note 5 2 2 2 2 2 2 2 3" xfId="56166"/>
    <cellStyle name="Note 5 2 2 2 2 2 2 3" xfId="56167"/>
    <cellStyle name="Note 5 2 2 2 2 2 2 3 2" xfId="56168"/>
    <cellStyle name="Note 5 2 2 2 2 2 2 3 3" xfId="56169"/>
    <cellStyle name="Note 5 2 2 2 2 2 2 4" xfId="56170"/>
    <cellStyle name="Note 5 2 2 2 2 2 2 4 2" xfId="56171"/>
    <cellStyle name="Note 5 2 2 2 2 2 2 5" xfId="56172"/>
    <cellStyle name="Note 5 2 2 2 2 2 2 6" xfId="56173"/>
    <cellStyle name="Note 5 2 2 2 2 2 3" xfId="56174"/>
    <cellStyle name="Note 5 2 2 2 2 2 3 2" xfId="56175"/>
    <cellStyle name="Note 5 2 2 2 2 2 3 2 2" xfId="56176"/>
    <cellStyle name="Note 5 2 2 2 2 2 3 2 3" xfId="56177"/>
    <cellStyle name="Note 5 2 2 2 2 2 3 3" xfId="56178"/>
    <cellStyle name="Note 5 2 2 2 2 2 3 3 2" xfId="56179"/>
    <cellStyle name="Note 5 2 2 2 2 2 3 3 3" xfId="56180"/>
    <cellStyle name="Note 5 2 2 2 2 2 3 4" xfId="56181"/>
    <cellStyle name="Note 5 2 2 2 2 2 3 4 2" xfId="56182"/>
    <cellStyle name="Note 5 2 2 2 2 2 3 5" xfId="56183"/>
    <cellStyle name="Note 5 2 2 2 2 2 3 6" xfId="56184"/>
    <cellStyle name="Note 5 2 2 2 2 2 4" xfId="56185"/>
    <cellStyle name="Note 5 2 2 2 2 2 4 2" xfId="56186"/>
    <cellStyle name="Note 5 2 2 2 2 2 4 2 2" xfId="56187"/>
    <cellStyle name="Note 5 2 2 2 2 2 4 2 3" xfId="56188"/>
    <cellStyle name="Note 5 2 2 2 2 2 4 3" xfId="56189"/>
    <cellStyle name="Note 5 2 2 2 2 2 4 3 2" xfId="56190"/>
    <cellStyle name="Note 5 2 2 2 2 2 4 4" xfId="56191"/>
    <cellStyle name="Note 5 2 2 2 2 2 4 5" xfId="56192"/>
    <cellStyle name="Note 5 2 2 2 2 2 5" xfId="56193"/>
    <cellStyle name="Note 5 2 2 2 2 2 5 2" xfId="56194"/>
    <cellStyle name="Note 5 2 2 2 2 2 5 3" xfId="56195"/>
    <cellStyle name="Note 5 2 2 2 2 2 6" xfId="56196"/>
    <cellStyle name="Note 5 2 2 2 2 2 6 2" xfId="56197"/>
    <cellStyle name="Note 5 2 2 2 2 2 6 3" xfId="56198"/>
    <cellStyle name="Note 5 2 2 2 2 2 7" xfId="56199"/>
    <cellStyle name="Note 5 2 2 2 2 2 7 2" xfId="56200"/>
    <cellStyle name="Note 5 2 2 2 2 2 8" xfId="56201"/>
    <cellStyle name="Note 5 2 2 2 2 2 9" xfId="56202"/>
    <cellStyle name="Note 5 2 2 2 2 3" xfId="56203"/>
    <cellStyle name="Note 5 2 2 2 2 3 2" xfId="56204"/>
    <cellStyle name="Note 5 2 2 2 2 3 2 2" xfId="56205"/>
    <cellStyle name="Note 5 2 2 2 2 3 2 3" xfId="56206"/>
    <cellStyle name="Note 5 2 2 2 2 3 3" xfId="56207"/>
    <cellStyle name="Note 5 2 2 2 2 3 3 2" xfId="56208"/>
    <cellStyle name="Note 5 2 2 2 2 3 3 3" xfId="56209"/>
    <cellStyle name="Note 5 2 2 2 2 3 4" xfId="56210"/>
    <cellStyle name="Note 5 2 2 2 2 3 4 2" xfId="56211"/>
    <cellStyle name="Note 5 2 2 2 2 3 5" xfId="56212"/>
    <cellStyle name="Note 5 2 2 2 2 3 6" xfId="56213"/>
    <cellStyle name="Note 5 2 2 2 2 4" xfId="56214"/>
    <cellStyle name="Note 5 2 2 2 2 4 2" xfId="56215"/>
    <cellStyle name="Note 5 2 2 2 2 4 2 2" xfId="56216"/>
    <cellStyle name="Note 5 2 2 2 2 4 2 3" xfId="56217"/>
    <cellStyle name="Note 5 2 2 2 2 4 3" xfId="56218"/>
    <cellStyle name="Note 5 2 2 2 2 4 3 2" xfId="56219"/>
    <cellStyle name="Note 5 2 2 2 2 4 3 3" xfId="56220"/>
    <cellStyle name="Note 5 2 2 2 2 4 4" xfId="56221"/>
    <cellStyle name="Note 5 2 2 2 2 4 4 2" xfId="56222"/>
    <cellStyle name="Note 5 2 2 2 2 4 5" xfId="56223"/>
    <cellStyle name="Note 5 2 2 2 2 4 6" xfId="56224"/>
    <cellStyle name="Note 5 2 2 2 2 5" xfId="56225"/>
    <cellStyle name="Note 5 2 2 2 2 5 2" xfId="56226"/>
    <cellStyle name="Note 5 2 2 2 2 5 2 2" xfId="56227"/>
    <cellStyle name="Note 5 2 2 2 2 5 2 3" xfId="56228"/>
    <cellStyle name="Note 5 2 2 2 2 5 3" xfId="56229"/>
    <cellStyle name="Note 5 2 2 2 2 5 3 2" xfId="56230"/>
    <cellStyle name="Note 5 2 2 2 2 5 4" xfId="56231"/>
    <cellStyle name="Note 5 2 2 2 2 5 5" xfId="56232"/>
    <cellStyle name="Note 5 2 2 2 2 6" xfId="56233"/>
    <cellStyle name="Note 5 2 2 2 2 6 2" xfId="56234"/>
    <cellStyle name="Note 5 2 2 2 2 6 3" xfId="56235"/>
    <cellStyle name="Note 5 2 2 2 2 7" xfId="56236"/>
    <cellStyle name="Note 5 2 2 2 2 7 2" xfId="56237"/>
    <cellStyle name="Note 5 2 2 2 2 7 3" xfId="56238"/>
    <cellStyle name="Note 5 2 2 2 2 8" xfId="56239"/>
    <cellStyle name="Note 5 2 2 2 2 8 2" xfId="56240"/>
    <cellStyle name="Note 5 2 2 2 2 9" xfId="56241"/>
    <cellStyle name="Note 5 2 2 2 3" xfId="56242"/>
    <cellStyle name="Note 5 2 2 2 3 2" xfId="56243"/>
    <cellStyle name="Note 5 2 2 2 3 2 2" xfId="56244"/>
    <cellStyle name="Note 5 2 2 2 3 2 2 2" xfId="56245"/>
    <cellStyle name="Note 5 2 2 2 3 2 2 3" xfId="56246"/>
    <cellStyle name="Note 5 2 2 2 3 2 3" xfId="56247"/>
    <cellStyle name="Note 5 2 2 2 3 2 3 2" xfId="56248"/>
    <cellStyle name="Note 5 2 2 2 3 2 3 3" xfId="56249"/>
    <cellStyle name="Note 5 2 2 2 3 2 4" xfId="56250"/>
    <cellStyle name="Note 5 2 2 2 3 2 4 2" xfId="56251"/>
    <cellStyle name="Note 5 2 2 2 3 2 5" xfId="56252"/>
    <cellStyle name="Note 5 2 2 2 3 2 6" xfId="56253"/>
    <cellStyle name="Note 5 2 2 2 3 3" xfId="56254"/>
    <cellStyle name="Note 5 2 2 2 3 3 2" xfId="56255"/>
    <cellStyle name="Note 5 2 2 2 3 3 2 2" xfId="56256"/>
    <cellStyle name="Note 5 2 2 2 3 3 2 3" xfId="56257"/>
    <cellStyle name="Note 5 2 2 2 3 3 3" xfId="56258"/>
    <cellStyle name="Note 5 2 2 2 3 3 3 2" xfId="56259"/>
    <cellStyle name="Note 5 2 2 2 3 3 3 3" xfId="56260"/>
    <cellStyle name="Note 5 2 2 2 3 3 4" xfId="56261"/>
    <cellStyle name="Note 5 2 2 2 3 3 4 2" xfId="56262"/>
    <cellStyle name="Note 5 2 2 2 3 3 5" xfId="56263"/>
    <cellStyle name="Note 5 2 2 2 3 3 6" xfId="56264"/>
    <cellStyle name="Note 5 2 2 2 3 4" xfId="56265"/>
    <cellStyle name="Note 5 2 2 2 3 4 2" xfId="56266"/>
    <cellStyle name="Note 5 2 2 2 3 4 2 2" xfId="56267"/>
    <cellStyle name="Note 5 2 2 2 3 4 2 3" xfId="56268"/>
    <cellStyle name="Note 5 2 2 2 3 4 3" xfId="56269"/>
    <cellStyle name="Note 5 2 2 2 3 4 3 2" xfId="56270"/>
    <cellStyle name="Note 5 2 2 2 3 4 4" xfId="56271"/>
    <cellStyle name="Note 5 2 2 2 3 4 5" xfId="56272"/>
    <cellStyle name="Note 5 2 2 2 3 5" xfId="56273"/>
    <cellStyle name="Note 5 2 2 2 3 5 2" xfId="56274"/>
    <cellStyle name="Note 5 2 2 2 3 5 3" xfId="56275"/>
    <cellStyle name="Note 5 2 2 2 3 6" xfId="56276"/>
    <cellStyle name="Note 5 2 2 2 3 6 2" xfId="56277"/>
    <cellStyle name="Note 5 2 2 2 3 6 3" xfId="56278"/>
    <cellStyle name="Note 5 2 2 2 3 7" xfId="56279"/>
    <cellStyle name="Note 5 2 2 2 3 7 2" xfId="56280"/>
    <cellStyle name="Note 5 2 2 2 3 8" xfId="56281"/>
    <cellStyle name="Note 5 2 2 2 3 9" xfId="56282"/>
    <cellStyle name="Note 5 2 2 2 4" xfId="56283"/>
    <cellStyle name="Note 5 2 2 2 4 2" xfId="56284"/>
    <cellStyle name="Note 5 2 2 2 4 2 2" xfId="56285"/>
    <cellStyle name="Note 5 2 2 2 4 2 2 2" xfId="56286"/>
    <cellStyle name="Note 5 2 2 2 4 2 2 3" xfId="56287"/>
    <cellStyle name="Note 5 2 2 2 4 2 3" xfId="56288"/>
    <cellStyle name="Note 5 2 2 2 4 2 3 2" xfId="56289"/>
    <cellStyle name="Note 5 2 2 2 4 2 3 3" xfId="56290"/>
    <cellStyle name="Note 5 2 2 2 4 2 4" xfId="56291"/>
    <cellStyle name="Note 5 2 2 2 4 2 4 2" xfId="56292"/>
    <cellStyle name="Note 5 2 2 2 4 2 5" xfId="56293"/>
    <cellStyle name="Note 5 2 2 2 4 2 6" xfId="56294"/>
    <cellStyle name="Note 5 2 2 2 4 3" xfId="56295"/>
    <cellStyle name="Note 5 2 2 2 4 3 2" xfId="56296"/>
    <cellStyle name="Note 5 2 2 2 4 3 2 2" xfId="56297"/>
    <cellStyle name="Note 5 2 2 2 4 3 2 3" xfId="56298"/>
    <cellStyle name="Note 5 2 2 2 4 3 3" xfId="56299"/>
    <cellStyle name="Note 5 2 2 2 4 3 3 2" xfId="56300"/>
    <cellStyle name="Note 5 2 2 2 4 3 3 3" xfId="56301"/>
    <cellStyle name="Note 5 2 2 2 4 3 4" xfId="56302"/>
    <cellStyle name="Note 5 2 2 2 4 3 4 2" xfId="56303"/>
    <cellStyle name="Note 5 2 2 2 4 3 5" xfId="56304"/>
    <cellStyle name="Note 5 2 2 2 4 3 6" xfId="56305"/>
    <cellStyle name="Note 5 2 2 2 4 4" xfId="56306"/>
    <cellStyle name="Note 5 2 2 2 4 4 2" xfId="56307"/>
    <cellStyle name="Note 5 2 2 2 4 4 2 2" xfId="56308"/>
    <cellStyle name="Note 5 2 2 2 4 4 2 3" xfId="56309"/>
    <cellStyle name="Note 5 2 2 2 4 4 3" xfId="56310"/>
    <cellStyle name="Note 5 2 2 2 4 4 3 2" xfId="56311"/>
    <cellStyle name="Note 5 2 2 2 4 4 4" xfId="56312"/>
    <cellStyle name="Note 5 2 2 2 4 4 5" xfId="56313"/>
    <cellStyle name="Note 5 2 2 2 4 5" xfId="56314"/>
    <cellStyle name="Note 5 2 2 2 4 5 2" xfId="56315"/>
    <cellStyle name="Note 5 2 2 2 4 5 3" xfId="56316"/>
    <cellStyle name="Note 5 2 2 2 4 6" xfId="56317"/>
    <cellStyle name="Note 5 2 2 2 4 6 2" xfId="56318"/>
    <cellStyle name="Note 5 2 2 2 4 6 3" xfId="56319"/>
    <cellStyle name="Note 5 2 2 2 4 7" xfId="56320"/>
    <cellStyle name="Note 5 2 2 2 4 7 2" xfId="56321"/>
    <cellStyle name="Note 5 2 2 2 4 8" xfId="56322"/>
    <cellStyle name="Note 5 2 2 2 4 9" xfId="56323"/>
    <cellStyle name="Note 5 2 2 2 5" xfId="56324"/>
    <cellStyle name="Note 5 2 2 2 5 2" xfId="56325"/>
    <cellStyle name="Note 5 2 2 2 5 2 2" xfId="56326"/>
    <cellStyle name="Note 5 2 2 2 5 2 3" xfId="56327"/>
    <cellStyle name="Note 5 2 2 2 5 3" xfId="56328"/>
    <cellStyle name="Note 5 2 2 2 5 3 2" xfId="56329"/>
    <cellStyle name="Note 5 2 2 2 5 3 3" xfId="56330"/>
    <cellStyle name="Note 5 2 2 2 5 4" xfId="56331"/>
    <cellStyle name="Note 5 2 2 2 5 4 2" xfId="56332"/>
    <cellStyle name="Note 5 2 2 2 5 5" xfId="56333"/>
    <cellStyle name="Note 5 2 2 2 5 6" xfId="56334"/>
    <cellStyle name="Note 5 2 2 2 6" xfId="56335"/>
    <cellStyle name="Note 5 2 2 2 6 2" xfId="56336"/>
    <cellStyle name="Note 5 2 2 2 6 2 2" xfId="56337"/>
    <cellStyle name="Note 5 2 2 2 6 2 3" xfId="56338"/>
    <cellStyle name="Note 5 2 2 2 6 3" xfId="56339"/>
    <cellStyle name="Note 5 2 2 2 6 3 2" xfId="56340"/>
    <cellStyle name="Note 5 2 2 2 6 3 3" xfId="56341"/>
    <cellStyle name="Note 5 2 2 2 6 4" xfId="56342"/>
    <cellStyle name="Note 5 2 2 2 6 4 2" xfId="56343"/>
    <cellStyle name="Note 5 2 2 2 6 5" xfId="56344"/>
    <cellStyle name="Note 5 2 2 2 6 6" xfId="56345"/>
    <cellStyle name="Note 5 2 2 2 7" xfId="56346"/>
    <cellStyle name="Note 5 2 2 2 7 2" xfId="56347"/>
    <cellStyle name="Note 5 2 2 2 7 2 2" xfId="56348"/>
    <cellStyle name="Note 5 2 2 2 7 2 3" xfId="56349"/>
    <cellStyle name="Note 5 2 2 2 7 3" xfId="56350"/>
    <cellStyle name="Note 5 2 2 2 7 3 2" xfId="56351"/>
    <cellStyle name="Note 5 2 2 2 7 4" xfId="56352"/>
    <cellStyle name="Note 5 2 2 2 7 5" xfId="56353"/>
    <cellStyle name="Note 5 2 2 2 8" xfId="56354"/>
    <cellStyle name="Note 5 2 2 2 8 2" xfId="56355"/>
    <cellStyle name="Note 5 2 2 2 8 3" xfId="56356"/>
    <cellStyle name="Note 5 2 2 2 9" xfId="56357"/>
    <cellStyle name="Note 5 2 2 2 9 2" xfId="56358"/>
    <cellStyle name="Note 5 2 2 2 9 3" xfId="56359"/>
    <cellStyle name="Note 5 2 2 3" xfId="6126"/>
    <cellStyle name="Note 5 2 2 3 10" xfId="56360"/>
    <cellStyle name="Note 5 2 2 3 2" xfId="56361"/>
    <cellStyle name="Note 5 2 2 3 2 2" xfId="56362"/>
    <cellStyle name="Note 5 2 2 3 2 2 2" xfId="56363"/>
    <cellStyle name="Note 5 2 2 3 2 2 2 2" xfId="56364"/>
    <cellStyle name="Note 5 2 2 3 2 2 2 3" xfId="56365"/>
    <cellStyle name="Note 5 2 2 3 2 2 3" xfId="56366"/>
    <cellStyle name="Note 5 2 2 3 2 2 3 2" xfId="56367"/>
    <cellStyle name="Note 5 2 2 3 2 2 3 3" xfId="56368"/>
    <cellStyle name="Note 5 2 2 3 2 2 4" xfId="56369"/>
    <cellStyle name="Note 5 2 2 3 2 2 4 2" xfId="56370"/>
    <cellStyle name="Note 5 2 2 3 2 2 5" xfId="56371"/>
    <cellStyle name="Note 5 2 2 3 2 2 6" xfId="56372"/>
    <cellStyle name="Note 5 2 2 3 2 3" xfId="56373"/>
    <cellStyle name="Note 5 2 2 3 2 3 2" xfId="56374"/>
    <cellStyle name="Note 5 2 2 3 2 3 2 2" xfId="56375"/>
    <cellStyle name="Note 5 2 2 3 2 3 2 3" xfId="56376"/>
    <cellStyle name="Note 5 2 2 3 2 3 3" xfId="56377"/>
    <cellStyle name="Note 5 2 2 3 2 3 3 2" xfId="56378"/>
    <cellStyle name="Note 5 2 2 3 2 3 3 3" xfId="56379"/>
    <cellStyle name="Note 5 2 2 3 2 3 4" xfId="56380"/>
    <cellStyle name="Note 5 2 2 3 2 3 4 2" xfId="56381"/>
    <cellStyle name="Note 5 2 2 3 2 3 5" xfId="56382"/>
    <cellStyle name="Note 5 2 2 3 2 3 6" xfId="56383"/>
    <cellStyle name="Note 5 2 2 3 2 4" xfId="56384"/>
    <cellStyle name="Note 5 2 2 3 2 4 2" xfId="56385"/>
    <cellStyle name="Note 5 2 2 3 2 4 2 2" xfId="56386"/>
    <cellStyle name="Note 5 2 2 3 2 4 2 3" xfId="56387"/>
    <cellStyle name="Note 5 2 2 3 2 4 3" xfId="56388"/>
    <cellStyle name="Note 5 2 2 3 2 4 3 2" xfId="56389"/>
    <cellStyle name="Note 5 2 2 3 2 4 4" xfId="56390"/>
    <cellStyle name="Note 5 2 2 3 2 4 5" xfId="56391"/>
    <cellStyle name="Note 5 2 2 3 2 5" xfId="56392"/>
    <cellStyle name="Note 5 2 2 3 2 5 2" xfId="56393"/>
    <cellStyle name="Note 5 2 2 3 2 5 3" xfId="56394"/>
    <cellStyle name="Note 5 2 2 3 2 6" xfId="56395"/>
    <cellStyle name="Note 5 2 2 3 2 6 2" xfId="56396"/>
    <cellStyle name="Note 5 2 2 3 2 6 3" xfId="56397"/>
    <cellStyle name="Note 5 2 2 3 2 7" xfId="56398"/>
    <cellStyle name="Note 5 2 2 3 2 7 2" xfId="56399"/>
    <cellStyle name="Note 5 2 2 3 2 8" xfId="56400"/>
    <cellStyle name="Note 5 2 2 3 2 9" xfId="56401"/>
    <cellStyle name="Note 5 2 2 3 3" xfId="56402"/>
    <cellStyle name="Note 5 2 2 3 3 2" xfId="56403"/>
    <cellStyle name="Note 5 2 2 3 3 2 2" xfId="56404"/>
    <cellStyle name="Note 5 2 2 3 3 2 3" xfId="56405"/>
    <cellStyle name="Note 5 2 2 3 3 3" xfId="56406"/>
    <cellStyle name="Note 5 2 2 3 3 3 2" xfId="56407"/>
    <cellStyle name="Note 5 2 2 3 3 3 3" xfId="56408"/>
    <cellStyle name="Note 5 2 2 3 3 4" xfId="56409"/>
    <cellStyle name="Note 5 2 2 3 3 4 2" xfId="56410"/>
    <cellStyle name="Note 5 2 2 3 3 5" xfId="56411"/>
    <cellStyle name="Note 5 2 2 3 3 6" xfId="56412"/>
    <cellStyle name="Note 5 2 2 3 4" xfId="56413"/>
    <cellStyle name="Note 5 2 2 3 4 2" xfId="56414"/>
    <cellStyle name="Note 5 2 2 3 4 2 2" xfId="56415"/>
    <cellStyle name="Note 5 2 2 3 4 2 3" xfId="56416"/>
    <cellStyle name="Note 5 2 2 3 4 3" xfId="56417"/>
    <cellStyle name="Note 5 2 2 3 4 3 2" xfId="56418"/>
    <cellStyle name="Note 5 2 2 3 4 3 3" xfId="56419"/>
    <cellStyle name="Note 5 2 2 3 4 4" xfId="56420"/>
    <cellStyle name="Note 5 2 2 3 4 4 2" xfId="56421"/>
    <cellStyle name="Note 5 2 2 3 4 5" xfId="56422"/>
    <cellStyle name="Note 5 2 2 3 4 6" xfId="56423"/>
    <cellStyle name="Note 5 2 2 3 5" xfId="56424"/>
    <cellStyle name="Note 5 2 2 3 5 2" xfId="56425"/>
    <cellStyle name="Note 5 2 2 3 5 2 2" xfId="56426"/>
    <cellStyle name="Note 5 2 2 3 5 2 3" xfId="56427"/>
    <cellStyle name="Note 5 2 2 3 5 3" xfId="56428"/>
    <cellStyle name="Note 5 2 2 3 5 3 2" xfId="56429"/>
    <cellStyle name="Note 5 2 2 3 5 4" xfId="56430"/>
    <cellStyle name="Note 5 2 2 3 5 5" xfId="56431"/>
    <cellStyle name="Note 5 2 2 3 6" xfId="56432"/>
    <cellStyle name="Note 5 2 2 3 6 2" xfId="56433"/>
    <cellStyle name="Note 5 2 2 3 6 3" xfId="56434"/>
    <cellStyle name="Note 5 2 2 3 7" xfId="56435"/>
    <cellStyle name="Note 5 2 2 3 7 2" xfId="56436"/>
    <cellStyle name="Note 5 2 2 3 7 3" xfId="56437"/>
    <cellStyle name="Note 5 2 2 3 8" xfId="56438"/>
    <cellStyle name="Note 5 2 2 3 8 2" xfId="56439"/>
    <cellStyle name="Note 5 2 2 3 9" xfId="56440"/>
    <cellStyle name="Note 5 2 2 4" xfId="9330"/>
    <cellStyle name="Note 5 2 2 4 2" xfId="56441"/>
    <cellStyle name="Note 5 2 2 4 2 2" xfId="56442"/>
    <cellStyle name="Note 5 2 2 4 2 2 2" xfId="56443"/>
    <cellStyle name="Note 5 2 2 4 2 2 3" xfId="56444"/>
    <cellStyle name="Note 5 2 2 4 2 3" xfId="56445"/>
    <cellStyle name="Note 5 2 2 4 2 3 2" xfId="56446"/>
    <cellStyle name="Note 5 2 2 4 2 3 3" xfId="56447"/>
    <cellStyle name="Note 5 2 2 4 2 4" xfId="56448"/>
    <cellStyle name="Note 5 2 2 4 2 4 2" xfId="56449"/>
    <cellStyle name="Note 5 2 2 4 2 5" xfId="56450"/>
    <cellStyle name="Note 5 2 2 4 2 6" xfId="56451"/>
    <cellStyle name="Note 5 2 2 4 3" xfId="56452"/>
    <cellStyle name="Note 5 2 2 4 3 2" xfId="56453"/>
    <cellStyle name="Note 5 2 2 4 3 2 2" xfId="56454"/>
    <cellStyle name="Note 5 2 2 4 3 2 3" xfId="56455"/>
    <cellStyle name="Note 5 2 2 4 3 3" xfId="56456"/>
    <cellStyle name="Note 5 2 2 4 3 3 2" xfId="56457"/>
    <cellStyle name="Note 5 2 2 4 3 3 3" xfId="56458"/>
    <cellStyle name="Note 5 2 2 4 3 4" xfId="56459"/>
    <cellStyle name="Note 5 2 2 4 3 4 2" xfId="56460"/>
    <cellStyle name="Note 5 2 2 4 3 5" xfId="56461"/>
    <cellStyle name="Note 5 2 2 4 3 6" xfId="56462"/>
    <cellStyle name="Note 5 2 2 4 4" xfId="56463"/>
    <cellStyle name="Note 5 2 2 4 4 2" xfId="56464"/>
    <cellStyle name="Note 5 2 2 4 4 2 2" xfId="56465"/>
    <cellStyle name="Note 5 2 2 4 4 2 3" xfId="56466"/>
    <cellStyle name="Note 5 2 2 4 4 3" xfId="56467"/>
    <cellStyle name="Note 5 2 2 4 4 3 2" xfId="56468"/>
    <cellStyle name="Note 5 2 2 4 4 4" xfId="56469"/>
    <cellStyle name="Note 5 2 2 4 4 5" xfId="56470"/>
    <cellStyle name="Note 5 2 2 4 5" xfId="56471"/>
    <cellStyle name="Note 5 2 2 4 5 2" xfId="56472"/>
    <cellStyle name="Note 5 2 2 4 5 3" xfId="56473"/>
    <cellStyle name="Note 5 2 2 4 6" xfId="56474"/>
    <cellStyle name="Note 5 2 2 4 6 2" xfId="56475"/>
    <cellStyle name="Note 5 2 2 4 6 3" xfId="56476"/>
    <cellStyle name="Note 5 2 2 4 7" xfId="56477"/>
    <cellStyle name="Note 5 2 2 4 7 2" xfId="56478"/>
    <cellStyle name="Note 5 2 2 4 8" xfId="56479"/>
    <cellStyle name="Note 5 2 2 4 9" xfId="56480"/>
    <cellStyle name="Note 5 2 2 5" xfId="56481"/>
    <cellStyle name="Note 5 2 2 5 2" xfId="56482"/>
    <cellStyle name="Note 5 2 2 5 2 2" xfId="56483"/>
    <cellStyle name="Note 5 2 2 5 2 2 2" xfId="56484"/>
    <cellStyle name="Note 5 2 2 5 2 2 3" xfId="56485"/>
    <cellStyle name="Note 5 2 2 5 2 3" xfId="56486"/>
    <cellStyle name="Note 5 2 2 5 2 3 2" xfId="56487"/>
    <cellStyle name="Note 5 2 2 5 2 3 3" xfId="56488"/>
    <cellStyle name="Note 5 2 2 5 2 4" xfId="56489"/>
    <cellStyle name="Note 5 2 2 5 2 4 2" xfId="56490"/>
    <cellStyle name="Note 5 2 2 5 2 5" xfId="56491"/>
    <cellStyle name="Note 5 2 2 5 2 6" xfId="56492"/>
    <cellStyle name="Note 5 2 2 5 3" xfId="56493"/>
    <cellStyle name="Note 5 2 2 5 3 2" xfId="56494"/>
    <cellStyle name="Note 5 2 2 5 3 2 2" xfId="56495"/>
    <cellStyle name="Note 5 2 2 5 3 2 3" xfId="56496"/>
    <cellStyle name="Note 5 2 2 5 3 3" xfId="56497"/>
    <cellStyle name="Note 5 2 2 5 3 3 2" xfId="56498"/>
    <cellStyle name="Note 5 2 2 5 3 3 3" xfId="56499"/>
    <cellStyle name="Note 5 2 2 5 3 4" xfId="56500"/>
    <cellStyle name="Note 5 2 2 5 3 4 2" xfId="56501"/>
    <cellStyle name="Note 5 2 2 5 3 5" xfId="56502"/>
    <cellStyle name="Note 5 2 2 5 3 6" xfId="56503"/>
    <cellStyle name="Note 5 2 2 5 4" xfId="56504"/>
    <cellStyle name="Note 5 2 2 5 4 2" xfId="56505"/>
    <cellStyle name="Note 5 2 2 5 4 2 2" xfId="56506"/>
    <cellStyle name="Note 5 2 2 5 4 2 3" xfId="56507"/>
    <cellStyle name="Note 5 2 2 5 4 3" xfId="56508"/>
    <cellStyle name="Note 5 2 2 5 4 3 2" xfId="56509"/>
    <cellStyle name="Note 5 2 2 5 4 4" xfId="56510"/>
    <cellStyle name="Note 5 2 2 5 4 5" xfId="56511"/>
    <cellStyle name="Note 5 2 2 5 5" xfId="56512"/>
    <cellStyle name="Note 5 2 2 5 5 2" xfId="56513"/>
    <cellStyle name="Note 5 2 2 5 5 3" xfId="56514"/>
    <cellStyle name="Note 5 2 2 5 6" xfId="56515"/>
    <cellStyle name="Note 5 2 2 5 6 2" xfId="56516"/>
    <cellStyle name="Note 5 2 2 5 6 3" xfId="56517"/>
    <cellStyle name="Note 5 2 2 5 7" xfId="56518"/>
    <cellStyle name="Note 5 2 2 5 7 2" xfId="56519"/>
    <cellStyle name="Note 5 2 2 5 8" xfId="56520"/>
    <cellStyle name="Note 5 2 2 5 9" xfId="56521"/>
    <cellStyle name="Note 5 2 2 6" xfId="56522"/>
    <cellStyle name="Note 5 2 2 6 2" xfId="56523"/>
    <cellStyle name="Note 5 2 2 6 2 2" xfId="56524"/>
    <cellStyle name="Note 5 2 2 6 2 3" xfId="56525"/>
    <cellStyle name="Note 5 2 2 6 3" xfId="56526"/>
    <cellStyle name="Note 5 2 2 6 3 2" xfId="56527"/>
    <cellStyle name="Note 5 2 2 6 3 3" xfId="56528"/>
    <cellStyle name="Note 5 2 2 6 4" xfId="56529"/>
    <cellStyle name="Note 5 2 2 6 4 2" xfId="56530"/>
    <cellStyle name="Note 5 2 2 6 5" xfId="56531"/>
    <cellStyle name="Note 5 2 2 6 6" xfId="56532"/>
    <cellStyle name="Note 5 2 2 7" xfId="56533"/>
    <cellStyle name="Note 5 2 2 7 2" xfId="56534"/>
    <cellStyle name="Note 5 2 2 7 2 2" xfId="56535"/>
    <cellStyle name="Note 5 2 2 7 2 3" xfId="56536"/>
    <cellStyle name="Note 5 2 2 7 3" xfId="56537"/>
    <cellStyle name="Note 5 2 2 7 3 2" xfId="56538"/>
    <cellStyle name="Note 5 2 2 7 3 3" xfId="56539"/>
    <cellStyle name="Note 5 2 2 7 4" xfId="56540"/>
    <cellStyle name="Note 5 2 2 7 4 2" xfId="56541"/>
    <cellStyle name="Note 5 2 2 7 5" xfId="56542"/>
    <cellStyle name="Note 5 2 2 7 6" xfId="56543"/>
    <cellStyle name="Note 5 2 2 8" xfId="56544"/>
    <cellStyle name="Note 5 2 2 8 2" xfId="56545"/>
    <cellStyle name="Note 5 2 2 8 2 2" xfId="56546"/>
    <cellStyle name="Note 5 2 2 8 2 3" xfId="56547"/>
    <cellStyle name="Note 5 2 2 8 3" xfId="56548"/>
    <cellStyle name="Note 5 2 2 8 3 2" xfId="56549"/>
    <cellStyle name="Note 5 2 2 8 4" xfId="56550"/>
    <cellStyle name="Note 5 2 2 8 5" xfId="56551"/>
    <cellStyle name="Note 5 2 2 9" xfId="56552"/>
    <cellStyle name="Note 5 2 2 9 2" xfId="56553"/>
    <cellStyle name="Note 5 2 2 9 3" xfId="56554"/>
    <cellStyle name="Note 5 2 3" xfId="6127"/>
    <cellStyle name="Note 5 2 3 10" xfId="56555"/>
    <cellStyle name="Note 5 2 3 10 2" xfId="56556"/>
    <cellStyle name="Note 5 2 3 11" xfId="56557"/>
    <cellStyle name="Note 5 2 3 12" xfId="56558"/>
    <cellStyle name="Note 5 2 3 2" xfId="6128"/>
    <cellStyle name="Note 5 2 3 2 10" xfId="56559"/>
    <cellStyle name="Note 5 2 3 2 2" xfId="56560"/>
    <cellStyle name="Note 5 2 3 2 2 2" xfId="56561"/>
    <cellStyle name="Note 5 2 3 2 2 2 2" xfId="56562"/>
    <cellStyle name="Note 5 2 3 2 2 2 2 2" xfId="56563"/>
    <cellStyle name="Note 5 2 3 2 2 2 2 3" xfId="56564"/>
    <cellStyle name="Note 5 2 3 2 2 2 3" xfId="56565"/>
    <cellStyle name="Note 5 2 3 2 2 2 3 2" xfId="56566"/>
    <cellStyle name="Note 5 2 3 2 2 2 3 3" xfId="56567"/>
    <cellStyle name="Note 5 2 3 2 2 2 4" xfId="56568"/>
    <cellStyle name="Note 5 2 3 2 2 2 4 2" xfId="56569"/>
    <cellStyle name="Note 5 2 3 2 2 2 5" xfId="56570"/>
    <cellStyle name="Note 5 2 3 2 2 2 6" xfId="56571"/>
    <cellStyle name="Note 5 2 3 2 2 3" xfId="56572"/>
    <cellStyle name="Note 5 2 3 2 2 3 2" xfId="56573"/>
    <cellStyle name="Note 5 2 3 2 2 3 2 2" xfId="56574"/>
    <cellStyle name="Note 5 2 3 2 2 3 2 3" xfId="56575"/>
    <cellStyle name="Note 5 2 3 2 2 3 3" xfId="56576"/>
    <cellStyle name="Note 5 2 3 2 2 3 3 2" xfId="56577"/>
    <cellStyle name="Note 5 2 3 2 2 3 3 3" xfId="56578"/>
    <cellStyle name="Note 5 2 3 2 2 3 4" xfId="56579"/>
    <cellStyle name="Note 5 2 3 2 2 3 4 2" xfId="56580"/>
    <cellStyle name="Note 5 2 3 2 2 3 5" xfId="56581"/>
    <cellStyle name="Note 5 2 3 2 2 3 6" xfId="56582"/>
    <cellStyle name="Note 5 2 3 2 2 4" xfId="56583"/>
    <cellStyle name="Note 5 2 3 2 2 4 2" xfId="56584"/>
    <cellStyle name="Note 5 2 3 2 2 4 2 2" xfId="56585"/>
    <cellStyle name="Note 5 2 3 2 2 4 2 3" xfId="56586"/>
    <cellStyle name="Note 5 2 3 2 2 4 3" xfId="56587"/>
    <cellStyle name="Note 5 2 3 2 2 4 3 2" xfId="56588"/>
    <cellStyle name="Note 5 2 3 2 2 4 4" xfId="56589"/>
    <cellStyle name="Note 5 2 3 2 2 4 5" xfId="56590"/>
    <cellStyle name="Note 5 2 3 2 2 5" xfId="56591"/>
    <cellStyle name="Note 5 2 3 2 2 5 2" xfId="56592"/>
    <cellStyle name="Note 5 2 3 2 2 5 3" xfId="56593"/>
    <cellStyle name="Note 5 2 3 2 2 6" xfId="56594"/>
    <cellStyle name="Note 5 2 3 2 2 6 2" xfId="56595"/>
    <cellStyle name="Note 5 2 3 2 2 6 3" xfId="56596"/>
    <cellStyle name="Note 5 2 3 2 2 7" xfId="56597"/>
    <cellStyle name="Note 5 2 3 2 2 7 2" xfId="56598"/>
    <cellStyle name="Note 5 2 3 2 2 8" xfId="56599"/>
    <cellStyle name="Note 5 2 3 2 2 9" xfId="56600"/>
    <cellStyle name="Note 5 2 3 2 3" xfId="56601"/>
    <cellStyle name="Note 5 2 3 2 3 2" xfId="56602"/>
    <cellStyle name="Note 5 2 3 2 3 2 2" xfId="56603"/>
    <cellStyle name="Note 5 2 3 2 3 2 3" xfId="56604"/>
    <cellStyle name="Note 5 2 3 2 3 3" xfId="56605"/>
    <cellStyle name="Note 5 2 3 2 3 3 2" xfId="56606"/>
    <cellStyle name="Note 5 2 3 2 3 3 3" xfId="56607"/>
    <cellStyle name="Note 5 2 3 2 3 4" xfId="56608"/>
    <cellStyle name="Note 5 2 3 2 3 4 2" xfId="56609"/>
    <cellStyle name="Note 5 2 3 2 3 5" xfId="56610"/>
    <cellStyle name="Note 5 2 3 2 3 6" xfId="56611"/>
    <cellStyle name="Note 5 2 3 2 4" xfId="56612"/>
    <cellStyle name="Note 5 2 3 2 4 2" xfId="56613"/>
    <cellStyle name="Note 5 2 3 2 4 2 2" xfId="56614"/>
    <cellStyle name="Note 5 2 3 2 4 2 3" xfId="56615"/>
    <cellStyle name="Note 5 2 3 2 4 3" xfId="56616"/>
    <cellStyle name="Note 5 2 3 2 4 3 2" xfId="56617"/>
    <cellStyle name="Note 5 2 3 2 4 3 3" xfId="56618"/>
    <cellStyle name="Note 5 2 3 2 4 4" xfId="56619"/>
    <cellStyle name="Note 5 2 3 2 4 4 2" xfId="56620"/>
    <cellStyle name="Note 5 2 3 2 4 5" xfId="56621"/>
    <cellStyle name="Note 5 2 3 2 4 6" xfId="56622"/>
    <cellStyle name="Note 5 2 3 2 5" xfId="56623"/>
    <cellStyle name="Note 5 2 3 2 5 2" xfId="56624"/>
    <cellStyle name="Note 5 2 3 2 5 2 2" xfId="56625"/>
    <cellStyle name="Note 5 2 3 2 5 2 3" xfId="56626"/>
    <cellStyle name="Note 5 2 3 2 5 3" xfId="56627"/>
    <cellStyle name="Note 5 2 3 2 5 3 2" xfId="56628"/>
    <cellStyle name="Note 5 2 3 2 5 4" xfId="56629"/>
    <cellStyle name="Note 5 2 3 2 5 5" xfId="56630"/>
    <cellStyle name="Note 5 2 3 2 6" xfId="56631"/>
    <cellStyle name="Note 5 2 3 2 6 2" xfId="56632"/>
    <cellStyle name="Note 5 2 3 2 6 3" xfId="56633"/>
    <cellStyle name="Note 5 2 3 2 7" xfId="56634"/>
    <cellStyle name="Note 5 2 3 2 7 2" xfId="56635"/>
    <cellStyle name="Note 5 2 3 2 7 3" xfId="56636"/>
    <cellStyle name="Note 5 2 3 2 8" xfId="56637"/>
    <cellStyle name="Note 5 2 3 2 8 2" xfId="56638"/>
    <cellStyle name="Note 5 2 3 2 9" xfId="56639"/>
    <cellStyle name="Note 5 2 3 3" xfId="9331"/>
    <cellStyle name="Note 5 2 3 3 2" xfId="56640"/>
    <cellStyle name="Note 5 2 3 3 2 2" xfId="56641"/>
    <cellStyle name="Note 5 2 3 3 2 2 2" xfId="56642"/>
    <cellStyle name="Note 5 2 3 3 2 2 3" xfId="56643"/>
    <cellStyle name="Note 5 2 3 3 2 3" xfId="56644"/>
    <cellStyle name="Note 5 2 3 3 2 3 2" xfId="56645"/>
    <cellStyle name="Note 5 2 3 3 2 3 3" xfId="56646"/>
    <cellStyle name="Note 5 2 3 3 2 4" xfId="56647"/>
    <cellStyle name="Note 5 2 3 3 2 4 2" xfId="56648"/>
    <cellStyle name="Note 5 2 3 3 2 5" xfId="56649"/>
    <cellStyle name="Note 5 2 3 3 2 6" xfId="56650"/>
    <cellStyle name="Note 5 2 3 3 3" xfId="56651"/>
    <cellStyle name="Note 5 2 3 3 3 2" xfId="56652"/>
    <cellStyle name="Note 5 2 3 3 3 2 2" xfId="56653"/>
    <cellStyle name="Note 5 2 3 3 3 2 3" xfId="56654"/>
    <cellStyle name="Note 5 2 3 3 3 3" xfId="56655"/>
    <cellStyle name="Note 5 2 3 3 3 3 2" xfId="56656"/>
    <cellStyle name="Note 5 2 3 3 3 3 3" xfId="56657"/>
    <cellStyle name="Note 5 2 3 3 3 4" xfId="56658"/>
    <cellStyle name="Note 5 2 3 3 3 4 2" xfId="56659"/>
    <cellStyle name="Note 5 2 3 3 3 5" xfId="56660"/>
    <cellStyle name="Note 5 2 3 3 3 6" xfId="56661"/>
    <cellStyle name="Note 5 2 3 3 4" xfId="56662"/>
    <cellStyle name="Note 5 2 3 3 4 2" xfId="56663"/>
    <cellStyle name="Note 5 2 3 3 4 2 2" xfId="56664"/>
    <cellStyle name="Note 5 2 3 3 4 2 3" xfId="56665"/>
    <cellStyle name="Note 5 2 3 3 4 3" xfId="56666"/>
    <cellStyle name="Note 5 2 3 3 4 3 2" xfId="56667"/>
    <cellStyle name="Note 5 2 3 3 4 4" xfId="56668"/>
    <cellStyle name="Note 5 2 3 3 4 5" xfId="56669"/>
    <cellStyle name="Note 5 2 3 3 5" xfId="56670"/>
    <cellStyle name="Note 5 2 3 3 5 2" xfId="56671"/>
    <cellStyle name="Note 5 2 3 3 5 3" xfId="56672"/>
    <cellStyle name="Note 5 2 3 3 6" xfId="56673"/>
    <cellStyle name="Note 5 2 3 3 6 2" xfId="56674"/>
    <cellStyle name="Note 5 2 3 3 6 3" xfId="56675"/>
    <cellStyle name="Note 5 2 3 3 7" xfId="56676"/>
    <cellStyle name="Note 5 2 3 3 7 2" xfId="56677"/>
    <cellStyle name="Note 5 2 3 3 8" xfId="56678"/>
    <cellStyle name="Note 5 2 3 3 9" xfId="56679"/>
    <cellStyle name="Note 5 2 3 4" xfId="56680"/>
    <cellStyle name="Note 5 2 3 4 2" xfId="56681"/>
    <cellStyle name="Note 5 2 3 4 2 2" xfId="56682"/>
    <cellStyle name="Note 5 2 3 4 2 2 2" xfId="56683"/>
    <cellStyle name="Note 5 2 3 4 2 2 3" xfId="56684"/>
    <cellStyle name="Note 5 2 3 4 2 3" xfId="56685"/>
    <cellStyle name="Note 5 2 3 4 2 3 2" xfId="56686"/>
    <cellStyle name="Note 5 2 3 4 2 3 3" xfId="56687"/>
    <cellStyle name="Note 5 2 3 4 2 4" xfId="56688"/>
    <cellStyle name="Note 5 2 3 4 2 4 2" xfId="56689"/>
    <cellStyle name="Note 5 2 3 4 2 5" xfId="56690"/>
    <cellStyle name="Note 5 2 3 4 2 6" xfId="56691"/>
    <cellStyle name="Note 5 2 3 4 3" xfId="56692"/>
    <cellStyle name="Note 5 2 3 4 3 2" xfId="56693"/>
    <cellStyle name="Note 5 2 3 4 3 2 2" xfId="56694"/>
    <cellStyle name="Note 5 2 3 4 3 2 3" xfId="56695"/>
    <cellStyle name="Note 5 2 3 4 3 3" xfId="56696"/>
    <cellStyle name="Note 5 2 3 4 3 3 2" xfId="56697"/>
    <cellStyle name="Note 5 2 3 4 3 3 3" xfId="56698"/>
    <cellStyle name="Note 5 2 3 4 3 4" xfId="56699"/>
    <cellStyle name="Note 5 2 3 4 3 4 2" xfId="56700"/>
    <cellStyle name="Note 5 2 3 4 3 5" xfId="56701"/>
    <cellStyle name="Note 5 2 3 4 3 6" xfId="56702"/>
    <cellStyle name="Note 5 2 3 4 4" xfId="56703"/>
    <cellStyle name="Note 5 2 3 4 4 2" xfId="56704"/>
    <cellStyle name="Note 5 2 3 4 4 2 2" xfId="56705"/>
    <cellStyle name="Note 5 2 3 4 4 2 3" xfId="56706"/>
    <cellStyle name="Note 5 2 3 4 4 3" xfId="56707"/>
    <cellStyle name="Note 5 2 3 4 4 3 2" xfId="56708"/>
    <cellStyle name="Note 5 2 3 4 4 4" xfId="56709"/>
    <cellStyle name="Note 5 2 3 4 4 5" xfId="56710"/>
    <cellStyle name="Note 5 2 3 4 5" xfId="56711"/>
    <cellStyle name="Note 5 2 3 4 5 2" xfId="56712"/>
    <cellStyle name="Note 5 2 3 4 5 3" xfId="56713"/>
    <cellStyle name="Note 5 2 3 4 6" xfId="56714"/>
    <cellStyle name="Note 5 2 3 4 6 2" xfId="56715"/>
    <cellStyle name="Note 5 2 3 4 6 3" xfId="56716"/>
    <cellStyle name="Note 5 2 3 4 7" xfId="56717"/>
    <cellStyle name="Note 5 2 3 4 7 2" xfId="56718"/>
    <cellStyle name="Note 5 2 3 4 8" xfId="56719"/>
    <cellStyle name="Note 5 2 3 4 9" xfId="56720"/>
    <cellStyle name="Note 5 2 3 5" xfId="56721"/>
    <cellStyle name="Note 5 2 3 5 2" xfId="56722"/>
    <cellStyle name="Note 5 2 3 5 2 2" xfId="56723"/>
    <cellStyle name="Note 5 2 3 5 2 3" xfId="56724"/>
    <cellStyle name="Note 5 2 3 5 3" xfId="56725"/>
    <cellStyle name="Note 5 2 3 5 3 2" xfId="56726"/>
    <cellStyle name="Note 5 2 3 5 3 3" xfId="56727"/>
    <cellStyle name="Note 5 2 3 5 4" xfId="56728"/>
    <cellStyle name="Note 5 2 3 5 4 2" xfId="56729"/>
    <cellStyle name="Note 5 2 3 5 5" xfId="56730"/>
    <cellStyle name="Note 5 2 3 5 6" xfId="56731"/>
    <cellStyle name="Note 5 2 3 6" xfId="56732"/>
    <cellStyle name="Note 5 2 3 6 2" xfId="56733"/>
    <cellStyle name="Note 5 2 3 6 2 2" xfId="56734"/>
    <cellStyle name="Note 5 2 3 6 2 3" xfId="56735"/>
    <cellStyle name="Note 5 2 3 6 3" xfId="56736"/>
    <cellStyle name="Note 5 2 3 6 3 2" xfId="56737"/>
    <cellStyle name="Note 5 2 3 6 3 3" xfId="56738"/>
    <cellStyle name="Note 5 2 3 6 4" xfId="56739"/>
    <cellStyle name="Note 5 2 3 6 4 2" xfId="56740"/>
    <cellStyle name="Note 5 2 3 6 5" xfId="56741"/>
    <cellStyle name="Note 5 2 3 6 6" xfId="56742"/>
    <cellStyle name="Note 5 2 3 7" xfId="56743"/>
    <cellStyle name="Note 5 2 3 7 2" xfId="56744"/>
    <cellStyle name="Note 5 2 3 7 2 2" xfId="56745"/>
    <cellStyle name="Note 5 2 3 7 2 3" xfId="56746"/>
    <cellStyle name="Note 5 2 3 7 3" xfId="56747"/>
    <cellStyle name="Note 5 2 3 7 3 2" xfId="56748"/>
    <cellStyle name="Note 5 2 3 7 4" xfId="56749"/>
    <cellStyle name="Note 5 2 3 7 5" xfId="56750"/>
    <cellStyle name="Note 5 2 3 8" xfId="56751"/>
    <cellStyle name="Note 5 2 3 8 2" xfId="56752"/>
    <cellStyle name="Note 5 2 3 8 3" xfId="56753"/>
    <cellStyle name="Note 5 2 3 9" xfId="56754"/>
    <cellStyle name="Note 5 2 3 9 2" xfId="56755"/>
    <cellStyle name="Note 5 2 3 9 3" xfId="56756"/>
    <cellStyle name="Note 5 2 4" xfId="6129"/>
    <cellStyle name="Note 5 2 4 10" xfId="56757"/>
    <cellStyle name="Note 5 2 4 2" xfId="56758"/>
    <cellStyle name="Note 5 2 4 2 2" xfId="56759"/>
    <cellStyle name="Note 5 2 4 2 2 2" xfId="56760"/>
    <cellStyle name="Note 5 2 4 2 2 2 2" xfId="56761"/>
    <cellStyle name="Note 5 2 4 2 2 2 3" xfId="56762"/>
    <cellStyle name="Note 5 2 4 2 2 3" xfId="56763"/>
    <cellStyle name="Note 5 2 4 2 2 3 2" xfId="56764"/>
    <cellStyle name="Note 5 2 4 2 2 3 3" xfId="56765"/>
    <cellStyle name="Note 5 2 4 2 2 4" xfId="56766"/>
    <cellStyle name="Note 5 2 4 2 2 4 2" xfId="56767"/>
    <cellStyle name="Note 5 2 4 2 2 5" xfId="56768"/>
    <cellStyle name="Note 5 2 4 2 2 6" xfId="56769"/>
    <cellStyle name="Note 5 2 4 2 3" xfId="56770"/>
    <cellStyle name="Note 5 2 4 2 3 2" xfId="56771"/>
    <cellStyle name="Note 5 2 4 2 3 2 2" xfId="56772"/>
    <cellStyle name="Note 5 2 4 2 3 2 3" xfId="56773"/>
    <cellStyle name="Note 5 2 4 2 3 3" xfId="56774"/>
    <cellStyle name="Note 5 2 4 2 3 3 2" xfId="56775"/>
    <cellStyle name="Note 5 2 4 2 3 3 3" xfId="56776"/>
    <cellStyle name="Note 5 2 4 2 3 4" xfId="56777"/>
    <cellStyle name="Note 5 2 4 2 3 4 2" xfId="56778"/>
    <cellStyle name="Note 5 2 4 2 3 5" xfId="56779"/>
    <cellStyle name="Note 5 2 4 2 3 6" xfId="56780"/>
    <cellStyle name="Note 5 2 4 2 4" xfId="56781"/>
    <cellStyle name="Note 5 2 4 2 4 2" xfId="56782"/>
    <cellStyle name="Note 5 2 4 2 4 2 2" xfId="56783"/>
    <cellStyle name="Note 5 2 4 2 4 2 3" xfId="56784"/>
    <cellStyle name="Note 5 2 4 2 4 3" xfId="56785"/>
    <cellStyle name="Note 5 2 4 2 4 3 2" xfId="56786"/>
    <cellStyle name="Note 5 2 4 2 4 4" xfId="56787"/>
    <cellStyle name="Note 5 2 4 2 4 5" xfId="56788"/>
    <cellStyle name="Note 5 2 4 2 5" xfId="56789"/>
    <cellStyle name="Note 5 2 4 2 5 2" xfId="56790"/>
    <cellStyle name="Note 5 2 4 2 5 3" xfId="56791"/>
    <cellStyle name="Note 5 2 4 2 6" xfId="56792"/>
    <cellStyle name="Note 5 2 4 2 6 2" xfId="56793"/>
    <cellStyle name="Note 5 2 4 2 6 3" xfId="56794"/>
    <cellStyle name="Note 5 2 4 2 7" xfId="56795"/>
    <cellStyle name="Note 5 2 4 2 7 2" xfId="56796"/>
    <cellStyle name="Note 5 2 4 2 8" xfId="56797"/>
    <cellStyle name="Note 5 2 4 2 9" xfId="56798"/>
    <cellStyle name="Note 5 2 4 3" xfId="56799"/>
    <cellStyle name="Note 5 2 4 3 2" xfId="56800"/>
    <cellStyle name="Note 5 2 4 3 2 2" xfId="56801"/>
    <cellStyle name="Note 5 2 4 3 2 3" xfId="56802"/>
    <cellStyle name="Note 5 2 4 3 3" xfId="56803"/>
    <cellStyle name="Note 5 2 4 3 3 2" xfId="56804"/>
    <cellStyle name="Note 5 2 4 3 3 3" xfId="56805"/>
    <cellStyle name="Note 5 2 4 3 4" xfId="56806"/>
    <cellStyle name="Note 5 2 4 3 4 2" xfId="56807"/>
    <cellStyle name="Note 5 2 4 3 5" xfId="56808"/>
    <cellStyle name="Note 5 2 4 3 6" xfId="56809"/>
    <cellStyle name="Note 5 2 4 4" xfId="56810"/>
    <cellStyle name="Note 5 2 4 4 2" xfId="56811"/>
    <cellStyle name="Note 5 2 4 4 2 2" xfId="56812"/>
    <cellStyle name="Note 5 2 4 4 2 3" xfId="56813"/>
    <cellStyle name="Note 5 2 4 4 3" xfId="56814"/>
    <cellStyle name="Note 5 2 4 4 3 2" xfId="56815"/>
    <cellStyle name="Note 5 2 4 4 3 3" xfId="56816"/>
    <cellStyle name="Note 5 2 4 4 4" xfId="56817"/>
    <cellStyle name="Note 5 2 4 4 4 2" xfId="56818"/>
    <cellStyle name="Note 5 2 4 4 5" xfId="56819"/>
    <cellStyle name="Note 5 2 4 4 6" xfId="56820"/>
    <cellStyle name="Note 5 2 4 5" xfId="56821"/>
    <cellStyle name="Note 5 2 4 5 2" xfId="56822"/>
    <cellStyle name="Note 5 2 4 5 2 2" xfId="56823"/>
    <cellStyle name="Note 5 2 4 5 2 3" xfId="56824"/>
    <cellStyle name="Note 5 2 4 5 3" xfId="56825"/>
    <cellStyle name="Note 5 2 4 5 3 2" xfId="56826"/>
    <cellStyle name="Note 5 2 4 5 4" xfId="56827"/>
    <cellStyle name="Note 5 2 4 5 5" xfId="56828"/>
    <cellStyle name="Note 5 2 4 6" xfId="56829"/>
    <cellStyle name="Note 5 2 4 6 2" xfId="56830"/>
    <cellStyle name="Note 5 2 4 6 3" xfId="56831"/>
    <cellStyle name="Note 5 2 4 7" xfId="56832"/>
    <cellStyle name="Note 5 2 4 7 2" xfId="56833"/>
    <cellStyle name="Note 5 2 4 7 3" xfId="56834"/>
    <cellStyle name="Note 5 2 4 8" xfId="56835"/>
    <cellStyle name="Note 5 2 4 8 2" xfId="56836"/>
    <cellStyle name="Note 5 2 4 9" xfId="56837"/>
    <cellStyle name="Note 5 2 5" xfId="6130"/>
    <cellStyle name="Note 5 2 5 2" xfId="56838"/>
    <cellStyle name="Note 5 2 5 2 2" xfId="56839"/>
    <cellStyle name="Note 5 2 5 2 2 2" xfId="56840"/>
    <cellStyle name="Note 5 2 5 2 2 3" xfId="56841"/>
    <cellStyle name="Note 5 2 5 2 3" xfId="56842"/>
    <cellStyle name="Note 5 2 5 2 3 2" xfId="56843"/>
    <cellStyle name="Note 5 2 5 2 3 3" xfId="56844"/>
    <cellStyle name="Note 5 2 5 2 4" xfId="56845"/>
    <cellStyle name="Note 5 2 5 2 4 2" xfId="56846"/>
    <cellStyle name="Note 5 2 5 2 5" xfId="56847"/>
    <cellStyle name="Note 5 2 5 2 6" xfId="56848"/>
    <cellStyle name="Note 5 2 5 3" xfId="56849"/>
    <cellStyle name="Note 5 2 5 3 2" xfId="56850"/>
    <cellStyle name="Note 5 2 5 3 2 2" xfId="56851"/>
    <cellStyle name="Note 5 2 5 3 2 3" xfId="56852"/>
    <cellStyle name="Note 5 2 5 3 3" xfId="56853"/>
    <cellStyle name="Note 5 2 5 3 3 2" xfId="56854"/>
    <cellStyle name="Note 5 2 5 3 3 3" xfId="56855"/>
    <cellStyle name="Note 5 2 5 3 4" xfId="56856"/>
    <cellStyle name="Note 5 2 5 3 4 2" xfId="56857"/>
    <cellStyle name="Note 5 2 5 3 5" xfId="56858"/>
    <cellStyle name="Note 5 2 5 3 6" xfId="56859"/>
    <cellStyle name="Note 5 2 5 4" xfId="56860"/>
    <cellStyle name="Note 5 2 5 4 2" xfId="56861"/>
    <cellStyle name="Note 5 2 5 4 2 2" xfId="56862"/>
    <cellStyle name="Note 5 2 5 4 2 3" xfId="56863"/>
    <cellStyle name="Note 5 2 5 4 3" xfId="56864"/>
    <cellStyle name="Note 5 2 5 4 3 2" xfId="56865"/>
    <cellStyle name="Note 5 2 5 4 4" xfId="56866"/>
    <cellStyle name="Note 5 2 5 4 5" xfId="56867"/>
    <cellStyle name="Note 5 2 5 5" xfId="56868"/>
    <cellStyle name="Note 5 2 5 5 2" xfId="56869"/>
    <cellStyle name="Note 5 2 5 5 3" xfId="56870"/>
    <cellStyle name="Note 5 2 5 6" xfId="56871"/>
    <cellStyle name="Note 5 2 5 6 2" xfId="56872"/>
    <cellStyle name="Note 5 2 5 6 3" xfId="56873"/>
    <cellStyle name="Note 5 2 5 7" xfId="56874"/>
    <cellStyle name="Note 5 2 5 7 2" xfId="56875"/>
    <cellStyle name="Note 5 2 5 8" xfId="56876"/>
    <cellStyle name="Note 5 2 5 9" xfId="56877"/>
    <cellStyle name="Note 5 2 6" xfId="6131"/>
    <cellStyle name="Note 5 2 6 2" xfId="56878"/>
    <cellStyle name="Note 5 2 6 2 2" xfId="56879"/>
    <cellStyle name="Note 5 2 6 2 2 2" xfId="56880"/>
    <cellStyle name="Note 5 2 6 2 2 3" xfId="56881"/>
    <cellStyle name="Note 5 2 6 2 3" xfId="56882"/>
    <cellStyle name="Note 5 2 6 2 3 2" xfId="56883"/>
    <cellStyle name="Note 5 2 6 2 3 3" xfId="56884"/>
    <cellStyle name="Note 5 2 6 2 4" xfId="56885"/>
    <cellStyle name="Note 5 2 6 2 4 2" xfId="56886"/>
    <cellStyle name="Note 5 2 6 2 5" xfId="56887"/>
    <cellStyle name="Note 5 2 6 2 6" xfId="56888"/>
    <cellStyle name="Note 5 2 6 3" xfId="56889"/>
    <cellStyle name="Note 5 2 6 3 2" xfId="56890"/>
    <cellStyle name="Note 5 2 6 3 2 2" xfId="56891"/>
    <cellStyle name="Note 5 2 6 3 2 3" xfId="56892"/>
    <cellStyle name="Note 5 2 6 3 3" xfId="56893"/>
    <cellStyle name="Note 5 2 6 3 3 2" xfId="56894"/>
    <cellStyle name="Note 5 2 6 3 3 3" xfId="56895"/>
    <cellStyle name="Note 5 2 6 3 4" xfId="56896"/>
    <cellStyle name="Note 5 2 6 3 4 2" xfId="56897"/>
    <cellStyle name="Note 5 2 6 3 5" xfId="56898"/>
    <cellStyle name="Note 5 2 6 3 6" xfId="56899"/>
    <cellStyle name="Note 5 2 6 4" xfId="56900"/>
    <cellStyle name="Note 5 2 6 4 2" xfId="56901"/>
    <cellStyle name="Note 5 2 6 4 2 2" xfId="56902"/>
    <cellStyle name="Note 5 2 6 4 2 3" xfId="56903"/>
    <cellStyle name="Note 5 2 6 4 3" xfId="56904"/>
    <cellStyle name="Note 5 2 6 4 3 2" xfId="56905"/>
    <cellStyle name="Note 5 2 6 4 4" xfId="56906"/>
    <cellStyle name="Note 5 2 6 4 5" xfId="56907"/>
    <cellStyle name="Note 5 2 6 5" xfId="56908"/>
    <cellStyle name="Note 5 2 6 5 2" xfId="56909"/>
    <cellStyle name="Note 5 2 6 5 3" xfId="56910"/>
    <cellStyle name="Note 5 2 6 6" xfId="56911"/>
    <cellStyle name="Note 5 2 6 6 2" xfId="56912"/>
    <cellStyle name="Note 5 2 6 6 3" xfId="56913"/>
    <cellStyle name="Note 5 2 6 7" xfId="56914"/>
    <cellStyle name="Note 5 2 6 7 2" xfId="56915"/>
    <cellStyle name="Note 5 2 6 8" xfId="56916"/>
    <cellStyle name="Note 5 2 6 9" xfId="56917"/>
    <cellStyle name="Note 5 2 7" xfId="6132"/>
    <cellStyle name="Note 5 2 7 2" xfId="56918"/>
    <cellStyle name="Note 5 2 7 2 2" xfId="56919"/>
    <cellStyle name="Note 5 2 7 2 3" xfId="56920"/>
    <cellStyle name="Note 5 2 7 3" xfId="56921"/>
    <cellStyle name="Note 5 2 7 3 2" xfId="56922"/>
    <cellStyle name="Note 5 2 7 3 3" xfId="56923"/>
    <cellStyle name="Note 5 2 7 4" xfId="56924"/>
    <cellStyle name="Note 5 2 7 4 2" xfId="56925"/>
    <cellStyle name="Note 5 2 7 5" xfId="56926"/>
    <cellStyle name="Note 5 2 7 6" xfId="56927"/>
    <cellStyle name="Note 5 2 8" xfId="6133"/>
    <cellStyle name="Note 5 2 8 2" xfId="56928"/>
    <cellStyle name="Note 5 2 8 2 2" xfId="56929"/>
    <cellStyle name="Note 5 2 8 2 3" xfId="56930"/>
    <cellStyle name="Note 5 2 8 3" xfId="56931"/>
    <cellStyle name="Note 5 2 8 3 2" xfId="56932"/>
    <cellStyle name="Note 5 2 8 3 3" xfId="56933"/>
    <cellStyle name="Note 5 2 8 4" xfId="56934"/>
    <cellStyle name="Note 5 2 8 4 2" xfId="56935"/>
    <cellStyle name="Note 5 2 8 5" xfId="56936"/>
    <cellStyle name="Note 5 2 8 6" xfId="56937"/>
    <cellStyle name="Note 5 2 9" xfId="6134"/>
    <cellStyle name="Note 5 2 9 2" xfId="56938"/>
    <cellStyle name="Note 5 2 9 2 2" xfId="56939"/>
    <cellStyle name="Note 5 2 9 2 3" xfId="56940"/>
    <cellStyle name="Note 5 2 9 3" xfId="56941"/>
    <cellStyle name="Note 5 2 9 3 2" xfId="56942"/>
    <cellStyle name="Note 5 2 9 4" xfId="56943"/>
    <cellStyle name="Note 5 2 9 5" xfId="56944"/>
    <cellStyle name="Note 5 3" xfId="6135"/>
    <cellStyle name="Note 5 3 10" xfId="56945"/>
    <cellStyle name="Note 5 3 10 2" xfId="56946"/>
    <cellStyle name="Note 5 3 10 3" xfId="56947"/>
    <cellStyle name="Note 5 3 11" xfId="56948"/>
    <cellStyle name="Note 5 3 11 2" xfId="56949"/>
    <cellStyle name="Note 5 3 12" xfId="56950"/>
    <cellStyle name="Note 5 3 13" xfId="56951"/>
    <cellStyle name="Note 5 3 14" xfId="56952"/>
    <cellStyle name="Note 5 3 2" xfId="6136"/>
    <cellStyle name="Note 5 3 2 10" xfId="56953"/>
    <cellStyle name="Note 5 3 2 10 2" xfId="56954"/>
    <cellStyle name="Note 5 3 2 11" xfId="56955"/>
    <cellStyle name="Note 5 3 2 12" xfId="56956"/>
    <cellStyle name="Note 5 3 2 2" xfId="9332"/>
    <cellStyle name="Note 5 3 2 2 10" xfId="56957"/>
    <cellStyle name="Note 5 3 2 2 2" xfId="56958"/>
    <cellStyle name="Note 5 3 2 2 2 2" xfId="56959"/>
    <cellStyle name="Note 5 3 2 2 2 2 2" xfId="56960"/>
    <cellStyle name="Note 5 3 2 2 2 2 2 2" xfId="56961"/>
    <cellStyle name="Note 5 3 2 2 2 2 2 3" xfId="56962"/>
    <cellStyle name="Note 5 3 2 2 2 2 3" xfId="56963"/>
    <cellStyle name="Note 5 3 2 2 2 2 3 2" xfId="56964"/>
    <cellStyle name="Note 5 3 2 2 2 2 3 3" xfId="56965"/>
    <cellStyle name="Note 5 3 2 2 2 2 4" xfId="56966"/>
    <cellStyle name="Note 5 3 2 2 2 2 4 2" xfId="56967"/>
    <cellStyle name="Note 5 3 2 2 2 2 5" xfId="56968"/>
    <cellStyle name="Note 5 3 2 2 2 2 6" xfId="56969"/>
    <cellStyle name="Note 5 3 2 2 2 3" xfId="56970"/>
    <cellStyle name="Note 5 3 2 2 2 3 2" xfId="56971"/>
    <cellStyle name="Note 5 3 2 2 2 3 2 2" xfId="56972"/>
    <cellStyle name="Note 5 3 2 2 2 3 2 3" xfId="56973"/>
    <cellStyle name="Note 5 3 2 2 2 3 3" xfId="56974"/>
    <cellStyle name="Note 5 3 2 2 2 3 3 2" xfId="56975"/>
    <cellStyle name="Note 5 3 2 2 2 3 3 3" xfId="56976"/>
    <cellStyle name="Note 5 3 2 2 2 3 4" xfId="56977"/>
    <cellStyle name="Note 5 3 2 2 2 3 4 2" xfId="56978"/>
    <cellStyle name="Note 5 3 2 2 2 3 5" xfId="56979"/>
    <cellStyle name="Note 5 3 2 2 2 3 6" xfId="56980"/>
    <cellStyle name="Note 5 3 2 2 2 4" xfId="56981"/>
    <cellStyle name="Note 5 3 2 2 2 4 2" xfId="56982"/>
    <cellStyle name="Note 5 3 2 2 2 4 2 2" xfId="56983"/>
    <cellStyle name="Note 5 3 2 2 2 4 2 3" xfId="56984"/>
    <cellStyle name="Note 5 3 2 2 2 4 3" xfId="56985"/>
    <cellStyle name="Note 5 3 2 2 2 4 3 2" xfId="56986"/>
    <cellStyle name="Note 5 3 2 2 2 4 4" xfId="56987"/>
    <cellStyle name="Note 5 3 2 2 2 4 5" xfId="56988"/>
    <cellStyle name="Note 5 3 2 2 2 5" xfId="56989"/>
    <cellStyle name="Note 5 3 2 2 2 5 2" xfId="56990"/>
    <cellStyle name="Note 5 3 2 2 2 5 3" xfId="56991"/>
    <cellStyle name="Note 5 3 2 2 2 6" xfId="56992"/>
    <cellStyle name="Note 5 3 2 2 2 6 2" xfId="56993"/>
    <cellStyle name="Note 5 3 2 2 2 6 3" xfId="56994"/>
    <cellStyle name="Note 5 3 2 2 2 7" xfId="56995"/>
    <cellStyle name="Note 5 3 2 2 2 7 2" xfId="56996"/>
    <cellStyle name="Note 5 3 2 2 2 8" xfId="56997"/>
    <cellStyle name="Note 5 3 2 2 2 9" xfId="56998"/>
    <cellStyle name="Note 5 3 2 2 3" xfId="56999"/>
    <cellStyle name="Note 5 3 2 2 3 2" xfId="57000"/>
    <cellStyle name="Note 5 3 2 2 3 2 2" xfId="57001"/>
    <cellStyle name="Note 5 3 2 2 3 2 3" xfId="57002"/>
    <cellStyle name="Note 5 3 2 2 3 3" xfId="57003"/>
    <cellStyle name="Note 5 3 2 2 3 3 2" xfId="57004"/>
    <cellStyle name="Note 5 3 2 2 3 3 3" xfId="57005"/>
    <cellStyle name="Note 5 3 2 2 3 4" xfId="57006"/>
    <cellStyle name="Note 5 3 2 2 3 4 2" xfId="57007"/>
    <cellStyle name="Note 5 3 2 2 3 5" xfId="57008"/>
    <cellStyle name="Note 5 3 2 2 3 6" xfId="57009"/>
    <cellStyle name="Note 5 3 2 2 4" xfId="57010"/>
    <cellStyle name="Note 5 3 2 2 4 2" xfId="57011"/>
    <cellStyle name="Note 5 3 2 2 4 2 2" xfId="57012"/>
    <cellStyle name="Note 5 3 2 2 4 2 3" xfId="57013"/>
    <cellStyle name="Note 5 3 2 2 4 3" xfId="57014"/>
    <cellStyle name="Note 5 3 2 2 4 3 2" xfId="57015"/>
    <cellStyle name="Note 5 3 2 2 4 3 3" xfId="57016"/>
    <cellStyle name="Note 5 3 2 2 4 4" xfId="57017"/>
    <cellStyle name="Note 5 3 2 2 4 4 2" xfId="57018"/>
    <cellStyle name="Note 5 3 2 2 4 5" xfId="57019"/>
    <cellStyle name="Note 5 3 2 2 4 6" xfId="57020"/>
    <cellStyle name="Note 5 3 2 2 5" xfId="57021"/>
    <cellStyle name="Note 5 3 2 2 5 2" xfId="57022"/>
    <cellStyle name="Note 5 3 2 2 5 2 2" xfId="57023"/>
    <cellStyle name="Note 5 3 2 2 5 2 3" xfId="57024"/>
    <cellStyle name="Note 5 3 2 2 5 3" xfId="57025"/>
    <cellStyle name="Note 5 3 2 2 5 3 2" xfId="57026"/>
    <cellStyle name="Note 5 3 2 2 5 4" xfId="57027"/>
    <cellStyle name="Note 5 3 2 2 5 5" xfId="57028"/>
    <cellStyle name="Note 5 3 2 2 6" xfId="57029"/>
    <cellStyle name="Note 5 3 2 2 6 2" xfId="57030"/>
    <cellStyle name="Note 5 3 2 2 6 3" xfId="57031"/>
    <cellStyle name="Note 5 3 2 2 7" xfId="57032"/>
    <cellStyle name="Note 5 3 2 2 7 2" xfId="57033"/>
    <cellStyle name="Note 5 3 2 2 7 3" xfId="57034"/>
    <cellStyle name="Note 5 3 2 2 8" xfId="57035"/>
    <cellStyle name="Note 5 3 2 2 8 2" xfId="57036"/>
    <cellStyle name="Note 5 3 2 2 9" xfId="57037"/>
    <cellStyle name="Note 5 3 2 3" xfId="57038"/>
    <cellStyle name="Note 5 3 2 3 2" xfId="57039"/>
    <cellStyle name="Note 5 3 2 3 2 2" xfId="57040"/>
    <cellStyle name="Note 5 3 2 3 2 2 2" xfId="57041"/>
    <cellStyle name="Note 5 3 2 3 2 2 3" xfId="57042"/>
    <cellStyle name="Note 5 3 2 3 2 3" xfId="57043"/>
    <cellStyle name="Note 5 3 2 3 2 3 2" xfId="57044"/>
    <cellStyle name="Note 5 3 2 3 2 3 3" xfId="57045"/>
    <cellStyle name="Note 5 3 2 3 2 4" xfId="57046"/>
    <cellStyle name="Note 5 3 2 3 2 4 2" xfId="57047"/>
    <cellStyle name="Note 5 3 2 3 2 5" xfId="57048"/>
    <cellStyle name="Note 5 3 2 3 2 6" xfId="57049"/>
    <cellStyle name="Note 5 3 2 3 3" xfId="57050"/>
    <cellStyle name="Note 5 3 2 3 3 2" xfId="57051"/>
    <cellStyle name="Note 5 3 2 3 3 2 2" xfId="57052"/>
    <cellStyle name="Note 5 3 2 3 3 2 3" xfId="57053"/>
    <cellStyle name="Note 5 3 2 3 3 3" xfId="57054"/>
    <cellStyle name="Note 5 3 2 3 3 3 2" xfId="57055"/>
    <cellStyle name="Note 5 3 2 3 3 3 3" xfId="57056"/>
    <cellStyle name="Note 5 3 2 3 3 4" xfId="57057"/>
    <cellStyle name="Note 5 3 2 3 3 4 2" xfId="57058"/>
    <cellStyle name="Note 5 3 2 3 3 5" xfId="57059"/>
    <cellStyle name="Note 5 3 2 3 3 6" xfId="57060"/>
    <cellStyle name="Note 5 3 2 3 4" xfId="57061"/>
    <cellStyle name="Note 5 3 2 3 4 2" xfId="57062"/>
    <cellStyle name="Note 5 3 2 3 4 2 2" xfId="57063"/>
    <cellStyle name="Note 5 3 2 3 4 2 3" xfId="57064"/>
    <cellStyle name="Note 5 3 2 3 4 3" xfId="57065"/>
    <cellStyle name="Note 5 3 2 3 4 3 2" xfId="57066"/>
    <cellStyle name="Note 5 3 2 3 4 4" xfId="57067"/>
    <cellStyle name="Note 5 3 2 3 4 5" xfId="57068"/>
    <cellStyle name="Note 5 3 2 3 5" xfId="57069"/>
    <cellStyle name="Note 5 3 2 3 5 2" xfId="57070"/>
    <cellStyle name="Note 5 3 2 3 5 3" xfId="57071"/>
    <cellStyle name="Note 5 3 2 3 6" xfId="57072"/>
    <cellStyle name="Note 5 3 2 3 6 2" xfId="57073"/>
    <cellStyle name="Note 5 3 2 3 6 3" xfId="57074"/>
    <cellStyle name="Note 5 3 2 3 7" xfId="57075"/>
    <cellStyle name="Note 5 3 2 3 7 2" xfId="57076"/>
    <cellStyle name="Note 5 3 2 3 8" xfId="57077"/>
    <cellStyle name="Note 5 3 2 3 9" xfId="57078"/>
    <cellStyle name="Note 5 3 2 4" xfId="57079"/>
    <cellStyle name="Note 5 3 2 4 2" xfId="57080"/>
    <cellStyle name="Note 5 3 2 4 2 2" xfId="57081"/>
    <cellStyle name="Note 5 3 2 4 2 2 2" xfId="57082"/>
    <cellStyle name="Note 5 3 2 4 2 2 3" xfId="57083"/>
    <cellStyle name="Note 5 3 2 4 2 3" xfId="57084"/>
    <cellStyle name="Note 5 3 2 4 2 3 2" xfId="57085"/>
    <cellStyle name="Note 5 3 2 4 2 3 3" xfId="57086"/>
    <cellStyle name="Note 5 3 2 4 2 4" xfId="57087"/>
    <cellStyle name="Note 5 3 2 4 2 4 2" xfId="57088"/>
    <cellStyle name="Note 5 3 2 4 2 5" xfId="57089"/>
    <cellStyle name="Note 5 3 2 4 2 6" xfId="57090"/>
    <cellStyle name="Note 5 3 2 4 3" xfId="57091"/>
    <cellStyle name="Note 5 3 2 4 3 2" xfId="57092"/>
    <cellStyle name="Note 5 3 2 4 3 2 2" xfId="57093"/>
    <cellStyle name="Note 5 3 2 4 3 2 3" xfId="57094"/>
    <cellStyle name="Note 5 3 2 4 3 3" xfId="57095"/>
    <cellStyle name="Note 5 3 2 4 3 3 2" xfId="57096"/>
    <cellStyle name="Note 5 3 2 4 3 3 3" xfId="57097"/>
    <cellStyle name="Note 5 3 2 4 3 4" xfId="57098"/>
    <cellStyle name="Note 5 3 2 4 3 4 2" xfId="57099"/>
    <cellStyle name="Note 5 3 2 4 3 5" xfId="57100"/>
    <cellStyle name="Note 5 3 2 4 3 6" xfId="57101"/>
    <cellStyle name="Note 5 3 2 4 4" xfId="57102"/>
    <cellStyle name="Note 5 3 2 4 4 2" xfId="57103"/>
    <cellStyle name="Note 5 3 2 4 4 2 2" xfId="57104"/>
    <cellStyle name="Note 5 3 2 4 4 2 3" xfId="57105"/>
    <cellStyle name="Note 5 3 2 4 4 3" xfId="57106"/>
    <cellStyle name="Note 5 3 2 4 4 3 2" xfId="57107"/>
    <cellStyle name="Note 5 3 2 4 4 4" xfId="57108"/>
    <cellStyle name="Note 5 3 2 4 4 5" xfId="57109"/>
    <cellStyle name="Note 5 3 2 4 5" xfId="57110"/>
    <cellStyle name="Note 5 3 2 4 5 2" xfId="57111"/>
    <cellStyle name="Note 5 3 2 4 5 3" xfId="57112"/>
    <cellStyle name="Note 5 3 2 4 6" xfId="57113"/>
    <cellStyle name="Note 5 3 2 4 6 2" xfId="57114"/>
    <cellStyle name="Note 5 3 2 4 6 3" xfId="57115"/>
    <cellStyle name="Note 5 3 2 4 7" xfId="57116"/>
    <cellStyle name="Note 5 3 2 4 7 2" xfId="57117"/>
    <cellStyle name="Note 5 3 2 4 8" xfId="57118"/>
    <cellStyle name="Note 5 3 2 4 9" xfId="57119"/>
    <cellStyle name="Note 5 3 2 5" xfId="57120"/>
    <cellStyle name="Note 5 3 2 5 2" xfId="57121"/>
    <cellStyle name="Note 5 3 2 5 2 2" xfId="57122"/>
    <cellStyle name="Note 5 3 2 5 2 3" xfId="57123"/>
    <cellStyle name="Note 5 3 2 5 3" xfId="57124"/>
    <cellStyle name="Note 5 3 2 5 3 2" xfId="57125"/>
    <cellStyle name="Note 5 3 2 5 3 3" xfId="57126"/>
    <cellStyle name="Note 5 3 2 5 4" xfId="57127"/>
    <cellStyle name="Note 5 3 2 5 4 2" xfId="57128"/>
    <cellStyle name="Note 5 3 2 5 5" xfId="57129"/>
    <cellStyle name="Note 5 3 2 5 6" xfId="57130"/>
    <cellStyle name="Note 5 3 2 6" xfId="57131"/>
    <cellStyle name="Note 5 3 2 6 2" xfId="57132"/>
    <cellStyle name="Note 5 3 2 6 2 2" xfId="57133"/>
    <cellStyle name="Note 5 3 2 6 2 3" xfId="57134"/>
    <cellStyle name="Note 5 3 2 6 3" xfId="57135"/>
    <cellStyle name="Note 5 3 2 6 3 2" xfId="57136"/>
    <cellStyle name="Note 5 3 2 6 3 3" xfId="57137"/>
    <cellStyle name="Note 5 3 2 6 4" xfId="57138"/>
    <cellStyle name="Note 5 3 2 6 4 2" xfId="57139"/>
    <cellStyle name="Note 5 3 2 6 5" xfId="57140"/>
    <cellStyle name="Note 5 3 2 6 6" xfId="57141"/>
    <cellStyle name="Note 5 3 2 7" xfId="57142"/>
    <cellStyle name="Note 5 3 2 7 2" xfId="57143"/>
    <cellStyle name="Note 5 3 2 7 2 2" xfId="57144"/>
    <cellStyle name="Note 5 3 2 7 2 3" xfId="57145"/>
    <cellStyle name="Note 5 3 2 7 3" xfId="57146"/>
    <cellStyle name="Note 5 3 2 7 3 2" xfId="57147"/>
    <cellStyle name="Note 5 3 2 7 4" xfId="57148"/>
    <cellStyle name="Note 5 3 2 7 5" xfId="57149"/>
    <cellStyle name="Note 5 3 2 8" xfId="57150"/>
    <cellStyle name="Note 5 3 2 8 2" xfId="57151"/>
    <cellStyle name="Note 5 3 2 8 3" xfId="57152"/>
    <cellStyle name="Note 5 3 2 9" xfId="57153"/>
    <cellStyle name="Note 5 3 2 9 2" xfId="57154"/>
    <cellStyle name="Note 5 3 2 9 3" xfId="57155"/>
    <cellStyle name="Note 5 3 3" xfId="6137"/>
    <cellStyle name="Note 5 3 3 10" xfId="57156"/>
    <cellStyle name="Note 5 3 3 2" xfId="57157"/>
    <cellStyle name="Note 5 3 3 2 2" xfId="57158"/>
    <cellStyle name="Note 5 3 3 2 2 2" xfId="57159"/>
    <cellStyle name="Note 5 3 3 2 2 2 2" xfId="57160"/>
    <cellStyle name="Note 5 3 3 2 2 2 3" xfId="57161"/>
    <cellStyle name="Note 5 3 3 2 2 3" xfId="57162"/>
    <cellStyle name="Note 5 3 3 2 2 3 2" xfId="57163"/>
    <cellStyle name="Note 5 3 3 2 2 3 3" xfId="57164"/>
    <cellStyle name="Note 5 3 3 2 2 4" xfId="57165"/>
    <cellStyle name="Note 5 3 3 2 2 4 2" xfId="57166"/>
    <cellStyle name="Note 5 3 3 2 2 5" xfId="57167"/>
    <cellStyle name="Note 5 3 3 2 2 6" xfId="57168"/>
    <cellStyle name="Note 5 3 3 2 3" xfId="57169"/>
    <cellStyle name="Note 5 3 3 2 3 2" xfId="57170"/>
    <cellStyle name="Note 5 3 3 2 3 2 2" xfId="57171"/>
    <cellStyle name="Note 5 3 3 2 3 2 3" xfId="57172"/>
    <cellStyle name="Note 5 3 3 2 3 3" xfId="57173"/>
    <cellStyle name="Note 5 3 3 2 3 3 2" xfId="57174"/>
    <cellStyle name="Note 5 3 3 2 3 3 3" xfId="57175"/>
    <cellStyle name="Note 5 3 3 2 3 4" xfId="57176"/>
    <cellStyle name="Note 5 3 3 2 3 4 2" xfId="57177"/>
    <cellStyle name="Note 5 3 3 2 3 5" xfId="57178"/>
    <cellStyle name="Note 5 3 3 2 3 6" xfId="57179"/>
    <cellStyle name="Note 5 3 3 2 4" xfId="57180"/>
    <cellStyle name="Note 5 3 3 2 4 2" xfId="57181"/>
    <cellStyle name="Note 5 3 3 2 4 2 2" xfId="57182"/>
    <cellStyle name="Note 5 3 3 2 4 2 3" xfId="57183"/>
    <cellStyle name="Note 5 3 3 2 4 3" xfId="57184"/>
    <cellStyle name="Note 5 3 3 2 4 3 2" xfId="57185"/>
    <cellStyle name="Note 5 3 3 2 4 4" xfId="57186"/>
    <cellStyle name="Note 5 3 3 2 4 5" xfId="57187"/>
    <cellStyle name="Note 5 3 3 2 5" xfId="57188"/>
    <cellStyle name="Note 5 3 3 2 5 2" xfId="57189"/>
    <cellStyle name="Note 5 3 3 2 5 3" xfId="57190"/>
    <cellStyle name="Note 5 3 3 2 6" xfId="57191"/>
    <cellStyle name="Note 5 3 3 2 6 2" xfId="57192"/>
    <cellStyle name="Note 5 3 3 2 6 3" xfId="57193"/>
    <cellStyle name="Note 5 3 3 2 7" xfId="57194"/>
    <cellStyle name="Note 5 3 3 2 7 2" xfId="57195"/>
    <cellStyle name="Note 5 3 3 2 8" xfId="57196"/>
    <cellStyle name="Note 5 3 3 2 9" xfId="57197"/>
    <cellStyle name="Note 5 3 3 3" xfId="57198"/>
    <cellStyle name="Note 5 3 3 3 2" xfId="57199"/>
    <cellStyle name="Note 5 3 3 3 2 2" xfId="57200"/>
    <cellStyle name="Note 5 3 3 3 2 3" xfId="57201"/>
    <cellStyle name="Note 5 3 3 3 3" xfId="57202"/>
    <cellStyle name="Note 5 3 3 3 3 2" xfId="57203"/>
    <cellStyle name="Note 5 3 3 3 3 3" xfId="57204"/>
    <cellStyle name="Note 5 3 3 3 4" xfId="57205"/>
    <cellStyle name="Note 5 3 3 3 4 2" xfId="57206"/>
    <cellStyle name="Note 5 3 3 3 5" xfId="57207"/>
    <cellStyle name="Note 5 3 3 3 6" xfId="57208"/>
    <cellStyle name="Note 5 3 3 4" xfId="57209"/>
    <cellStyle name="Note 5 3 3 4 2" xfId="57210"/>
    <cellStyle name="Note 5 3 3 4 2 2" xfId="57211"/>
    <cellStyle name="Note 5 3 3 4 2 3" xfId="57212"/>
    <cellStyle name="Note 5 3 3 4 3" xfId="57213"/>
    <cellStyle name="Note 5 3 3 4 3 2" xfId="57214"/>
    <cellStyle name="Note 5 3 3 4 3 3" xfId="57215"/>
    <cellStyle name="Note 5 3 3 4 4" xfId="57216"/>
    <cellStyle name="Note 5 3 3 4 4 2" xfId="57217"/>
    <cellStyle name="Note 5 3 3 4 5" xfId="57218"/>
    <cellStyle name="Note 5 3 3 4 6" xfId="57219"/>
    <cellStyle name="Note 5 3 3 5" xfId="57220"/>
    <cellStyle name="Note 5 3 3 5 2" xfId="57221"/>
    <cellStyle name="Note 5 3 3 5 2 2" xfId="57222"/>
    <cellStyle name="Note 5 3 3 5 2 3" xfId="57223"/>
    <cellStyle name="Note 5 3 3 5 3" xfId="57224"/>
    <cellStyle name="Note 5 3 3 5 3 2" xfId="57225"/>
    <cellStyle name="Note 5 3 3 5 4" xfId="57226"/>
    <cellStyle name="Note 5 3 3 5 5" xfId="57227"/>
    <cellStyle name="Note 5 3 3 6" xfId="57228"/>
    <cellStyle name="Note 5 3 3 6 2" xfId="57229"/>
    <cellStyle name="Note 5 3 3 6 3" xfId="57230"/>
    <cellStyle name="Note 5 3 3 7" xfId="57231"/>
    <cellStyle name="Note 5 3 3 7 2" xfId="57232"/>
    <cellStyle name="Note 5 3 3 7 3" xfId="57233"/>
    <cellStyle name="Note 5 3 3 8" xfId="57234"/>
    <cellStyle name="Note 5 3 3 8 2" xfId="57235"/>
    <cellStyle name="Note 5 3 3 9" xfId="57236"/>
    <cellStyle name="Note 5 3 4" xfId="9333"/>
    <cellStyle name="Note 5 3 4 2" xfId="57237"/>
    <cellStyle name="Note 5 3 4 2 2" xfId="57238"/>
    <cellStyle name="Note 5 3 4 2 2 2" xfId="57239"/>
    <cellStyle name="Note 5 3 4 2 2 3" xfId="57240"/>
    <cellStyle name="Note 5 3 4 2 3" xfId="57241"/>
    <cellStyle name="Note 5 3 4 2 3 2" xfId="57242"/>
    <cellStyle name="Note 5 3 4 2 3 3" xfId="57243"/>
    <cellStyle name="Note 5 3 4 2 4" xfId="57244"/>
    <cellStyle name="Note 5 3 4 2 4 2" xfId="57245"/>
    <cellStyle name="Note 5 3 4 2 5" xfId="57246"/>
    <cellStyle name="Note 5 3 4 2 6" xfId="57247"/>
    <cellStyle name="Note 5 3 4 3" xfId="57248"/>
    <cellStyle name="Note 5 3 4 3 2" xfId="57249"/>
    <cellStyle name="Note 5 3 4 3 2 2" xfId="57250"/>
    <cellStyle name="Note 5 3 4 3 2 3" xfId="57251"/>
    <cellStyle name="Note 5 3 4 3 3" xfId="57252"/>
    <cellStyle name="Note 5 3 4 3 3 2" xfId="57253"/>
    <cellStyle name="Note 5 3 4 3 3 3" xfId="57254"/>
    <cellStyle name="Note 5 3 4 3 4" xfId="57255"/>
    <cellStyle name="Note 5 3 4 3 4 2" xfId="57256"/>
    <cellStyle name="Note 5 3 4 3 5" xfId="57257"/>
    <cellStyle name="Note 5 3 4 3 6" xfId="57258"/>
    <cellStyle name="Note 5 3 4 4" xfId="57259"/>
    <cellStyle name="Note 5 3 4 4 2" xfId="57260"/>
    <cellStyle name="Note 5 3 4 4 2 2" xfId="57261"/>
    <cellStyle name="Note 5 3 4 4 2 3" xfId="57262"/>
    <cellStyle name="Note 5 3 4 4 3" xfId="57263"/>
    <cellStyle name="Note 5 3 4 4 3 2" xfId="57264"/>
    <cellStyle name="Note 5 3 4 4 4" xfId="57265"/>
    <cellStyle name="Note 5 3 4 4 5" xfId="57266"/>
    <cellStyle name="Note 5 3 4 5" xfId="57267"/>
    <cellStyle name="Note 5 3 4 5 2" xfId="57268"/>
    <cellStyle name="Note 5 3 4 5 3" xfId="57269"/>
    <cellStyle name="Note 5 3 4 6" xfId="57270"/>
    <cellStyle name="Note 5 3 4 6 2" xfId="57271"/>
    <cellStyle name="Note 5 3 4 6 3" xfId="57272"/>
    <cellStyle name="Note 5 3 4 7" xfId="57273"/>
    <cellStyle name="Note 5 3 4 7 2" xfId="57274"/>
    <cellStyle name="Note 5 3 4 8" xfId="57275"/>
    <cellStyle name="Note 5 3 4 9" xfId="57276"/>
    <cellStyle name="Note 5 3 5" xfId="57277"/>
    <cellStyle name="Note 5 3 5 2" xfId="57278"/>
    <cellStyle name="Note 5 3 5 2 2" xfId="57279"/>
    <cellStyle name="Note 5 3 5 2 2 2" xfId="57280"/>
    <cellStyle name="Note 5 3 5 2 2 3" xfId="57281"/>
    <cellStyle name="Note 5 3 5 2 3" xfId="57282"/>
    <cellStyle name="Note 5 3 5 2 3 2" xfId="57283"/>
    <cellStyle name="Note 5 3 5 2 3 3" xfId="57284"/>
    <cellStyle name="Note 5 3 5 2 4" xfId="57285"/>
    <cellStyle name="Note 5 3 5 2 4 2" xfId="57286"/>
    <cellStyle name="Note 5 3 5 2 5" xfId="57287"/>
    <cellStyle name="Note 5 3 5 2 6" xfId="57288"/>
    <cellStyle name="Note 5 3 5 3" xfId="57289"/>
    <cellStyle name="Note 5 3 5 3 2" xfId="57290"/>
    <cellStyle name="Note 5 3 5 3 2 2" xfId="57291"/>
    <cellStyle name="Note 5 3 5 3 2 3" xfId="57292"/>
    <cellStyle name="Note 5 3 5 3 3" xfId="57293"/>
    <cellStyle name="Note 5 3 5 3 3 2" xfId="57294"/>
    <cellStyle name="Note 5 3 5 3 3 3" xfId="57295"/>
    <cellStyle name="Note 5 3 5 3 4" xfId="57296"/>
    <cellStyle name="Note 5 3 5 3 4 2" xfId="57297"/>
    <cellStyle name="Note 5 3 5 3 5" xfId="57298"/>
    <cellStyle name="Note 5 3 5 3 6" xfId="57299"/>
    <cellStyle name="Note 5 3 5 4" xfId="57300"/>
    <cellStyle name="Note 5 3 5 4 2" xfId="57301"/>
    <cellStyle name="Note 5 3 5 4 2 2" xfId="57302"/>
    <cellStyle name="Note 5 3 5 4 2 3" xfId="57303"/>
    <cellStyle name="Note 5 3 5 4 3" xfId="57304"/>
    <cellStyle name="Note 5 3 5 4 3 2" xfId="57305"/>
    <cellStyle name="Note 5 3 5 4 4" xfId="57306"/>
    <cellStyle name="Note 5 3 5 4 5" xfId="57307"/>
    <cellStyle name="Note 5 3 5 5" xfId="57308"/>
    <cellStyle name="Note 5 3 5 5 2" xfId="57309"/>
    <cellStyle name="Note 5 3 5 5 3" xfId="57310"/>
    <cellStyle name="Note 5 3 5 6" xfId="57311"/>
    <cellStyle name="Note 5 3 5 6 2" xfId="57312"/>
    <cellStyle name="Note 5 3 5 6 3" xfId="57313"/>
    <cellStyle name="Note 5 3 5 7" xfId="57314"/>
    <cellStyle name="Note 5 3 5 7 2" xfId="57315"/>
    <cellStyle name="Note 5 3 5 8" xfId="57316"/>
    <cellStyle name="Note 5 3 5 9" xfId="57317"/>
    <cellStyle name="Note 5 3 6" xfId="57318"/>
    <cellStyle name="Note 5 3 6 2" xfId="57319"/>
    <cellStyle name="Note 5 3 6 2 2" xfId="57320"/>
    <cellStyle name="Note 5 3 6 2 3" xfId="57321"/>
    <cellStyle name="Note 5 3 6 3" xfId="57322"/>
    <cellStyle name="Note 5 3 6 3 2" xfId="57323"/>
    <cellStyle name="Note 5 3 6 3 3" xfId="57324"/>
    <cellStyle name="Note 5 3 6 4" xfId="57325"/>
    <cellStyle name="Note 5 3 6 4 2" xfId="57326"/>
    <cellStyle name="Note 5 3 6 5" xfId="57327"/>
    <cellStyle name="Note 5 3 6 6" xfId="57328"/>
    <cellStyle name="Note 5 3 7" xfId="57329"/>
    <cellStyle name="Note 5 3 7 2" xfId="57330"/>
    <cellStyle name="Note 5 3 7 2 2" xfId="57331"/>
    <cellStyle name="Note 5 3 7 2 3" xfId="57332"/>
    <cellStyle name="Note 5 3 7 3" xfId="57333"/>
    <cellStyle name="Note 5 3 7 3 2" xfId="57334"/>
    <cellStyle name="Note 5 3 7 3 3" xfId="57335"/>
    <cellStyle name="Note 5 3 7 4" xfId="57336"/>
    <cellStyle name="Note 5 3 7 4 2" xfId="57337"/>
    <cellStyle name="Note 5 3 7 5" xfId="57338"/>
    <cellStyle name="Note 5 3 7 6" xfId="57339"/>
    <cellStyle name="Note 5 3 8" xfId="57340"/>
    <cellStyle name="Note 5 3 8 2" xfId="57341"/>
    <cellStyle name="Note 5 3 8 2 2" xfId="57342"/>
    <cellStyle name="Note 5 3 8 2 3" xfId="57343"/>
    <cellStyle name="Note 5 3 8 3" xfId="57344"/>
    <cellStyle name="Note 5 3 8 3 2" xfId="57345"/>
    <cellStyle name="Note 5 3 8 4" xfId="57346"/>
    <cellStyle name="Note 5 3 8 5" xfId="57347"/>
    <cellStyle name="Note 5 3 9" xfId="57348"/>
    <cellStyle name="Note 5 3 9 2" xfId="57349"/>
    <cellStyle name="Note 5 3 9 3" xfId="57350"/>
    <cellStyle name="Note 5 4" xfId="6138"/>
    <cellStyle name="Note 5 4 10" xfId="57351"/>
    <cellStyle name="Note 5 4 10 2" xfId="57352"/>
    <cellStyle name="Note 5 4 11" xfId="57353"/>
    <cellStyle name="Note 5 4 12" xfId="57354"/>
    <cellStyle name="Note 5 4 2" xfId="6139"/>
    <cellStyle name="Note 5 4 2 10" xfId="57355"/>
    <cellStyle name="Note 5 4 2 2" xfId="57356"/>
    <cellStyle name="Note 5 4 2 2 2" xfId="57357"/>
    <cellStyle name="Note 5 4 2 2 2 2" xfId="57358"/>
    <cellStyle name="Note 5 4 2 2 2 2 2" xfId="57359"/>
    <cellStyle name="Note 5 4 2 2 2 2 3" xfId="57360"/>
    <cellStyle name="Note 5 4 2 2 2 3" xfId="57361"/>
    <cellStyle name="Note 5 4 2 2 2 3 2" xfId="57362"/>
    <cellStyle name="Note 5 4 2 2 2 3 3" xfId="57363"/>
    <cellStyle name="Note 5 4 2 2 2 4" xfId="57364"/>
    <cellStyle name="Note 5 4 2 2 2 4 2" xfId="57365"/>
    <cellStyle name="Note 5 4 2 2 2 5" xfId="57366"/>
    <cellStyle name="Note 5 4 2 2 2 6" xfId="57367"/>
    <cellStyle name="Note 5 4 2 2 3" xfId="57368"/>
    <cellStyle name="Note 5 4 2 2 3 2" xfId="57369"/>
    <cellStyle name="Note 5 4 2 2 3 2 2" xfId="57370"/>
    <cellStyle name="Note 5 4 2 2 3 2 3" xfId="57371"/>
    <cellStyle name="Note 5 4 2 2 3 3" xfId="57372"/>
    <cellStyle name="Note 5 4 2 2 3 3 2" xfId="57373"/>
    <cellStyle name="Note 5 4 2 2 3 3 3" xfId="57374"/>
    <cellStyle name="Note 5 4 2 2 3 4" xfId="57375"/>
    <cellStyle name="Note 5 4 2 2 3 4 2" xfId="57376"/>
    <cellStyle name="Note 5 4 2 2 3 5" xfId="57377"/>
    <cellStyle name="Note 5 4 2 2 3 6" xfId="57378"/>
    <cellStyle name="Note 5 4 2 2 4" xfId="57379"/>
    <cellStyle name="Note 5 4 2 2 4 2" xfId="57380"/>
    <cellStyle name="Note 5 4 2 2 4 2 2" xfId="57381"/>
    <cellStyle name="Note 5 4 2 2 4 2 3" xfId="57382"/>
    <cellStyle name="Note 5 4 2 2 4 3" xfId="57383"/>
    <cellStyle name="Note 5 4 2 2 4 3 2" xfId="57384"/>
    <cellStyle name="Note 5 4 2 2 4 4" xfId="57385"/>
    <cellStyle name="Note 5 4 2 2 4 5" xfId="57386"/>
    <cellStyle name="Note 5 4 2 2 5" xfId="57387"/>
    <cellStyle name="Note 5 4 2 2 5 2" xfId="57388"/>
    <cellStyle name="Note 5 4 2 2 5 3" xfId="57389"/>
    <cellStyle name="Note 5 4 2 2 6" xfId="57390"/>
    <cellStyle name="Note 5 4 2 2 6 2" xfId="57391"/>
    <cellStyle name="Note 5 4 2 2 6 3" xfId="57392"/>
    <cellStyle name="Note 5 4 2 2 7" xfId="57393"/>
    <cellStyle name="Note 5 4 2 2 7 2" xfId="57394"/>
    <cellStyle name="Note 5 4 2 2 8" xfId="57395"/>
    <cellStyle name="Note 5 4 2 2 9" xfId="57396"/>
    <cellStyle name="Note 5 4 2 3" xfId="57397"/>
    <cellStyle name="Note 5 4 2 3 2" xfId="57398"/>
    <cellStyle name="Note 5 4 2 3 2 2" xfId="57399"/>
    <cellStyle name="Note 5 4 2 3 2 3" xfId="57400"/>
    <cellStyle name="Note 5 4 2 3 3" xfId="57401"/>
    <cellStyle name="Note 5 4 2 3 3 2" xfId="57402"/>
    <cellStyle name="Note 5 4 2 3 3 3" xfId="57403"/>
    <cellStyle name="Note 5 4 2 3 4" xfId="57404"/>
    <cellStyle name="Note 5 4 2 3 4 2" xfId="57405"/>
    <cellStyle name="Note 5 4 2 3 5" xfId="57406"/>
    <cellStyle name="Note 5 4 2 3 6" xfId="57407"/>
    <cellStyle name="Note 5 4 2 4" xfId="57408"/>
    <cellStyle name="Note 5 4 2 4 2" xfId="57409"/>
    <cellStyle name="Note 5 4 2 4 2 2" xfId="57410"/>
    <cellStyle name="Note 5 4 2 4 2 3" xfId="57411"/>
    <cellStyle name="Note 5 4 2 4 3" xfId="57412"/>
    <cellStyle name="Note 5 4 2 4 3 2" xfId="57413"/>
    <cellStyle name="Note 5 4 2 4 3 3" xfId="57414"/>
    <cellStyle name="Note 5 4 2 4 4" xfId="57415"/>
    <cellStyle name="Note 5 4 2 4 4 2" xfId="57416"/>
    <cellStyle name="Note 5 4 2 4 5" xfId="57417"/>
    <cellStyle name="Note 5 4 2 4 6" xfId="57418"/>
    <cellStyle name="Note 5 4 2 5" xfId="57419"/>
    <cellStyle name="Note 5 4 2 5 2" xfId="57420"/>
    <cellStyle name="Note 5 4 2 5 2 2" xfId="57421"/>
    <cellStyle name="Note 5 4 2 5 2 3" xfId="57422"/>
    <cellStyle name="Note 5 4 2 5 3" xfId="57423"/>
    <cellStyle name="Note 5 4 2 5 3 2" xfId="57424"/>
    <cellStyle name="Note 5 4 2 5 4" xfId="57425"/>
    <cellStyle name="Note 5 4 2 5 5" xfId="57426"/>
    <cellStyle name="Note 5 4 2 6" xfId="57427"/>
    <cellStyle name="Note 5 4 2 6 2" xfId="57428"/>
    <cellStyle name="Note 5 4 2 6 3" xfId="57429"/>
    <cellStyle name="Note 5 4 2 7" xfId="57430"/>
    <cellStyle name="Note 5 4 2 7 2" xfId="57431"/>
    <cellStyle name="Note 5 4 2 7 3" xfId="57432"/>
    <cellStyle name="Note 5 4 2 8" xfId="57433"/>
    <cellStyle name="Note 5 4 2 8 2" xfId="57434"/>
    <cellStyle name="Note 5 4 2 9" xfId="57435"/>
    <cellStyle name="Note 5 4 3" xfId="9334"/>
    <cellStyle name="Note 5 4 3 2" xfId="57436"/>
    <cellStyle name="Note 5 4 3 2 2" xfId="57437"/>
    <cellStyle name="Note 5 4 3 2 2 2" xfId="57438"/>
    <cellStyle name="Note 5 4 3 2 2 3" xfId="57439"/>
    <cellStyle name="Note 5 4 3 2 3" xfId="57440"/>
    <cellStyle name="Note 5 4 3 2 3 2" xfId="57441"/>
    <cellStyle name="Note 5 4 3 2 3 3" xfId="57442"/>
    <cellStyle name="Note 5 4 3 2 4" xfId="57443"/>
    <cellStyle name="Note 5 4 3 2 4 2" xfId="57444"/>
    <cellStyle name="Note 5 4 3 2 5" xfId="57445"/>
    <cellStyle name="Note 5 4 3 2 6" xfId="57446"/>
    <cellStyle name="Note 5 4 3 3" xfId="57447"/>
    <cellStyle name="Note 5 4 3 3 2" xfId="57448"/>
    <cellStyle name="Note 5 4 3 3 2 2" xfId="57449"/>
    <cellStyle name="Note 5 4 3 3 2 3" xfId="57450"/>
    <cellStyle name="Note 5 4 3 3 3" xfId="57451"/>
    <cellStyle name="Note 5 4 3 3 3 2" xfId="57452"/>
    <cellStyle name="Note 5 4 3 3 3 3" xfId="57453"/>
    <cellStyle name="Note 5 4 3 3 4" xfId="57454"/>
    <cellStyle name="Note 5 4 3 3 4 2" xfId="57455"/>
    <cellStyle name="Note 5 4 3 3 5" xfId="57456"/>
    <cellStyle name="Note 5 4 3 3 6" xfId="57457"/>
    <cellStyle name="Note 5 4 3 4" xfId="57458"/>
    <cellStyle name="Note 5 4 3 4 2" xfId="57459"/>
    <cellStyle name="Note 5 4 3 4 2 2" xfId="57460"/>
    <cellStyle name="Note 5 4 3 4 2 3" xfId="57461"/>
    <cellStyle name="Note 5 4 3 4 3" xfId="57462"/>
    <cellStyle name="Note 5 4 3 4 3 2" xfId="57463"/>
    <cellStyle name="Note 5 4 3 4 4" xfId="57464"/>
    <cellStyle name="Note 5 4 3 4 5" xfId="57465"/>
    <cellStyle name="Note 5 4 3 5" xfId="57466"/>
    <cellStyle name="Note 5 4 3 5 2" xfId="57467"/>
    <cellStyle name="Note 5 4 3 5 3" xfId="57468"/>
    <cellStyle name="Note 5 4 3 6" xfId="57469"/>
    <cellStyle name="Note 5 4 3 6 2" xfId="57470"/>
    <cellStyle name="Note 5 4 3 6 3" xfId="57471"/>
    <cellStyle name="Note 5 4 3 7" xfId="57472"/>
    <cellStyle name="Note 5 4 3 7 2" xfId="57473"/>
    <cellStyle name="Note 5 4 3 8" xfId="57474"/>
    <cellStyle name="Note 5 4 3 9" xfId="57475"/>
    <cellStyle name="Note 5 4 4" xfId="57476"/>
    <cellStyle name="Note 5 4 4 2" xfId="57477"/>
    <cellStyle name="Note 5 4 4 2 2" xfId="57478"/>
    <cellStyle name="Note 5 4 4 2 2 2" xfId="57479"/>
    <cellStyle name="Note 5 4 4 2 2 3" xfId="57480"/>
    <cellStyle name="Note 5 4 4 2 3" xfId="57481"/>
    <cellStyle name="Note 5 4 4 2 3 2" xfId="57482"/>
    <cellStyle name="Note 5 4 4 2 3 3" xfId="57483"/>
    <cellStyle name="Note 5 4 4 2 4" xfId="57484"/>
    <cellStyle name="Note 5 4 4 2 4 2" xfId="57485"/>
    <cellStyle name="Note 5 4 4 2 5" xfId="57486"/>
    <cellStyle name="Note 5 4 4 2 6" xfId="57487"/>
    <cellStyle name="Note 5 4 4 3" xfId="57488"/>
    <cellStyle name="Note 5 4 4 3 2" xfId="57489"/>
    <cellStyle name="Note 5 4 4 3 2 2" xfId="57490"/>
    <cellStyle name="Note 5 4 4 3 2 3" xfId="57491"/>
    <cellStyle name="Note 5 4 4 3 3" xfId="57492"/>
    <cellStyle name="Note 5 4 4 3 3 2" xfId="57493"/>
    <cellStyle name="Note 5 4 4 3 3 3" xfId="57494"/>
    <cellStyle name="Note 5 4 4 3 4" xfId="57495"/>
    <cellStyle name="Note 5 4 4 3 4 2" xfId="57496"/>
    <cellStyle name="Note 5 4 4 3 5" xfId="57497"/>
    <cellStyle name="Note 5 4 4 3 6" xfId="57498"/>
    <cellStyle name="Note 5 4 4 4" xfId="57499"/>
    <cellStyle name="Note 5 4 4 4 2" xfId="57500"/>
    <cellStyle name="Note 5 4 4 4 2 2" xfId="57501"/>
    <cellStyle name="Note 5 4 4 4 2 3" xfId="57502"/>
    <cellStyle name="Note 5 4 4 4 3" xfId="57503"/>
    <cellStyle name="Note 5 4 4 4 3 2" xfId="57504"/>
    <cellStyle name="Note 5 4 4 4 4" xfId="57505"/>
    <cellStyle name="Note 5 4 4 4 5" xfId="57506"/>
    <cellStyle name="Note 5 4 4 5" xfId="57507"/>
    <cellStyle name="Note 5 4 4 5 2" xfId="57508"/>
    <cellStyle name="Note 5 4 4 5 3" xfId="57509"/>
    <cellStyle name="Note 5 4 4 6" xfId="57510"/>
    <cellStyle name="Note 5 4 4 6 2" xfId="57511"/>
    <cellStyle name="Note 5 4 4 6 3" xfId="57512"/>
    <cellStyle name="Note 5 4 4 7" xfId="57513"/>
    <cellStyle name="Note 5 4 4 7 2" xfId="57514"/>
    <cellStyle name="Note 5 4 4 8" xfId="57515"/>
    <cellStyle name="Note 5 4 4 9" xfId="57516"/>
    <cellStyle name="Note 5 4 5" xfId="57517"/>
    <cellStyle name="Note 5 4 5 2" xfId="57518"/>
    <cellStyle name="Note 5 4 5 2 2" xfId="57519"/>
    <cellStyle name="Note 5 4 5 2 3" xfId="57520"/>
    <cellStyle name="Note 5 4 5 3" xfId="57521"/>
    <cellStyle name="Note 5 4 5 3 2" xfId="57522"/>
    <cellStyle name="Note 5 4 5 3 3" xfId="57523"/>
    <cellStyle name="Note 5 4 5 4" xfId="57524"/>
    <cellStyle name="Note 5 4 5 4 2" xfId="57525"/>
    <cellStyle name="Note 5 4 5 5" xfId="57526"/>
    <cellStyle name="Note 5 4 5 6" xfId="57527"/>
    <cellStyle name="Note 5 4 6" xfId="57528"/>
    <cellStyle name="Note 5 4 6 2" xfId="57529"/>
    <cellStyle name="Note 5 4 6 2 2" xfId="57530"/>
    <cellStyle name="Note 5 4 6 2 3" xfId="57531"/>
    <cellStyle name="Note 5 4 6 3" xfId="57532"/>
    <cellStyle name="Note 5 4 6 3 2" xfId="57533"/>
    <cellStyle name="Note 5 4 6 3 3" xfId="57534"/>
    <cellStyle name="Note 5 4 6 4" xfId="57535"/>
    <cellStyle name="Note 5 4 6 4 2" xfId="57536"/>
    <cellStyle name="Note 5 4 6 5" xfId="57537"/>
    <cellStyle name="Note 5 4 6 6" xfId="57538"/>
    <cellStyle name="Note 5 4 7" xfId="57539"/>
    <cellStyle name="Note 5 4 7 2" xfId="57540"/>
    <cellStyle name="Note 5 4 7 2 2" xfId="57541"/>
    <cellStyle name="Note 5 4 7 2 3" xfId="57542"/>
    <cellStyle name="Note 5 4 7 3" xfId="57543"/>
    <cellStyle name="Note 5 4 7 3 2" xfId="57544"/>
    <cellStyle name="Note 5 4 7 4" xfId="57545"/>
    <cellStyle name="Note 5 4 7 5" xfId="57546"/>
    <cellStyle name="Note 5 4 8" xfId="57547"/>
    <cellStyle name="Note 5 4 8 2" xfId="57548"/>
    <cellStyle name="Note 5 4 8 3" xfId="57549"/>
    <cellStyle name="Note 5 4 9" xfId="57550"/>
    <cellStyle name="Note 5 4 9 2" xfId="57551"/>
    <cellStyle name="Note 5 4 9 3" xfId="57552"/>
    <cellStyle name="Note 5 5" xfId="6140"/>
    <cellStyle name="Note 5 5 10" xfId="57553"/>
    <cellStyle name="Note 5 5 2" xfId="57554"/>
    <cellStyle name="Note 5 5 2 2" xfId="57555"/>
    <cellStyle name="Note 5 5 2 2 2" xfId="57556"/>
    <cellStyle name="Note 5 5 2 2 2 2" xfId="57557"/>
    <cellStyle name="Note 5 5 2 2 2 3" xfId="57558"/>
    <cellStyle name="Note 5 5 2 2 3" xfId="57559"/>
    <cellStyle name="Note 5 5 2 2 3 2" xfId="57560"/>
    <cellStyle name="Note 5 5 2 2 3 3" xfId="57561"/>
    <cellStyle name="Note 5 5 2 2 4" xfId="57562"/>
    <cellStyle name="Note 5 5 2 2 4 2" xfId="57563"/>
    <cellStyle name="Note 5 5 2 2 5" xfId="57564"/>
    <cellStyle name="Note 5 5 2 2 6" xfId="57565"/>
    <cellStyle name="Note 5 5 2 3" xfId="57566"/>
    <cellStyle name="Note 5 5 2 3 2" xfId="57567"/>
    <cellStyle name="Note 5 5 2 3 2 2" xfId="57568"/>
    <cellStyle name="Note 5 5 2 3 2 3" xfId="57569"/>
    <cellStyle name="Note 5 5 2 3 3" xfId="57570"/>
    <cellStyle name="Note 5 5 2 3 3 2" xfId="57571"/>
    <cellStyle name="Note 5 5 2 3 3 3" xfId="57572"/>
    <cellStyle name="Note 5 5 2 3 4" xfId="57573"/>
    <cellStyle name="Note 5 5 2 3 4 2" xfId="57574"/>
    <cellStyle name="Note 5 5 2 3 5" xfId="57575"/>
    <cellStyle name="Note 5 5 2 3 6" xfId="57576"/>
    <cellStyle name="Note 5 5 2 4" xfId="57577"/>
    <cellStyle name="Note 5 5 2 4 2" xfId="57578"/>
    <cellStyle name="Note 5 5 2 4 2 2" xfId="57579"/>
    <cellStyle name="Note 5 5 2 4 2 3" xfId="57580"/>
    <cellStyle name="Note 5 5 2 4 3" xfId="57581"/>
    <cellStyle name="Note 5 5 2 4 3 2" xfId="57582"/>
    <cellStyle name="Note 5 5 2 4 4" xfId="57583"/>
    <cellStyle name="Note 5 5 2 4 5" xfId="57584"/>
    <cellStyle name="Note 5 5 2 5" xfId="57585"/>
    <cellStyle name="Note 5 5 2 5 2" xfId="57586"/>
    <cellStyle name="Note 5 5 2 5 3" xfId="57587"/>
    <cellStyle name="Note 5 5 2 6" xfId="57588"/>
    <cellStyle name="Note 5 5 2 6 2" xfId="57589"/>
    <cellStyle name="Note 5 5 2 6 3" xfId="57590"/>
    <cellStyle name="Note 5 5 2 7" xfId="57591"/>
    <cellStyle name="Note 5 5 2 7 2" xfId="57592"/>
    <cellStyle name="Note 5 5 2 8" xfId="57593"/>
    <cellStyle name="Note 5 5 2 9" xfId="57594"/>
    <cellStyle name="Note 5 5 3" xfId="57595"/>
    <cellStyle name="Note 5 5 3 2" xfId="57596"/>
    <cellStyle name="Note 5 5 3 2 2" xfId="57597"/>
    <cellStyle name="Note 5 5 3 2 3" xfId="57598"/>
    <cellStyle name="Note 5 5 3 3" xfId="57599"/>
    <cellStyle name="Note 5 5 3 3 2" xfId="57600"/>
    <cellStyle name="Note 5 5 3 3 3" xfId="57601"/>
    <cellStyle name="Note 5 5 3 4" xfId="57602"/>
    <cellStyle name="Note 5 5 3 4 2" xfId="57603"/>
    <cellStyle name="Note 5 5 3 5" xfId="57604"/>
    <cellStyle name="Note 5 5 3 6" xfId="57605"/>
    <cellStyle name="Note 5 5 4" xfId="57606"/>
    <cellStyle name="Note 5 5 4 2" xfId="57607"/>
    <cellStyle name="Note 5 5 4 2 2" xfId="57608"/>
    <cellStyle name="Note 5 5 4 2 3" xfId="57609"/>
    <cellStyle name="Note 5 5 4 3" xfId="57610"/>
    <cellStyle name="Note 5 5 4 3 2" xfId="57611"/>
    <cellStyle name="Note 5 5 4 3 3" xfId="57612"/>
    <cellStyle name="Note 5 5 4 4" xfId="57613"/>
    <cellStyle name="Note 5 5 4 4 2" xfId="57614"/>
    <cellStyle name="Note 5 5 4 5" xfId="57615"/>
    <cellStyle name="Note 5 5 4 6" xfId="57616"/>
    <cellStyle name="Note 5 5 5" xfId="57617"/>
    <cellStyle name="Note 5 5 5 2" xfId="57618"/>
    <cellStyle name="Note 5 5 5 2 2" xfId="57619"/>
    <cellStyle name="Note 5 5 5 2 3" xfId="57620"/>
    <cellStyle name="Note 5 5 5 3" xfId="57621"/>
    <cellStyle name="Note 5 5 5 3 2" xfId="57622"/>
    <cellStyle name="Note 5 5 5 4" xfId="57623"/>
    <cellStyle name="Note 5 5 5 5" xfId="57624"/>
    <cellStyle name="Note 5 5 6" xfId="57625"/>
    <cellStyle name="Note 5 5 6 2" xfId="57626"/>
    <cellStyle name="Note 5 5 6 3" xfId="57627"/>
    <cellStyle name="Note 5 5 7" xfId="57628"/>
    <cellStyle name="Note 5 5 7 2" xfId="57629"/>
    <cellStyle name="Note 5 5 7 3" xfId="57630"/>
    <cellStyle name="Note 5 5 8" xfId="57631"/>
    <cellStyle name="Note 5 5 8 2" xfId="57632"/>
    <cellStyle name="Note 5 5 9" xfId="57633"/>
    <cellStyle name="Note 5 6" xfId="6141"/>
    <cellStyle name="Note 5 6 2" xfId="57634"/>
    <cellStyle name="Note 5 6 2 2" xfId="57635"/>
    <cellStyle name="Note 5 6 2 2 2" xfId="57636"/>
    <cellStyle name="Note 5 6 2 2 3" xfId="57637"/>
    <cellStyle name="Note 5 6 2 3" xfId="57638"/>
    <cellStyle name="Note 5 6 2 3 2" xfId="57639"/>
    <cellStyle name="Note 5 6 2 3 3" xfId="57640"/>
    <cellStyle name="Note 5 6 2 4" xfId="57641"/>
    <cellStyle name="Note 5 6 2 4 2" xfId="57642"/>
    <cellStyle name="Note 5 6 2 5" xfId="57643"/>
    <cellStyle name="Note 5 6 2 6" xfId="57644"/>
    <cellStyle name="Note 5 6 3" xfId="57645"/>
    <cellStyle name="Note 5 6 3 2" xfId="57646"/>
    <cellStyle name="Note 5 6 3 2 2" xfId="57647"/>
    <cellStyle name="Note 5 6 3 2 3" xfId="57648"/>
    <cellStyle name="Note 5 6 3 3" xfId="57649"/>
    <cellStyle name="Note 5 6 3 3 2" xfId="57650"/>
    <cellStyle name="Note 5 6 3 3 3" xfId="57651"/>
    <cellStyle name="Note 5 6 3 4" xfId="57652"/>
    <cellStyle name="Note 5 6 3 4 2" xfId="57653"/>
    <cellStyle name="Note 5 6 3 5" xfId="57654"/>
    <cellStyle name="Note 5 6 3 6" xfId="57655"/>
    <cellStyle name="Note 5 6 4" xfId="57656"/>
    <cellStyle name="Note 5 6 4 2" xfId="57657"/>
    <cellStyle name="Note 5 6 4 2 2" xfId="57658"/>
    <cellStyle name="Note 5 6 4 2 3" xfId="57659"/>
    <cellStyle name="Note 5 6 4 3" xfId="57660"/>
    <cellStyle name="Note 5 6 4 3 2" xfId="57661"/>
    <cellStyle name="Note 5 6 4 4" xfId="57662"/>
    <cellStyle name="Note 5 6 4 5" xfId="57663"/>
    <cellStyle name="Note 5 6 5" xfId="57664"/>
    <cellStyle name="Note 5 6 5 2" xfId="57665"/>
    <cellStyle name="Note 5 6 5 3" xfId="57666"/>
    <cellStyle name="Note 5 6 6" xfId="57667"/>
    <cellStyle name="Note 5 6 6 2" xfId="57668"/>
    <cellStyle name="Note 5 6 6 3" xfId="57669"/>
    <cellStyle name="Note 5 6 7" xfId="57670"/>
    <cellStyle name="Note 5 6 7 2" xfId="57671"/>
    <cellStyle name="Note 5 6 8" xfId="57672"/>
    <cellStyle name="Note 5 6 9" xfId="57673"/>
    <cellStyle name="Note 5 7" xfId="6142"/>
    <cellStyle name="Note 5 7 2" xfId="57674"/>
    <cellStyle name="Note 5 7 2 2" xfId="57675"/>
    <cellStyle name="Note 5 7 2 2 2" xfId="57676"/>
    <cellStyle name="Note 5 7 2 2 3" xfId="57677"/>
    <cellStyle name="Note 5 7 2 3" xfId="57678"/>
    <cellStyle name="Note 5 7 2 3 2" xfId="57679"/>
    <cellStyle name="Note 5 7 2 3 3" xfId="57680"/>
    <cellStyle name="Note 5 7 2 4" xfId="57681"/>
    <cellStyle name="Note 5 7 2 4 2" xfId="57682"/>
    <cellStyle name="Note 5 7 2 5" xfId="57683"/>
    <cellStyle name="Note 5 7 2 6" xfId="57684"/>
    <cellStyle name="Note 5 7 3" xfId="57685"/>
    <cellStyle name="Note 5 7 3 2" xfId="57686"/>
    <cellStyle name="Note 5 7 3 2 2" xfId="57687"/>
    <cellStyle name="Note 5 7 3 2 3" xfId="57688"/>
    <cellStyle name="Note 5 7 3 3" xfId="57689"/>
    <cellStyle name="Note 5 7 3 3 2" xfId="57690"/>
    <cellStyle name="Note 5 7 3 3 3" xfId="57691"/>
    <cellStyle name="Note 5 7 3 4" xfId="57692"/>
    <cellStyle name="Note 5 7 3 4 2" xfId="57693"/>
    <cellStyle name="Note 5 7 3 5" xfId="57694"/>
    <cellStyle name="Note 5 7 3 6" xfId="57695"/>
    <cellStyle name="Note 5 7 4" xfId="57696"/>
    <cellStyle name="Note 5 7 4 2" xfId="57697"/>
    <cellStyle name="Note 5 7 4 2 2" xfId="57698"/>
    <cellStyle name="Note 5 7 4 2 3" xfId="57699"/>
    <cellStyle name="Note 5 7 4 3" xfId="57700"/>
    <cellStyle name="Note 5 7 4 3 2" xfId="57701"/>
    <cellStyle name="Note 5 7 4 4" xfId="57702"/>
    <cellStyle name="Note 5 7 4 5" xfId="57703"/>
    <cellStyle name="Note 5 7 5" xfId="57704"/>
    <cellStyle name="Note 5 7 5 2" xfId="57705"/>
    <cellStyle name="Note 5 7 5 3" xfId="57706"/>
    <cellStyle name="Note 5 7 6" xfId="57707"/>
    <cellStyle name="Note 5 7 6 2" xfId="57708"/>
    <cellStyle name="Note 5 7 6 3" xfId="57709"/>
    <cellStyle name="Note 5 7 7" xfId="57710"/>
    <cellStyle name="Note 5 7 7 2" xfId="57711"/>
    <cellStyle name="Note 5 7 8" xfId="57712"/>
    <cellStyle name="Note 5 7 9" xfId="57713"/>
    <cellStyle name="Note 5 8" xfId="6143"/>
    <cellStyle name="Note 5 8 2" xfId="57714"/>
    <cellStyle name="Note 5 8 2 2" xfId="57715"/>
    <cellStyle name="Note 5 8 2 3" xfId="57716"/>
    <cellStyle name="Note 5 8 3" xfId="57717"/>
    <cellStyle name="Note 5 8 3 2" xfId="57718"/>
    <cellStyle name="Note 5 8 3 3" xfId="57719"/>
    <cellStyle name="Note 5 8 4" xfId="57720"/>
    <cellStyle name="Note 5 8 4 2" xfId="57721"/>
    <cellStyle name="Note 5 8 5" xfId="57722"/>
    <cellStyle name="Note 5 8 6" xfId="57723"/>
    <cellStyle name="Note 5 9" xfId="6144"/>
    <cellStyle name="Note 5 9 2" xfId="57724"/>
    <cellStyle name="Note 5 9 2 2" xfId="57725"/>
    <cellStyle name="Note 5 9 2 3" xfId="57726"/>
    <cellStyle name="Note 5 9 3" xfId="57727"/>
    <cellStyle name="Note 5 9 3 2" xfId="57728"/>
    <cellStyle name="Note 5 9 3 3" xfId="57729"/>
    <cellStyle name="Note 5 9 4" xfId="57730"/>
    <cellStyle name="Note 5 9 4 2" xfId="57731"/>
    <cellStyle name="Note 5 9 5" xfId="57732"/>
    <cellStyle name="Note 5 9 6" xfId="57733"/>
    <cellStyle name="Note 6" xfId="6145"/>
    <cellStyle name="Note 6 10" xfId="6146"/>
    <cellStyle name="Note 6 10 2" xfId="60464"/>
    <cellStyle name="Note 6 11" xfId="6147"/>
    <cellStyle name="Note 6 12" xfId="6148"/>
    <cellStyle name="Note 6 13" xfId="9335"/>
    <cellStyle name="Note 6 2" xfId="6149"/>
    <cellStyle name="Note 6 2 10" xfId="6150"/>
    <cellStyle name="Note 6 2 11" xfId="6151"/>
    <cellStyle name="Note 6 2 12" xfId="9336"/>
    <cellStyle name="Note 6 2 2" xfId="6152"/>
    <cellStyle name="Note 6 2 2 2" xfId="6153"/>
    <cellStyle name="Note 6 2 2 3" xfId="6154"/>
    <cellStyle name="Note 6 2 3" xfId="6155"/>
    <cellStyle name="Note 6 2 3 2" xfId="6156"/>
    <cellStyle name="Note 6 2 4" xfId="6157"/>
    <cellStyle name="Note 6 2 4 2" xfId="60465"/>
    <cellStyle name="Note 6 2 5" xfId="6158"/>
    <cellStyle name="Note 6 2 5 2" xfId="60466"/>
    <cellStyle name="Note 6 2 6" xfId="6159"/>
    <cellStyle name="Note 6 2 6 2" xfId="60467"/>
    <cellStyle name="Note 6 2 7" xfId="6160"/>
    <cellStyle name="Note 6 2 7 2" xfId="60468"/>
    <cellStyle name="Note 6 2 8" xfId="6161"/>
    <cellStyle name="Note 6 2 8 2" xfId="60469"/>
    <cellStyle name="Note 6 2 9" xfId="6162"/>
    <cellStyle name="Note 6 2 9 2" xfId="60470"/>
    <cellStyle name="Note 6 3" xfId="6163"/>
    <cellStyle name="Note 6 3 2" xfId="6164"/>
    <cellStyle name="Note 6 3 3" xfId="6165"/>
    <cellStyle name="Note 6 3 4" xfId="60471"/>
    <cellStyle name="Note 6 4" xfId="6166"/>
    <cellStyle name="Note 6 4 2" xfId="6167"/>
    <cellStyle name="Note 6 5" xfId="6168"/>
    <cellStyle name="Note 6 5 2" xfId="60472"/>
    <cellStyle name="Note 6 6" xfId="6169"/>
    <cellStyle name="Note 6 6 2" xfId="60473"/>
    <cellStyle name="Note 6 7" xfId="6170"/>
    <cellStyle name="Note 6 7 2" xfId="60474"/>
    <cellStyle name="Note 6 8" xfId="6171"/>
    <cellStyle name="Note 6 8 2" xfId="60475"/>
    <cellStyle name="Note 6 9" xfId="6172"/>
    <cellStyle name="Note 6 9 2" xfId="60476"/>
    <cellStyle name="Note 7" xfId="6173"/>
    <cellStyle name="Note 7 10" xfId="6174"/>
    <cellStyle name="Note 7 10 2" xfId="60477"/>
    <cellStyle name="Note 7 11" xfId="6175"/>
    <cellStyle name="Note 7 12" xfId="6176"/>
    <cellStyle name="Note 7 13" xfId="9337"/>
    <cellStyle name="Note 7 2" xfId="6177"/>
    <cellStyle name="Note 7 2 10" xfId="6178"/>
    <cellStyle name="Note 7 2 11" xfId="6179"/>
    <cellStyle name="Note 7 2 12" xfId="60478"/>
    <cellStyle name="Note 7 2 2" xfId="6180"/>
    <cellStyle name="Note 7 2 2 2" xfId="6181"/>
    <cellStyle name="Note 7 2 3" xfId="6182"/>
    <cellStyle name="Note 7 2 3 2" xfId="60479"/>
    <cellStyle name="Note 7 2 4" xfId="6183"/>
    <cellStyle name="Note 7 2 4 2" xfId="60480"/>
    <cellStyle name="Note 7 2 5" xfId="6184"/>
    <cellStyle name="Note 7 2 5 2" xfId="60481"/>
    <cellStyle name="Note 7 2 6" xfId="6185"/>
    <cellStyle name="Note 7 2 6 2" xfId="60482"/>
    <cellStyle name="Note 7 2 7" xfId="6186"/>
    <cellStyle name="Note 7 2 7 2" xfId="60483"/>
    <cellStyle name="Note 7 2 8" xfId="6187"/>
    <cellStyle name="Note 7 2 8 2" xfId="60484"/>
    <cellStyle name="Note 7 2 9" xfId="6188"/>
    <cellStyle name="Note 7 2 9 2" xfId="60485"/>
    <cellStyle name="Note 7 3" xfId="6189"/>
    <cellStyle name="Note 7 3 2" xfId="6190"/>
    <cellStyle name="Note 7 3 3" xfId="60486"/>
    <cellStyle name="Note 7 4" xfId="6191"/>
    <cellStyle name="Note 7 4 2" xfId="60487"/>
    <cellStyle name="Note 7 5" xfId="6192"/>
    <cellStyle name="Note 7 5 2" xfId="60488"/>
    <cellStyle name="Note 7 6" xfId="6193"/>
    <cellStyle name="Note 7 6 2" xfId="60489"/>
    <cellStyle name="Note 7 7" xfId="6194"/>
    <cellStyle name="Note 7 7 2" xfId="60490"/>
    <cellStyle name="Note 7 8" xfId="6195"/>
    <cellStyle name="Note 7 8 2" xfId="60491"/>
    <cellStyle name="Note 7 9" xfId="6196"/>
    <cellStyle name="Note 7 9 2" xfId="60492"/>
    <cellStyle name="Note 8" xfId="6197"/>
    <cellStyle name="Note 8 10" xfId="6198"/>
    <cellStyle name="Note 8 10 2" xfId="60493"/>
    <cellStyle name="Note 8 11" xfId="6199"/>
    <cellStyle name="Note 8 12" xfId="6200"/>
    <cellStyle name="Note 8 13" xfId="9338"/>
    <cellStyle name="Note 8 2" xfId="6201"/>
    <cellStyle name="Note 8 2 10" xfId="6202"/>
    <cellStyle name="Note 8 2 11" xfId="6203"/>
    <cellStyle name="Note 8 2 12" xfId="60494"/>
    <cellStyle name="Note 8 2 2" xfId="6204"/>
    <cellStyle name="Note 8 2 2 2" xfId="6205"/>
    <cellStyle name="Note 8 2 3" xfId="6206"/>
    <cellStyle name="Note 8 2 3 2" xfId="60495"/>
    <cellStyle name="Note 8 2 4" xfId="6207"/>
    <cellStyle name="Note 8 2 4 2" xfId="60496"/>
    <cellStyle name="Note 8 2 5" xfId="6208"/>
    <cellStyle name="Note 8 2 5 2" xfId="60497"/>
    <cellStyle name="Note 8 2 6" xfId="6209"/>
    <cellStyle name="Note 8 2 6 2" xfId="60498"/>
    <cellStyle name="Note 8 2 7" xfId="6210"/>
    <cellStyle name="Note 8 2 7 2" xfId="60499"/>
    <cellStyle name="Note 8 2 8" xfId="6211"/>
    <cellStyle name="Note 8 2 8 2" xfId="60500"/>
    <cellStyle name="Note 8 2 9" xfId="6212"/>
    <cellStyle name="Note 8 2 9 2" xfId="60501"/>
    <cellStyle name="Note 8 3" xfId="6213"/>
    <cellStyle name="Note 8 3 2" xfId="6214"/>
    <cellStyle name="Note 8 3 3" xfId="60502"/>
    <cellStyle name="Note 8 4" xfId="6215"/>
    <cellStyle name="Note 8 4 2" xfId="60503"/>
    <cellStyle name="Note 8 5" xfId="6216"/>
    <cellStyle name="Note 8 5 2" xfId="60504"/>
    <cellStyle name="Note 8 6" xfId="6217"/>
    <cellStyle name="Note 8 6 2" xfId="60505"/>
    <cellStyle name="Note 8 7" xfId="6218"/>
    <cellStyle name="Note 8 7 2" xfId="60506"/>
    <cellStyle name="Note 8 8" xfId="6219"/>
    <cellStyle name="Note 8 8 2" xfId="60507"/>
    <cellStyle name="Note 8 9" xfId="6220"/>
    <cellStyle name="Note 8 9 2" xfId="60508"/>
    <cellStyle name="Note 9" xfId="6221"/>
    <cellStyle name="Note 9 10" xfId="6222"/>
    <cellStyle name="Note 9 10 2" xfId="60509"/>
    <cellStyle name="Note 9 11" xfId="6223"/>
    <cellStyle name="Note 9 12" xfId="6224"/>
    <cellStyle name="Note 9 13" xfId="60510"/>
    <cellStyle name="Note 9 2" xfId="6225"/>
    <cellStyle name="Note 9 2 10" xfId="6226"/>
    <cellStyle name="Note 9 2 11" xfId="6227"/>
    <cellStyle name="Note 9 2 2" xfId="6228"/>
    <cellStyle name="Note 9 2 2 2" xfId="6229"/>
    <cellStyle name="Note 9 2 3" xfId="6230"/>
    <cellStyle name="Note 9 2 3 2" xfId="60511"/>
    <cellStyle name="Note 9 2 4" xfId="6231"/>
    <cellStyle name="Note 9 2 4 2" xfId="60512"/>
    <cellStyle name="Note 9 2 5" xfId="6232"/>
    <cellStyle name="Note 9 2 5 2" xfId="60513"/>
    <cellStyle name="Note 9 2 6" xfId="6233"/>
    <cellStyle name="Note 9 2 6 2" xfId="60514"/>
    <cellStyle name="Note 9 2 7" xfId="6234"/>
    <cellStyle name="Note 9 2 7 2" xfId="60515"/>
    <cellStyle name="Note 9 2 8" xfId="6235"/>
    <cellStyle name="Note 9 2 8 2" xfId="60516"/>
    <cellStyle name="Note 9 2 9" xfId="6236"/>
    <cellStyle name="Note 9 2 9 2" xfId="60517"/>
    <cellStyle name="Note 9 3" xfId="6237"/>
    <cellStyle name="Note 9 3 2" xfId="6238"/>
    <cellStyle name="Note 9 4" xfId="6239"/>
    <cellStyle name="Note 9 4 2" xfId="60518"/>
    <cellStyle name="Note 9 5" xfId="6240"/>
    <cellStyle name="Note 9 5 2" xfId="60519"/>
    <cellStyle name="Note 9 6" xfId="6241"/>
    <cellStyle name="Note 9 6 2" xfId="60520"/>
    <cellStyle name="Note 9 7" xfId="6242"/>
    <cellStyle name="Note 9 7 2" xfId="60521"/>
    <cellStyle name="Note 9 8" xfId="6243"/>
    <cellStyle name="Note 9 8 2" xfId="60522"/>
    <cellStyle name="Note 9 9" xfId="6244"/>
    <cellStyle name="Note 9 9 2" xfId="60523"/>
    <cellStyle name="Output 10" xfId="9889"/>
    <cellStyle name="Output 11" xfId="9890"/>
    <cellStyle name="Output 12" xfId="9891"/>
    <cellStyle name="Output 13" xfId="9892"/>
    <cellStyle name="Output 14" xfId="9893"/>
    <cellStyle name="Output 15" xfId="9894"/>
    <cellStyle name="Output 16" xfId="9895"/>
    <cellStyle name="Output 17" xfId="9896"/>
    <cellStyle name="Output 17 2" xfId="60524"/>
    <cellStyle name="Output 2" xfId="6245"/>
    <cellStyle name="Output 2 2" xfId="6246"/>
    <cellStyle name="Output 2 2 2" xfId="6247"/>
    <cellStyle name="Output 2 2 3" xfId="60525"/>
    <cellStyle name="Output 2 3" xfId="6248"/>
    <cellStyle name="Output 2 3 2" xfId="60526"/>
    <cellStyle name="Output 2 4" xfId="6249"/>
    <cellStyle name="Output 2 4 2" xfId="60527"/>
    <cellStyle name="Output 2 5" xfId="6250"/>
    <cellStyle name="Output 2 5 2" xfId="60528"/>
    <cellStyle name="Output 2 6" xfId="6251"/>
    <cellStyle name="Output 2 6 2" xfId="60529"/>
    <cellStyle name="Output 2 7" xfId="6252"/>
    <cellStyle name="Output 2 8" xfId="6253"/>
    <cellStyle name="Output 2 9" xfId="60530"/>
    <cellStyle name="Output 3" xfId="6254"/>
    <cellStyle name="Output 3 2" xfId="6255"/>
    <cellStyle name="Output 3 3" xfId="9339"/>
    <cellStyle name="Output 4" xfId="9340"/>
    <cellStyle name="Output 4 2" xfId="57734"/>
    <cellStyle name="Output 5" xfId="9897"/>
    <cellStyle name="Output 5 2" xfId="57735"/>
    <cellStyle name="Output 6" xfId="9898"/>
    <cellStyle name="Output 6 2" xfId="57736"/>
    <cellStyle name="Output 7" xfId="9899"/>
    <cellStyle name="Output 7 2" xfId="57737"/>
    <cellStyle name="Output 8" xfId="9900"/>
    <cellStyle name="Output 9" xfId="9901"/>
    <cellStyle name="OUTPUT AMOUNTS" xfId="6256"/>
    <cellStyle name="OUTPUT AMOUNTS 10" xfId="60531"/>
    <cellStyle name="Output Amounts 11" xfId="60532"/>
    <cellStyle name="Output Amounts 2" xfId="6257"/>
    <cellStyle name="Output Amounts 2 10" xfId="60533"/>
    <cellStyle name="OUTPUT AMOUNTS 2 11" xfId="60534"/>
    <cellStyle name="OUTPUT AMOUNTS 2 2" xfId="9902"/>
    <cellStyle name="Output Amounts 2 3" xfId="9903"/>
    <cellStyle name="Output Amounts 2 3 2" xfId="60535"/>
    <cellStyle name="Output Amounts 2 4" xfId="60536"/>
    <cellStyle name="Output Amounts 2 5" xfId="60537"/>
    <cellStyle name="Output Amounts 2 6" xfId="60538"/>
    <cellStyle name="Output Amounts 2 7" xfId="60539"/>
    <cellStyle name="Output Amounts 2 8" xfId="60540"/>
    <cellStyle name="Output Amounts 2 9" xfId="60541"/>
    <cellStyle name="Output Amounts 3" xfId="6258"/>
    <cellStyle name="Output Amounts 3 2" xfId="9341"/>
    <cellStyle name="Output Amounts 3 3" xfId="60542"/>
    <cellStyle name="Output Amounts 3 4" xfId="60543"/>
    <cellStyle name="Output Amounts 3 5" xfId="60544"/>
    <cellStyle name="Output Amounts 3 6" xfId="60545"/>
    <cellStyle name="Output Amounts 3 7" xfId="60546"/>
    <cellStyle name="Output Amounts 3 8" xfId="60547"/>
    <cellStyle name="Output Amounts 3 9" xfId="60548"/>
    <cellStyle name="Output Amounts 4" xfId="6259"/>
    <cellStyle name="OUTPUT AMOUNTS 5" xfId="9342"/>
    <cellStyle name="OUTPUT AMOUNTS 6" xfId="57738"/>
    <cellStyle name="OUTPUT AMOUNTS 7" xfId="57739"/>
    <cellStyle name="OUTPUT AMOUNTS 8" xfId="57740"/>
    <cellStyle name="OUTPUT AMOUNTS 9" xfId="60549"/>
    <cellStyle name="Output Amounts_d1" xfId="6260"/>
    <cellStyle name="OUTPUT COLUMN HEADINGS" xfId="6261"/>
    <cellStyle name="Output Column Headings 10" xfId="57741"/>
    <cellStyle name="OUTPUT COLUMN HEADINGS 10 2" xfId="60550"/>
    <cellStyle name="OUTPUT COLUMN HEADINGS 10 3" xfId="60551"/>
    <cellStyle name="Output Column Headings 11" xfId="60552"/>
    <cellStyle name="Output Column Headings 2" xfId="6262"/>
    <cellStyle name="Output Column Headings 2 2" xfId="6263"/>
    <cellStyle name="OUTPUT COLUMN HEADINGS 2 2 2" xfId="60553"/>
    <cellStyle name="Output Column Headings 2 2 3" xfId="60554"/>
    <cellStyle name="Output Column Headings 2 2 4" xfId="60555"/>
    <cellStyle name="Output Column Headings 2 2 5" xfId="60556"/>
    <cellStyle name="Output Column Headings 2 2 6" xfId="60557"/>
    <cellStyle name="Output Column Headings 2 2 7" xfId="60558"/>
    <cellStyle name="OUTPUT COLUMN HEADINGS 2 3" xfId="9904"/>
    <cellStyle name="OUTPUT COLUMN HEADINGS 2 3 2" xfId="60559"/>
    <cellStyle name="Output Column Headings 2 4" xfId="60560"/>
    <cellStyle name="Output Column Headings 2 5" xfId="60561"/>
    <cellStyle name="Output Column Headings 2 6" xfId="60562"/>
    <cellStyle name="Output Column Headings 3" xfId="6264"/>
    <cellStyle name="Output Column Headings 3 2" xfId="9343"/>
    <cellStyle name="Output Column Headings 4" xfId="6265"/>
    <cellStyle name="Output Column Headings 4 2" xfId="60563"/>
    <cellStyle name="OUTPUT COLUMN HEADINGS 5" xfId="9344"/>
    <cellStyle name="Output Column Headings 6" xfId="9905"/>
    <cellStyle name="Output Column Headings 7" xfId="9906"/>
    <cellStyle name="Output Column Headings 8" xfId="9907"/>
    <cellStyle name="Output Column Headings 9" xfId="9908"/>
    <cellStyle name="Output Column Headings_d1" xfId="6266"/>
    <cellStyle name="OUTPUT LINE ITEMS" xfId="6267"/>
    <cellStyle name="Output Line Items 10" xfId="57742"/>
    <cellStyle name="OUTPUT LINE ITEMS 10 2" xfId="60564"/>
    <cellStyle name="OUTPUT LINE ITEMS 10 3" xfId="60565"/>
    <cellStyle name="Output Line Items 11" xfId="60566"/>
    <cellStyle name="Output Line Items 2" xfId="6268"/>
    <cellStyle name="Output Line Items 2 2" xfId="6269"/>
    <cellStyle name="Output Line Items 2 2 2" xfId="57743"/>
    <cellStyle name="Output Line Items 2 2 3" xfId="60567"/>
    <cellStyle name="Output Line Items 2 3" xfId="6270"/>
    <cellStyle name="OUTPUT LINE ITEMS 2 3 2" xfId="60568"/>
    <cellStyle name="Output Line Items 2 3 3" xfId="60569"/>
    <cellStyle name="Output Line Items 2 3 4" xfId="60570"/>
    <cellStyle name="Output Line Items 2 3 5" xfId="60571"/>
    <cellStyle name="Output Line Items 2 3 6" xfId="60572"/>
    <cellStyle name="Output Line Items 2 3 7" xfId="60573"/>
    <cellStyle name="OUTPUT LINE ITEMS 2 4" xfId="9909"/>
    <cellStyle name="Output Line Items 2 5" xfId="60574"/>
    <cellStyle name="Output Line Items 2 6" xfId="60575"/>
    <cellStyle name="Output Line Items 2 7" xfId="60576"/>
    <cellStyle name="Output Line Items 3" xfId="6271"/>
    <cellStyle name="Output Line Items 3 2" xfId="9345"/>
    <cellStyle name="Output Line Items 4" xfId="6272"/>
    <cellStyle name="Output Line Items 4 2" xfId="57744"/>
    <cellStyle name="OUTPUT LINE ITEMS 5" xfId="9346"/>
    <cellStyle name="Output Line Items 6" xfId="9910"/>
    <cellStyle name="Output Line Items 7" xfId="9911"/>
    <cellStyle name="Output Line Items 8" xfId="9912"/>
    <cellStyle name="Output Line Items 9" xfId="9913"/>
    <cellStyle name="Output Line Items_d1" xfId="6273"/>
    <cellStyle name="OUTPUT REPORT HEADING" xfId="6274"/>
    <cellStyle name="Output Report Heading 10" xfId="57745"/>
    <cellStyle name="OUTPUT REPORT HEADING 10 2" xfId="60577"/>
    <cellStyle name="OUTPUT REPORT HEADING 10 3" xfId="60578"/>
    <cellStyle name="Output Report Heading 11" xfId="60579"/>
    <cellStyle name="Output Report Heading 2" xfId="6275"/>
    <cellStyle name="Output Report Heading 2 2" xfId="6276"/>
    <cellStyle name="OUTPUT REPORT HEADING 2 2 2" xfId="60580"/>
    <cellStyle name="Output Report Heading 2 2 3" xfId="60581"/>
    <cellStyle name="Output Report Heading 2 2 4" xfId="60582"/>
    <cellStyle name="Output Report Heading 2 2 5" xfId="60583"/>
    <cellStyle name="Output Report Heading 2 2 6" xfId="60584"/>
    <cellStyle name="Output Report Heading 2 2 7" xfId="60585"/>
    <cellStyle name="OUTPUT REPORT HEADING 2 3" xfId="9914"/>
    <cellStyle name="OUTPUT REPORT HEADING 2 3 2" xfId="60586"/>
    <cellStyle name="Output Report Heading 2 4" xfId="60587"/>
    <cellStyle name="Output Report Heading 2 5" xfId="60588"/>
    <cellStyle name="Output Report Heading 2 6" xfId="60589"/>
    <cellStyle name="Output Report Heading 3" xfId="6277"/>
    <cellStyle name="Output Report Heading 3 2" xfId="9347"/>
    <cellStyle name="Output Report Heading 4" xfId="6278"/>
    <cellStyle name="Output Report Heading 4 2" xfId="60590"/>
    <cellStyle name="OUTPUT REPORT HEADING 5" xfId="9348"/>
    <cellStyle name="Output Report Heading 6" xfId="9915"/>
    <cellStyle name="Output Report Heading 7" xfId="9916"/>
    <cellStyle name="Output Report Heading 8" xfId="9917"/>
    <cellStyle name="Output Report Heading 9" xfId="9918"/>
    <cellStyle name="Output Report Heading_d1" xfId="6279"/>
    <cellStyle name="OUTPUT REPORT TITLE" xfId="6280"/>
    <cellStyle name="Output Report Title 10" xfId="57746"/>
    <cellStyle name="OUTPUT REPORT TITLE 10 2" xfId="60591"/>
    <cellStyle name="OUTPUT REPORT TITLE 10 3" xfId="60592"/>
    <cellStyle name="OUTPUT REPORT TITLE 11" xfId="60593"/>
    <cellStyle name="Output Report Title 12" xfId="60594"/>
    <cellStyle name="Output Report Title 2" xfId="6281"/>
    <cellStyle name="Output Report Title 2 2" xfId="6282"/>
    <cellStyle name="OUTPUT REPORT TITLE 2 2 2" xfId="60595"/>
    <cellStyle name="Output Report Title 2 2 3" xfId="60596"/>
    <cellStyle name="Output Report Title 2 2 4" xfId="60597"/>
    <cellStyle name="Output Report Title 2 2 5" xfId="60598"/>
    <cellStyle name="Output Report Title 2 2 6" xfId="60599"/>
    <cellStyle name="Output Report Title 2 2 7" xfId="60600"/>
    <cellStyle name="OUTPUT REPORT TITLE 2 3" xfId="9919"/>
    <cellStyle name="OUTPUT REPORT TITLE 2 3 2" xfId="60601"/>
    <cellStyle name="Output Report Title 2 4" xfId="60602"/>
    <cellStyle name="Output Report Title 2 5" xfId="60603"/>
    <cellStyle name="Output Report Title 2 6" xfId="60604"/>
    <cellStyle name="Output Report Title 3" xfId="6283"/>
    <cellStyle name="Output Report Title 3 2" xfId="9349"/>
    <cellStyle name="Output Report Title 4" xfId="6284"/>
    <cellStyle name="Output Report Title 4 2" xfId="60605"/>
    <cellStyle name="OUTPUT REPORT TITLE 5" xfId="9350"/>
    <cellStyle name="Output Report Title 6" xfId="9920"/>
    <cellStyle name="Output Report Title 7" xfId="9921"/>
    <cellStyle name="Output Report Title 8" xfId="9922"/>
    <cellStyle name="Output Report Title 9" xfId="9923"/>
    <cellStyle name="Output Report Title_d1" xfId="6285"/>
    <cellStyle name="Percent" xfId="8669" builtinId="5"/>
    <cellStyle name="Percent 10" xfId="6286"/>
    <cellStyle name="Percent 10 2" xfId="6287"/>
    <cellStyle name="Percent 10 2 2" xfId="60606"/>
    <cellStyle name="Percent 10 2 3" xfId="60607"/>
    <cellStyle name="Percent 10 3" xfId="60608"/>
    <cellStyle name="Percent 10 3 2" xfId="60609"/>
    <cellStyle name="Percent 10 4" xfId="60610"/>
    <cellStyle name="Percent 10 5" xfId="60611"/>
    <cellStyle name="Percent 10 6" xfId="60612"/>
    <cellStyle name="Percent 11" xfId="6288"/>
    <cellStyle name="Percent 11 2" xfId="6289"/>
    <cellStyle name="Percent 11 3" xfId="6290"/>
    <cellStyle name="Percent 12" xfId="8779"/>
    <cellStyle name="Percent 13" xfId="57814"/>
    <cellStyle name="Percent 13 2" xfId="60613"/>
    <cellStyle name="Percent 14" xfId="60614"/>
    <cellStyle name="Percent 15" xfId="10005"/>
    <cellStyle name="Percent 16" xfId="57747"/>
    <cellStyle name="Percent 17" xfId="60615"/>
    <cellStyle name="Percent 19" xfId="61984"/>
    <cellStyle name="Percent 2" xfId="6291"/>
    <cellStyle name="Percent 2 2" xfId="6292"/>
    <cellStyle name="Percent 2 2 2" xfId="6293"/>
    <cellStyle name="Percent 2 2 2 2" xfId="6294"/>
    <cellStyle name="Percent 2 2 2 2 2" xfId="6295"/>
    <cellStyle name="Percent 2 2 2 2 2 2" xfId="6296"/>
    <cellStyle name="Percent 2 2 2 2 2 2 2" xfId="6297"/>
    <cellStyle name="Percent 2 2 2 2 2 3" xfId="6298"/>
    <cellStyle name="Percent 2 2 2 2 3" xfId="6299"/>
    <cellStyle name="Percent 2 2 2 2 3 2" xfId="6300"/>
    <cellStyle name="Percent 2 2 2 2 4" xfId="6301"/>
    <cellStyle name="Percent 2 2 2 3" xfId="6302"/>
    <cellStyle name="Percent 2 2 2 3 2" xfId="6303"/>
    <cellStyle name="Percent 2 2 2 3 2 2" xfId="6304"/>
    <cellStyle name="Percent 2 2 2 3 3" xfId="6305"/>
    <cellStyle name="Percent 2 2 2 4" xfId="6306"/>
    <cellStyle name="Percent 2 2 2 4 2" xfId="6307"/>
    <cellStyle name="Percent 2 2 2 5" xfId="6308"/>
    <cellStyle name="Percent 2 2 3" xfId="6309"/>
    <cellStyle name="Percent 2 2 3 2" xfId="6310"/>
    <cellStyle name="Percent 2 2 3 2 2" xfId="6311"/>
    <cellStyle name="Percent 2 2 3 2 2 2" xfId="6312"/>
    <cellStyle name="Percent 2 2 3 2 3" xfId="6313"/>
    <cellStyle name="Percent 2 2 3 3" xfId="6314"/>
    <cellStyle name="Percent 2 2 3 3 2" xfId="6315"/>
    <cellStyle name="Percent 2 2 3 4" xfId="6316"/>
    <cellStyle name="Percent 2 2 4" xfId="6317"/>
    <cellStyle name="Percent 2 2 4 2" xfId="6318"/>
    <cellStyle name="Percent 2 2 4 2 2" xfId="6319"/>
    <cellStyle name="Percent 2 2 4 3" xfId="6320"/>
    <cellStyle name="Percent 2 2 5" xfId="6321"/>
    <cellStyle name="Percent 2 2 5 2" xfId="6322"/>
    <cellStyle name="Percent 2 2 6" xfId="6323"/>
    <cellStyle name="Percent 2 2 7" xfId="6324"/>
    <cellStyle name="Percent 2 3" xfId="6325"/>
    <cellStyle name="Percent 2 3 2" xfId="6326"/>
    <cellStyle name="Percent 2 3 2 2" xfId="6327"/>
    <cellStyle name="Percent 2 3 2 2 2" xfId="6328"/>
    <cellStyle name="Percent 2 3 2 3" xfId="6329"/>
    <cellStyle name="Percent 2 3 2 4" xfId="60616"/>
    <cellStyle name="Percent 2 3 3" xfId="6330"/>
    <cellStyle name="Percent 2 3 3 2" xfId="6331"/>
    <cellStyle name="Percent 2 3 4" xfId="6332"/>
    <cellStyle name="Percent 2 3 5" xfId="6333"/>
    <cellStyle name="Percent 2 4" xfId="6334"/>
    <cellStyle name="Percent 2 4 2" xfId="57748"/>
    <cellStyle name="Percent 2 4 2 2" xfId="57749"/>
    <cellStyle name="Percent 2 4 3" xfId="57750"/>
    <cellStyle name="Percent 2 5" xfId="57751"/>
    <cellStyle name="Percent 2 5 2" xfId="57752"/>
    <cellStyle name="Percent 2 6" xfId="57753"/>
    <cellStyle name="Percent 2 7" xfId="61977"/>
    <cellStyle name="Percent 3" xfId="6335"/>
    <cellStyle name="Percent 3 10" xfId="6336"/>
    <cellStyle name="Percent 3 2" xfId="6337"/>
    <cellStyle name="Percent 3 2 2" xfId="6338"/>
    <cellStyle name="Percent 3 2 2 2" xfId="6339"/>
    <cellStyle name="Percent 3 2 2 2 2" xfId="6340"/>
    <cellStyle name="Percent 3 2 2 2 2 2" xfId="6341"/>
    <cellStyle name="Percent 3 2 2 2 2 2 2" xfId="6342"/>
    <cellStyle name="Percent 3 2 2 2 2 2 2 2" xfId="6343"/>
    <cellStyle name="Percent 3 2 2 2 2 2 3" xfId="6344"/>
    <cellStyle name="Percent 3 2 2 2 2 3" xfId="6345"/>
    <cellStyle name="Percent 3 2 2 2 2 3 2" xfId="6346"/>
    <cellStyle name="Percent 3 2 2 2 2 4" xfId="6347"/>
    <cellStyle name="Percent 3 2 2 2 3" xfId="6348"/>
    <cellStyle name="Percent 3 2 2 2 3 2" xfId="6349"/>
    <cellStyle name="Percent 3 2 2 2 3 2 2" xfId="6350"/>
    <cellStyle name="Percent 3 2 2 2 3 3" xfId="6351"/>
    <cellStyle name="Percent 3 2 2 2 4" xfId="6352"/>
    <cellStyle name="Percent 3 2 2 2 4 2" xfId="6353"/>
    <cellStyle name="Percent 3 2 2 2 5" xfId="6354"/>
    <cellStyle name="Percent 3 2 2 2 6" xfId="60617"/>
    <cellStyle name="Percent 3 2 2 3" xfId="6355"/>
    <cellStyle name="Percent 3 2 2 3 2" xfId="6356"/>
    <cellStyle name="Percent 3 2 2 3 2 2" xfId="6357"/>
    <cellStyle name="Percent 3 2 2 3 2 2 2" xfId="6358"/>
    <cellStyle name="Percent 3 2 2 3 2 3" xfId="6359"/>
    <cellStyle name="Percent 3 2 2 3 3" xfId="6360"/>
    <cellStyle name="Percent 3 2 2 3 3 2" xfId="6361"/>
    <cellStyle name="Percent 3 2 2 3 4" xfId="6362"/>
    <cellStyle name="Percent 3 2 2 4" xfId="6363"/>
    <cellStyle name="Percent 3 2 2 4 2" xfId="6364"/>
    <cellStyle name="Percent 3 2 2 4 2 2" xfId="6365"/>
    <cellStyle name="Percent 3 2 2 4 3" xfId="6366"/>
    <cellStyle name="Percent 3 2 2 5" xfId="6367"/>
    <cellStyle name="Percent 3 2 2 5 2" xfId="6368"/>
    <cellStyle name="Percent 3 2 2 6" xfId="6369"/>
    <cellStyle name="Percent 3 2 2 7" xfId="60618"/>
    <cellStyle name="Percent 3 2 3" xfId="6370"/>
    <cellStyle name="Percent 3 2 3 2" xfId="6371"/>
    <cellStyle name="Percent 3 2 3 2 2" xfId="6372"/>
    <cellStyle name="Percent 3 2 3 2 2 2" xfId="6373"/>
    <cellStyle name="Percent 3 2 3 2 2 2 2" xfId="6374"/>
    <cellStyle name="Percent 3 2 3 2 2 3" xfId="6375"/>
    <cellStyle name="Percent 3 2 3 2 3" xfId="6376"/>
    <cellStyle name="Percent 3 2 3 2 3 2" xfId="6377"/>
    <cellStyle name="Percent 3 2 3 2 4" xfId="6378"/>
    <cellStyle name="Percent 3 2 3 3" xfId="6379"/>
    <cellStyle name="Percent 3 2 3 3 2" xfId="6380"/>
    <cellStyle name="Percent 3 2 3 3 2 2" xfId="6381"/>
    <cellStyle name="Percent 3 2 3 3 3" xfId="6382"/>
    <cellStyle name="Percent 3 2 3 4" xfId="6383"/>
    <cellStyle name="Percent 3 2 3 4 2" xfId="6384"/>
    <cellStyle name="Percent 3 2 3 5" xfId="6385"/>
    <cellStyle name="Percent 3 2 3 6" xfId="60619"/>
    <cellStyle name="Percent 3 2 4" xfId="6386"/>
    <cellStyle name="Percent 3 2 4 2" xfId="6387"/>
    <cellStyle name="Percent 3 2 4 2 2" xfId="6388"/>
    <cellStyle name="Percent 3 2 4 2 2 2" xfId="6389"/>
    <cellStyle name="Percent 3 2 4 2 2 2 2" xfId="6390"/>
    <cellStyle name="Percent 3 2 4 2 2 3" xfId="6391"/>
    <cellStyle name="Percent 3 2 4 2 3" xfId="6392"/>
    <cellStyle name="Percent 3 2 4 2 3 2" xfId="6393"/>
    <cellStyle name="Percent 3 2 4 2 4" xfId="6394"/>
    <cellStyle name="Percent 3 2 4 3" xfId="6395"/>
    <cellStyle name="Percent 3 2 4 3 2" xfId="6396"/>
    <cellStyle name="Percent 3 2 4 3 2 2" xfId="6397"/>
    <cellStyle name="Percent 3 2 4 3 3" xfId="6398"/>
    <cellStyle name="Percent 3 2 4 4" xfId="6399"/>
    <cellStyle name="Percent 3 2 4 4 2" xfId="6400"/>
    <cellStyle name="Percent 3 2 4 5" xfId="6401"/>
    <cellStyle name="Percent 3 2 5" xfId="6402"/>
    <cellStyle name="Percent 3 2 5 2" xfId="6403"/>
    <cellStyle name="Percent 3 2 5 2 2" xfId="6404"/>
    <cellStyle name="Percent 3 2 5 2 2 2" xfId="6405"/>
    <cellStyle name="Percent 3 2 5 2 3" xfId="6406"/>
    <cellStyle name="Percent 3 2 5 3" xfId="6407"/>
    <cellStyle name="Percent 3 2 5 3 2" xfId="6408"/>
    <cellStyle name="Percent 3 2 5 4" xfId="6409"/>
    <cellStyle name="Percent 3 2 6" xfId="6410"/>
    <cellStyle name="Percent 3 2 6 2" xfId="6411"/>
    <cellStyle name="Percent 3 2 6 2 2" xfId="6412"/>
    <cellStyle name="Percent 3 2 6 3" xfId="6413"/>
    <cellStyle name="Percent 3 2 7" xfId="6414"/>
    <cellStyle name="Percent 3 2 7 2" xfId="6415"/>
    <cellStyle name="Percent 3 2 8" xfId="6416"/>
    <cellStyle name="Percent 3 2 9" xfId="60620"/>
    <cellStyle name="Percent 3 3" xfId="6417"/>
    <cellStyle name="Percent 3 3 2" xfId="6418"/>
    <cellStyle name="Percent 3 3 2 2" xfId="6419"/>
    <cellStyle name="Percent 3 3 2 2 2" xfId="6420"/>
    <cellStyle name="Percent 3 3 2 2 2 2" xfId="6421"/>
    <cellStyle name="Percent 3 3 2 2 2 2 2" xfId="6422"/>
    <cellStyle name="Percent 3 3 2 2 2 3" xfId="6423"/>
    <cellStyle name="Percent 3 3 2 2 3" xfId="6424"/>
    <cellStyle name="Percent 3 3 2 2 3 2" xfId="6425"/>
    <cellStyle name="Percent 3 3 2 2 4" xfId="6426"/>
    <cellStyle name="Percent 3 3 2 3" xfId="6427"/>
    <cellStyle name="Percent 3 3 2 3 2" xfId="6428"/>
    <cellStyle name="Percent 3 3 2 3 2 2" xfId="6429"/>
    <cellStyle name="Percent 3 3 2 3 3" xfId="6430"/>
    <cellStyle name="Percent 3 3 2 4" xfId="6431"/>
    <cellStyle name="Percent 3 3 2 4 2" xfId="6432"/>
    <cellStyle name="Percent 3 3 2 5" xfId="6433"/>
    <cellStyle name="Percent 3 3 3" xfId="6434"/>
    <cellStyle name="Percent 3 3 3 2" xfId="6435"/>
    <cellStyle name="Percent 3 3 3 2 2" xfId="6436"/>
    <cellStyle name="Percent 3 3 3 2 2 2" xfId="6437"/>
    <cellStyle name="Percent 3 3 3 2 3" xfId="6438"/>
    <cellStyle name="Percent 3 3 3 3" xfId="6439"/>
    <cellStyle name="Percent 3 3 3 3 2" xfId="6440"/>
    <cellStyle name="Percent 3 3 3 4" xfId="6441"/>
    <cellStyle name="Percent 3 3 4" xfId="6442"/>
    <cellStyle name="Percent 3 3 4 2" xfId="6443"/>
    <cellStyle name="Percent 3 3 4 2 2" xfId="6444"/>
    <cellStyle name="Percent 3 3 4 3" xfId="6445"/>
    <cellStyle name="Percent 3 3 5" xfId="6446"/>
    <cellStyle name="Percent 3 3 5 2" xfId="6447"/>
    <cellStyle name="Percent 3 3 6" xfId="6448"/>
    <cellStyle name="Percent 3 3 7" xfId="60621"/>
    <cellStyle name="Percent 3 4" xfId="6449"/>
    <cellStyle name="Percent 3 4 2" xfId="6450"/>
    <cellStyle name="Percent 3 4 2 2" xfId="6451"/>
    <cellStyle name="Percent 3 4 2 2 2" xfId="6452"/>
    <cellStyle name="Percent 3 4 2 2 2 2" xfId="6453"/>
    <cellStyle name="Percent 3 4 2 2 3" xfId="6454"/>
    <cellStyle name="Percent 3 4 2 3" xfId="6455"/>
    <cellStyle name="Percent 3 4 2 3 2" xfId="6456"/>
    <cellStyle name="Percent 3 4 2 4" xfId="6457"/>
    <cellStyle name="Percent 3 4 2 5" xfId="60622"/>
    <cellStyle name="Percent 3 4 3" xfId="6458"/>
    <cellStyle name="Percent 3 4 3 2" xfId="6459"/>
    <cellStyle name="Percent 3 4 3 2 2" xfId="6460"/>
    <cellStyle name="Percent 3 4 3 3" xfId="6461"/>
    <cellStyle name="Percent 3 4 4" xfId="6462"/>
    <cellStyle name="Percent 3 4 4 2" xfId="6463"/>
    <cellStyle name="Percent 3 4 5" xfId="6464"/>
    <cellStyle name="Percent 3 4 6" xfId="60623"/>
    <cellStyle name="Percent 3 5" xfId="6465"/>
    <cellStyle name="Percent 3 5 2" xfId="6466"/>
    <cellStyle name="Percent 3 5 2 2" xfId="6467"/>
    <cellStyle name="Percent 3 5 2 2 2" xfId="6468"/>
    <cellStyle name="Percent 3 5 2 2 2 2" xfId="6469"/>
    <cellStyle name="Percent 3 5 2 2 3" xfId="6470"/>
    <cellStyle name="Percent 3 5 2 3" xfId="6471"/>
    <cellStyle name="Percent 3 5 2 3 2" xfId="6472"/>
    <cellStyle name="Percent 3 5 2 4" xfId="6473"/>
    <cellStyle name="Percent 3 5 2 5" xfId="57754"/>
    <cellStyle name="Percent 3 5 3" xfId="6474"/>
    <cellStyle name="Percent 3 5 3 2" xfId="6475"/>
    <cellStyle name="Percent 3 5 3 2 2" xfId="6476"/>
    <cellStyle name="Percent 3 5 3 3" xfId="6477"/>
    <cellStyle name="Percent 3 5 3 3 2" xfId="57755"/>
    <cellStyle name="Percent 3 5 3 4" xfId="57756"/>
    <cellStyle name="Percent 3 5 3 5" xfId="57757"/>
    <cellStyle name="Percent 3 5 4" xfId="6478"/>
    <cellStyle name="Percent 3 5 4 2" xfId="6479"/>
    <cellStyle name="Percent 3 5 4 2 2" xfId="57758"/>
    <cellStyle name="Percent 3 5 4 2 2 2" xfId="57759"/>
    <cellStyle name="Percent 3 5 4 2 2 2 2" xfId="57760"/>
    <cellStyle name="Percent 3 5 4 2 2 2 3" xfId="57761"/>
    <cellStyle name="Percent 3 5 4 2 2 2 4" xfId="57762"/>
    <cellStyle name="Percent 3 5 4 2 2 3" xfId="57763"/>
    <cellStyle name="Percent 3 5 4 2 2 3 2" xfId="57764"/>
    <cellStyle name="Percent 3 5 4 2 2 3 3" xfId="57765"/>
    <cellStyle name="Percent 3 5 4 2 2 4" xfId="57766"/>
    <cellStyle name="Percent 3 5 4 2 2 4 2" xfId="57767"/>
    <cellStyle name="Percent 3 5 4 2 2 5" xfId="57768"/>
    <cellStyle name="Percent 3 5 4 2 2 6" xfId="57769"/>
    <cellStyle name="Percent 3 5 4 2 3" xfId="57770"/>
    <cellStyle name="Percent 3 5 4 2 3 2" xfId="57771"/>
    <cellStyle name="Percent 3 5 4 2 4" xfId="57772"/>
    <cellStyle name="Percent 3 5 4 2 5" xfId="57773"/>
    <cellStyle name="Percent 3 5 4 3" xfId="57774"/>
    <cellStyle name="Percent 3 5 4 3 2" xfId="57775"/>
    <cellStyle name="Percent 3 5 4 4" xfId="57776"/>
    <cellStyle name="Percent 3 5 4 4 2" xfId="57777"/>
    <cellStyle name="Percent 3 5 4 5" xfId="57778"/>
    <cellStyle name="Percent 3 5 4 6" xfId="57779"/>
    <cellStyle name="Percent 3 5 5" xfId="6480"/>
    <cellStyle name="Percent 3 5 5 2" xfId="57780"/>
    <cellStyle name="Percent 3 5 6" xfId="57781"/>
    <cellStyle name="Percent 3 5 6 2" xfId="57782"/>
    <cellStyle name="Percent 3 5 7" xfId="57783"/>
    <cellStyle name="Percent 3 5 8" xfId="57784"/>
    <cellStyle name="Percent 3 6" xfId="6481"/>
    <cellStyle name="Percent 3 6 2" xfId="6482"/>
    <cellStyle name="Percent 3 6 2 2" xfId="6483"/>
    <cellStyle name="Percent 3 6 2 2 2" xfId="6484"/>
    <cellStyle name="Percent 3 6 2 3" xfId="6485"/>
    <cellStyle name="Percent 3 6 3" xfId="6486"/>
    <cellStyle name="Percent 3 6 3 2" xfId="6487"/>
    <cellStyle name="Percent 3 6 4" xfId="6488"/>
    <cellStyle name="Percent 3 7" xfId="6489"/>
    <cellStyle name="Percent 3 7 2" xfId="6490"/>
    <cellStyle name="Percent 3 7 2 2" xfId="6491"/>
    <cellStyle name="Percent 3 7 3" xfId="6492"/>
    <cellStyle name="Percent 3 8" xfId="6493"/>
    <cellStyle name="Percent 3 8 2" xfId="6494"/>
    <cellStyle name="Percent 3 9" xfId="6495"/>
    <cellStyle name="Percent 4" xfId="6496"/>
    <cellStyle name="Percent 4 2" xfId="6497"/>
    <cellStyle name="Percent 4 2 2" xfId="6498"/>
    <cellStyle name="Percent 4 2 2 2" xfId="6499"/>
    <cellStyle name="Percent 4 2 2 2 2" xfId="6500"/>
    <cellStyle name="Percent 4 2 2 2 2 2" xfId="6501"/>
    <cellStyle name="Percent 4 2 2 2 3" xfId="6502"/>
    <cellStyle name="Percent 4 2 2 2 4" xfId="60624"/>
    <cellStyle name="Percent 4 2 2 3" xfId="6503"/>
    <cellStyle name="Percent 4 2 2 3 2" xfId="6504"/>
    <cellStyle name="Percent 4 2 2 4" xfId="6505"/>
    <cellStyle name="Percent 4 2 2 5" xfId="60625"/>
    <cellStyle name="Percent 4 2 3" xfId="6506"/>
    <cellStyle name="Percent 4 2 3 2" xfId="6507"/>
    <cellStyle name="Percent 4 2 3 2 2" xfId="6508"/>
    <cellStyle name="Percent 4 2 3 3" xfId="6509"/>
    <cellStyle name="Percent 4 2 3 4" xfId="60626"/>
    <cellStyle name="Percent 4 2 4" xfId="6510"/>
    <cellStyle name="Percent 4 2 4 2" xfId="6511"/>
    <cellStyle name="Percent 4 2 5" xfId="6512"/>
    <cellStyle name="Percent 4 2 6" xfId="60627"/>
    <cellStyle name="Percent 4 3" xfId="6513"/>
    <cellStyle name="Percent 4 3 2" xfId="6514"/>
    <cellStyle name="Percent 4 3 2 2" xfId="6515"/>
    <cellStyle name="Percent 4 3 2 2 2" xfId="6516"/>
    <cellStyle name="Percent 4 3 2 3" xfId="6517"/>
    <cellStyle name="Percent 4 3 3" xfId="6518"/>
    <cellStyle name="Percent 4 3 3 2" xfId="6519"/>
    <cellStyle name="Percent 4 3 4" xfId="6520"/>
    <cellStyle name="Percent 4 3 5" xfId="60628"/>
    <cellStyle name="Percent 4 4" xfId="6521"/>
    <cellStyle name="Percent 4 4 2" xfId="6522"/>
    <cellStyle name="Percent 4 4 2 2" xfId="6523"/>
    <cellStyle name="Percent 4 4 3" xfId="6524"/>
    <cellStyle name="Percent 4 5" xfId="6525"/>
    <cellStyle name="Percent 4 5 2" xfId="6526"/>
    <cellStyle name="Percent 4 6" xfId="6527"/>
    <cellStyle name="Percent 4 7" xfId="6528"/>
    <cellStyle name="Percent 4 8" xfId="60629"/>
    <cellStyle name="Percent 5" xfId="6529"/>
    <cellStyle name="Percent 5 2" xfId="6530"/>
    <cellStyle name="Percent 5 2 2" xfId="57785"/>
    <cellStyle name="Percent 5 3" xfId="57786"/>
    <cellStyle name="Percent 5 3 2" xfId="57787"/>
    <cellStyle name="Percent 5 4" xfId="57788"/>
    <cellStyle name="Percent 5 5" xfId="57789"/>
    <cellStyle name="Percent 6" xfId="6531"/>
    <cellStyle name="Percent 6 2" xfId="6532"/>
    <cellStyle name="Percent 6 2 2" xfId="57790"/>
    <cellStyle name="Percent 6 3" xfId="57791"/>
    <cellStyle name="Percent 6 3 2" xfId="57792"/>
    <cellStyle name="Percent 6 4" xfId="57793"/>
    <cellStyle name="Percent 7" xfId="6533"/>
    <cellStyle name="Percent 7 2" xfId="6534"/>
    <cellStyle name="Percent 7 2 2" xfId="6535"/>
    <cellStyle name="Percent 7 2 2 2" xfId="6536"/>
    <cellStyle name="Percent 7 2 2 3" xfId="60630"/>
    <cellStyle name="Percent 7 2 3" xfId="6537"/>
    <cellStyle name="Percent 7 2 4" xfId="60631"/>
    <cellStyle name="Percent 7 3" xfId="6538"/>
    <cellStyle name="Percent 7 3 2" xfId="6539"/>
    <cellStyle name="Percent 7 3 3" xfId="60632"/>
    <cellStyle name="Percent 7 4" xfId="6540"/>
    <cellStyle name="Percent 7 5" xfId="60633"/>
    <cellStyle name="Percent 7 6" xfId="60634"/>
    <cellStyle name="Percent 8" xfId="6541"/>
    <cellStyle name="Percent 8 2" xfId="6542"/>
    <cellStyle name="Percent 8 2 2" xfId="6543"/>
    <cellStyle name="Percent 8 2 2 2" xfId="60635"/>
    <cellStyle name="Percent 8 2 3" xfId="60636"/>
    <cellStyle name="Percent 8 3" xfId="6544"/>
    <cellStyle name="Percent 8 3 2" xfId="60637"/>
    <cellStyle name="Percent 8 4" xfId="60638"/>
    <cellStyle name="Percent 8 5" xfId="60639"/>
    <cellStyle name="Percent 8 6" xfId="60640"/>
    <cellStyle name="Percent 9" xfId="6545"/>
    <cellStyle name="Percent 9 2" xfId="6546"/>
    <cellStyle name="Percent 9 2 2" xfId="6547"/>
    <cellStyle name="Percent 9 2 3" xfId="60641"/>
    <cellStyle name="Percent 9 3" xfId="6548"/>
    <cellStyle name="Percent 9 3 2" xfId="60642"/>
    <cellStyle name="Percent 9 4" xfId="60643"/>
    <cellStyle name="Percent 9 5" xfId="60644"/>
    <cellStyle name="Percent 9 6" xfId="60645"/>
    <cellStyle name="Project Overview Data Entry" xfId="6549"/>
    <cellStyle name="Project Overview Data Entry 2" xfId="60646"/>
    <cellStyle name="PSChar" xfId="6550"/>
    <cellStyle name="PSChar 2" xfId="9351"/>
    <cellStyle name="PSDate" xfId="6551"/>
    <cellStyle name="PSDec" xfId="6552"/>
    <cellStyle name="PSHeading" xfId="6553"/>
    <cellStyle name="PSHeading 2" xfId="57794"/>
    <cellStyle name="PSInt" xfId="6554"/>
    <cellStyle name="PSSpacer" xfId="6555"/>
    <cellStyle name="PSSpacer 2" xfId="57795"/>
    <cellStyle name="R00A" xfId="8734"/>
    <cellStyle name="R00B" xfId="8735"/>
    <cellStyle name="R00L" xfId="8736"/>
    <cellStyle name="R01A" xfId="8737"/>
    <cellStyle name="R01B" xfId="8738"/>
    <cellStyle name="R01H" xfId="8739"/>
    <cellStyle name="R01L" xfId="8740"/>
    <cellStyle name="R02A" xfId="8741"/>
    <cellStyle name="R02B" xfId="8742"/>
    <cellStyle name="R02H" xfId="8743"/>
    <cellStyle name="R02L" xfId="8744"/>
    <cellStyle name="R03A" xfId="8745"/>
    <cellStyle name="R03B" xfId="8746"/>
    <cellStyle name="R03H" xfId="8747"/>
    <cellStyle name="R03L" xfId="8748"/>
    <cellStyle name="R04A" xfId="8749"/>
    <cellStyle name="R04B" xfId="8750"/>
    <cellStyle name="R04H" xfId="8751"/>
    <cellStyle name="R04L" xfId="8752"/>
    <cellStyle name="R05A" xfId="8753"/>
    <cellStyle name="R05B" xfId="8754"/>
    <cellStyle name="R05H" xfId="8755"/>
    <cellStyle name="R05L" xfId="8756"/>
    <cellStyle name="R06A" xfId="8757"/>
    <cellStyle name="R06B" xfId="8758"/>
    <cellStyle name="R06H" xfId="8759"/>
    <cellStyle name="R06L" xfId="8760"/>
    <cellStyle name="R07A" xfId="8761"/>
    <cellStyle name="R07B" xfId="8762"/>
    <cellStyle name="R07H" xfId="8763"/>
    <cellStyle name="R07L" xfId="8764"/>
    <cellStyle name="ReportTitlePrompt" xfId="6556"/>
    <cellStyle name="ReportTitlePrompt 2" xfId="6557"/>
    <cellStyle name="ReportTitlePrompt 2 2" xfId="9924"/>
    <cellStyle name="ReportTitlePrompt 2 3" xfId="9925"/>
    <cellStyle name="ReportTitlePrompt 3" xfId="6558"/>
    <cellStyle name="ReportTitlePrompt 4" xfId="6559"/>
    <cellStyle name="ReportTitlePrompt 5" xfId="9352"/>
    <cellStyle name="ReportTitleValue" xfId="6560"/>
    <cellStyle name="ReportTitleValue 2" xfId="6561"/>
    <cellStyle name="ReportTitleValue 2 2" xfId="9926"/>
    <cellStyle name="Reset  - Style4" xfId="60647"/>
    <cellStyle name="RowAcctAbovePrompt" xfId="6562"/>
    <cellStyle name="RowAcctAbovePrompt 2" xfId="6563"/>
    <cellStyle name="RowAcctAbovePrompt 2 2" xfId="9927"/>
    <cellStyle name="RowAcctAbovePrompt 2 3" xfId="9928"/>
    <cellStyle name="RowAcctAbovePrompt 3" xfId="6564"/>
    <cellStyle name="RowAcctAbovePrompt 4" xfId="9353"/>
    <cellStyle name="RowAcctSOBAbovePrompt" xfId="6565"/>
    <cellStyle name="RowAcctSOBAbovePrompt 2" xfId="6566"/>
    <cellStyle name="RowAcctSOBAbovePrompt 2 2" xfId="9929"/>
    <cellStyle name="RowAcctSOBAbovePrompt 2 3" xfId="9930"/>
    <cellStyle name="RowAcctSOBAbovePrompt 3" xfId="6567"/>
    <cellStyle name="RowAcctSOBAbovePrompt 4" xfId="9354"/>
    <cellStyle name="RowAcctSOBValue" xfId="6568"/>
    <cellStyle name="RowAcctSOBValue 2" xfId="6569"/>
    <cellStyle name="RowAcctSOBValue 2 2" xfId="9931"/>
    <cellStyle name="RowAcctSOBValue 2 3" xfId="9932"/>
    <cellStyle name="RowAcctSOBValue 3" xfId="6570"/>
    <cellStyle name="RowAcctSOBValue 4" xfId="9355"/>
    <cellStyle name="RowAcctValue" xfId="6571"/>
    <cellStyle name="RowAcctValue 2" xfId="6572"/>
    <cellStyle name="RowAcctValue 2 2" xfId="9933"/>
    <cellStyle name="RowAttrAbovePrompt" xfId="6573"/>
    <cellStyle name="RowAttrAbovePrompt 2" xfId="6574"/>
    <cellStyle name="RowAttrAbovePrompt 2 2" xfId="9934"/>
    <cellStyle name="RowAttrAbovePrompt 2 3" xfId="9935"/>
    <cellStyle name="RowAttrAbovePrompt 3" xfId="6575"/>
    <cellStyle name="RowAttrAbovePrompt 4" xfId="9356"/>
    <cellStyle name="RowAttrValue" xfId="6576"/>
    <cellStyle name="RowAttrValue 2" xfId="6577"/>
    <cellStyle name="RowAttrValue 2 2" xfId="9936"/>
    <cellStyle name="RowColSetAbovePrompt" xfId="6578"/>
    <cellStyle name="RowColSetAbovePrompt 2" xfId="6579"/>
    <cellStyle name="RowColSetAbovePrompt 2 2" xfId="9937"/>
    <cellStyle name="RowColSetAbovePrompt 2 3" xfId="9938"/>
    <cellStyle name="RowColSetAbovePrompt 3" xfId="6580"/>
    <cellStyle name="RowColSetAbovePrompt 4" xfId="9357"/>
    <cellStyle name="RowColSetLeftPrompt" xfId="6581"/>
    <cellStyle name="RowColSetLeftPrompt 2" xfId="6582"/>
    <cellStyle name="RowColSetLeftPrompt 2 2" xfId="9939"/>
    <cellStyle name="RowColSetLeftPrompt 2 3" xfId="9940"/>
    <cellStyle name="RowColSetLeftPrompt 3" xfId="6583"/>
    <cellStyle name="RowColSetLeftPrompt 4" xfId="9358"/>
    <cellStyle name="RowColSetValue" xfId="6584"/>
    <cellStyle name="RowColSetValue 2" xfId="6585"/>
    <cellStyle name="RowColSetValue 2 2" xfId="9941"/>
    <cellStyle name="RowColSetValue 3" xfId="6586"/>
    <cellStyle name="RowLeftPrompt" xfId="6587"/>
    <cellStyle name="RowLeftPrompt 2" xfId="6588"/>
    <cellStyle name="RowLeftPrompt 2 2" xfId="9942"/>
    <cellStyle name="RowLeftPrompt 2 3" xfId="9943"/>
    <cellStyle name="RowLeftPrompt 3" xfId="6589"/>
    <cellStyle name="RowLeftPrompt 4" xfId="9359"/>
    <cellStyle name="SampleUsingFormatMask" xfId="6590"/>
    <cellStyle name="SampleUsingFormatMask 2" xfId="6591"/>
    <cellStyle name="SampleUsingFormatMask 2 2" xfId="9944"/>
    <cellStyle name="SampleUsingFormatMask 2 3" xfId="9945"/>
    <cellStyle name="SampleUsingFormatMask 3" xfId="6592"/>
    <cellStyle name="SampleUsingFormatMask 4" xfId="9360"/>
    <cellStyle name="SampleWithNoFormatMask" xfId="6593"/>
    <cellStyle name="SampleWithNoFormatMask 2" xfId="6594"/>
    <cellStyle name="SampleWithNoFormatMask 2 2" xfId="9946"/>
    <cellStyle name="SampleWithNoFormatMask 2 3" xfId="9947"/>
    <cellStyle name="SampleWithNoFormatMask 3" xfId="6595"/>
    <cellStyle name="SampleWithNoFormatMask 4" xfId="9361"/>
    <cellStyle name="SAPBEXaggData" xfId="6596"/>
    <cellStyle name="SAPBEXaggData 10" xfId="6597"/>
    <cellStyle name="SAPBEXaggData 10 2" xfId="60648"/>
    <cellStyle name="SAPBEXaggData 11" xfId="6598"/>
    <cellStyle name="SAPBEXaggData 11 2" xfId="60649"/>
    <cellStyle name="SAPBEXaggData 12" xfId="6599"/>
    <cellStyle name="SAPBEXaggData 2" xfId="6600"/>
    <cellStyle name="SAPBEXaggData 2 10" xfId="6601"/>
    <cellStyle name="SAPBEXaggData 2 10 2" xfId="60650"/>
    <cellStyle name="SAPBEXaggData 2 11" xfId="6602"/>
    <cellStyle name="SAPBEXaggData 2 2" xfId="6603"/>
    <cellStyle name="SAPBEXaggData 2 2 2" xfId="60651"/>
    <cellStyle name="SAPBEXaggData 2 3" xfId="6604"/>
    <cellStyle name="SAPBEXaggData 2 3 2" xfId="60652"/>
    <cellStyle name="SAPBEXaggData 2 4" xfId="6605"/>
    <cellStyle name="SAPBEXaggData 2 4 2" xfId="60653"/>
    <cellStyle name="SAPBEXaggData 2 5" xfId="6606"/>
    <cellStyle name="SAPBEXaggData 2 5 2" xfId="60654"/>
    <cellStyle name="SAPBEXaggData 2 6" xfId="6607"/>
    <cellStyle name="SAPBEXaggData 2 6 2" xfId="60655"/>
    <cellStyle name="SAPBEXaggData 2 7" xfId="6608"/>
    <cellStyle name="SAPBEXaggData 2 7 2" xfId="60656"/>
    <cellStyle name="SAPBEXaggData 2 8" xfId="6609"/>
    <cellStyle name="SAPBEXaggData 2 8 2" xfId="60657"/>
    <cellStyle name="SAPBEXaggData 2 9" xfId="6610"/>
    <cellStyle name="SAPBEXaggData 2 9 2" xfId="60658"/>
    <cellStyle name="SAPBEXaggData 3" xfId="6611"/>
    <cellStyle name="SAPBEXaggData 3 2" xfId="60659"/>
    <cellStyle name="SAPBEXaggData 4" xfId="6612"/>
    <cellStyle name="SAPBEXaggData 4 2" xfId="60660"/>
    <cellStyle name="SAPBEXaggData 5" xfId="6613"/>
    <cellStyle name="SAPBEXaggData 5 2" xfId="60661"/>
    <cellStyle name="SAPBEXaggData 6" xfId="6614"/>
    <cellStyle name="SAPBEXaggData 6 2" xfId="60662"/>
    <cellStyle name="SAPBEXaggData 7" xfId="6615"/>
    <cellStyle name="SAPBEXaggData 7 2" xfId="60663"/>
    <cellStyle name="SAPBEXaggData 8" xfId="6616"/>
    <cellStyle name="SAPBEXaggData 8 2" xfId="60664"/>
    <cellStyle name="SAPBEXaggData 9" xfId="6617"/>
    <cellStyle name="SAPBEXaggData 9 2" xfId="60665"/>
    <cellStyle name="SAPBEXaggDataEmph" xfId="6618"/>
    <cellStyle name="SAPBEXaggDataEmph 10" xfId="6619"/>
    <cellStyle name="SAPBEXaggDataEmph 10 2" xfId="60666"/>
    <cellStyle name="SAPBEXaggDataEmph 11" xfId="6620"/>
    <cellStyle name="SAPBEXaggDataEmph 2" xfId="6621"/>
    <cellStyle name="SAPBEXaggDataEmph 2 2" xfId="60667"/>
    <cellStyle name="SAPBEXaggDataEmph 3" xfId="6622"/>
    <cellStyle name="SAPBEXaggDataEmph 3 2" xfId="60668"/>
    <cellStyle name="SAPBEXaggDataEmph 4" xfId="6623"/>
    <cellStyle name="SAPBEXaggDataEmph 4 2" xfId="60669"/>
    <cellStyle name="SAPBEXaggDataEmph 5" xfId="6624"/>
    <cellStyle name="SAPBEXaggDataEmph 5 2" xfId="60670"/>
    <cellStyle name="SAPBEXaggDataEmph 6" xfId="6625"/>
    <cellStyle name="SAPBEXaggDataEmph 6 2" xfId="60671"/>
    <cellStyle name="SAPBEXaggDataEmph 7" xfId="6626"/>
    <cellStyle name="SAPBEXaggDataEmph 7 2" xfId="60672"/>
    <cellStyle name="SAPBEXaggDataEmph 8" xfId="6627"/>
    <cellStyle name="SAPBEXaggDataEmph 8 2" xfId="60673"/>
    <cellStyle name="SAPBEXaggDataEmph 9" xfId="6628"/>
    <cellStyle name="SAPBEXaggDataEmph 9 2" xfId="60674"/>
    <cellStyle name="SAPBEXaggItem" xfId="6629"/>
    <cellStyle name="SAPBEXaggItem 10" xfId="6630"/>
    <cellStyle name="SAPBEXaggItem 10 2" xfId="60675"/>
    <cellStyle name="SAPBEXaggItem 11" xfId="6631"/>
    <cellStyle name="SAPBEXaggItem 11 2" xfId="60676"/>
    <cellStyle name="SAPBEXaggItem 12" xfId="6632"/>
    <cellStyle name="SAPBEXaggItem 2" xfId="6633"/>
    <cellStyle name="SAPBEXaggItem 2 10" xfId="6634"/>
    <cellStyle name="SAPBEXaggItem 2 10 2" xfId="60677"/>
    <cellStyle name="SAPBEXaggItem 2 11" xfId="6635"/>
    <cellStyle name="SAPBEXaggItem 2 2" xfId="6636"/>
    <cellStyle name="SAPBEXaggItem 2 2 2" xfId="60678"/>
    <cellStyle name="SAPBEXaggItem 2 3" xfId="6637"/>
    <cellStyle name="SAPBEXaggItem 2 3 2" xfId="60679"/>
    <cellStyle name="SAPBEXaggItem 2 4" xfId="6638"/>
    <cellStyle name="SAPBEXaggItem 2 4 2" xfId="60680"/>
    <cellStyle name="SAPBEXaggItem 2 5" xfId="6639"/>
    <cellStyle name="SAPBEXaggItem 2 5 2" xfId="60681"/>
    <cellStyle name="SAPBEXaggItem 2 6" xfId="6640"/>
    <cellStyle name="SAPBEXaggItem 2 6 2" xfId="60682"/>
    <cellStyle name="SAPBEXaggItem 2 7" xfId="6641"/>
    <cellStyle name="SAPBEXaggItem 2 7 2" xfId="60683"/>
    <cellStyle name="SAPBEXaggItem 2 8" xfId="6642"/>
    <cellStyle name="SAPBEXaggItem 2 8 2" xfId="60684"/>
    <cellStyle name="SAPBEXaggItem 2 9" xfId="6643"/>
    <cellStyle name="SAPBEXaggItem 2 9 2" xfId="60685"/>
    <cellStyle name="SAPBEXaggItem 3" xfId="6644"/>
    <cellStyle name="SAPBEXaggItem 3 2" xfId="60686"/>
    <cellStyle name="SAPBEXaggItem 4" xfId="6645"/>
    <cellStyle name="SAPBEXaggItem 4 2" xfId="60687"/>
    <cellStyle name="SAPBEXaggItem 5" xfId="6646"/>
    <cellStyle name="SAPBEXaggItem 5 2" xfId="60688"/>
    <cellStyle name="SAPBEXaggItem 6" xfId="6647"/>
    <cellStyle name="SAPBEXaggItem 6 2" xfId="60689"/>
    <cellStyle name="SAPBEXaggItem 7" xfId="6648"/>
    <cellStyle name="SAPBEXaggItem 7 2" xfId="60690"/>
    <cellStyle name="SAPBEXaggItem 8" xfId="6649"/>
    <cellStyle name="SAPBEXaggItem 8 2" xfId="60691"/>
    <cellStyle name="SAPBEXaggItem 9" xfId="6650"/>
    <cellStyle name="SAPBEXaggItem 9 2" xfId="60692"/>
    <cellStyle name="SAPBEXaggItemX" xfId="6651"/>
    <cellStyle name="SAPBEXaggItemX 10" xfId="6652"/>
    <cellStyle name="SAPBEXaggItemX 10 2" xfId="60693"/>
    <cellStyle name="SAPBEXaggItemX 11" xfId="6653"/>
    <cellStyle name="SAPBEXaggItemX 11 2" xfId="60694"/>
    <cellStyle name="SAPBEXaggItemX 12" xfId="6654"/>
    <cellStyle name="SAPBEXaggItemX 2" xfId="6655"/>
    <cellStyle name="SAPBEXaggItemX 2 10" xfId="6656"/>
    <cellStyle name="SAPBEXaggItemX 2 10 2" xfId="60695"/>
    <cellStyle name="SAPBEXaggItemX 2 11" xfId="6657"/>
    <cellStyle name="SAPBEXaggItemX 2 2" xfId="6658"/>
    <cellStyle name="SAPBEXaggItemX 2 2 2" xfId="60696"/>
    <cellStyle name="SAPBEXaggItemX 2 3" xfId="6659"/>
    <cellStyle name="SAPBEXaggItemX 2 3 2" xfId="60697"/>
    <cellStyle name="SAPBEXaggItemX 2 4" xfId="6660"/>
    <cellStyle name="SAPBEXaggItemX 2 4 2" xfId="60698"/>
    <cellStyle name="SAPBEXaggItemX 2 5" xfId="6661"/>
    <cellStyle name="SAPBEXaggItemX 2 5 2" xfId="60699"/>
    <cellStyle name="SAPBEXaggItemX 2 6" xfId="6662"/>
    <cellStyle name="SAPBEXaggItemX 2 6 2" xfId="60700"/>
    <cellStyle name="SAPBEXaggItemX 2 7" xfId="6663"/>
    <cellStyle name="SAPBEXaggItemX 2 7 2" xfId="60701"/>
    <cellStyle name="SAPBEXaggItemX 2 8" xfId="6664"/>
    <cellStyle name="SAPBEXaggItemX 2 8 2" xfId="60702"/>
    <cellStyle name="SAPBEXaggItemX 2 9" xfId="6665"/>
    <cellStyle name="SAPBEXaggItemX 2 9 2" xfId="60703"/>
    <cellStyle name="SAPBEXaggItemX 3" xfId="6666"/>
    <cellStyle name="SAPBEXaggItemX 3 2" xfId="60704"/>
    <cellStyle name="SAPBEXaggItemX 4" xfId="6667"/>
    <cellStyle name="SAPBEXaggItemX 4 2" xfId="60705"/>
    <cellStyle name="SAPBEXaggItemX 5" xfId="6668"/>
    <cellStyle name="SAPBEXaggItemX 5 2" xfId="60706"/>
    <cellStyle name="SAPBEXaggItemX 6" xfId="6669"/>
    <cellStyle name="SAPBEXaggItemX 6 2" xfId="60707"/>
    <cellStyle name="SAPBEXaggItemX 7" xfId="6670"/>
    <cellStyle name="SAPBEXaggItemX 7 2" xfId="60708"/>
    <cellStyle name="SAPBEXaggItemX 8" xfId="6671"/>
    <cellStyle name="SAPBEXaggItemX 8 2" xfId="60709"/>
    <cellStyle name="SAPBEXaggItemX 9" xfId="6672"/>
    <cellStyle name="SAPBEXaggItemX 9 2" xfId="60710"/>
    <cellStyle name="SAPBEXchaText" xfId="6673"/>
    <cellStyle name="SAPBEXchaText 2" xfId="6674"/>
    <cellStyle name="SAPBEXexcBad7" xfId="6675"/>
    <cellStyle name="SAPBEXexcBad7 10" xfId="6676"/>
    <cellStyle name="SAPBEXexcBad7 10 2" xfId="60711"/>
    <cellStyle name="SAPBEXexcBad7 11" xfId="6677"/>
    <cellStyle name="SAPBEXexcBad7 11 2" xfId="60712"/>
    <cellStyle name="SAPBEXexcBad7 12" xfId="6678"/>
    <cellStyle name="SAPBEXexcBad7 2" xfId="6679"/>
    <cellStyle name="SAPBEXexcBad7 2 10" xfId="6680"/>
    <cellStyle name="SAPBEXexcBad7 2 10 2" xfId="60713"/>
    <cellStyle name="SAPBEXexcBad7 2 11" xfId="6681"/>
    <cellStyle name="SAPBEXexcBad7 2 2" xfId="6682"/>
    <cellStyle name="SAPBEXexcBad7 2 2 2" xfId="60714"/>
    <cellStyle name="SAPBEXexcBad7 2 3" xfId="6683"/>
    <cellStyle name="SAPBEXexcBad7 2 3 2" xfId="60715"/>
    <cellStyle name="SAPBEXexcBad7 2 4" xfId="6684"/>
    <cellStyle name="SAPBEXexcBad7 2 4 2" xfId="60716"/>
    <cellStyle name="SAPBEXexcBad7 2 5" xfId="6685"/>
    <cellStyle name="SAPBEXexcBad7 2 5 2" xfId="60717"/>
    <cellStyle name="SAPBEXexcBad7 2 6" xfId="6686"/>
    <cellStyle name="SAPBEXexcBad7 2 6 2" xfId="60718"/>
    <cellStyle name="SAPBEXexcBad7 2 7" xfId="6687"/>
    <cellStyle name="SAPBEXexcBad7 2 7 2" xfId="60719"/>
    <cellStyle name="SAPBEXexcBad7 2 8" xfId="6688"/>
    <cellStyle name="SAPBEXexcBad7 2 8 2" xfId="60720"/>
    <cellStyle name="SAPBEXexcBad7 2 9" xfId="6689"/>
    <cellStyle name="SAPBEXexcBad7 2 9 2" xfId="60721"/>
    <cellStyle name="SAPBEXexcBad7 3" xfId="6690"/>
    <cellStyle name="SAPBEXexcBad7 3 2" xfId="60722"/>
    <cellStyle name="SAPBEXexcBad7 4" xfId="6691"/>
    <cellStyle name="SAPBEXexcBad7 4 2" xfId="60723"/>
    <cellStyle name="SAPBEXexcBad7 5" xfId="6692"/>
    <cellStyle name="SAPBEXexcBad7 5 2" xfId="60724"/>
    <cellStyle name="SAPBEXexcBad7 6" xfId="6693"/>
    <cellStyle name="SAPBEXexcBad7 6 2" xfId="60725"/>
    <cellStyle name="SAPBEXexcBad7 7" xfId="6694"/>
    <cellStyle name="SAPBEXexcBad7 7 2" xfId="60726"/>
    <cellStyle name="SAPBEXexcBad7 8" xfId="6695"/>
    <cellStyle name="SAPBEXexcBad7 8 2" xfId="60727"/>
    <cellStyle name="SAPBEXexcBad7 9" xfId="6696"/>
    <cellStyle name="SAPBEXexcBad7 9 2" xfId="60728"/>
    <cellStyle name="SAPBEXexcBad8" xfId="6697"/>
    <cellStyle name="SAPBEXexcBad8 10" xfId="6698"/>
    <cellStyle name="SAPBEXexcBad8 10 2" xfId="60729"/>
    <cellStyle name="SAPBEXexcBad8 11" xfId="6699"/>
    <cellStyle name="SAPBEXexcBad8 2" xfId="6700"/>
    <cellStyle name="SAPBEXexcBad8 2 2" xfId="60730"/>
    <cellStyle name="SAPBEXexcBad8 3" xfId="6701"/>
    <cellStyle name="SAPBEXexcBad8 3 2" xfId="60731"/>
    <cellStyle name="SAPBEXexcBad8 4" xfId="6702"/>
    <cellStyle name="SAPBEXexcBad8 4 2" xfId="60732"/>
    <cellStyle name="SAPBEXexcBad8 5" xfId="6703"/>
    <cellStyle name="SAPBEXexcBad8 5 2" xfId="60733"/>
    <cellStyle name="SAPBEXexcBad8 6" xfId="6704"/>
    <cellStyle name="SAPBEXexcBad8 6 2" xfId="60734"/>
    <cellStyle name="SAPBEXexcBad8 7" xfId="6705"/>
    <cellStyle name="SAPBEXexcBad8 7 2" xfId="60735"/>
    <cellStyle name="SAPBEXexcBad8 8" xfId="6706"/>
    <cellStyle name="SAPBEXexcBad8 8 2" xfId="60736"/>
    <cellStyle name="SAPBEXexcBad8 9" xfId="6707"/>
    <cellStyle name="SAPBEXexcBad8 9 2" xfId="60737"/>
    <cellStyle name="SAPBEXexcBad9" xfId="6708"/>
    <cellStyle name="SAPBEXexcBad9 10" xfId="6709"/>
    <cellStyle name="SAPBEXexcBad9 10 2" xfId="60738"/>
    <cellStyle name="SAPBEXexcBad9 11" xfId="6710"/>
    <cellStyle name="SAPBEXexcBad9 2" xfId="6711"/>
    <cellStyle name="SAPBEXexcBad9 2 2" xfId="60739"/>
    <cellStyle name="SAPBEXexcBad9 3" xfId="6712"/>
    <cellStyle name="SAPBEXexcBad9 3 2" xfId="60740"/>
    <cellStyle name="SAPBEXexcBad9 4" xfId="6713"/>
    <cellStyle name="SAPBEXexcBad9 4 2" xfId="60741"/>
    <cellStyle name="SAPBEXexcBad9 5" xfId="6714"/>
    <cellStyle name="SAPBEXexcBad9 5 2" xfId="60742"/>
    <cellStyle name="SAPBEXexcBad9 6" xfId="6715"/>
    <cellStyle name="SAPBEXexcBad9 6 2" xfId="60743"/>
    <cellStyle name="SAPBEXexcBad9 7" xfId="6716"/>
    <cellStyle name="SAPBEXexcBad9 7 2" xfId="60744"/>
    <cellStyle name="SAPBEXexcBad9 8" xfId="6717"/>
    <cellStyle name="SAPBEXexcBad9 8 2" xfId="60745"/>
    <cellStyle name="SAPBEXexcBad9 9" xfId="6718"/>
    <cellStyle name="SAPBEXexcBad9 9 2" xfId="60746"/>
    <cellStyle name="SAPBEXexcCritical4" xfId="6719"/>
    <cellStyle name="SAPBEXexcCritical4 10" xfId="6720"/>
    <cellStyle name="SAPBEXexcCritical4 10 2" xfId="60747"/>
    <cellStyle name="SAPBEXexcCritical4 11" xfId="6721"/>
    <cellStyle name="SAPBEXexcCritical4 11 2" xfId="60748"/>
    <cellStyle name="SAPBEXexcCritical4 12" xfId="6722"/>
    <cellStyle name="SAPBEXexcCritical4 2" xfId="6723"/>
    <cellStyle name="SAPBEXexcCritical4 2 10" xfId="6724"/>
    <cellStyle name="SAPBEXexcCritical4 2 10 2" xfId="60749"/>
    <cellStyle name="SAPBEXexcCritical4 2 11" xfId="6725"/>
    <cellStyle name="SAPBEXexcCritical4 2 2" xfId="6726"/>
    <cellStyle name="SAPBEXexcCritical4 2 2 2" xfId="60750"/>
    <cellStyle name="SAPBEXexcCritical4 2 3" xfId="6727"/>
    <cellStyle name="SAPBEXexcCritical4 2 3 2" xfId="60751"/>
    <cellStyle name="SAPBEXexcCritical4 2 4" xfId="6728"/>
    <cellStyle name="SAPBEXexcCritical4 2 4 2" xfId="60752"/>
    <cellStyle name="SAPBEXexcCritical4 2 5" xfId="6729"/>
    <cellStyle name="SAPBEXexcCritical4 2 5 2" xfId="60753"/>
    <cellStyle name="SAPBEXexcCritical4 2 6" xfId="6730"/>
    <cellStyle name="SAPBEXexcCritical4 2 6 2" xfId="60754"/>
    <cellStyle name="SAPBEXexcCritical4 2 7" xfId="6731"/>
    <cellStyle name="SAPBEXexcCritical4 2 7 2" xfId="60755"/>
    <cellStyle name="SAPBEXexcCritical4 2 8" xfId="6732"/>
    <cellStyle name="SAPBEXexcCritical4 2 8 2" xfId="60756"/>
    <cellStyle name="SAPBEXexcCritical4 2 9" xfId="6733"/>
    <cellStyle name="SAPBEXexcCritical4 2 9 2" xfId="60757"/>
    <cellStyle name="SAPBEXexcCritical4 3" xfId="6734"/>
    <cellStyle name="SAPBEXexcCritical4 3 2" xfId="60758"/>
    <cellStyle name="SAPBEXexcCritical4 4" xfId="6735"/>
    <cellStyle name="SAPBEXexcCritical4 4 2" xfId="60759"/>
    <cellStyle name="SAPBEXexcCritical4 5" xfId="6736"/>
    <cellStyle name="SAPBEXexcCritical4 5 2" xfId="60760"/>
    <cellStyle name="SAPBEXexcCritical4 6" xfId="6737"/>
    <cellStyle name="SAPBEXexcCritical4 6 2" xfId="60761"/>
    <cellStyle name="SAPBEXexcCritical4 7" xfId="6738"/>
    <cellStyle name="SAPBEXexcCritical4 7 2" xfId="60762"/>
    <cellStyle name="SAPBEXexcCritical4 8" xfId="6739"/>
    <cellStyle name="SAPBEXexcCritical4 8 2" xfId="60763"/>
    <cellStyle name="SAPBEXexcCritical4 9" xfId="6740"/>
    <cellStyle name="SAPBEXexcCritical4 9 2" xfId="60764"/>
    <cellStyle name="SAPBEXexcCritical5" xfId="6741"/>
    <cellStyle name="SAPBEXexcCritical5 10" xfId="6742"/>
    <cellStyle name="SAPBEXexcCritical5 10 2" xfId="60765"/>
    <cellStyle name="SAPBEXexcCritical5 11" xfId="6743"/>
    <cellStyle name="SAPBEXexcCritical5 11 2" xfId="60766"/>
    <cellStyle name="SAPBEXexcCritical5 12" xfId="6744"/>
    <cellStyle name="SAPBEXexcCritical5 2" xfId="6745"/>
    <cellStyle name="SAPBEXexcCritical5 2 10" xfId="6746"/>
    <cellStyle name="SAPBEXexcCritical5 2 10 2" xfId="60767"/>
    <cellStyle name="SAPBEXexcCritical5 2 11" xfId="6747"/>
    <cellStyle name="SAPBEXexcCritical5 2 2" xfId="6748"/>
    <cellStyle name="SAPBEXexcCritical5 2 2 2" xfId="60768"/>
    <cellStyle name="SAPBEXexcCritical5 2 3" xfId="6749"/>
    <cellStyle name="SAPBEXexcCritical5 2 3 2" xfId="60769"/>
    <cellStyle name="SAPBEXexcCritical5 2 4" xfId="6750"/>
    <cellStyle name="SAPBEXexcCritical5 2 4 2" xfId="60770"/>
    <cellStyle name="SAPBEXexcCritical5 2 5" xfId="6751"/>
    <cellStyle name="SAPBEXexcCritical5 2 5 2" xfId="60771"/>
    <cellStyle name="SAPBEXexcCritical5 2 6" xfId="6752"/>
    <cellStyle name="SAPBEXexcCritical5 2 6 2" xfId="60772"/>
    <cellStyle name="SAPBEXexcCritical5 2 7" xfId="6753"/>
    <cellStyle name="SAPBEXexcCritical5 2 7 2" xfId="60773"/>
    <cellStyle name="SAPBEXexcCritical5 2 8" xfId="6754"/>
    <cellStyle name="SAPBEXexcCritical5 2 8 2" xfId="60774"/>
    <cellStyle name="SAPBEXexcCritical5 2 9" xfId="6755"/>
    <cellStyle name="SAPBEXexcCritical5 2 9 2" xfId="60775"/>
    <cellStyle name="SAPBEXexcCritical5 3" xfId="6756"/>
    <cellStyle name="SAPBEXexcCritical5 3 2" xfId="60776"/>
    <cellStyle name="SAPBEXexcCritical5 4" xfId="6757"/>
    <cellStyle name="SAPBEXexcCritical5 4 2" xfId="60777"/>
    <cellStyle name="SAPBEXexcCritical5 5" xfId="6758"/>
    <cellStyle name="SAPBEXexcCritical5 5 2" xfId="60778"/>
    <cellStyle name="SAPBEXexcCritical5 6" xfId="6759"/>
    <cellStyle name="SAPBEXexcCritical5 6 2" xfId="60779"/>
    <cellStyle name="SAPBEXexcCritical5 7" xfId="6760"/>
    <cellStyle name="SAPBEXexcCritical5 7 2" xfId="60780"/>
    <cellStyle name="SAPBEXexcCritical5 8" xfId="6761"/>
    <cellStyle name="SAPBEXexcCritical5 8 2" xfId="60781"/>
    <cellStyle name="SAPBEXexcCritical5 9" xfId="6762"/>
    <cellStyle name="SAPBEXexcCritical5 9 2" xfId="60782"/>
    <cellStyle name="SAPBEXexcCritical6" xfId="6763"/>
    <cellStyle name="SAPBEXexcCritical6 10" xfId="6764"/>
    <cellStyle name="SAPBEXexcCritical6 10 2" xfId="60783"/>
    <cellStyle name="SAPBEXexcCritical6 11" xfId="6765"/>
    <cellStyle name="SAPBEXexcCritical6 11 2" xfId="60784"/>
    <cellStyle name="SAPBEXexcCritical6 12" xfId="6766"/>
    <cellStyle name="SAPBEXexcCritical6 2" xfId="6767"/>
    <cellStyle name="SAPBEXexcCritical6 2 10" xfId="6768"/>
    <cellStyle name="SAPBEXexcCritical6 2 10 2" xfId="60785"/>
    <cellStyle name="SAPBEXexcCritical6 2 11" xfId="6769"/>
    <cellStyle name="SAPBEXexcCritical6 2 2" xfId="6770"/>
    <cellStyle name="SAPBEXexcCritical6 2 2 2" xfId="60786"/>
    <cellStyle name="SAPBEXexcCritical6 2 3" xfId="6771"/>
    <cellStyle name="SAPBEXexcCritical6 2 3 2" xfId="60787"/>
    <cellStyle name="SAPBEXexcCritical6 2 4" xfId="6772"/>
    <cellStyle name="SAPBEXexcCritical6 2 4 2" xfId="60788"/>
    <cellStyle name="SAPBEXexcCritical6 2 5" xfId="6773"/>
    <cellStyle name="SAPBEXexcCritical6 2 5 2" xfId="60789"/>
    <cellStyle name="SAPBEXexcCritical6 2 6" xfId="6774"/>
    <cellStyle name="SAPBEXexcCritical6 2 6 2" xfId="60790"/>
    <cellStyle name="SAPBEXexcCritical6 2 7" xfId="6775"/>
    <cellStyle name="SAPBEXexcCritical6 2 7 2" xfId="60791"/>
    <cellStyle name="SAPBEXexcCritical6 2 8" xfId="6776"/>
    <cellStyle name="SAPBEXexcCritical6 2 8 2" xfId="60792"/>
    <cellStyle name="SAPBEXexcCritical6 2 9" xfId="6777"/>
    <cellStyle name="SAPBEXexcCritical6 2 9 2" xfId="60793"/>
    <cellStyle name="SAPBEXexcCritical6 3" xfId="6778"/>
    <cellStyle name="SAPBEXexcCritical6 3 2" xfId="60794"/>
    <cellStyle name="SAPBEXexcCritical6 4" xfId="6779"/>
    <cellStyle name="SAPBEXexcCritical6 4 2" xfId="60795"/>
    <cellStyle name="SAPBEXexcCritical6 5" xfId="6780"/>
    <cellStyle name="SAPBEXexcCritical6 5 2" xfId="60796"/>
    <cellStyle name="SAPBEXexcCritical6 6" xfId="6781"/>
    <cellStyle name="SAPBEXexcCritical6 6 2" xfId="60797"/>
    <cellStyle name="SAPBEXexcCritical6 7" xfId="6782"/>
    <cellStyle name="SAPBEXexcCritical6 7 2" xfId="60798"/>
    <cellStyle name="SAPBEXexcCritical6 8" xfId="6783"/>
    <cellStyle name="SAPBEXexcCritical6 8 2" xfId="60799"/>
    <cellStyle name="SAPBEXexcCritical6 9" xfId="6784"/>
    <cellStyle name="SAPBEXexcCritical6 9 2" xfId="60800"/>
    <cellStyle name="SAPBEXexcGood1" xfId="6785"/>
    <cellStyle name="SAPBEXexcGood1 10" xfId="6786"/>
    <cellStyle name="SAPBEXexcGood1 10 2" xfId="60801"/>
    <cellStyle name="SAPBEXexcGood1 11" xfId="6787"/>
    <cellStyle name="SAPBEXexcGood1 2" xfId="6788"/>
    <cellStyle name="SAPBEXexcGood1 2 2" xfId="60802"/>
    <cellStyle name="SAPBEXexcGood1 3" xfId="6789"/>
    <cellStyle name="SAPBEXexcGood1 3 2" xfId="60803"/>
    <cellStyle name="SAPBEXexcGood1 4" xfId="6790"/>
    <cellStyle name="SAPBEXexcGood1 4 2" xfId="60804"/>
    <cellStyle name="SAPBEXexcGood1 5" xfId="6791"/>
    <cellStyle name="SAPBEXexcGood1 5 2" xfId="60805"/>
    <cellStyle name="SAPBEXexcGood1 6" xfId="6792"/>
    <cellStyle name="SAPBEXexcGood1 6 2" xfId="60806"/>
    <cellStyle name="SAPBEXexcGood1 7" xfId="6793"/>
    <cellStyle name="SAPBEXexcGood1 7 2" xfId="60807"/>
    <cellStyle name="SAPBEXexcGood1 8" xfId="6794"/>
    <cellStyle name="SAPBEXexcGood1 8 2" xfId="60808"/>
    <cellStyle name="SAPBEXexcGood1 9" xfId="6795"/>
    <cellStyle name="SAPBEXexcGood1 9 2" xfId="60809"/>
    <cellStyle name="SAPBEXexcGood2" xfId="6796"/>
    <cellStyle name="SAPBEXexcGood2 10" xfId="6797"/>
    <cellStyle name="SAPBEXexcGood2 10 2" xfId="60810"/>
    <cellStyle name="SAPBEXexcGood2 11" xfId="6798"/>
    <cellStyle name="SAPBEXexcGood2 2" xfId="6799"/>
    <cellStyle name="SAPBEXexcGood2 2 2" xfId="60811"/>
    <cellStyle name="SAPBEXexcGood2 3" xfId="6800"/>
    <cellStyle name="SAPBEXexcGood2 3 2" xfId="60812"/>
    <cellStyle name="SAPBEXexcGood2 4" xfId="6801"/>
    <cellStyle name="SAPBEXexcGood2 4 2" xfId="60813"/>
    <cellStyle name="SAPBEXexcGood2 5" xfId="6802"/>
    <cellStyle name="SAPBEXexcGood2 5 2" xfId="60814"/>
    <cellStyle name="SAPBEXexcGood2 6" xfId="6803"/>
    <cellStyle name="SAPBEXexcGood2 6 2" xfId="60815"/>
    <cellStyle name="SAPBEXexcGood2 7" xfId="6804"/>
    <cellStyle name="SAPBEXexcGood2 7 2" xfId="60816"/>
    <cellStyle name="SAPBEXexcGood2 8" xfId="6805"/>
    <cellStyle name="SAPBEXexcGood2 8 2" xfId="60817"/>
    <cellStyle name="SAPBEXexcGood2 9" xfId="6806"/>
    <cellStyle name="SAPBEXexcGood2 9 2" xfId="60818"/>
    <cellStyle name="SAPBEXexcGood3" xfId="6807"/>
    <cellStyle name="SAPBEXexcGood3 10" xfId="6808"/>
    <cellStyle name="SAPBEXexcGood3 10 2" xfId="60819"/>
    <cellStyle name="SAPBEXexcGood3 11" xfId="6809"/>
    <cellStyle name="SAPBEXexcGood3 11 2" xfId="60820"/>
    <cellStyle name="SAPBEXexcGood3 12" xfId="6810"/>
    <cellStyle name="SAPBEXexcGood3 2" xfId="6811"/>
    <cellStyle name="SAPBEXexcGood3 2 10" xfId="6812"/>
    <cellStyle name="SAPBEXexcGood3 2 10 2" xfId="60821"/>
    <cellStyle name="SAPBEXexcGood3 2 11" xfId="6813"/>
    <cellStyle name="SAPBEXexcGood3 2 2" xfId="6814"/>
    <cellStyle name="SAPBEXexcGood3 2 2 2" xfId="60822"/>
    <cellStyle name="SAPBEXexcGood3 2 3" xfId="6815"/>
    <cellStyle name="SAPBEXexcGood3 2 3 2" xfId="60823"/>
    <cellStyle name="SAPBEXexcGood3 2 4" xfId="6816"/>
    <cellStyle name="SAPBEXexcGood3 2 4 2" xfId="60824"/>
    <cellStyle name="SAPBEXexcGood3 2 5" xfId="6817"/>
    <cellStyle name="SAPBEXexcGood3 2 5 2" xfId="60825"/>
    <cellStyle name="SAPBEXexcGood3 2 6" xfId="6818"/>
    <cellStyle name="SAPBEXexcGood3 2 6 2" xfId="60826"/>
    <cellStyle name="SAPBEXexcGood3 2 7" xfId="6819"/>
    <cellStyle name="SAPBEXexcGood3 2 7 2" xfId="60827"/>
    <cellStyle name="SAPBEXexcGood3 2 8" xfId="6820"/>
    <cellStyle name="SAPBEXexcGood3 2 8 2" xfId="60828"/>
    <cellStyle name="SAPBEXexcGood3 2 9" xfId="6821"/>
    <cellStyle name="SAPBEXexcGood3 2 9 2" xfId="60829"/>
    <cellStyle name="SAPBEXexcGood3 3" xfId="6822"/>
    <cellStyle name="SAPBEXexcGood3 3 2" xfId="60830"/>
    <cellStyle name="SAPBEXexcGood3 4" xfId="6823"/>
    <cellStyle name="SAPBEXexcGood3 4 2" xfId="60831"/>
    <cellStyle name="SAPBEXexcGood3 5" xfId="6824"/>
    <cellStyle name="SAPBEXexcGood3 5 2" xfId="60832"/>
    <cellStyle name="SAPBEXexcGood3 6" xfId="6825"/>
    <cellStyle name="SAPBEXexcGood3 6 2" xfId="60833"/>
    <cellStyle name="SAPBEXexcGood3 7" xfId="6826"/>
    <cellStyle name="SAPBEXexcGood3 7 2" xfId="60834"/>
    <cellStyle name="SAPBEXexcGood3 8" xfId="6827"/>
    <cellStyle name="SAPBEXexcGood3 8 2" xfId="60835"/>
    <cellStyle name="SAPBEXexcGood3 9" xfId="6828"/>
    <cellStyle name="SAPBEXexcGood3 9 2" xfId="60836"/>
    <cellStyle name="SAPBEXfilterDrill" xfId="6829"/>
    <cellStyle name="SAPBEXfilterDrill 2" xfId="6830"/>
    <cellStyle name="SAPBEXfilterItem" xfId="6831"/>
    <cellStyle name="SAPBEXfilterItem 2" xfId="6832"/>
    <cellStyle name="SAPBEXfilterText" xfId="6833"/>
    <cellStyle name="SAPBEXfilterText 2" xfId="6834"/>
    <cellStyle name="SAPBEXformats" xfId="6835"/>
    <cellStyle name="SAPBEXformats 10" xfId="6836"/>
    <cellStyle name="SAPBEXformats 10 2" xfId="60837"/>
    <cellStyle name="SAPBEXformats 11" xfId="6837"/>
    <cellStyle name="SAPBEXformats 11 2" xfId="60838"/>
    <cellStyle name="SAPBEXformats 12" xfId="6838"/>
    <cellStyle name="SAPBEXformats 2" xfId="6839"/>
    <cellStyle name="SAPBEXformats 2 10" xfId="6840"/>
    <cellStyle name="SAPBEXformats 2 10 2" xfId="60839"/>
    <cellStyle name="SAPBEXformats 2 11" xfId="6841"/>
    <cellStyle name="SAPBEXformats 2 2" xfId="6842"/>
    <cellStyle name="SAPBEXformats 2 2 2" xfId="60840"/>
    <cellStyle name="SAPBEXformats 2 3" xfId="6843"/>
    <cellStyle name="SAPBEXformats 2 3 2" xfId="60841"/>
    <cellStyle name="SAPBEXformats 2 4" xfId="6844"/>
    <cellStyle name="SAPBEXformats 2 4 2" xfId="60842"/>
    <cellStyle name="SAPBEXformats 2 5" xfId="6845"/>
    <cellStyle name="SAPBEXformats 2 5 2" xfId="60843"/>
    <cellStyle name="SAPBEXformats 2 6" xfId="6846"/>
    <cellStyle name="SAPBEXformats 2 6 2" xfId="60844"/>
    <cellStyle name="SAPBEXformats 2 7" xfId="6847"/>
    <cellStyle name="SAPBEXformats 2 7 2" xfId="60845"/>
    <cellStyle name="SAPBEXformats 2 8" xfId="6848"/>
    <cellStyle name="SAPBEXformats 2 8 2" xfId="60846"/>
    <cellStyle name="SAPBEXformats 2 9" xfId="6849"/>
    <cellStyle name="SAPBEXformats 2 9 2" xfId="60847"/>
    <cellStyle name="SAPBEXformats 3" xfId="6850"/>
    <cellStyle name="SAPBEXformats 3 2" xfId="60848"/>
    <cellStyle name="SAPBEXformats 4" xfId="6851"/>
    <cellStyle name="SAPBEXformats 4 2" xfId="60849"/>
    <cellStyle name="SAPBEXformats 5" xfId="6852"/>
    <cellStyle name="SAPBEXformats 5 2" xfId="60850"/>
    <cellStyle name="SAPBEXformats 6" xfId="6853"/>
    <cellStyle name="SAPBEXformats 6 2" xfId="60851"/>
    <cellStyle name="SAPBEXformats 7" xfId="6854"/>
    <cellStyle name="SAPBEXformats 7 2" xfId="60852"/>
    <cellStyle name="SAPBEXformats 8" xfId="6855"/>
    <cellStyle name="SAPBEXformats 8 2" xfId="60853"/>
    <cellStyle name="SAPBEXformats 9" xfId="6856"/>
    <cellStyle name="SAPBEXformats 9 2" xfId="60854"/>
    <cellStyle name="SAPBEXheaderItem" xfId="6857"/>
    <cellStyle name="SAPBEXheaderItem 2" xfId="6858"/>
    <cellStyle name="SAPBEXheaderText" xfId="6859"/>
    <cellStyle name="SAPBEXheaderText 2" xfId="6860"/>
    <cellStyle name="SAPBEXHLevel0" xfId="6861"/>
    <cellStyle name="SAPBEXHLevel0 10" xfId="6862"/>
    <cellStyle name="SAPBEXHLevel0 10 2" xfId="60855"/>
    <cellStyle name="SAPBEXHLevel0 11" xfId="6863"/>
    <cellStyle name="SAPBEXHLevel0 11 2" xfId="60856"/>
    <cellStyle name="SAPBEXHLevel0 12" xfId="6864"/>
    <cellStyle name="SAPBEXHLevel0 2" xfId="6865"/>
    <cellStyle name="SAPBEXHLevel0 2 10" xfId="6866"/>
    <cellStyle name="SAPBEXHLevel0 2 10 2" xfId="60857"/>
    <cellStyle name="SAPBEXHLevel0 2 11" xfId="6867"/>
    <cellStyle name="SAPBEXHLevel0 2 2" xfId="6868"/>
    <cellStyle name="SAPBEXHLevel0 2 2 2" xfId="60858"/>
    <cellStyle name="SAPBEXHLevel0 2 3" xfId="6869"/>
    <cellStyle name="SAPBEXHLevel0 2 3 2" xfId="60859"/>
    <cellStyle name="SAPBEXHLevel0 2 4" xfId="6870"/>
    <cellStyle name="SAPBEXHLevel0 2 4 2" xfId="60860"/>
    <cellStyle name="SAPBEXHLevel0 2 5" xfId="6871"/>
    <cellStyle name="SAPBEXHLevel0 2 5 2" xfId="60861"/>
    <cellStyle name="SAPBEXHLevel0 2 6" xfId="6872"/>
    <cellStyle name="SAPBEXHLevel0 2 6 2" xfId="60862"/>
    <cellStyle name="SAPBEXHLevel0 2 7" xfId="6873"/>
    <cellStyle name="SAPBEXHLevel0 2 7 2" xfId="60863"/>
    <cellStyle name="SAPBEXHLevel0 2 8" xfId="6874"/>
    <cellStyle name="SAPBEXHLevel0 2 8 2" xfId="60864"/>
    <cellStyle name="SAPBEXHLevel0 2 9" xfId="6875"/>
    <cellStyle name="SAPBEXHLevel0 2 9 2" xfId="60865"/>
    <cellStyle name="SAPBEXHLevel0 3" xfId="6876"/>
    <cellStyle name="SAPBEXHLevel0 3 2" xfId="60866"/>
    <cellStyle name="SAPBEXHLevel0 4" xfId="6877"/>
    <cellStyle name="SAPBEXHLevel0 4 2" xfId="60867"/>
    <cellStyle name="SAPBEXHLevel0 5" xfId="6878"/>
    <cellStyle name="SAPBEXHLevel0 5 2" xfId="60868"/>
    <cellStyle name="SAPBEXHLevel0 6" xfId="6879"/>
    <cellStyle name="SAPBEXHLevel0 6 2" xfId="60869"/>
    <cellStyle name="SAPBEXHLevel0 7" xfId="6880"/>
    <cellStyle name="SAPBEXHLevel0 7 2" xfId="60870"/>
    <cellStyle name="SAPBEXHLevel0 8" xfId="6881"/>
    <cellStyle name="SAPBEXHLevel0 8 2" xfId="60871"/>
    <cellStyle name="SAPBEXHLevel0 9" xfId="6882"/>
    <cellStyle name="SAPBEXHLevel0 9 2" xfId="60872"/>
    <cellStyle name="SAPBEXHLevel0X" xfId="6883"/>
    <cellStyle name="SAPBEXHLevel0X 10" xfId="6884"/>
    <cellStyle name="SAPBEXHLevel0X 10 2" xfId="60873"/>
    <cellStyle name="SAPBEXHLevel0X 11" xfId="6885"/>
    <cellStyle name="SAPBEXHLevel0X 11 2" xfId="60874"/>
    <cellStyle name="SAPBEXHLevel0X 12" xfId="6886"/>
    <cellStyle name="SAPBEXHLevel0X 2" xfId="6887"/>
    <cellStyle name="SAPBEXHLevel0X 2 10" xfId="6888"/>
    <cellStyle name="SAPBEXHLevel0X 2 10 2" xfId="60875"/>
    <cellStyle name="SAPBEXHLevel0X 2 11" xfId="6889"/>
    <cellStyle name="SAPBEXHLevel0X 2 2" xfId="6890"/>
    <cellStyle name="SAPBEXHLevel0X 2 2 2" xfId="60876"/>
    <cellStyle name="SAPBEXHLevel0X 2 3" xfId="6891"/>
    <cellStyle name="SAPBEXHLevel0X 2 3 2" xfId="60877"/>
    <cellStyle name="SAPBEXHLevel0X 2 4" xfId="6892"/>
    <cellStyle name="SAPBEXHLevel0X 2 4 2" xfId="60878"/>
    <cellStyle name="SAPBEXHLevel0X 2 5" xfId="6893"/>
    <cellStyle name="SAPBEXHLevel0X 2 5 2" xfId="60879"/>
    <cellStyle name="SAPBEXHLevel0X 2 6" xfId="6894"/>
    <cellStyle name="SAPBEXHLevel0X 2 6 2" xfId="60880"/>
    <cellStyle name="SAPBEXHLevel0X 2 7" xfId="6895"/>
    <cellStyle name="SAPBEXHLevel0X 2 7 2" xfId="60881"/>
    <cellStyle name="SAPBEXHLevel0X 2 8" xfId="6896"/>
    <cellStyle name="SAPBEXHLevel0X 2 8 2" xfId="60882"/>
    <cellStyle name="SAPBEXHLevel0X 2 9" xfId="6897"/>
    <cellStyle name="SAPBEXHLevel0X 2 9 2" xfId="60883"/>
    <cellStyle name="SAPBEXHLevel0X 3" xfId="6898"/>
    <cellStyle name="SAPBEXHLevel0X 3 2" xfId="60884"/>
    <cellStyle name="SAPBEXHLevel0X 4" xfId="6899"/>
    <cellStyle name="SAPBEXHLevel0X 4 2" xfId="60885"/>
    <cellStyle name="SAPBEXHLevel0X 5" xfId="6900"/>
    <cellStyle name="SAPBEXHLevel0X 5 2" xfId="60886"/>
    <cellStyle name="SAPBEXHLevel0X 6" xfId="6901"/>
    <cellStyle name="SAPBEXHLevel0X 6 2" xfId="60887"/>
    <cellStyle name="SAPBEXHLevel0X 7" xfId="6902"/>
    <cellStyle name="SAPBEXHLevel0X 7 2" xfId="60888"/>
    <cellStyle name="SAPBEXHLevel0X 8" xfId="6903"/>
    <cellStyle name="SAPBEXHLevel0X 8 2" xfId="60889"/>
    <cellStyle name="SAPBEXHLevel0X 9" xfId="6904"/>
    <cellStyle name="SAPBEXHLevel0X 9 2" xfId="60890"/>
    <cellStyle name="SAPBEXHLevel1" xfId="6905"/>
    <cellStyle name="SAPBEXHLevel1 10" xfId="6906"/>
    <cellStyle name="SAPBEXHLevel1 10 2" xfId="60891"/>
    <cellStyle name="SAPBEXHLevel1 11" xfId="6907"/>
    <cellStyle name="SAPBEXHLevel1 11 2" xfId="60892"/>
    <cellStyle name="SAPBEXHLevel1 12" xfId="6908"/>
    <cellStyle name="SAPBEXHLevel1 2" xfId="6909"/>
    <cellStyle name="SAPBEXHLevel1 2 10" xfId="6910"/>
    <cellStyle name="SAPBEXHLevel1 2 10 2" xfId="60893"/>
    <cellStyle name="SAPBEXHLevel1 2 11" xfId="6911"/>
    <cellStyle name="SAPBEXHLevel1 2 2" xfId="6912"/>
    <cellStyle name="SAPBEXHLevel1 2 2 2" xfId="60894"/>
    <cellStyle name="SAPBEXHLevel1 2 3" xfId="6913"/>
    <cellStyle name="SAPBEXHLevel1 2 3 2" xfId="60895"/>
    <cellStyle name="SAPBEXHLevel1 2 4" xfId="6914"/>
    <cellStyle name="SAPBEXHLevel1 2 4 2" xfId="60896"/>
    <cellStyle name="SAPBEXHLevel1 2 5" xfId="6915"/>
    <cellStyle name="SAPBEXHLevel1 2 5 2" xfId="60897"/>
    <cellStyle name="SAPBEXHLevel1 2 6" xfId="6916"/>
    <cellStyle name="SAPBEXHLevel1 2 6 2" xfId="60898"/>
    <cellStyle name="SAPBEXHLevel1 2 7" xfId="6917"/>
    <cellStyle name="SAPBEXHLevel1 2 7 2" xfId="60899"/>
    <cellStyle name="SAPBEXHLevel1 2 8" xfId="6918"/>
    <cellStyle name="SAPBEXHLevel1 2 8 2" xfId="60900"/>
    <cellStyle name="SAPBEXHLevel1 2 9" xfId="6919"/>
    <cellStyle name="SAPBEXHLevel1 2 9 2" xfId="60901"/>
    <cellStyle name="SAPBEXHLevel1 3" xfId="6920"/>
    <cellStyle name="SAPBEXHLevel1 3 2" xfId="60902"/>
    <cellStyle name="SAPBEXHLevel1 4" xfId="6921"/>
    <cellStyle name="SAPBEXHLevel1 4 2" xfId="60903"/>
    <cellStyle name="SAPBEXHLevel1 5" xfId="6922"/>
    <cellStyle name="SAPBEXHLevel1 5 2" xfId="60904"/>
    <cellStyle name="SAPBEXHLevel1 6" xfId="6923"/>
    <cellStyle name="SAPBEXHLevel1 6 2" xfId="60905"/>
    <cellStyle name="SAPBEXHLevel1 7" xfId="6924"/>
    <cellStyle name="SAPBEXHLevel1 7 2" xfId="60906"/>
    <cellStyle name="SAPBEXHLevel1 8" xfId="6925"/>
    <cellStyle name="SAPBEXHLevel1 8 2" xfId="60907"/>
    <cellStyle name="SAPBEXHLevel1 9" xfId="6926"/>
    <cellStyle name="SAPBEXHLevel1 9 2" xfId="60908"/>
    <cellStyle name="SAPBEXHLevel1X" xfId="6927"/>
    <cellStyle name="SAPBEXHLevel1X 10" xfId="6928"/>
    <cellStyle name="SAPBEXHLevel1X 10 2" xfId="60909"/>
    <cellStyle name="SAPBEXHLevel1X 11" xfId="6929"/>
    <cellStyle name="SAPBEXHLevel1X 11 2" xfId="60910"/>
    <cellStyle name="SAPBEXHLevel1X 12" xfId="6930"/>
    <cellStyle name="SAPBEXHLevel1X 2" xfId="6931"/>
    <cellStyle name="SAPBEXHLevel1X 2 10" xfId="6932"/>
    <cellStyle name="SAPBEXHLevel1X 2 10 2" xfId="60911"/>
    <cellStyle name="SAPBEXHLevel1X 2 11" xfId="6933"/>
    <cellStyle name="SAPBEXHLevel1X 2 2" xfId="6934"/>
    <cellStyle name="SAPBEXHLevel1X 2 2 2" xfId="60912"/>
    <cellStyle name="SAPBEXHLevel1X 2 3" xfId="6935"/>
    <cellStyle name="SAPBEXHLevel1X 2 3 2" xfId="60913"/>
    <cellStyle name="SAPBEXHLevel1X 2 4" xfId="6936"/>
    <cellStyle name="SAPBEXHLevel1X 2 4 2" xfId="60914"/>
    <cellStyle name="SAPBEXHLevel1X 2 5" xfId="6937"/>
    <cellStyle name="SAPBEXHLevel1X 2 5 2" xfId="60915"/>
    <cellStyle name="SAPBEXHLevel1X 2 6" xfId="6938"/>
    <cellStyle name="SAPBEXHLevel1X 2 6 2" xfId="60916"/>
    <cellStyle name="SAPBEXHLevel1X 2 7" xfId="6939"/>
    <cellStyle name="SAPBEXHLevel1X 2 7 2" xfId="60917"/>
    <cellStyle name="SAPBEXHLevel1X 2 8" xfId="6940"/>
    <cellStyle name="SAPBEXHLevel1X 2 8 2" xfId="60918"/>
    <cellStyle name="SAPBEXHLevel1X 2 9" xfId="6941"/>
    <cellStyle name="SAPBEXHLevel1X 2 9 2" xfId="60919"/>
    <cellStyle name="SAPBEXHLevel1X 3" xfId="6942"/>
    <cellStyle name="SAPBEXHLevel1X 3 2" xfId="60920"/>
    <cellStyle name="SAPBEXHLevel1X 4" xfId="6943"/>
    <cellStyle name="SAPBEXHLevel1X 4 2" xfId="60921"/>
    <cellStyle name="SAPBEXHLevel1X 5" xfId="6944"/>
    <cellStyle name="SAPBEXHLevel1X 5 2" xfId="60922"/>
    <cellStyle name="SAPBEXHLevel1X 6" xfId="6945"/>
    <cellStyle name="SAPBEXHLevel1X 6 2" xfId="60923"/>
    <cellStyle name="SAPBEXHLevel1X 7" xfId="6946"/>
    <cellStyle name="SAPBEXHLevel1X 7 2" xfId="60924"/>
    <cellStyle name="SAPBEXHLevel1X 8" xfId="6947"/>
    <cellStyle name="SAPBEXHLevel1X 8 2" xfId="60925"/>
    <cellStyle name="SAPBEXHLevel1X 9" xfId="6948"/>
    <cellStyle name="SAPBEXHLevel1X 9 2" xfId="60926"/>
    <cellStyle name="SAPBEXHLevel2" xfId="6949"/>
    <cellStyle name="SAPBEXHLevel2 10" xfId="6950"/>
    <cellStyle name="SAPBEXHLevel2 10 2" xfId="60927"/>
    <cellStyle name="SAPBEXHLevel2 11" xfId="6951"/>
    <cellStyle name="SAPBEXHLevel2 11 2" xfId="60928"/>
    <cellStyle name="SAPBEXHLevel2 12" xfId="6952"/>
    <cellStyle name="SAPBEXHLevel2 2" xfId="6953"/>
    <cellStyle name="SAPBEXHLevel2 2 10" xfId="6954"/>
    <cellStyle name="SAPBEXHLevel2 2 10 2" xfId="60929"/>
    <cellStyle name="SAPBEXHLevel2 2 11" xfId="6955"/>
    <cellStyle name="SAPBEXHLevel2 2 2" xfId="6956"/>
    <cellStyle name="SAPBEXHLevel2 2 2 2" xfId="60930"/>
    <cellStyle name="SAPBEXHLevel2 2 3" xfId="6957"/>
    <cellStyle name="SAPBEXHLevel2 2 3 2" xfId="60931"/>
    <cellStyle name="SAPBEXHLevel2 2 4" xfId="6958"/>
    <cellStyle name="SAPBEXHLevel2 2 4 2" xfId="60932"/>
    <cellStyle name="SAPBEXHLevel2 2 5" xfId="6959"/>
    <cellStyle name="SAPBEXHLevel2 2 5 2" xfId="60933"/>
    <cellStyle name="SAPBEXHLevel2 2 6" xfId="6960"/>
    <cellStyle name="SAPBEXHLevel2 2 6 2" xfId="60934"/>
    <cellStyle name="SAPBEXHLevel2 2 7" xfId="6961"/>
    <cellStyle name="SAPBEXHLevel2 2 7 2" xfId="60935"/>
    <cellStyle name="SAPBEXHLevel2 2 8" xfId="6962"/>
    <cellStyle name="SAPBEXHLevel2 2 8 2" xfId="60936"/>
    <cellStyle name="SAPBEXHLevel2 2 9" xfId="6963"/>
    <cellStyle name="SAPBEXHLevel2 2 9 2" xfId="60937"/>
    <cellStyle name="SAPBEXHLevel2 3" xfId="6964"/>
    <cellStyle name="SAPBEXHLevel2 3 2" xfId="60938"/>
    <cellStyle name="SAPBEXHLevel2 4" xfId="6965"/>
    <cellStyle name="SAPBEXHLevel2 4 2" xfId="60939"/>
    <cellStyle name="SAPBEXHLevel2 5" xfId="6966"/>
    <cellStyle name="SAPBEXHLevel2 5 2" xfId="60940"/>
    <cellStyle name="SAPBEXHLevel2 6" xfId="6967"/>
    <cellStyle name="SAPBEXHLevel2 6 2" xfId="60941"/>
    <cellStyle name="SAPBEXHLevel2 7" xfId="6968"/>
    <cellStyle name="SAPBEXHLevel2 7 2" xfId="60942"/>
    <cellStyle name="SAPBEXHLevel2 8" xfId="6969"/>
    <cellStyle name="SAPBEXHLevel2 8 2" xfId="60943"/>
    <cellStyle name="SAPBEXHLevel2 9" xfId="6970"/>
    <cellStyle name="SAPBEXHLevel2 9 2" xfId="60944"/>
    <cellStyle name="SAPBEXHLevel2X" xfId="6971"/>
    <cellStyle name="SAPBEXHLevel2X 10" xfId="6972"/>
    <cellStyle name="SAPBEXHLevel2X 10 2" xfId="60945"/>
    <cellStyle name="SAPBEXHLevel2X 11" xfId="6973"/>
    <cellStyle name="SAPBEXHLevel2X 11 2" xfId="60946"/>
    <cellStyle name="SAPBEXHLevel2X 12" xfId="6974"/>
    <cellStyle name="SAPBEXHLevel2X 2" xfId="6975"/>
    <cellStyle name="SAPBEXHLevel2X 2 10" xfId="6976"/>
    <cellStyle name="SAPBEXHLevel2X 2 10 2" xfId="60947"/>
    <cellStyle name="SAPBEXHLevel2X 2 11" xfId="6977"/>
    <cellStyle name="SAPBEXHLevel2X 2 2" xfId="6978"/>
    <cellStyle name="SAPBEXHLevel2X 2 2 2" xfId="60948"/>
    <cellStyle name="SAPBEXHLevel2X 2 3" xfId="6979"/>
    <cellStyle name="SAPBEXHLevel2X 2 3 2" xfId="60949"/>
    <cellStyle name="SAPBEXHLevel2X 2 4" xfId="6980"/>
    <cellStyle name="SAPBEXHLevel2X 2 4 2" xfId="60950"/>
    <cellStyle name="SAPBEXHLevel2X 2 5" xfId="6981"/>
    <cellStyle name="SAPBEXHLevel2X 2 5 2" xfId="60951"/>
    <cellStyle name="SAPBEXHLevel2X 2 6" xfId="6982"/>
    <cellStyle name="SAPBEXHLevel2X 2 6 2" xfId="60952"/>
    <cellStyle name="SAPBEXHLevel2X 2 7" xfId="6983"/>
    <cellStyle name="SAPBEXHLevel2X 2 7 2" xfId="60953"/>
    <cellStyle name="SAPBEXHLevel2X 2 8" xfId="6984"/>
    <cellStyle name="SAPBEXHLevel2X 2 8 2" xfId="60954"/>
    <cellStyle name="SAPBEXHLevel2X 2 9" xfId="6985"/>
    <cellStyle name="SAPBEXHLevel2X 2 9 2" xfId="60955"/>
    <cellStyle name="SAPBEXHLevel2X 3" xfId="6986"/>
    <cellStyle name="SAPBEXHLevel2X 3 2" xfId="60956"/>
    <cellStyle name="SAPBEXHLevel2X 4" xfId="6987"/>
    <cellStyle name="SAPBEXHLevel2X 4 2" xfId="60957"/>
    <cellStyle name="SAPBEXHLevel2X 5" xfId="6988"/>
    <cellStyle name="SAPBEXHLevel2X 5 2" xfId="60958"/>
    <cellStyle name="SAPBEXHLevel2X 6" xfId="6989"/>
    <cellStyle name="SAPBEXHLevel2X 6 2" xfId="60959"/>
    <cellStyle name="SAPBEXHLevel2X 7" xfId="6990"/>
    <cellStyle name="SAPBEXHLevel2X 7 2" xfId="60960"/>
    <cellStyle name="SAPBEXHLevel2X 8" xfId="6991"/>
    <cellStyle name="SAPBEXHLevel2X 8 2" xfId="60961"/>
    <cellStyle name="SAPBEXHLevel2X 9" xfId="6992"/>
    <cellStyle name="SAPBEXHLevel2X 9 2" xfId="60962"/>
    <cellStyle name="SAPBEXHLevel3" xfId="6993"/>
    <cellStyle name="SAPBEXHLevel3 10" xfId="6994"/>
    <cellStyle name="SAPBEXHLevel3 10 2" xfId="60963"/>
    <cellStyle name="SAPBEXHLevel3 11" xfId="6995"/>
    <cellStyle name="SAPBEXHLevel3 11 2" xfId="60964"/>
    <cellStyle name="SAPBEXHLevel3 12" xfId="6996"/>
    <cellStyle name="SAPBEXHLevel3 2" xfId="6997"/>
    <cellStyle name="SAPBEXHLevel3 2 10" xfId="6998"/>
    <cellStyle name="SAPBEXHLevel3 2 10 2" xfId="60965"/>
    <cellStyle name="SAPBEXHLevel3 2 11" xfId="6999"/>
    <cellStyle name="SAPBEXHLevel3 2 2" xfId="7000"/>
    <cellStyle name="SAPBEXHLevel3 2 2 2" xfId="60966"/>
    <cellStyle name="SAPBEXHLevel3 2 3" xfId="7001"/>
    <cellStyle name="SAPBEXHLevel3 2 3 2" xfId="60967"/>
    <cellStyle name="SAPBEXHLevel3 2 4" xfId="7002"/>
    <cellStyle name="SAPBEXHLevel3 2 4 2" xfId="60968"/>
    <cellStyle name="SAPBEXHLevel3 2 5" xfId="7003"/>
    <cellStyle name="SAPBEXHLevel3 2 5 2" xfId="60969"/>
    <cellStyle name="SAPBEXHLevel3 2 6" xfId="7004"/>
    <cellStyle name="SAPBEXHLevel3 2 6 2" xfId="60970"/>
    <cellStyle name="SAPBEXHLevel3 2 7" xfId="7005"/>
    <cellStyle name="SAPBEXHLevel3 2 7 2" xfId="60971"/>
    <cellStyle name="SAPBEXHLevel3 2 8" xfId="7006"/>
    <cellStyle name="SAPBEXHLevel3 2 8 2" xfId="60972"/>
    <cellStyle name="SAPBEXHLevel3 2 9" xfId="7007"/>
    <cellStyle name="SAPBEXHLevel3 2 9 2" xfId="60973"/>
    <cellStyle name="SAPBEXHLevel3 3" xfId="7008"/>
    <cellStyle name="SAPBEXHLevel3 3 2" xfId="60974"/>
    <cellStyle name="SAPBEXHLevel3 4" xfId="7009"/>
    <cellStyle name="SAPBEXHLevel3 4 2" xfId="60975"/>
    <cellStyle name="SAPBEXHLevel3 5" xfId="7010"/>
    <cellStyle name="SAPBEXHLevel3 5 2" xfId="60976"/>
    <cellStyle name="SAPBEXHLevel3 6" xfId="7011"/>
    <cellStyle name="SAPBEXHLevel3 6 2" xfId="60977"/>
    <cellStyle name="SAPBEXHLevel3 7" xfId="7012"/>
    <cellStyle name="SAPBEXHLevel3 7 2" xfId="60978"/>
    <cellStyle name="SAPBEXHLevel3 8" xfId="7013"/>
    <cellStyle name="SAPBEXHLevel3 8 2" xfId="60979"/>
    <cellStyle name="SAPBEXHLevel3 9" xfId="7014"/>
    <cellStyle name="SAPBEXHLevel3 9 2" xfId="60980"/>
    <cellStyle name="SAPBEXHLevel3X" xfId="7015"/>
    <cellStyle name="SAPBEXHLevel3X 10" xfId="7016"/>
    <cellStyle name="SAPBEXHLevel3X 10 2" xfId="60981"/>
    <cellStyle name="SAPBEXHLevel3X 11" xfId="7017"/>
    <cellStyle name="SAPBEXHLevel3X 11 2" xfId="60982"/>
    <cellStyle name="SAPBEXHLevel3X 12" xfId="7018"/>
    <cellStyle name="SAPBEXHLevel3X 2" xfId="7019"/>
    <cellStyle name="SAPBEXHLevel3X 2 10" xfId="7020"/>
    <cellStyle name="SAPBEXHLevel3X 2 10 2" xfId="60983"/>
    <cellStyle name="SAPBEXHLevel3X 2 11" xfId="7021"/>
    <cellStyle name="SAPBEXHLevel3X 2 2" xfId="7022"/>
    <cellStyle name="SAPBEXHLevel3X 2 2 2" xfId="60984"/>
    <cellStyle name="SAPBEXHLevel3X 2 3" xfId="7023"/>
    <cellStyle name="SAPBEXHLevel3X 2 3 2" xfId="60985"/>
    <cellStyle name="SAPBEXHLevel3X 2 4" xfId="7024"/>
    <cellStyle name="SAPBEXHLevel3X 2 4 2" xfId="60986"/>
    <cellStyle name="SAPBEXHLevel3X 2 5" xfId="7025"/>
    <cellStyle name="SAPBEXHLevel3X 2 5 2" xfId="60987"/>
    <cellStyle name="SAPBEXHLevel3X 2 6" xfId="7026"/>
    <cellStyle name="SAPBEXHLevel3X 2 6 2" xfId="60988"/>
    <cellStyle name="SAPBEXHLevel3X 2 7" xfId="7027"/>
    <cellStyle name="SAPBEXHLevel3X 2 7 2" xfId="60989"/>
    <cellStyle name="SAPBEXHLevel3X 2 8" xfId="7028"/>
    <cellStyle name="SAPBEXHLevel3X 2 8 2" xfId="60990"/>
    <cellStyle name="SAPBEXHLevel3X 2 9" xfId="7029"/>
    <cellStyle name="SAPBEXHLevel3X 2 9 2" xfId="60991"/>
    <cellStyle name="SAPBEXHLevel3X 3" xfId="7030"/>
    <cellStyle name="SAPBEXHLevel3X 3 2" xfId="60992"/>
    <cellStyle name="SAPBEXHLevel3X 4" xfId="7031"/>
    <cellStyle name="SAPBEXHLevel3X 4 2" xfId="60993"/>
    <cellStyle name="SAPBEXHLevel3X 5" xfId="7032"/>
    <cellStyle name="SAPBEXHLevel3X 5 2" xfId="60994"/>
    <cellStyle name="SAPBEXHLevel3X 6" xfId="7033"/>
    <cellStyle name="SAPBEXHLevel3X 6 2" xfId="60995"/>
    <cellStyle name="SAPBEXHLevel3X 7" xfId="7034"/>
    <cellStyle name="SAPBEXHLevel3X 7 2" xfId="60996"/>
    <cellStyle name="SAPBEXHLevel3X 8" xfId="7035"/>
    <cellStyle name="SAPBEXHLevel3X 8 2" xfId="60997"/>
    <cellStyle name="SAPBEXHLevel3X 9" xfId="7036"/>
    <cellStyle name="SAPBEXHLevel3X 9 2" xfId="60998"/>
    <cellStyle name="SAPBEXresData" xfId="7037"/>
    <cellStyle name="SAPBEXresData 10" xfId="7038"/>
    <cellStyle name="SAPBEXresData 10 2" xfId="60999"/>
    <cellStyle name="SAPBEXresData 11" xfId="7039"/>
    <cellStyle name="SAPBEXresData 2" xfId="7040"/>
    <cellStyle name="SAPBEXresData 2 2" xfId="61000"/>
    <cellStyle name="SAPBEXresData 3" xfId="7041"/>
    <cellStyle name="SAPBEXresData 3 2" xfId="61001"/>
    <cellStyle name="SAPBEXresData 4" xfId="7042"/>
    <cellStyle name="SAPBEXresData 4 2" xfId="61002"/>
    <cellStyle name="SAPBEXresData 5" xfId="7043"/>
    <cellStyle name="SAPBEXresData 5 2" xfId="61003"/>
    <cellStyle name="SAPBEXresData 6" xfId="7044"/>
    <cellStyle name="SAPBEXresData 6 2" xfId="61004"/>
    <cellStyle name="SAPBEXresData 7" xfId="7045"/>
    <cellStyle name="SAPBEXresData 7 2" xfId="61005"/>
    <cellStyle name="SAPBEXresData 8" xfId="7046"/>
    <cellStyle name="SAPBEXresData 8 2" xfId="61006"/>
    <cellStyle name="SAPBEXresData 9" xfId="7047"/>
    <cellStyle name="SAPBEXresData 9 2" xfId="61007"/>
    <cellStyle name="SAPBEXresDataEmph" xfId="7048"/>
    <cellStyle name="SAPBEXresDataEmph 10" xfId="7049"/>
    <cellStyle name="SAPBEXresDataEmph 10 2" xfId="61008"/>
    <cellStyle name="SAPBEXresDataEmph 11" xfId="7050"/>
    <cellStyle name="SAPBEXresDataEmph 2" xfId="7051"/>
    <cellStyle name="SAPBEXresDataEmph 2 2" xfId="61009"/>
    <cellStyle name="SAPBEXresDataEmph 3" xfId="7052"/>
    <cellStyle name="SAPBEXresDataEmph 3 2" xfId="61010"/>
    <cellStyle name="SAPBEXresDataEmph 4" xfId="7053"/>
    <cellStyle name="SAPBEXresDataEmph 4 2" xfId="61011"/>
    <cellStyle name="SAPBEXresDataEmph 5" xfId="7054"/>
    <cellStyle name="SAPBEXresDataEmph 5 2" xfId="61012"/>
    <cellStyle name="SAPBEXresDataEmph 6" xfId="7055"/>
    <cellStyle name="SAPBEXresDataEmph 6 2" xfId="61013"/>
    <cellStyle name="SAPBEXresDataEmph 7" xfId="7056"/>
    <cellStyle name="SAPBEXresDataEmph 7 2" xfId="61014"/>
    <cellStyle name="SAPBEXresDataEmph 8" xfId="7057"/>
    <cellStyle name="SAPBEXresDataEmph 8 2" xfId="61015"/>
    <cellStyle name="SAPBEXresDataEmph 9" xfId="7058"/>
    <cellStyle name="SAPBEXresDataEmph 9 2" xfId="61016"/>
    <cellStyle name="SAPBEXresItem" xfId="7059"/>
    <cellStyle name="SAPBEXresItem 10" xfId="7060"/>
    <cellStyle name="SAPBEXresItem 10 2" xfId="61017"/>
    <cellStyle name="SAPBEXresItem 11" xfId="7061"/>
    <cellStyle name="SAPBEXresItem 11 2" xfId="61018"/>
    <cellStyle name="SAPBEXresItem 12" xfId="7062"/>
    <cellStyle name="SAPBEXresItem 2" xfId="7063"/>
    <cellStyle name="SAPBEXresItem 2 10" xfId="7064"/>
    <cellStyle name="SAPBEXresItem 2 10 2" xfId="61019"/>
    <cellStyle name="SAPBEXresItem 2 11" xfId="7065"/>
    <cellStyle name="SAPBEXresItem 2 2" xfId="7066"/>
    <cellStyle name="SAPBEXresItem 2 2 2" xfId="61020"/>
    <cellStyle name="SAPBEXresItem 2 3" xfId="7067"/>
    <cellStyle name="SAPBEXresItem 2 3 2" xfId="61021"/>
    <cellStyle name="SAPBEXresItem 2 4" xfId="7068"/>
    <cellStyle name="SAPBEXresItem 2 4 2" xfId="61022"/>
    <cellStyle name="SAPBEXresItem 2 5" xfId="7069"/>
    <cellStyle name="SAPBEXresItem 2 5 2" xfId="61023"/>
    <cellStyle name="SAPBEXresItem 2 6" xfId="7070"/>
    <cellStyle name="SAPBEXresItem 2 6 2" xfId="61024"/>
    <cellStyle name="SAPBEXresItem 2 7" xfId="7071"/>
    <cellStyle name="SAPBEXresItem 2 7 2" xfId="61025"/>
    <cellStyle name="SAPBEXresItem 2 8" xfId="7072"/>
    <cellStyle name="SAPBEXresItem 2 8 2" xfId="61026"/>
    <cellStyle name="SAPBEXresItem 2 9" xfId="7073"/>
    <cellStyle name="SAPBEXresItem 2 9 2" xfId="61027"/>
    <cellStyle name="SAPBEXresItem 3" xfId="7074"/>
    <cellStyle name="SAPBEXresItem 3 2" xfId="61028"/>
    <cellStyle name="SAPBEXresItem 4" xfId="7075"/>
    <cellStyle name="SAPBEXresItem 4 2" xfId="61029"/>
    <cellStyle name="SAPBEXresItem 5" xfId="7076"/>
    <cellStyle name="SAPBEXresItem 5 2" xfId="61030"/>
    <cellStyle name="SAPBEXresItem 6" xfId="7077"/>
    <cellStyle name="SAPBEXresItem 6 2" xfId="61031"/>
    <cellStyle name="SAPBEXresItem 7" xfId="7078"/>
    <cellStyle name="SAPBEXresItem 7 2" xfId="61032"/>
    <cellStyle name="SAPBEXresItem 8" xfId="7079"/>
    <cellStyle name="SAPBEXresItem 8 2" xfId="61033"/>
    <cellStyle name="SAPBEXresItem 9" xfId="7080"/>
    <cellStyle name="SAPBEXresItem 9 2" xfId="61034"/>
    <cellStyle name="SAPBEXresItemX" xfId="7081"/>
    <cellStyle name="SAPBEXresItemX 10" xfId="7082"/>
    <cellStyle name="SAPBEXresItemX 10 2" xfId="61035"/>
    <cellStyle name="SAPBEXresItemX 11" xfId="7083"/>
    <cellStyle name="SAPBEXresItemX 11 2" xfId="61036"/>
    <cellStyle name="SAPBEXresItemX 12" xfId="7084"/>
    <cellStyle name="SAPBEXresItemX 2" xfId="7085"/>
    <cellStyle name="SAPBEXresItemX 2 10" xfId="7086"/>
    <cellStyle name="SAPBEXresItemX 2 10 2" xfId="61037"/>
    <cellStyle name="SAPBEXresItemX 2 11" xfId="7087"/>
    <cellStyle name="SAPBEXresItemX 2 2" xfId="7088"/>
    <cellStyle name="SAPBEXresItemX 2 2 2" xfId="61038"/>
    <cellStyle name="SAPBEXresItemX 2 3" xfId="7089"/>
    <cellStyle name="SAPBEXresItemX 2 3 2" xfId="61039"/>
    <cellStyle name="SAPBEXresItemX 2 4" xfId="7090"/>
    <cellStyle name="SAPBEXresItemX 2 4 2" xfId="61040"/>
    <cellStyle name="SAPBEXresItemX 2 5" xfId="7091"/>
    <cellStyle name="SAPBEXresItemX 2 5 2" xfId="61041"/>
    <cellStyle name="SAPBEXresItemX 2 6" xfId="7092"/>
    <cellStyle name="SAPBEXresItemX 2 6 2" xfId="61042"/>
    <cellStyle name="SAPBEXresItemX 2 7" xfId="7093"/>
    <cellStyle name="SAPBEXresItemX 2 7 2" xfId="61043"/>
    <cellStyle name="SAPBEXresItemX 2 8" xfId="7094"/>
    <cellStyle name="SAPBEXresItemX 2 8 2" xfId="61044"/>
    <cellStyle name="SAPBEXresItemX 2 9" xfId="7095"/>
    <cellStyle name="SAPBEXresItemX 2 9 2" xfId="61045"/>
    <cellStyle name="SAPBEXresItemX 3" xfId="7096"/>
    <cellStyle name="SAPBEXresItemX 3 2" xfId="61046"/>
    <cellStyle name="SAPBEXresItemX 4" xfId="7097"/>
    <cellStyle name="SAPBEXresItemX 4 2" xfId="61047"/>
    <cellStyle name="SAPBEXresItemX 5" xfId="7098"/>
    <cellStyle name="SAPBEXresItemX 5 2" xfId="61048"/>
    <cellStyle name="SAPBEXresItemX 6" xfId="7099"/>
    <cellStyle name="SAPBEXresItemX 6 2" xfId="61049"/>
    <cellStyle name="SAPBEXresItemX 7" xfId="7100"/>
    <cellStyle name="SAPBEXresItemX 7 2" xfId="61050"/>
    <cellStyle name="SAPBEXresItemX 8" xfId="7101"/>
    <cellStyle name="SAPBEXresItemX 8 2" xfId="61051"/>
    <cellStyle name="SAPBEXresItemX 9" xfId="7102"/>
    <cellStyle name="SAPBEXresItemX 9 2" xfId="61052"/>
    <cellStyle name="SAPBEXstdData" xfId="7103"/>
    <cellStyle name="SAPBEXstdData 10" xfId="7104"/>
    <cellStyle name="SAPBEXstdData 10 2" xfId="61053"/>
    <cellStyle name="SAPBEXstdData 11" xfId="7105"/>
    <cellStyle name="SAPBEXstdData 11 2" xfId="61054"/>
    <cellStyle name="SAPBEXstdData 12" xfId="7106"/>
    <cellStyle name="SAPBEXstdData 2" xfId="7107"/>
    <cellStyle name="SAPBEXstdData 2 10" xfId="7108"/>
    <cellStyle name="SAPBEXstdData 2 10 2" xfId="61055"/>
    <cellStyle name="SAPBEXstdData 2 11" xfId="7109"/>
    <cellStyle name="SAPBEXstdData 2 2" xfId="7110"/>
    <cellStyle name="SAPBEXstdData 2 2 2" xfId="61056"/>
    <cellStyle name="SAPBEXstdData 2 3" xfId="7111"/>
    <cellStyle name="SAPBEXstdData 2 3 2" xfId="61057"/>
    <cellStyle name="SAPBEXstdData 2 4" xfId="7112"/>
    <cellStyle name="SAPBEXstdData 2 4 2" xfId="61058"/>
    <cellStyle name="SAPBEXstdData 2 5" xfId="7113"/>
    <cellStyle name="SAPBEXstdData 2 5 2" xfId="61059"/>
    <cellStyle name="SAPBEXstdData 2 6" xfId="7114"/>
    <cellStyle name="SAPBEXstdData 2 6 2" xfId="61060"/>
    <cellStyle name="SAPBEXstdData 2 7" xfId="7115"/>
    <cellStyle name="SAPBEXstdData 2 7 2" xfId="61061"/>
    <cellStyle name="SAPBEXstdData 2 8" xfId="7116"/>
    <cellStyle name="SAPBEXstdData 2 8 2" xfId="61062"/>
    <cellStyle name="SAPBEXstdData 2 9" xfId="7117"/>
    <cellStyle name="SAPBEXstdData 2 9 2" xfId="61063"/>
    <cellStyle name="SAPBEXstdData 3" xfId="7118"/>
    <cellStyle name="SAPBEXstdData 3 2" xfId="61064"/>
    <cellStyle name="SAPBEXstdData 4" xfId="7119"/>
    <cellStyle name="SAPBEXstdData 4 2" xfId="61065"/>
    <cellStyle name="SAPBEXstdData 5" xfId="7120"/>
    <cellStyle name="SAPBEXstdData 5 2" xfId="61066"/>
    <cellStyle name="SAPBEXstdData 6" xfId="7121"/>
    <cellStyle name="SAPBEXstdData 6 2" xfId="61067"/>
    <cellStyle name="SAPBEXstdData 7" xfId="7122"/>
    <cellStyle name="SAPBEXstdData 7 2" xfId="61068"/>
    <cellStyle name="SAPBEXstdData 8" xfId="7123"/>
    <cellStyle name="SAPBEXstdData 8 2" xfId="61069"/>
    <cellStyle name="SAPBEXstdData 9" xfId="7124"/>
    <cellStyle name="SAPBEXstdData 9 2" xfId="61070"/>
    <cellStyle name="SAPBEXstdDataEmph" xfId="7125"/>
    <cellStyle name="SAPBEXstdDataEmph 10" xfId="7126"/>
    <cellStyle name="SAPBEXstdDataEmph 10 2" xfId="61071"/>
    <cellStyle name="SAPBEXstdDataEmph 11" xfId="7127"/>
    <cellStyle name="SAPBEXstdDataEmph 11 2" xfId="61072"/>
    <cellStyle name="SAPBEXstdDataEmph 12" xfId="7128"/>
    <cellStyle name="SAPBEXstdDataEmph 2" xfId="7129"/>
    <cellStyle name="SAPBEXstdDataEmph 2 10" xfId="7130"/>
    <cellStyle name="SAPBEXstdDataEmph 2 10 2" xfId="61073"/>
    <cellStyle name="SAPBEXstdDataEmph 2 11" xfId="7131"/>
    <cellStyle name="SAPBEXstdDataEmph 2 2" xfId="7132"/>
    <cellStyle name="SAPBEXstdDataEmph 2 2 2" xfId="61074"/>
    <cellStyle name="SAPBEXstdDataEmph 2 3" xfId="7133"/>
    <cellStyle name="SAPBEXstdDataEmph 2 3 2" xfId="61075"/>
    <cellStyle name="SAPBEXstdDataEmph 2 4" xfId="7134"/>
    <cellStyle name="SAPBEXstdDataEmph 2 4 2" xfId="61076"/>
    <cellStyle name="SAPBEXstdDataEmph 2 5" xfId="7135"/>
    <cellStyle name="SAPBEXstdDataEmph 2 5 2" xfId="61077"/>
    <cellStyle name="SAPBEXstdDataEmph 2 6" xfId="7136"/>
    <cellStyle name="SAPBEXstdDataEmph 2 6 2" xfId="61078"/>
    <cellStyle name="SAPBEXstdDataEmph 2 7" xfId="7137"/>
    <cellStyle name="SAPBEXstdDataEmph 2 7 2" xfId="61079"/>
    <cellStyle name="SAPBEXstdDataEmph 2 8" xfId="7138"/>
    <cellStyle name="SAPBEXstdDataEmph 2 8 2" xfId="61080"/>
    <cellStyle name="SAPBEXstdDataEmph 2 9" xfId="7139"/>
    <cellStyle name="SAPBEXstdDataEmph 2 9 2" xfId="61081"/>
    <cellStyle name="SAPBEXstdDataEmph 3" xfId="7140"/>
    <cellStyle name="SAPBEXstdDataEmph 3 2" xfId="61082"/>
    <cellStyle name="SAPBEXstdDataEmph 4" xfId="7141"/>
    <cellStyle name="SAPBEXstdDataEmph 4 2" xfId="61083"/>
    <cellStyle name="SAPBEXstdDataEmph 5" xfId="7142"/>
    <cellStyle name="SAPBEXstdDataEmph 5 2" xfId="61084"/>
    <cellStyle name="SAPBEXstdDataEmph 6" xfId="7143"/>
    <cellStyle name="SAPBEXstdDataEmph 6 2" xfId="61085"/>
    <cellStyle name="SAPBEXstdDataEmph 7" xfId="7144"/>
    <cellStyle name="SAPBEXstdDataEmph 7 2" xfId="61086"/>
    <cellStyle name="SAPBEXstdDataEmph 8" xfId="7145"/>
    <cellStyle name="SAPBEXstdDataEmph 8 2" xfId="61087"/>
    <cellStyle name="SAPBEXstdDataEmph 9" xfId="7146"/>
    <cellStyle name="SAPBEXstdDataEmph 9 2" xfId="61088"/>
    <cellStyle name="SAPBEXstdItem" xfId="7147"/>
    <cellStyle name="SAPBEXstdItem 10" xfId="7148"/>
    <cellStyle name="SAPBEXstdItem 10 2" xfId="61089"/>
    <cellStyle name="SAPBEXstdItem 11" xfId="7149"/>
    <cellStyle name="SAPBEXstdItem 11 2" xfId="61090"/>
    <cellStyle name="SAPBEXstdItem 12" xfId="7150"/>
    <cellStyle name="SAPBEXstdItem 2" xfId="7151"/>
    <cellStyle name="SAPBEXstdItem 2 10" xfId="7152"/>
    <cellStyle name="SAPBEXstdItem 2 10 2" xfId="61091"/>
    <cellStyle name="SAPBEXstdItem 2 11" xfId="7153"/>
    <cellStyle name="SAPBEXstdItem 2 2" xfId="7154"/>
    <cellStyle name="SAPBEXstdItem 2 2 2" xfId="61092"/>
    <cellStyle name="SAPBEXstdItem 2 3" xfId="7155"/>
    <cellStyle name="SAPBEXstdItem 2 3 2" xfId="61093"/>
    <cellStyle name="SAPBEXstdItem 2 4" xfId="7156"/>
    <cellStyle name="SAPBEXstdItem 2 4 2" xfId="61094"/>
    <cellStyle name="SAPBEXstdItem 2 5" xfId="7157"/>
    <cellStyle name="SAPBEXstdItem 2 5 2" xfId="61095"/>
    <cellStyle name="SAPBEXstdItem 2 6" xfId="7158"/>
    <cellStyle name="SAPBEXstdItem 2 6 2" xfId="61096"/>
    <cellStyle name="SAPBEXstdItem 2 7" xfId="7159"/>
    <cellStyle name="SAPBEXstdItem 2 7 2" xfId="61097"/>
    <cellStyle name="SAPBEXstdItem 2 8" xfId="7160"/>
    <cellStyle name="SAPBEXstdItem 2 8 2" xfId="61098"/>
    <cellStyle name="SAPBEXstdItem 2 9" xfId="7161"/>
    <cellStyle name="SAPBEXstdItem 2 9 2" xfId="61099"/>
    <cellStyle name="SAPBEXstdItem 3" xfId="7162"/>
    <cellStyle name="SAPBEXstdItem 3 2" xfId="61100"/>
    <cellStyle name="SAPBEXstdItem 4" xfId="7163"/>
    <cellStyle name="SAPBEXstdItem 4 2" xfId="61101"/>
    <cellStyle name="SAPBEXstdItem 5" xfId="7164"/>
    <cellStyle name="SAPBEXstdItem 5 2" xfId="61102"/>
    <cellStyle name="SAPBEXstdItem 6" xfId="7165"/>
    <cellStyle name="SAPBEXstdItem 6 2" xfId="61103"/>
    <cellStyle name="SAPBEXstdItem 7" xfId="7166"/>
    <cellStyle name="SAPBEXstdItem 7 2" xfId="61104"/>
    <cellStyle name="SAPBEXstdItem 8" xfId="7167"/>
    <cellStyle name="SAPBEXstdItem 8 2" xfId="61105"/>
    <cellStyle name="SAPBEXstdItem 9" xfId="7168"/>
    <cellStyle name="SAPBEXstdItem 9 2" xfId="61106"/>
    <cellStyle name="SAPBEXstdItemX" xfId="7169"/>
    <cellStyle name="SAPBEXstdItemX 10" xfId="7170"/>
    <cellStyle name="SAPBEXstdItemX 10 2" xfId="61107"/>
    <cellStyle name="SAPBEXstdItemX 11" xfId="7171"/>
    <cellStyle name="SAPBEXstdItemX 11 2" xfId="61108"/>
    <cellStyle name="SAPBEXstdItemX 12" xfId="7172"/>
    <cellStyle name="SAPBEXstdItemX 2" xfId="7173"/>
    <cellStyle name="SAPBEXstdItemX 2 10" xfId="7174"/>
    <cellStyle name="SAPBEXstdItemX 2 10 2" xfId="61109"/>
    <cellStyle name="SAPBEXstdItemX 2 11" xfId="7175"/>
    <cellStyle name="SAPBEXstdItemX 2 2" xfId="7176"/>
    <cellStyle name="SAPBEXstdItemX 2 2 2" xfId="61110"/>
    <cellStyle name="SAPBEXstdItemX 2 3" xfId="7177"/>
    <cellStyle name="SAPBEXstdItemX 2 3 2" xfId="61111"/>
    <cellStyle name="SAPBEXstdItemX 2 4" xfId="7178"/>
    <cellStyle name="SAPBEXstdItemX 2 4 2" xfId="61112"/>
    <cellStyle name="SAPBEXstdItemX 2 5" xfId="7179"/>
    <cellStyle name="SAPBEXstdItemX 2 5 2" xfId="61113"/>
    <cellStyle name="SAPBEXstdItemX 2 6" xfId="7180"/>
    <cellStyle name="SAPBEXstdItemX 2 6 2" xfId="61114"/>
    <cellStyle name="SAPBEXstdItemX 2 7" xfId="7181"/>
    <cellStyle name="SAPBEXstdItemX 2 7 2" xfId="61115"/>
    <cellStyle name="SAPBEXstdItemX 2 8" xfId="7182"/>
    <cellStyle name="SAPBEXstdItemX 2 8 2" xfId="61116"/>
    <cellStyle name="SAPBEXstdItemX 2 9" xfId="7183"/>
    <cellStyle name="SAPBEXstdItemX 2 9 2" xfId="61117"/>
    <cellStyle name="SAPBEXstdItemX 3" xfId="7184"/>
    <cellStyle name="SAPBEXstdItemX 3 2" xfId="61118"/>
    <cellStyle name="SAPBEXstdItemX 4" xfId="7185"/>
    <cellStyle name="SAPBEXstdItemX 4 2" xfId="61119"/>
    <cellStyle name="SAPBEXstdItemX 5" xfId="7186"/>
    <cellStyle name="SAPBEXstdItemX 5 2" xfId="61120"/>
    <cellStyle name="SAPBEXstdItemX 6" xfId="7187"/>
    <cellStyle name="SAPBEXstdItemX 6 2" xfId="61121"/>
    <cellStyle name="SAPBEXstdItemX 7" xfId="7188"/>
    <cellStyle name="SAPBEXstdItemX 7 2" xfId="61122"/>
    <cellStyle name="SAPBEXstdItemX 8" xfId="7189"/>
    <cellStyle name="SAPBEXstdItemX 8 2" xfId="61123"/>
    <cellStyle name="SAPBEXstdItemX 9" xfId="7190"/>
    <cellStyle name="SAPBEXstdItemX 9 2" xfId="61124"/>
    <cellStyle name="SAPBEXtitle" xfId="7191"/>
    <cellStyle name="SAPBEXundefined" xfId="7192"/>
    <cellStyle name="SAPBEXundefined 10" xfId="7193"/>
    <cellStyle name="SAPBEXundefined 10 2" xfId="61125"/>
    <cellStyle name="SAPBEXundefined 11" xfId="7194"/>
    <cellStyle name="SAPBEXundefined 11 2" xfId="61126"/>
    <cellStyle name="SAPBEXundefined 12" xfId="7195"/>
    <cellStyle name="SAPBEXundefined 2" xfId="7196"/>
    <cellStyle name="SAPBEXundefined 2 10" xfId="7197"/>
    <cellStyle name="SAPBEXundefined 2 10 2" xfId="61127"/>
    <cellStyle name="SAPBEXundefined 2 11" xfId="7198"/>
    <cellStyle name="SAPBEXundefined 2 2" xfId="7199"/>
    <cellStyle name="SAPBEXundefined 2 2 2" xfId="61128"/>
    <cellStyle name="SAPBEXundefined 2 3" xfId="7200"/>
    <cellStyle name="SAPBEXundefined 2 3 2" xfId="61129"/>
    <cellStyle name="SAPBEXundefined 2 4" xfId="7201"/>
    <cellStyle name="SAPBEXundefined 2 4 2" xfId="61130"/>
    <cellStyle name="SAPBEXundefined 2 5" xfId="7202"/>
    <cellStyle name="SAPBEXundefined 2 5 2" xfId="61131"/>
    <cellStyle name="SAPBEXundefined 2 6" xfId="7203"/>
    <cellStyle name="SAPBEXundefined 2 6 2" xfId="61132"/>
    <cellStyle name="SAPBEXundefined 2 7" xfId="7204"/>
    <cellStyle name="SAPBEXundefined 2 7 2" xfId="61133"/>
    <cellStyle name="SAPBEXundefined 2 8" xfId="7205"/>
    <cellStyle name="SAPBEXundefined 2 8 2" xfId="61134"/>
    <cellStyle name="SAPBEXundefined 2 9" xfId="7206"/>
    <cellStyle name="SAPBEXundefined 2 9 2" xfId="61135"/>
    <cellStyle name="SAPBEXundefined 3" xfId="7207"/>
    <cellStyle name="SAPBEXundefined 3 2" xfId="61136"/>
    <cellStyle name="SAPBEXundefined 4" xfId="7208"/>
    <cellStyle name="SAPBEXundefined 4 2" xfId="61137"/>
    <cellStyle name="SAPBEXundefined 5" xfId="7209"/>
    <cellStyle name="SAPBEXundefined 5 2" xfId="61138"/>
    <cellStyle name="SAPBEXundefined 6" xfId="7210"/>
    <cellStyle name="SAPBEXundefined 6 2" xfId="61139"/>
    <cellStyle name="SAPBEXundefined 7" xfId="7211"/>
    <cellStyle name="SAPBEXundefined 7 2" xfId="61140"/>
    <cellStyle name="SAPBEXundefined 8" xfId="7212"/>
    <cellStyle name="SAPBEXundefined 8 2" xfId="61141"/>
    <cellStyle name="SAPBEXundefined 9" xfId="7213"/>
    <cellStyle name="SAPBEXundefined 9 2" xfId="61142"/>
    <cellStyle name="SAPDataCell" xfId="61143"/>
    <cellStyle name="SAPDataTotalCell" xfId="61144"/>
    <cellStyle name="SAPDimensionCell" xfId="61145"/>
    <cellStyle name="SAPEmphasized" xfId="61146"/>
    <cellStyle name="SAPHierarchyCell0" xfId="61147"/>
    <cellStyle name="SAPHierarchyCell1" xfId="61148"/>
    <cellStyle name="SAPHierarchyCell2" xfId="61149"/>
    <cellStyle name="SAPHierarchyCell3" xfId="61150"/>
    <cellStyle name="SAPHierarchyCell4" xfId="61151"/>
    <cellStyle name="SAPLocked" xfId="7214"/>
    <cellStyle name="SAPLocked 10" xfId="7215"/>
    <cellStyle name="SAPLocked 10 10" xfId="7216"/>
    <cellStyle name="SAPLocked 10 10 2" xfId="61152"/>
    <cellStyle name="SAPLocked 10 11" xfId="7217"/>
    <cellStyle name="SAPLocked 10 11 2" xfId="61153"/>
    <cellStyle name="SAPLocked 10 12" xfId="7218"/>
    <cellStyle name="SAPLocked 10 12 2" xfId="61154"/>
    <cellStyle name="SAPLocked 10 13" xfId="7219"/>
    <cellStyle name="SAPLocked 10 2" xfId="7220"/>
    <cellStyle name="SAPLocked 10 2 10" xfId="7221"/>
    <cellStyle name="SAPLocked 10 2 10 2" xfId="61155"/>
    <cellStyle name="SAPLocked 10 2 11" xfId="7222"/>
    <cellStyle name="SAPLocked 10 2 11 2" xfId="61156"/>
    <cellStyle name="SAPLocked 10 2 12" xfId="7223"/>
    <cellStyle name="SAPLocked 10 2 2" xfId="7224"/>
    <cellStyle name="SAPLocked 10 2 2 2" xfId="61157"/>
    <cellStyle name="SAPLocked 10 2 3" xfId="7225"/>
    <cellStyle name="SAPLocked 10 2 3 2" xfId="61158"/>
    <cellStyle name="SAPLocked 10 2 4" xfId="7226"/>
    <cellStyle name="SAPLocked 10 2 4 2" xfId="61159"/>
    <cellStyle name="SAPLocked 10 2 5" xfId="7227"/>
    <cellStyle name="SAPLocked 10 2 5 2" xfId="61160"/>
    <cellStyle name="SAPLocked 10 2 6" xfId="7228"/>
    <cellStyle name="SAPLocked 10 2 6 2" xfId="61161"/>
    <cellStyle name="SAPLocked 10 2 7" xfId="7229"/>
    <cellStyle name="SAPLocked 10 2 7 2" xfId="61162"/>
    <cellStyle name="SAPLocked 10 2 8" xfId="7230"/>
    <cellStyle name="SAPLocked 10 2 8 2" xfId="61163"/>
    <cellStyle name="SAPLocked 10 2 9" xfId="7231"/>
    <cellStyle name="SAPLocked 10 2 9 2" xfId="61164"/>
    <cellStyle name="SAPLocked 10 3" xfId="7232"/>
    <cellStyle name="SAPLocked 10 3 2" xfId="61165"/>
    <cellStyle name="SAPLocked 10 4" xfId="7233"/>
    <cellStyle name="SAPLocked 10 4 2" xfId="61166"/>
    <cellStyle name="SAPLocked 10 5" xfId="7234"/>
    <cellStyle name="SAPLocked 10 5 2" xfId="61167"/>
    <cellStyle name="SAPLocked 10 6" xfId="7235"/>
    <cellStyle name="SAPLocked 10 6 2" xfId="61168"/>
    <cellStyle name="SAPLocked 10 7" xfId="7236"/>
    <cellStyle name="SAPLocked 10 7 2" xfId="61169"/>
    <cellStyle name="SAPLocked 10 8" xfId="7237"/>
    <cellStyle name="SAPLocked 10 8 2" xfId="61170"/>
    <cellStyle name="SAPLocked 10 9" xfId="7238"/>
    <cellStyle name="SAPLocked 10 9 2" xfId="61171"/>
    <cellStyle name="SAPLocked 11" xfId="7239"/>
    <cellStyle name="SAPLocked 11 10" xfId="7240"/>
    <cellStyle name="SAPLocked 11 10 2" xfId="61172"/>
    <cellStyle name="SAPLocked 11 11" xfId="7241"/>
    <cellStyle name="SAPLocked 11 11 2" xfId="61173"/>
    <cellStyle name="SAPLocked 11 12" xfId="7242"/>
    <cellStyle name="SAPLocked 11 12 2" xfId="61174"/>
    <cellStyle name="SAPLocked 11 13" xfId="7243"/>
    <cellStyle name="SAPLocked 11 2" xfId="7244"/>
    <cellStyle name="SAPLocked 11 2 10" xfId="7245"/>
    <cellStyle name="SAPLocked 11 2 10 2" xfId="61175"/>
    <cellStyle name="SAPLocked 11 2 11" xfId="7246"/>
    <cellStyle name="SAPLocked 11 2 11 2" xfId="61176"/>
    <cellStyle name="SAPLocked 11 2 12" xfId="7247"/>
    <cellStyle name="SAPLocked 11 2 2" xfId="7248"/>
    <cellStyle name="SAPLocked 11 2 2 2" xfId="61177"/>
    <cellStyle name="SAPLocked 11 2 3" xfId="7249"/>
    <cellStyle name="SAPLocked 11 2 3 2" xfId="61178"/>
    <cellStyle name="SAPLocked 11 2 4" xfId="7250"/>
    <cellStyle name="SAPLocked 11 2 4 2" xfId="61179"/>
    <cellStyle name="SAPLocked 11 2 5" xfId="7251"/>
    <cellStyle name="SAPLocked 11 2 5 2" xfId="61180"/>
    <cellStyle name="SAPLocked 11 2 6" xfId="7252"/>
    <cellStyle name="SAPLocked 11 2 6 2" xfId="61181"/>
    <cellStyle name="SAPLocked 11 2 7" xfId="7253"/>
    <cellStyle name="SAPLocked 11 2 7 2" xfId="61182"/>
    <cellStyle name="SAPLocked 11 2 8" xfId="7254"/>
    <cellStyle name="SAPLocked 11 2 8 2" xfId="61183"/>
    <cellStyle name="SAPLocked 11 2 9" xfId="7255"/>
    <cellStyle name="SAPLocked 11 2 9 2" xfId="61184"/>
    <cellStyle name="SAPLocked 11 3" xfId="7256"/>
    <cellStyle name="SAPLocked 11 3 2" xfId="61185"/>
    <cellStyle name="SAPLocked 11 4" xfId="7257"/>
    <cellStyle name="SAPLocked 11 4 2" xfId="61186"/>
    <cellStyle name="SAPLocked 11 5" xfId="7258"/>
    <cellStyle name="SAPLocked 11 5 2" xfId="61187"/>
    <cellStyle name="SAPLocked 11 6" xfId="7259"/>
    <cellStyle name="SAPLocked 11 6 2" xfId="61188"/>
    <cellStyle name="SAPLocked 11 7" xfId="7260"/>
    <cellStyle name="SAPLocked 11 7 2" xfId="61189"/>
    <cellStyle name="SAPLocked 11 8" xfId="7261"/>
    <cellStyle name="SAPLocked 11 8 2" xfId="61190"/>
    <cellStyle name="SAPLocked 11 9" xfId="7262"/>
    <cellStyle name="SAPLocked 11 9 2" xfId="61191"/>
    <cellStyle name="SAPLocked 12" xfId="7263"/>
    <cellStyle name="SAPLocked 12 10" xfId="7264"/>
    <cellStyle name="SAPLocked 12 10 2" xfId="61192"/>
    <cellStyle name="SAPLocked 12 11" xfId="7265"/>
    <cellStyle name="SAPLocked 12 11 2" xfId="61193"/>
    <cellStyle name="SAPLocked 12 12" xfId="7266"/>
    <cellStyle name="SAPLocked 12 12 2" xfId="61194"/>
    <cellStyle name="SAPLocked 12 13" xfId="7267"/>
    <cellStyle name="SAPLocked 12 2" xfId="7268"/>
    <cellStyle name="SAPLocked 12 2 10" xfId="7269"/>
    <cellStyle name="SAPLocked 12 2 10 2" xfId="61195"/>
    <cellStyle name="SAPLocked 12 2 11" xfId="7270"/>
    <cellStyle name="SAPLocked 12 2 11 2" xfId="61196"/>
    <cellStyle name="SAPLocked 12 2 12" xfId="7271"/>
    <cellStyle name="SAPLocked 12 2 2" xfId="7272"/>
    <cellStyle name="SAPLocked 12 2 2 2" xfId="61197"/>
    <cellStyle name="SAPLocked 12 2 3" xfId="7273"/>
    <cellStyle name="SAPLocked 12 2 3 2" xfId="61198"/>
    <cellStyle name="SAPLocked 12 2 4" xfId="7274"/>
    <cellStyle name="SAPLocked 12 2 4 2" xfId="61199"/>
    <cellStyle name="SAPLocked 12 2 5" xfId="7275"/>
    <cellStyle name="SAPLocked 12 2 5 2" xfId="61200"/>
    <cellStyle name="SAPLocked 12 2 6" xfId="7276"/>
    <cellStyle name="SAPLocked 12 2 6 2" xfId="61201"/>
    <cellStyle name="SAPLocked 12 2 7" xfId="7277"/>
    <cellStyle name="SAPLocked 12 2 7 2" xfId="61202"/>
    <cellStyle name="SAPLocked 12 2 8" xfId="7278"/>
    <cellStyle name="SAPLocked 12 2 8 2" xfId="61203"/>
    <cellStyle name="SAPLocked 12 2 9" xfId="7279"/>
    <cellStyle name="SAPLocked 12 2 9 2" xfId="61204"/>
    <cellStyle name="SAPLocked 12 3" xfId="7280"/>
    <cellStyle name="SAPLocked 12 3 2" xfId="61205"/>
    <cellStyle name="SAPLocked 12 4" xfId="7281"/>
    <cellStyle name="SAPLocked 12 4 2" xfId="61206"/>
    <cellStyle name="SAPLocked 12 5" xfId="7282"/>
    <cellStyle name="SAPLocked 12 5 2" xfId="61207"/>
    <cellStyle name="SAPLocked 12 6" xfId="7283"/>
    <cellStyle name="SAPLocked 12 6 2" xfId="61208"/>
    <cellStyle name="SAPLocked 12 7" xfId="7284"/>
    <cellStyle name="SAPLocked 12 7 2" xfId="61209"/>
    <cellStyle name="SAPLocked 12 8" xfId="7285"/>
    <cellStyle name="SAPLocked 12 8 2" xfId="61210"/>
    <cellStyle name="SAPLocked 12 9" xfId="7286"/>
    <cellStyle name="SAPLocked 12 9 2" xfId="61211"/>
    <cellStyle name="SAPLocked 13" xfId="7287"/>
    <cellStyle name="SAPLocked 13 10" xfId="7288"/>
    <cellStyle name="SAPLocked 13 10 2" xfId="61212"/>
    <cellStyle name="SAPLocked 13 11" xfId="7289"/>
    <cellStyle name="SAPLocked 13 11 2" xfId="61213"/>
    <cellStyle name="SAPLocked 13 12" xfId="7290"/>
    <cellStyle name="SAPLocked 13 12 2" xfId="61214"/>
    <cellStyle name="SAPLocked 13 13" xfId="7291"/>
    <cellStyle name="SAPLocked 13 2" xfId="7292"/>
    <cellStyle name="SAPLocked 13 2 10" xfId="7293"/>
    <cellStyle name="SAPLocked 13 2 10 2" xfId="61215"/>
    <cellStyle name="SAPLocked 13 2 11" xfId="7294"/>
    <cellStyle name="SAPLocked 13 2 11 2" xfId="61216"/>
    <cellStyle name="SAPLocked 13 2 12" xfId="7295"/>
    <cellStyle name="SAPLocked 13 2 2" xfId="7296"/>
    <cellStyle name="SAPLocked 13 2 2 2" xfId="61217"/>
    <cellStyle name="SAPLocked 13 2 3" xfId="7297"/>
    <cellStyle name="SAPLocked 13 2 3 2" xfId="61218"/>
    <cellStyle name="SAPLocked 13 2 4" xfId="7298"/>
    <cellStyle name="SAPLocked 13 2 4 2" xfId="61219"/>
    <cellStyle name="SAPLocked 13 2 5" xfId="7299"/>
    <cellStyle name="SAPLocked 13 2 5 2" xfId="61220"/>
    <cellStyle name="SAPLocked 13 2 6" xfId="7300"/>
    <cellStyle name="SAPLocked 13 2 6 2" xfId="61221"/>
    <cellStyle name="SAPLocked 13 2 7" xfId="7301"/>
    <cellStyle name="SAPLocked 13 2 7 2" xfId="61222"/>
    <cellStyle name="SAPLocked 13 2 8" xfId="7302"/>
    <cellStyle name="SAPLocked 13 2 8 2" xfId="61223"/>
    <cellStyle name="SAPLocked 13 2 9" xfId="7303"/>
    <cellStyle name="SAPLocked 13 2 9 2" xfId="61224"/>
    <cellStyle name="SAPLocked 13 3" xfId="7304"/>
    <cellStyle name="SAPLocked 13 3 2" xfId="61225"/>
    <cellStyle name="SAPLocked 13 4" xfId="7305"/>
    <cellStyle name="SAPLocked 13 4 2" xfId="61226"/>
    <cellStyle name="SAPLocked 13 5" xfId="7306"/>
    <cellStyle name="SAPLocked 13 5 2" xfId="61227"/>
    <cellStyle name="SAPLocked 13 6" xfId="7307"/>
    <cellStyle name="SAPLocked 13 6 2" xfId="61228"/>
    <cellStyle name="SAPLocked 13 7" xfId="7308"/>
    <cellStyle name="SAPLocked 13 7 2" xfId="61229"/>
    <cellStyle name="SAPLocked 13 8" xfId="7309"/>
    <cellStyle name="SAPLocked 13 8 2" xfId="61230"/>
    <cellStyle name="SAPLocked 13 9" xfId="7310"/>
    <cellStyle name="SAPLocked 13 9 2" xfId="61231"/>
    <cellStyle name="SAPLocked 14" xfId="7311"/>
    <cellStyle name="SAPLocked 14 10" xfId="7312"/>
    <cellStyle name="SAPLocked 14 10 2" xfId="61232"/>
    <cellStyle name="SAPLocked 14 11" xfId="7313"/>
    <cellStyle name="SAPLocked 14 11 2" xfId="61233"/>
    <cellStyle name="SAPLocked 14 12" xfId="7314"/>
    <cellStyle name="SAPLocked 14 12 2" xfId="61234"/>
    <cellStyle name="SAPLocked 14 13" xfId="7315"/>
    <cellStyle name="SAPLocked 14 2" xfId="7316"/>
    <cellStyle name="SAPLocked 14 2 10" xfId="7317"/>
    <cellStyle name="SAPLocked 14 2 10 2" xfId="61235"/>
    <cellStyle name="SAPLocked 14 2 11" xfId="7318"/>
    <cellStyle name="SAPLocked 14 2 11 2" xfId="61236"/>
    <cellStyle name="SAPLocked 14 2 12" xfId="7319"/>
    <cellStyle name="SAPLocked 14 2 2" xfId="7320"/>
    <cellStyle name="SAPLocked 14 2 2 2" xfId="61237"/>
    <cellStyle name="SAPLocked 14 2 3" xfId="7321"/>
    <cellStyle name="SAPLocked 14 2 3 2" xfId="61238"/>
    <cellStyle name="SAPLocked 14 2 4" xfId="7322"/>
    <cellStyle name="SAPLocked 14 2 4 2" xfId="61239"/>
    <cellStyle name="SAPLocked 14 2 5" xfId="7323"/>
    <cellStyle name="SAPLocked 14 2 5 2" xfId="61240"/>
    <cellStyle name="SAPLocked 14 2 6" xfId="7324"/>
    <cellStyle name="SAPLocked 14 2 6 2" xfId="61241"/>
    <cellStyle name="SAPLocked 14 2 7" xfId="7325"/>
    <cellStyle name="SAPLocked 14 2 7 2" xfId="61242"/>
    <cellStyle name="SAPLocked 14 2 8" xfId="7326"/>
    <cellStyle name="SAPLocked 14 2 8 2" xfId="61243"/>
    <cellStyle name="SAPLocked 14 2 9" xfId="7327"/>
    <cellStyle name="SAPLocked 14 2 9 2" xfId="61244"/>
    <cellStyle name="SAPLocked 14 3" xfId="7328"/>
    <cellStyle name="SAPLocked 14 3 2" xfId="61245"/>
    <cellStyle name="SAPLocked 14 4" xfId="7329"/>
    <cellStyle name="SAPLocked 14 4 2" xfId="61246"/>
    <cellStyle name="SAPLocked 14 5" xfId="7330"/>
    <cellStyle name="SAPLocked 14 5 2" xfId="61247"/>
    <cellStyle name="SAPLocked 14 6" xfId="7331"/>
    <cellStyle name="SAPLocked 14 6 2" xfId="61248"/>
    <cellStyle name="SAPLocked 14 7" xfId="7332"/>
    <cellStyle name="SAPLocked 14 7 2" xfId="61249"/>
    <cellStyle name="SAPLocked 14 8" xfId="7333"/>
    <cellStyle name="SAPLocked 14 8 2" xfId="61250"/>
    <cellStyle name="SAPLocked 14 9" xfId="7334"/>
    <cellStyle name="SAPLocked 14 9 2" xfId="61251"/>
    <cellStyle name="SAPLocked 15" xfId="7335"/>
    <cellStyle name="SAPLocked 15 10" xfId="7336"/>
    <cellStyle name="SAPLocked 15 10 2" xfId="61252"/>
    <cellStyle name="SAPLocked 15 11" xfId="7337"/>
    <cellStyle name="SAPLocked 15 11 2" xfId="61253"/>
    <cellStyle name="SAPLocked 15 12" xfId="7338"/>
    <cellStyle name="SAPLocked 15 12 2" xfId="61254"/>
    <cellStyle name="SAPLocked 15 13" xfId="7339"/>
    <cellStyle name="SAPLocked 15 2" xfId="7340"/>
    <cellStyle name="SAPLocked 15 2 10" xfId="7341"/>
    <cellStyle name="SAPLocked 15 2 10 2" xfId="61255"/>
    <cellStyle name="SAPLocked 15 2 11" xfId="7342"/>
    <cellStyle name="SAPLocked 15 2 11 2" xfId="61256"/>
    <cellStyle name="SAPLocked 15 2 12" xfId="7343"/>
    <cellStyle name="SAPLocked 15 2 2" xfId="7344"/>
    <cellStyle name="SAPLocked 15 2 2 2" xfId="61257"/>
    <cellStyle name="SAPLocked 15 2 3" xfId="7345"/>
    <cellStyle name="SAPLocked 15 2 3 2" xfId="61258"/>
    <cellStyle name="SAPLocked 15 2 4" xfId="7346"/>
    <cellStyle name="SAPLocked 15 2 4 2" xfId="61259"/>
    <cellStyle name="SAPLocked 15 2 5" xfId="7347"/>
    <cellStyle name="SAPLocked 15 2 5 2" xfId="61260"/>
    <cellStyle name="SAPLocked 15 2 6" xfId="7348"/>
    <cellStyle name="SAPLocked 15 2 6 2" xfId="61261"/>
    <cellStyle name="SAPLocked 15 2 7" xfId="7349"/>
    <cellStyle name="SAPLocked 15 2 7 2" xfId="61262"/>
    <cellStyle name="SAPLocked 15 2 8" xfId="7350"/>
    <cellStyle name="SAPLocked 15 2 8 2" xfId="61263"/>
    <cellStyle name="SAPLocked 15 2 9" xfId="7351"/>
    <cellStyle name="SAPLocked 15 2 9 2" xfId="61264"/>
    <cellStyle name="SAPLocked 15 3" xfId="7352"/>
    <cellStyle name="SAPLocked 15 3 2" xfId="61265"/>
    <cellStyle name="SAPLocked 15 4" xfId="7353"/>
    <cellStyle name="SAPLocked 15 4 2" xfId="61266"/>
    <cellStyle name="SAPLocked 15 5" xfId="7354"/>
    <cellStyle name="SAPLocked 15 5 2" xfId="61267"/>
    <cellStyle name="SAPLocked 15 6" xfId="7355"/>
    <cellStyle name="SAPLocked 15 6 2" xfId="61268"/>
    <cellStyle name="SAPLocked 15 7" xfId="7356"/>
    <cellStyle name="SAPLocked 15 7 2" xfId="61269"/>
    <cellStyle name="SAPLocked 15 8" xfId="7357"/>
    <cellStyle name="SAPLocked 15 8 2" xfId="61270"/>
    <cellStyle name="SAPLocked 15 9" xfId="7358"/>
    <cellStyle name="SAPLocked 15 9 2" xfId="61271"/>
    <cellStyle name="SAPLocked 16" xfId="7359"/>
    <cellStyle name="SAPLocked 16 10" xfId="7360"/>
    <cellStyle name="SAPLocked 16 10 2" xfId="61272"/>
    <cellStyle name="SAPLocked 16 11" xfId="7361"/>
    <cellStyle name="SAPLocked 16 11 2" xfId="61273"/>
    <cellStyle name="SAPLocked 16 12" xfId="7362"/>
    <cellStyle name="SAPLocked 16 12 2" xfId="61274"/>
    <cellStyle name="SAPLocked 16 13" xfId="7363"/>
    <cellStyle name="SAPLocked 16 2" xfId="7364"/>
    <cellStyle name="SAPLocked 16 2 10" xfId="7365"/>
    <cellStyle name="SAPLocked 16 2 10 2" xfId="61275"/>
    <cellStyle name="SAPLocked 16 2 11" xfId="7366"/>
    <cellStyle name="SAPLocked 16 2 11 2" xfId="61276"/>
    <cellStyle name="SAPLocked 16 2 12" xfId="7367"/>
    <cellStyle name="SAPLocked 16 2 2" xfId="7368"/>
    <cellStyle name="SAPLocked 16 2 2 2" xfId="61277"/>
    <cellStyle name="SAPLocked 16 2 3" xfId="7369"/>
    <cellStyle name="SAPLocked 16 2 3 2" xfId="61278"/>
    <cellStyle name="SAPLocked 16 2 4" xfId="7370"/>
    <cellStyle name="SAPLocked 16 2 4 2" xfId="61279"/>
    <cellStyle name="SAPLocked 16 2 5" xfId="7371"/>
    <cellStyle name="SAPLocked 16 2 5 2" xfId="61280"/>
    <cellStyle name="SAPLocked 16 2 6" xfId="7372"/>
    <cellStyle name="SAPLocked 16 2 6 2" xfId="61281"/>
    <cellStyle name="SAPLocked 16 2 7" xfId="7373"/>
    <cellStyle name="SAPLocked 16 2 7 2" xfId="61282"/>
    <cellStyle name="SAPLocked 16 2 8" xfId="7374"/>
    <cellStyle name="SAPLocked 16 2 8 2" xfId="61283"/>
    <cellStyle name="SAPLocked 16 2 9" xfId="7375"/>
    <cellStyle name="SAPLocked 16 2 9 2" xfId="61284"/>
    <cellStyle name="SAPLocked 16 3" xfId="7376"/>
    <cellStyle name="SAPLocked 16 3 2" xfId="61285"/>
    <cellStyle name="SAPLocked 16 4" xfId="7377"/>
    <cellStyle name="SAPLocked 16 4 2" xfId="61286"/>
    <cellStyle name="SAPLocked 16 5" xfId="7378"/>
    <cellStyle name="SAPLocked 16 5 2" xfId="61287"/>
    <cellStyle name="SAPLocked 16 6" xfId="7379"/>
    <cellStyle name="SAPLocked 16 6 2" xfId="61288"/>
    <cellStyle name="SAPLocked 16 7" xfId="7380"/>
    <cellStyle name="SAPLocked 16 7 2" xfId="61289"/>
    <cellStyle name="SAPLocked 16 8" xfId="7381"/>
    <cellStyle name="SAPLocked 16 8 2" xfId="61290"/>
    <cellStyle name="SAPLocked 16 9" xfId="7382"/>
    <cellStyle name="SAPLocked 16 9 2" xfId="61291"/>
    <cellStyle name="SAPLocked 17" xfId="7383"/>
    <cellStyle name="SAPLocked 17 10" xfId="7384"/>
    <cellStyle name="SAPLocked 17 10 2" xfId="61292"/>
    <cellStyle name="SAPLocked 17 11" xfId="7385"/>
    <cellStyle name="SAPLocked 17 11 2" xfId="61293"/>
    <cellStyle name="SAPLocked 17 12" xfId="7386"/>
    <cellStyle name="SAPLocked 17 12 2" xfId="61294"/>
    <cellStyle name="SAPLocked 17 13" xfId="7387"/>
    <cellStyle name="SAPLocked 17 2" xfId="7388"/>
    <cellStyle name="SAPLocked 17 2 10" xfId="7389"/>
    <cellStyle name="SAPLocked 17 2 10 2" xfId="61295"/>
    <cellStyle name="SAPLocked 17 2 11" xfId="7390"/>
    <cellStyle name="SAPLocked 17 2 11 2" xfId="61296"/>
    <cellStyle name="SAPLocked 17 2 12" xfId="7391"/>
    <cellStyle name="SAPLocked 17 2 2" xfId="7392"/>
    <cellStyle name="SAPLocked 17 2 2 2" xfId="61297"/>
    <cellStyle name="SAPLocked 17 2 3" xfId="7393"/>
    <cellStyle name="SAPLocked 17 2 3 2" xfId="61298"/>
    <cellStyle name="SAPLocked 17 2 4" xfId="7394"/>
    <cellStyle name="SAPLocked 17 2 4 2" xfId="61299"/>
    <cellStyle name="SAPLocked 17 2 5" xfId="7395"/>
    <cellStyle name="SAPLocked 17 2 5 2" xfId="61300"/>
    <cellStyle name="SAPLocked 17 2 6" xfId="7396"/>
    <cellStyle name="SAPLocked 17 2 6 2" xfId="61301"/>
    <cellStyle name="SAPLocked 17 2 7" xfId="7397"/>
    <cellStyle name="SAPLocked 17 2 7 2" xfId="61302"/>
    <cellStyle name="SAPLocked 17 2 8" xfId="7398"/>
    <cellStyle name="SAPLocked 17 2 8 2" xfId="61303"/>
    <cellStyle name="SAPLocked 17 2 9" xfId="7399"/>
    <cellStyle name="SAPLocked 17 2 9 2" xfId="61304"/>
    <cellStyle name="SAPLocked 17 3" xfId="7400"/>
    <cellStyle name="SAPLocked 17 3 2" xfId="61305"/>
    <cellStyle name="SAPLocked 17 4" xfId="7401"/>
    <cellStyle name="SAPLocked 17 4 2" xfId="61306"/>
    <cellStyle name="SAPLocked 17 5" xfId="7402"/>
    <cellStyle name="SAPLocked 17 5 2" xfId="61307"/>
    <cellStyle name="SAPLocked 17 6" xfId="7403"/>
    <cellStyle name="SAPLocked 17 6 2" xfId="61308"/>
    <cellStyle name="SAPLocked 17 7" xfId="7404"/>
    <cellStyle name="SAPLocked 17 7 2" xfId="61309"/>
    <cellStyle name="SAPLocked 17 8" xfId="7405"/>
    <cellStyle name="SAPLocked 17 8 2" xfId="61310"/>
    <cellStyle name="SAPLocked 17 9" xfId="7406"/>
    <cellStyle name="SAPLocked 17 9 2" xfId="61311"/>
    <cellStyle name="SAPLocked 18" xfId="7407"/>
    <cellStyle name="SAPLocked 18 10" xfId="7408"/>
    <cellStyle name="SAPLocked 18 10 2" xfId="61312"/>
    <cellStyle name="SAPLocked 18 11" xfId="7409"/>
    <cellStyle name="SAPLocked 18 11 2" xfId="61313"/>
    <cellStyle name="SAPLocked 18 12" xfId="7410"/>
    <cellStyle name="SAPLocked 18 12 2" xfId="61314"/>
    <cellStyle name="SAPLocked 18 13" xfId="7411"/>
    <cellStyle name="SAPLocked 18 2" xfId="7412"/>
    <cellStyle name="SAPLocked 18 2 10" xfId="7413"/>
    <cellStyle name="SAPLocked 18 2 10 2" xfId="61315"/>
    <cellStyle name="SAPLocked 18 2 11" xfId="7414"/>
    <cellStyle name="SAPLocked 18 2 11 2" xfId="61316"/>
    <cellStyle name="SAPLocked 18 2 12" xfId="7415"/>
    <cellStyle name="SAPLocked 18 2 2" xfId="7416"/>
    <cellStyle name="SAPLocked 18 2 2 2" xfId="61317"/>
    <cellStyle name="SAPLocked 18 2 3" xfId="7417"/>
    <cellStyle name="SAPLocked 18 2 3 2" xfId="61318"/>
    <cellStyle name="SAPLocked 18 2 4" xfId="7418"/>
    <cellStyle name="SAPLocked 18 2 4 2" xfId="61319"/>
    <cellStyle name="SAPLocked 18 2 5" xfId="7419"/>
    <cellStyle name="SAPLocked 18 2 5 2" xfId="61320"/>
    <cellStyle name="SAPLocked 18 2 6" xfId="7420"/>
    <cellStyle name="SAPLocked 18 2 6 2" xfId="61321"/>
    <cellStyle name="SAPLocked 18 2 7" xfId="7421"/>
    <cellStyle name="SAPLocked 18 2 7 2" xfId="61322"/>
    <cellStyle name="SAPLocked 18 2 8" xfId="7422"/>
    <cellStyle name="SAPLocked 18 2 8 2" xfId="61323"/>
    <cellStyle name="SAPLocked 18 2 9" xfId="7423"/>
    <cellStyle name="SAPLocked 18 2 9 2" xfId="61324"/>
    <cellStyle name="SAPLocked 18 3" xfId="7424"/>
    <cellStyle name="SAPLocked 18 3 2" xfId="61325"/>
    <cellStyle name="SAPLocked 18 4" xfId="7425"/>
    <cellStyle name="SAPLocked 18 4 2" xfId="61326"/>
    <cellStyle name="SAPLocked 18 5" xfId="7426"/>
    <cellStyle name="SAPLocked 18 5 2" xfId="61327"/>
    <cellStyle name="SAPLocked 18 6" xfId="7427"/>
    <cellStyle name="SAPLocked 18 6 2" xfId="61328"/>
    <cellStyle name="SAPLocked 18 7" xfId="7428"/>
    <cellStyle name="SAPLocked 18 7 2" xfId="61329"/>
    <cellStyle name="SAPLocked 18 8" xfId="7429"/>
    <cellStyle name="SAPLocked 18 8 2" xfId="61330"/>
    <cellStyle name="SAPLocked 18 9" xfId="7430"/>
    <cellStyle name="SAPLocked 18 9 2" xfId="61331"/>
    <cellStyle name="SAPLocked 19" xfId="7431"/>
    <cellStyle name="SAPLocked 19 10" xfId="7432"/>
    <cellStyle name="SAPLocked 19 10 2" xfId="61332"/>
    <cellStyle name="SAPLocked 19 11" xfId="7433"/>
    <cellStyle name="SAPLocked 19 11 2" xfId="61333"/>
    <cellStyle name="SAPLocked 19 12" xfId="7434"/>
    <cellStyle name="SAPLocked 19 12 2" xfId="61334"/>
    <cellStyle name="SAPLocked 19 13" xfId="7435"/>
    <cellStyle name="SAPLocked 19 2" xfId="7436"/>
    <cellStyle name="SAPLocked 19 2 10" xfId="7437"/>
    <cellStyle name="SAPLocked 19 2 10 2" xfId="61335"/>
    <cellStyle name="SAPLocked 19 2 11" xfId="7438"/>
    <cellStyle name="SAPLocked 19 2 11 2" xfId="61336"/>
    <cellStyle name="SAPLocked 19 2 12" xfId="7439"/>
    <cellStyle name="SAPLocked 19 2 2" xfId="7440"/>
    <cellStyle name="SAPLocked 19 2 2 2" xfId="61337"/>
    <cellStyle name="SAPLocked 19 2 3" xfId="7441"/>
    <cellStyle name="SAPLocked 19 2 3 2" xfId="61338"/>
    <cellStyle name="SAPLocked 19 2 4" xfId="7442"/>
    <cellStyle name="SAPLocked 19 2 4 2" xfId="61339"/>
    <cellStyle name="SAPLocked 19 2 5" xfId="7443"/>
    <cellStyle name="SAPLocked 19 2 5 2" xfId="61340"/>
    <cellStyle name="SAPLocked 19 2 6" xfId="7444"/>
    <cellStyle name="SAPLocked 19 2 6 2" xfId="61341"/>
    <cellStyle name="SAPLocked 19 2 7" xfId="7445"/>
    <cellStyle name="SAPLocked 19 2 7 2" xfId="61342"/>
    <cellStyle name="SAPLocked 19 2 8" xfId="7446"/>
    <cellStyle name="SAPLocked 19 2 8 2" xfId="61343"/>
    <cellStyle name="SAPLocked 19 2 9" xfId="7447"/>
    <cellStyle name="SAPLocked 19 2 9 2" xfId="61344"/>
    <cellStyle name="SAPLocked 19 3" xfId="7448"/>
    <cellStyle name="SAPLocked 19 3 2" xfId="61345"/>
    <cellStyle name="SAPLocked 19 4" xfId="7449"/>
    <cellStyle name="SAPLocked 19 4 2" xfId="61346"/>
    <cellStyle name="SAPLocked 19 5" xfId="7450"/>
    <cellStyle name="SAPLocked 19 5 2" xfId="61347"/>
    <cellStyle name="SAPLocked 19 6" xfId="7451"/>
    <cellStyle name="SAPLocked 19 6 2" xfId="61348"/>
    <cellStyle name="SAPLocked 19 7" xfId="7452"/>
    <cellStyle name="SAPLocked 19 7 2" xfId="61349"/>
    <cellStyle name="SAPLocked 19 8" xfId="7453"/>
    <cellStyle name="SAPLocked 19 8 2" xfId="61350"/>
    <cellStyle name="SAPLocked 19 9" xfId="7454"/>
    <cellStyle name="SAPLocked 19 9 2" xfId="61351"/>
    <cellStyle name="SAPLocked 2" xfId="7455"/>
    <cellStyle name="SAPLocked 2 10" xfId="7456"/>
    <cellStyle name="SAPLocked 2 10 10" xfId="7457"/>
    <cellStyle name="SAPLocked 2 10 10 2" xfId="61352"/>
    <cellStyle name="SAPLocked 2 10 11" xfId="7458"/>
    <cellStyle name="SAPLocked 2 10 11 2" xfId="61353"/>
    <cellStyle name="SAPLocked 2 10 12" xfId="7459"/>
    <cellStyle name="SAPLocked 2 10 12 2" xfId="61354"/>
    <cellStyle name="SAPLocked 2 10 13" xfId="7460"/>
    <cellStyle name="SAPLocked 2 10 2" xfId="7461"/>
    <cellStyle name="SAPLocked 2 10 2 10" xfId="7462"/>
    <cellStyle name="SAPLocked 2 10 2 10 2" xfId="61355"/>
    <cellStyle name="SAPLocked 2 10 2 11" xfId="7463"/>
    <cellStyle name="SAPLocked 2 10 2 11 2" xfId="61356"/>
    <cellStyle name="SAPLocked 2 10 2 12" xfId="7464"/>
    <cellStyle name="SAPLocked 2 10 2 2" xfId="7465"/>
    <cellStyle name="SAPLocked 2 10 2 2 2" xfId="61357"/>
    <cellStyle name="SAPLocked 2 10 2 3" xfId="7466"/>
    <cellStyle name="SAPLocked 2 10 2 3 2" xfId="61358"/>
    <cellStyle name="SAPLocked 2 10 2 4" xfId="7467"/>
    <cellStyle name="SAPLocked 2 10 2 4 2" xfId="61359"/>
    <cellStyle name="SAPLocked 2 10 2 5" xfId="7468"/>
    <cellStyle name="SAPLocked 2 10 2 5 2" xfId="61360"/>
    <cellStyle name="SAPLocked 2 10 2 6" xfId="7469"/>
    <cellStyle name="SAPLocked 2 10 2 6 2" xfId="61361"/>
    <cellStyle name="SAPLocked 2 10 2 7" xfId="7470"/>
    <cellStyle name="SAPLocked 2 10 2 7 2" xfId="61362"/>
    <cellStyle name="SAPLocked 2 10 2 8" xfId="7471"/>
    <cellStyle name="SAPLocked 2 10 2 8 2" xfId="61363"/>
    <cellStyle name="SAPLocked 2 10 2 9" xfId="7472"/>
    <cellStyle name="SAPLocked 2 10 2 9 2" xfId="61364"/>
    <cellStyle name="SAPLocked 2 10 3" xfId="7473"/>
    <cellStyle name="SAPLocked 2 10 3 2" xfId="61365"/>
    <cellStyle name="SAPLocked 2 10 4" xfId="7474"/>
    <cellStyle name="SAPLocked 2 10 4 2" xfId="61366"/>
    <cellStyle name="SAPLocked 2 10 5" xfId="7475"/>
    <cellStyle name="SAPLocked 2 10 5 2" xfId="61367"/>
    <cellStyle name="SAPLocked 2 10 6" xfId="7476"/>
    <cellStyle name="SAPLocked 2 10 6 2" xfId="61368"/>
    <cellStyle name="SAPLocked 2 10 7" xfId="7477"/>
    <cellStyle name="SAPLocked 2 10 7 2" xfId="61369"/>
    <cellStyle name="SAPLocked 2 10 8" xfId="7478"/>
    <cellStyle name="SAPLocked 2 10 8 2" xfId="61370"/>
    <cellStyle name="SAPLocked 2 10 9" xfId="7479"/>
    <cellStyle name="SAPLocked 2 10 9 2" xfId="61371"/>
    <cellStyle name="SAPLocked 2 11" xfId="7480"/>
    <cellStyle name="SAPLocked 2 11 10" xfId="7481"/>
    <cellStyle name="SAPLocked 2 11 10 2" xfId="61372"/>
    <cellStyle name="SAPLocked 2 11 11" xfId="7482"/>
    <cellStyle name="SAPLocked 2 11 11 2" xfId="61373"/>
    <cellStyle name="SAPLocked 2 11 12" xfId="7483"/>
    <cellStyle name="SAPLocked 2 11 12 2" xfId="61374"/>
    <cellStyle name="SAPLocked 2 11 13" xfId="7484"/>
    <cellStyle name="SAPLocked 2 11 2" xfId="7485"/>
    <cellStyle name="SAPLocked 2 11 2 10" xfId="7486"/>
    <cellStyle name="SAPLocked 2 11 2 10 2" xfId="61375"/>
    <cellStyle name="SAPLocked 2 11 2 11" xfId="7487"/>
    <cellStyle name="SAPLocked 2 11 2 11 2" xfId="61376"/>
    <cellStyle name="SAPLocked 2 11 2 12" xfId="7488"/>
    <cellStyle name="SAPLocked 2 11 2 2" xfId="7489"/>
    <cellStyle name="SAPLocked 2 11 2 2 2" xfId="61377"/>
    <cellStyle name="SAPLocked 2 11 2 3" xfId="7490"/>
    <cellStyle name="SAPLocked 2 11 2 3 2" xfId="61378"/>
    <cellStyle name="SAPLocked 2 11 2 4" xfId="7491"/>
    <cellStyle name="SAPLocked 2 11 2 4 2" xfId="61379"/>
    <cellStyle name="SAPLocked 2 11 2 5" xfId="7492"/>
    <cellStyle name="SAPLocked 2 11 2 5 2" xfId="61380"/>
    <cellStyle name="SAPLocked 2 11 2 6" xfId="7493"/>
    <cellStyle name="SAPLocked 2 11 2 6 2" xfId="61381"/>
    <cellStyle name="SAPLocked 2 11 2 7" xfId="7494"/>
    <cellStyle name="SAPLocked 2 11 2 7 2" xfId="61382"/>
    <cellStyle name="SAPLocked 2 11 2 8" xfId="7495"/>
    <cellStyle name="SAPLocked 2 11 2 8 2" xfId="61383"/>
    <cellStyle name="SAPLocked 2 11 2 9" xfId="7496"/>
    <cellStyle name="SAPLocked 2 11 2 9 2" xfId="61384"/>
    <cellStyle name="SAPLocked 2 11 3" xfId="7497"/>
    <cellStyle name="SAPLocked 2 11 3 2" xfId="61385"/>
    <cellStyle name="SAPLocked 2 11 4" xfId="7498"/>
    <cellStyle name="SAPLocked 2 11 4 2" xfId="61386"/>
    <cellStyle name="SAPLocked 2 11 5" xfId="7499"/>
    <cellStyle name="SAPLocked 2 11 5 2" xfId="61387"/>
    <cellStyle name="SAPLocked 2 11 6" xfId="7500"/>
    <cellStyle name="SAPLocked 2 11 6 2" xfId="61388"/>
    <cellStyle name="SAPLocked 2 11 7" xfId="7501"/>
    <cellStyle name="SAPLocked 2 11 7 2" xfId="61389"/>
    <cellStyle name="SAPLocked 2 11 8" xfId="7502"/>
    <cellStyle name="SAPLocked 2 11 8 2" xfId="61390"/>
    <cellStyle name="SAPLocked 2 11 9" xfId="7503"/>
    <cellStyle name="SAPLocked 2 11 9 2" xfId="61391"/>
    <cellStyle name="SAPLocked 2 12" xfId="7504"/>
    <cellStyle name="SAPLocked 2 12 10" xfId="7505"/>
    <cellStyle name="SAPLocked 2 12 10 2" xfId="61392"/>
    <cellStyle name="SAPLocked 2 12 11" xfId="7506"/>
    <cellStyle name="SAPLocked 2 12 11 2" xfId="61393"/>
    <cellStyle name="SAPLocked 2 12 12" xfId="7507"/>
    <cellStyle name="SAPLocked 2 12 12 2" xfId="61394"/>
    <cellStyle name="SAPLocked 2 12 13" xfId="7508"/>
    <cellStyle name="SAPLocked 2 12 2" xfId="7509"/>
    <cellStyle name="SAPLocked 2 12 2 10" xfId="7510"/>
    <cellStyle name="SAPLocked 2 12 2 10 2" xfId="61395"/>
    <cellStyle name="SAPLocked 2 12 2 11" xfId="7511"/>
    <cellStyle name="SAPLocked 2 12 2 11 2" xfId="61396"/>
    <cellStyle name="SAPLocked 2 12 2 12" xfId="7512"/>
    <cellStyle name="SAPLocked 2 12 2 2" xfId="7513"/>
    <cellStyle name="SAPLocked 2 12 2 2 2" xfId="61397"/>
    <cellStyle name="SAPLocked 2 12 2 3" xfId="7514"/>
    <cellStyle name="SAPLocked 2 12 2 3 2" xfId="61398"/>
    <cellStyle name="SAPLocked 2 12 2 4" xfId="7515"/>
    <cellStyle name="SAPLocked 2 12 2 4 2" xfId="61399"/>
    <cellStyle name="SAPLocked 2 12 2 5" xfId="7516"/>
    <cellStyle name="SAPLocked 2 12 2 5 2" xfId="61400"/>
    <cellStyle name="SAPLocked 2 12 2 6" xfId="7517"/>
    <cellStyle name="SAPLocked 2 12 2 6 2" xfId="61401"/>
    <cellStyle name="SAPLocked 2 12 2 7" xfId="7518"/>
    <cellStyle name="SAPLocked 2 12 2 7 2" xfId="61402"/>
    <cellStyle name="SAPLocked 2 12 2 8" xfId="7519"/>
    <cellStyle name="SAPLocked 2 12 2 8 2" xfId="61403"/>
    <cellStyle name="SAPLocked 2 12 2 9" xfId="7520"/>
    <cellStyle name="SAPLocked 2 12 2 9 2" xfId="61404"/>
    <cellStyle name="SAPLocked 2 12 3" xfId="7521"/>
    <cellStyle name="SAPLocked 2 12 3 2" xfId="61405"/>
    <cellStyle name="SAPLocked 2 12 4" xfId="7522"/>
    <cellStyle name="SAPLocked 2 12 4 2" xfId="61406"/>
    <cellStyle name="SAPLocked 2 12 5" xfId="7523"/>
    <cellStyle name="SAPLocked 2 12 5 2" xfId="61407"/>
    <cellStyle name="SAPLocked 2 12 6" xfId="7524"/>
    <cellStyle name="SAPLocked 2 12 6 2" xfId="61408"/>
    <cellStyle name="SAPLocked 2 12 7" xfId="7525"/>
    <cellStyle name="SAPLocked 2 12 7 2" xfId="61409"/>
    <cellStyle name="SAPLocked 2 12 8" xfId="7526"/>
    <cellStyle name="SAPLocked 2 12 8 2" xfId="61410"/>
    <cellStyle name="SAPLocked 2 12 9" xfId="7527"/>
    <cellStyle name="SAPLocked 2 12 9 2" xfId="61411"/>
    <cellStyle name="SAPLocked 2 13" xfId="7528"/>
    <cellStyle name="SAPLocked 2 13 10" xfId="7529"/>
    <cellStyle name="SAPLocked 2 13 10 2" xfId="61412"/>
    <cellStyle name="SAPLocked 2 13 11" xfId="7530"/>
    <cellStyle name="SAPLocked 2 13 11 2" xfId="61413"/>
    <cellStyle name="SAPLocked 2 13 12" xfId="7531"/>
    <cellStyle name="SAPLocked 2 13 12 2" xfId="61414"/>
    <cellStyle name="SAPLocked 2 13 13" xfId="7532"/>
    <cellStyle name="SAPLocked 2 13 2" xfId="7533"/>
    <cellStyle name="SAPLocked 2 13 2 10" xfId="7534"/>
    <cellStyle name="SAPLocked 2 13 2 10 2" xfId="61415"/>
    <cellStyle name="SAPLocked 2 13 2 11" xfId="7535"/>
    <cellStyle name="SAPLocked 2 13 2 11 2" xfId="61416"/>
    <cellStyle name="SAPLocked 2 13 2 12" xfId="7536"/>
    <cellStyle name="SAPLocked 2 13 2 2" xfId="7537"/>
    <cellStyle name="SAPLocked 2 13 2 2 2" xfId="61417"/>
    <cellStyle name="SAPLocked 2 13 2 3" xfId="7538"/>
    <cellStyle name="SAPLocked 2 13 2 3 2" xfId="61418"/>
    <cellStyle name="SAPLocked 2 13 2 4" xfId="7539"/>
    <cellStyle name="SAPLocked 2 13 2 4 2" xfId="61419"/>
    <cellStyle name="SAPLocked 2 13 2 5" xfId="7540"/>
    <cellStyle name="SAPLocked 2 13 2 5 2" xfId="61420"/>
    <cellStyle name="SAPLocked 2 13 2 6" xfId="7541"/>
    <cellStyle name="SAPLocked 2 13 2 6 2" xfId="61421"/>
    <cellStyle name="SAPLocked 2 13 2 7" xfId="7542"/>
    <cellStyle name="SAPLocked 2 13 2 7 2" xfId="61422"/>
    <cellStyle name="SAPLocked 2 13 2 8" xfId="7543"/>
    <cellStyle name="SAPLocked 2 13 2 8 2" xfId="61423"/>
    <cellStyle name="SAPLocked 2 13 2 9" xfId="7544"/>
    <cellStyle name="SAPLocked 2 13 2 9 2" xfId="61424"/>
    <cellStyle name="SAPLocked 2 13 3" xfId="7545"/>
    <cellStyle name="SAPLocked 2 13 3 2" xfId="61425"/>
    <cellStyle name="SAPLocked 2 13 4" xfId="7546"/>
    <cellStyle name="SAPLocked 2 13 4 2" xfId="61426"/>
    <cellStyle name="SAPLocked 2 13 5" xfId="7547"/>
    <cellStyle name="SAPLocked 2 13 5 2" xfId="61427"/>
    <cellStyle name="SAPLocked 2 13 6" xfId="7548"/>
    <cellStyle name="SAPLocked 2 13 6 2" xfId="61428"/>
    <cellStyle name="SAPLocked 2 13 7" xfId="7549"/>
    <cellStyle name="SAPLocked 2 13 7 2" xfId="61429"/>
    <cellStyle name="SAPLocked 2 13 8" xfId="7550"/>
    <cellStyle name="SAPLocked 2 13 8 2" xfId="61430"/>
    <cellStyle name="SAPLocked 2 13 9" xfId="7551"/>
    <cellStyle name="SAPLocked 2 13 9 2" xfId="61431"/>
    <cellStyle name="SAPLocked 2 14" xfId="7552"/>
    <cellStyle name="SAPLocked 2 14 10" xfId="7553"/>
    <cellStyle name="SAPLocked 2 14 10 2" xfId="61432"/>
    <cellStyle name="SAPLocked 2 14 11" xfId="7554"/>
    <cellStyle name="SAPLocked 2 14 11 2" xfId="61433"/>
    <cellStyle name="SAPLocked 2 14 12" xfId="7555"/>
    <cellStyle name="SAPLocked 2 14 12 2" xfId="61434"/>
    <cellStyle name="SAPLocked 2 14 13" xfId="7556"/>
    <cellStyle name="SAPLocked 2 14 2" xfId="7557"/>
    <cellStyle name="SAPLocked 2 14 2 10" xfId="7558"/>
    <cellStyle name="SAPLocked 2 14 2 10 2" xfId="61435"/>
    <cellStyle name="SAPLocked 2 14 2 11" xfId="7559"/>
    <cellStyle name="SAPLocked 2 14 2 11 2" xfId="61436"/>
    <cellStyle name="SAPLocked 2 14 2 12" xfId="7560"/>
    <cellStyle name="SAPLocked 2 14 2 2" xfId="7561"/>
    <cellStyle name="SAPLocked 2 14 2 2 2" xfId="61437"/>
    <cellStyle name="SAPLocked 2 14 2 3" xfId="7562"/>
    <cellStyle name="SAPLocked 2 14 2 3 2" xfId="61438"/>
    <cellStyle name="SAPLocked 2 14 2 4" xfId="7563"/>
    <cellStyle name="SAPLocked 2 14 2 4 2" xfId="61439"/>
    <cellStyle name="SAPLocked 2 14 2 5" xfId="7564"/>
    <cellStyle name="SAPLocked 2 14 2 5 2" xfId="61440"/>
    <cellStyle name="SAPLocked 2 14 2 6" xfId="7565"/>
    <cellStyle name="SAPLocked 2 14 2 6 2" xfId="61441"/>
    <cellStyle name="SAPLocked 2 14 2 7" xfId="7566"/>
    <cellStyle name="SAPLocked 2 14 2 7 2" xfId="61442"/>
    <cellStyle name="SAPLocked 2 14 2 8" xfId="7567"/>
    <cellStyle name="SAPLocked 2 14 2 8 2" xfId="61443"/>
    <cellStyle name="SAPLocked 2 14 2 9" xfId="7568"/>
    <cellStyle name="SAPLocked 2 14 2 9 2" xfId="61444"/>
    <cellStyle name="SAPLocked 2 14 3" xfId="7569"/>
    <cellStyle name="SAPLocked 2 14 3 2" xfId="61445"/>
    <cellStyle name="SAPLocked 2 14 4" xfId="7570"/>
    <cellStyle name="SAPLocked 2 14 4 2" xfId="61446"/>
    <cellStyle name="SAPLocked 2 14 5" xfId="7571"/>
    <cellStyle name="SAPLocked 2 14 5 2" xfId="61447"/>
    <cellStyle name="SAPLocked 2 14 6" xfId="7572"/>
    <cellStyle name="SAPLocked 2 14 6 2" xfId="61448"/>
    <cellStyle name="SAPLocked 2 14 7" xfId="7573"/>
    <cellStyle name="SAPLocked 2 14 7 2" xfId="61449"/>
    <cellStyle name="SAPLocked 2 14 8" xfId="7574"/>
    <cellStyle name="SAPLocked 2 14 8 2" xfId="61450"/>
    <cellStyle name="SAPLocked 2 14 9" xfId="7575"/>
    <cellStyle name="SAPLocked 2 14 9 2" xfId="61451"/>
    <cellStyle name="SAPLocked 2 15" xfId="7576"/>
    <cellStyle name="SAPLocked 2 15 10" xfId="7577"/>
    <cellStyle name="SAPLocked 2 15 10 2" xfId="61452"/>
    <cellStyle name="SAPLocked 2 15 11" xfId="7578"/>
    <cellStyle name="SAPLocked 2 15 11 2" xfId="61453"/>
    <cellStyle name="SAPLocked 2 15 12" xfId="7579"/>
    <cellStyle name="SAPLocked 2 15 12 2" xfId="61454"/>
    <cellStyle name="SAPLocked 2 15 13" xfId="7580"/>
    <cellStyle name="SAPLocked 2 15 2" xfId="7581"/>
    <cellStyle name="SAPLocked 2 15 2 10" xfId="7582"/>
    <cellStyle name="SAPLocked 2 15 2 10 2" xfId="61455"/>
    <cellStyle name="SAPLocked 2 15 2 11" xfId="7583"/>
    <cellStyle name="SAPLocked 2 15 2 11 2" xfId="61456"/>
    <cellStyle name="SAPLocked 2 15 2 12" xfId="7584"/>
    <cellStyle name="SAPLocked 2 15 2 2" xfId="7585"/>
    <cellStyle name="SAPLocked 2 15 2 2 2" xfId="61457"/>
    <cellStyle name="SAPLocked 2 15 2 3" xfId="7586"/>
    <cellStyle name="SAPLocked 2 15 2 3 2" xfId="61458"/>
    <cellStyle name="SAPLocked 2 15 2 4" xfId="7587"/>
    <cellStyle name="SAPLocked 2 15 2 4 2" xfId="61459"/>
    <cellStyle name="SAPLocked 2 15 2 5" xfId="7588"/>
    <cellStyle name="SAPLocked 2 15 2 5 2" xfId="61460"/>
    <cellStyle name="SAPLocked 2 15 2 6" xfId="7589"/>
    <cellStyle name="SAPLocked 2 15 2 6 2" xfId="61461"/>
    <cellStyle name="SAPLocked 2 15 2 7" xfId="7590"/>
    <cellStyle name="SAPLocked 2 15 2 7 2" xfId="61462"/>
    <cellStyle name="SAPLocked 2 15 2 8" xfId="7591"/>
    <cellStyle name="SAPLocked 2 15 2 8 2" xfId="61463"/>
    <cellStyle name="SAPLocked 2 15 2 9" xfId="7592"/>
    <cellStyle name="SAPLocked 2 15 2 9 2" xfId="61464"/>
    <cellStyle name="SAPLocked 2 15 3" xfId="7593"/>
    <cellStyle name="SAPLocked 2 15 3 2" xfId="61465"/>
    <cellStyle name="SAPLocked 2 15 4" xfId="7594"/>
    <cellStyle name="SAPLocked 2 15 4 2" xfId="61466"/>
    <cellStyle name="SAPLocked 2 15 5" xfId="7595"/>
    <cellStyle name="SAPLocked 2 15 5 2" xfId="61467"/>
    <cellStyle name="SAPLocked 2 15 6" xfId="7596"/>
    <cellStyle name="SAPLocked 2 15 6 2" xfId="61468"/>
    <cellStyle name="SAPLocked 2 15 7" xfId="7597"/>
    <cellStyle name="SAPLocked 2 15 7 2" xfId="61469"/>
    <cellStyle name="SAPLocked 2 15 8" xfId="7598"/>
    <cellStyle name="SAPLocked 2 15 8 2" xfId="61470"/>
    <cellStyle name="SAPLocked 2 15 9" xfId="7599"/>
    <cellStyle name="SAPLocked 2 15 9 2" xfId="61471"/>
    <cellStyle name="SAPLocked 2 16" xfId="7600"/>
    <cellStyle name="SAPLocked 2 16 10" xfId="7601"/>
    <cellStyle name="SAPLocked 2 16 10 2" xfId="61472"/>
    <cellStyle name="SAPLocked 2 16 11" xfId="7602"/>
    <cellStyle name="SAPLocked 2 16 11 2" xfId="61473"/>
    <cellStyle name="SAPLocked 2 16 12" xfId="7603"/>
    <cellStyle name="SAPLocked 2 16 12 2" xfId="61474"/>
    <cellStyle name="SAPLocked 2 16 13" xfId="7604"/>
    <cellStyle name="SAPLocked 2 16 2" xfId="7605"/>
    <cellStyle name="SAPLocked 2 16 2 10" xfId="7606"/>
    <cellStyle name="SAPLocked 2 16 2 10 2" xfId="61475"/>
    <cellStyle name="SAPLocked 2 16 2 11" xfId="7607"/>
    <cellStyle name="SAPLocked 2 16 2 11 2" xfId="61476"/>
    <cellStyle name="SAPLocked 2 16 2 12" xfId="7608"/>
    <cellStyle name="SAPLocked 2 16 2 2" xfId="7609"/>
    <cellStyle name="SAPLocked 2 16 2 2 2" xfId="61477"/>
    <cellStyle name="SAPLocked 2 16 2 3" xfId="7610"/>
    <cellStyle name="SAPLocked 2 16 2 3 2" xfId="61478"/>
    <cellStyle name="SAPLocked 2 16 2 4" xfId="7611"/>
    <cellStyle name="SAPLocked 2 16 2 4 2" xfId="61479"/>
    <cellStyle name="SAPLocked 2 16 2 5" xfId="7612"/>
    <cellStyle name="SAPLocked 2 16 2 5 2" xfId="61480"/>
    <cellStyle name="SAPLocked 2 16 2 6" xfId="7613"/>
    <cellStyle name="SAPLocked 2 16 2 6 2" xfId="61481"/>
    <cellStyle name="SAPLocked 2 16 2 7" xfId="7614"/>
    <cellStyle name="SAPLocked 2 16 2 7 2" xfId="61482"/>
    <cellStyle name="SAPLocked 2 16 2 8" xfId="7615"/>
    <cellStyle name="SAPLocked 2 16 2 8 2" xfId="61483"/>
    <cellStyle name="SAPLocked 2 16 2 9" xfId="7616"/>
    <cellStyle name="SAPLocked 2 16 2 9 2" xfId="61484"/>
    <cellStyle name="SAPLocked 2 16 3" xfId="7617"/>
    <cellStyle name="SAPLocked 2 16 3 2" xfId="61485"/>
    <cellStyle name="SAPLocked 2 16 4" xfId="7618"/>
    <cellStyle name="SAPLocked 2 16 4 2" xfId="61486"/>
    <cellStyle name="SAPLocked 2 16 5" xfId="7619"/>
    <cellStyle name="SAPLocked 2 16 5 2" xfId="61487"/>
    <cellStyle name="SAPLocked 2 16 6" xfId="7620"/>
    <cellStyle name="SAPLocked 2 16 6 2" xfId="61488"/>
    <cellStyle name="SAPLocked 2 16 7" xfId="7621"/>
    <cellStyle name="SAPLocked 2 16 7 2" xfId="61489"/>
    <cellStyle name="SAPLocked 2 16 8" xfId="7622"/>
    <cellStyle name="SAPLocked 2 16 8 2" xfId="61490"/>
    <cellStyle name="SAPLocked 2 16 9" xfId="7623"/>
    <cellStyle name="SAPLocked 2 16 9 2" xfId="61491"/>
    <cellStyle name="SAPLocked 2 17" xfId="7624"/>
    <cellStyle name="SAPLocked 2 17 10" xfId="7625"/>
    <cellStyle name="SAPLocked 2 17 10 2" xfId="61492"/>
    <cellStyle name="SAPLocked 2 17 11" xfId="7626"/>
    <cellStyle name="SAPLocked 2 17 11 2" xfId="61493"/>
    <cellStyle name="SAPLocked 2 17 12" xfId="7627"/>
    <cellStyle name="SAPLocked 2 17 12 2" xfId="61494"/>
    <cellStyle name="SAPLocked 2 17 13" xfId="7628"/>
    <cellStyle name="SAPLocked 2 17 2" xfId="7629"/>
    <cellStyle name="SAPLocked 2 17 2 10" xfId="7630"/>
    <cellStyle name="SAPLocked 2 17 2 10 2" xfId="61495"/>
    <cellStyle name="SAPLocked 2 17 2 11" xfId="7631"/>
    <cellStyle name="SAPLocked 2 17 2 11 2" xfId="61496"/>
    <cellStyle name="SAPLocked 2 17 2 12" xfId="7632"/>
    <cellStyle name="SAPLocked 2 17 2 2" xfId="7633"/>
    <cellStyle name="SAPLocked 2 17 2 2 2" xfId="61497"/>
    <cellStyle name="SAPLocked 2 17 2 3" xfId="7634"/>
    <cellStyle name="SAPLocked 2 17 2 3 2" xfId="61498"/>
    <cellStyle name="SAPLocked 2 17 2 4" xfId="7635"/>
    <cellStyle name="SAPLocked 2 17 2 4 2" xfId="61499"/>
    <cellStyle name="SAPLocked 2 17 2 5" xfId="7636"/>
    <cellStyle name="SAPLocked 2 17 2 5 2" xfId="61500"/>
    <cellStyle name="SAPLocked 2 17 2 6" xfId="7637"/>
    <cellStyle name="SAPLocked 2 17 2 6 2" xfId="61501"/>
    <cellStyle name="SAPLocked 2 17 2 7" xfId="7638"/>
    <cellStyle name="SAPLocked 2 17 2 7 2" xfId="61502"/>
    <cellStyle name="SAPLocked 2 17 2 8" xfId="7639"/>
    <cellStyle name="SAPLocked 2 17 2 8 2" xfId="61503"/>
    <cellStyle name="SAPLocked 2 17 2 9" xfId="7640"/>
    <cellStyle name="SAPLocked 2 17 2 9 2" xfId="61504"/>
    <cellStyle name="SAPLocked 2 17 3" xfId="7641"/>
    <cellStyle name="SAPLocked 2 17 3 2" xfId="61505"/>
    <cellStyle name="SAPLocked 2 17 4" xfId="7642"/>
    <cellStyle name="SAPLocked 2 17 4 2" xfId="61506"/>
    <cellStyle name="SAPLocked 2 17 5" xfId="7643"/>
    <cellStyle name="SAPLocked 2 17 5 2" xfId="61507"/>
    <cellStyle name="SAPLocked 2 17 6" xfId="7644"/>
    <cellStyle name="SAPLocked 2 17 6 2" xfId="61508"/>
    <cellStyle name="SAPLocked 2 17 7" xfId="7645"/>
    <cellStyle name="SAPLocked 2 17 7 2" xfId="61509"/>
    <cellStyle name="SAPLocked 2 17 8" xfId="7646"/>
    <cellStyle name="SAPLocked 2 17 8 2" xfId="61510"/>
    <cellStyle name="SAPLocked 2 17 9" xfId="7647"/>
    <cellStyle name="SAPLocked 2 17 9 2" xfId="61511"/>
    <cellStyle name="SAPLocked 2 18" xfId="7648"/>
    <cellStyle name="SAPLocked 2 18 10" xfId="7649"/>
    <cellStyle name="SAPLocked 2 18 10 2" xfId="61512"/>
    <cellStyle name="SAPLocked 2 18 11" xfId="7650"/>
    <cellStyle name="SAPLocked 2 18 11 2" xfId="61513"/>
    <cellStyle name="SAPLocked 2 18 12" xfId="7651"/>
    <cellStyle name="SAPLocked 2 18 12 2" xfId="61514"/>
    <cellStyle name="SAPLocked 2 18 13" xfId="7652"/>
    <cellStyle name="SAPLocked 2 18 2" xfId="7653"/>
    <cellStyle name="SAPLocked 2 18 2 10" xfId="7654"/>
    <cellStyle name="SAPLocked 2 18 2 10 2" xfId="61515"/>
    <cellStyle name="SAPLocked 2 18 2 11" xfId="7655"/>
    <cellStyle name="SAPLocked 2 18 2 11 2" xfId="61516"/>
    <cellStyle name="SAPLocked 2 18 2 12" xfId="7656"/>
    <cellStyle name="SAPLocked 2 18 2 2" xfId="7657"/>
    <cellStyle name="SAPLocked 2 18 2 2 2" xfId="61517"/>
    <cellStyle name="SAPLocked 2 18 2 3" xfId="7658"/>
    <cellStyle name="SAPLocked 2 18 2 3 2" xfId="61518"/>
    <cellStyle name="SAPLocked 2 18 2 4" xfId="7659"/>
    <cellStyle name="SAPLocked 2 18 2 4 2" xfId="61519"/>
    <cellStyle name="SAPLocked 2 18 2 5" xfId="7660"/>
    <cellStyle name="SAPLocked 2 18 2 5 2" xfId="61520"/>
    <cellStyle name="SAPLocked 2 18 2 6" xfId="7661"/>
    <cellStyle name="SAPLocked 2 18 2 6 2" xfId="61521"/>
    <cellStyle name="SAPLocked 2 18 2 7" xfId="7662"/>
    <cellStyle name="SAPLocked 2 18 2 7 2" xfId="61522"/>
    <cellStyle name="SAPLocked 2 18 2 8" xfId="7663"/>
    <cellStyle name="SAPLocked 2 18 2 8 2" xfId="61523"/>
    <cellStyle name="SAPLocked 2 18 2 9" xfId="7664"/>
    <cellStyle name="SAPLocked 2 18 2 9 2" xfId="61524"/>
    <cellStyle name="SAPLocked 2 18 3" xfId="7665"/>
    <cellStyle name="SAPLocked 2 18 3 2" xfId="61525"/>
    <cellStyle name="SAPLocked 2 18 4" xfId="7666"/>
    <cellStyle name="SAPLocked 2 18 4 2" xfId="61526"/>
    <cellStyle name="SAPLocked 2 18 5" xfId="7667"/>
    <cellStyle name="SAPLocked 2 18 5 2" xfId="61527"/>
    <cellStyle name="SAPLocked 2 18 6" xfId="7668"/>
    <cellStyle name="SAPLocked 2 18 6 2" xfId="61528"/>
    <cellStyle name="SAPLocked 2 18 7" xfId="7669"/>
    <cellStyle name="SAPLocked 2 18 7 2" xfId="61529"/>
    <cellStyle name="SAPLocked 2 18 8" xfId="7670"/>
    <cellStyle name="SAPLocked 2 18 8 2" xfId="61530"/>
    <cellStyle name="SAPLocked 2 18 9" xfId="7671"/>
    <cellStyle name="SAPLocked 2 18 9 2" xfId="61531"/>
    <cellStyle name="SAPLocked 2 19" xfId="7672"/>
    <cellStyle name="SAPLocked 2 19 10" xfId="7673"/>
    <cellStyle name="SAPLocked 2 19 10 2" xfId="61532"/>
    <cellStyle name="SAPLocked 2 19 11" xfId="7674"/>
    <cellStyle name="SAPLocked 2 19 11 2" xfId="61533"/>
    <cellStyle name="SAPLocked 2 19 12" xfId="7675"/>
    <cellStyle name="SAPLocked 2 19 12 2" xfId="61534"/>
    <cellStyle name="SAPLocked 2 19 13" xfId="7676"/>
    <cellStyle name="SAPLocked 2 19 2" xfId="7677"/>
    <cellStyle name="SAPLocked 2 19 2 10" xfId="7678"/>
    <cellStyle name="SAPLocked 2 19 2 10 2" xfId="61535"/>
    <cellStyle name="SAPLocked 2 19 2 11" xfId="7679"/>
    <cellStyle name="SAPLocked 2 19 2 11 2" xfId="61536"/>
    <cellStyle name="SAPLocked 2 19 2 12" xfId="7680"/>
    <cellStyle name="SAPLocked 2 19 2 2" xfId="7681"/>
    <cellStyle name="SAPLocked 2 19 2 2 2" xfId="61537"/>
    <cellStyle name="SAPLocked 2 19 2 3" xfId="7682"/>
    <cellStyle name="SAPLocked 2 19 2 3 2" xfId="61538"/>
    <cellStyle name="SAPLocked 2 19 2 4" xfId="7683"/>
    <cellStyle name="SAPLocked 2 19 2 4 2" xfId="61539"/>
    <cellStyle name="SAPLocked 2 19 2 5" xfId="7684"/>
    <cellStyle name="SAPLocked 2 19 2 5 2" xfId="61540"/>
    <cellStyle name="SAPLocked 2 19 2 6" xfId="7685"/>
    <cellStyle name="SAPLocked 2 19 2 6 2" xfId="61541"/>
    <cellStyle name="SAPLocked 2 19 2 7" xfId="7686"/>
    <cellStyle name="SAPLocked 2 19 2 7 2" xfId="61542"/>
    <cellStyle name="SAPLocked 2 19 2 8" xfId="7687"/>
    <cellStyle name="SAPLocked 2 19 2 8 2" xfId="61543"/>
    <cellStyle name="SAPLocked 2 19 2 9" xfId="7688"/>
    <cellStyle name="SAPLocked 2 19 2 9 2" xfId="61544"/>
    <cellStyle name="SAPLocked 2 19 3" xfId="7689"/>
    <cellStyle name="SAPLocked 2 19 3 2" xfId="61545"/>
    <cellStyle name="SAPLocked 2 19 4" xfId="7690"/>
    <cellStyle name="SAPLocked 2 19 4 2" xfId="61546"/>
    <cellStyle name="SAPLocked 2 19 5" xfId="7691"/>
    <cellStyle name="SAPLocked 2 19 5 2" xfId="61547"/>
    <cellStyle name="SAPLocked 2 19 6" xfId="7692"/>
    <cellStyle name="SAPLocked 2 19 6 2" xfId="61548"/>
    <cellStyle name="SAPLocked 2 19 7" xfId="7693"/>
    <cellStyle name="SAPLocked 2 19 7 2" xfId="61549"/>
    <cellStyle name="SAPLocked 2 19 8" xfId="7694"/>
    <cellStyle name="SAPLocked 2 19 8 2" xfId="61550"/>
    <cellStyle name="SAPLocked 2 19 9" xfId="7695"/>
    <cellStyle name="SAPLocked 2 19 9 2" xfId="61551"/>
    <cellStyle name="SAPLocked 2 2" xfId="7696"/>
    <cellStyle name="SAPLocked 2 2 10" xfId="7697"/>
    <cellStyle name="SAPLocked 2 2 10 2" xfId="61552"/>
    <cellStyle name="SAPLocked 2 2 11" xfId="7698"/>
    <cellStyle name="SAPLocked 2 2 11 2" xfId="61553"/>
    <cellStyle name="SAPLocked 2 2 12" xfId="7699"/>
    <cellStyle name="SAPLocked 2 2 12 2" xfId="61554"/>
    <cellStyle name="SAPLocked 2 2 13" xfId="7700"/>
    <cellStyle name="SAPLocked 2 2 2" xfId="7701"/>
    <cellStyle name="SAPLocked 2 2 2 10" xfId="7702"/>
    <cellStyle name="SAPLocked 2 2 2 10 2" xfId="61555"/>
    <cellStyle name="SAPLocked 2 2 2 11" xfId="7703"/>
    <cellStyle name="SAPLocked 2 2 2 11 2" xfId="61556"/>
    <cellStyle name="SAPLocked 2 2 2 12" xfId="7704"/>
    <cellStyle name="SAPLocked 2 2 2 2" xfId="7705"/>
    <cellStyle name="SAPLocked 2 2 2 2 2" xfId="61557"/>
    <cellStyle name="SAPLocked 2 2 2 3" xfId="7706"/>
    <cellStyle name="SAPLocked 2 2 2 3 2" xfId="61558"/>
    <cellStyle name="SAPLocked 2 2 2 4" xfId="7707"/>
    <cellStyle name="SAPLocked 2 2 2 4 2" xfId="61559"/>
    <cellStyle name="SAPLocked 2 2 2 5" xfId="7708"/>
    <cellStyle name="SAPLocked 2 2 2 5 2" xfId="61560"/>
    <cellStyle name="SAPLocked 2 2 2 6" xfId="7709"/>
    <cellStyle name="SAPLocked 2 2 2 6 2" xfId="61561"/>
    <cellStyle name="SAPLocked 2 2 2 7" xfId="7710"/>
    <cellStyle name="SAPLocked 2 2 2 7 2" xfId="61562"/>
    <cellStyle name="SAPLocked 2 2 2 8" xfId="7711"/>
    <cellStyle name="SAPLocked 2 2 2 8 2" xfId="61563"/>
    <cellStyle name="SAPLocked 2 2 2 9" xfId="7712"/>
    <cellStyle name="SAPLocked 2 2 2 9 2" xfId="61564"/>
    <cellStyle name="SAPLocked 2 2 3" xfId="7713"/>
    <cellStyle name="SAPLocked 2 2 3 2" xfId="61565"/>
    <cellStyle name="SAPLocked 2 2 4" xfId="7714"/>
    <cellStyle name="SAPLocked 2 2 4 2" xfId="61566"/>
    <cellStyle name="SAPLocked 2 2 5" xfId="7715"/>
    <cellStyle name="SAPLocked 2 2 5 2" xfId="61567"/>
    <cellStyle name="SAPLocked 2 2 6" xfId="7716"/>
    <cellStyle name="SAPLocked 2 2 6 2" xfId="61568"/>
    <cellStyle name="SAPLocked 2 2 7" xfId="7717"/>
    <cellStyle name="SAPLocked 2 2 7 2" xfId="61569"/>
    <cellStyle name="SAPLocked 2 2 8" xfId="7718"/>
    <cellStyle name="SAPLocked 2 2 8 2" xfId="61570"/>
    <cellStyle name="SAPLocked 2 2 9" xfId="7719"/>
    <cellStyle name="SAPLocked 2 2 9 2" xfId="61571"/>
    <cellStyle name="SAPLocked 2 20" xfId="7720"/>
    <cellStyle name="SAPLocked 2 20 10" xfId="7721"/>
    <cellStyle name="SAPLocked 2 20 10 2" xfId="61572"/>
    <cellStyle name="SAPLocked 2 20 11" xfId="7722"/>
    <cellStyle name="SAPLocked 2 20 11 2" xfId="61573"/>
    <cellStyle name="SAPLocked 2 20 12" xfId="7723"/>
    <cellStyle name="SAPLocked 2 20 12 2" xfId="61574"/>
    <cellStyle name="SAPLocked 2 20 13" xfId="7724"/>
    <cellStyle name="SAPLocked 2 20 2" xfId="7725"/>
    <cellStyle name="SAPLocked 2 20 2 10" xfId="7726"/>
    <cellStyle name="SAPLocked 2 20 2 10 2" xfId="61575"/>
    <cellStyle name="SAPLocked 2 20 2 11" xfId="7727"/>
    <cellStyle name="SAPLocked 2 20 2 11 2" xfId="61576"/>
    <cellStyle name="SAPLocked 2 20 2 12" xfId="7728"/>
    <cellStyle name="SAPLocked 2 20 2 2" xfId="7729"/>
    <cellStyle name="SAPLocked 2 20 2 2 2" xfId="61577"/>
    <cellStyle name="SAPLocked 2 20 2 3" xfId="7730"/>
    <cellStyle name="SAPLocked 2 20 2 3 2" xfId="61578"/>
    <cellStyle name="SAPLocked 2 20 2 4" xfId="7731"/>
    <cellStyle name="SAPLocked 2 20 2 4 2" xfId="61579"/>
    <cellStyle name="SAPLocked 2 20 2 5" xfId="7732"/>
    <cellStyle name="SAPLocked 2 20 2 5 2" xfId="61580"/>
    <cellStyle name="SAPLocked 2 20 2 6" xfId="7733"/>
    <cellStyle name="SAPLocked 2 20 2 6 2" xfId="61581"/>
    <cellStyle name="SAPLocked 2 20 2 7" xfId="7734"/>
    <cellStyle name="SAPLocked 2 20 2 7 2" xfId="61582"/>
    <cellStyle name="SAPLocked 2 20 2 8" xfId="7735"/>
    <cellStyle name="SAPLocked 2 20 2 8 2" xfId="61583"/>
    <cellStyle name="SAPLocked 2 20 2 9" xfId="7736"/>
    <cellStyle name="SAPLocked 2 20 2 9 2" xfId="61584"/>
    <cellStyle name="SAPLocked 2 20 3" xfId="7737"/>
    <cellStyle name="SAPLocked 2 20 3 2" xfId="61585"/>
    <cellStyle name="SAPLocked 2 20 4" xfId="7738"/>
    <cellStyle name="SAPLocked 2 20 4 2" xfId="61586"/>
    <cellStyle name="SAPLocked 2 20 5" xfId="7739"/>
    <cellStyle name="SAPLocked 2 20 5 2" xfId="61587"/>
    <cellStyle name="SAPLocked 2 20 6" xfId="7740"/>
    <cellStyle name="SAPLocked 2 20 6 2" xfId="61588"/>
    <cellStyle name="SAPLocked 2 20 7" xfId="7741"/>
    <cellStyle name="SAPLocked 2 20 7 2" xfId="61589"/>
    <cellStyle name="SAPLocked 2 20 8" xfId="7742"/>
    <cellStyle name="SAPLocked 2 20 8 2" xfId="61590"/>
    <cellStyle name="SAPLocked 2 20 9" xfId="7743"/>
    <cellStyle name="SAPLocked 2 20 9 2" xfId="61591"/>
    <cellStyle name="SAPLocked 2 21" xfId="7744"/>
    <cellStyle name="SAPLocked 2 21 10" xfId="7745"/>
    <cellStyle name="SAPLocked 2 21 10 2" xfId="61592"/>
    <cellStyle name="SAPLocked 2 21 11" xfId="7746"/>
    <cellStyle name="SAPLocked 2 21 11 2" xfId="61593"/>
    <cellStyle name="SAPLocked 2 21 12" xfId="7747"/>
    <cellStyle name="SAPLocked 2 21 2" xfId="7748"/>
    <cellStyle name="SAPLocked 2 21 2 2" xfId="61594"/>
    <cellStyle name="SAPLocked 2 21 3" xfId="7749"/>
    <cellStyle name="SAPLocked 2 21 3 2" xfId="61595"/>
    <cellStyle name="SAPLocked 2 21 4" xfId="7750"/>
    <cellStyle name="SAPLocked 2 21 4 2" xfId="61596"/>
    <cellStyle name="SAPLocked 2 21 5" xfId="7751"/>
    <cellStyle name="SAPLocked 2 21 5 2" xfId="61597"/>
    <cellStyle name="SAPLocked 2 21 6" xfId="7752"/>
    <cellStyle name="SAPLocked 2 21 6 2" xfId="61598"/>
    <cellStyle name="SAPLocked 2 21 7" xfId="7753"/>
    <cellStyle name="SAPLocked 2 21 7 2" xfId="61599"/>
    <cellStyle name="SAPLocked 2 21 8" xfId="7754"/>
    <cellStyle name="SAPLocked 2 21 8 2" xfId="61600"/>
    <cellStyle name="SAPLocked 2 21 9" xfId="7755"/>
    <cellStyle name="SAPLocked 2 21 9 2" xfId="61601"/>
    <cellStyle name="SAPLocked 2 22" xfId="7756"/>
    <cellStyle name="SAPLocked 2 22 2" xfId="61602"/>
    <cellStyle name="SAPLocked 2 23" xfId="7757"/>
    <cellStyle name="SAPLocked 2 23 2" xfId="61603"/>
    <cellStyle name="SAPLocked 2 24" xfId="7758"/>
    <cellStyle name="SAPLocked 2 24 2" xfId="61604"/>
    <cellStyle name="SAPLocked 2 25" xfId="7759"/>
    <cellStyle name="SAPLocked 2 25 2" xfId="61605"/>
    <cellStyle name="SAPLocked 2 26" xfId="7760"/>
    <cellStyle name="SAPLocked 2 26 2" xfId="61606"/>
    <cellStyle name="SAPLocked 2 27" xfId="7761"/>
    <cellStyle name="SAPLocked 2 27 2" xfId="61607"/>
    <cellStyle name="SAPLocked 2 28" xfId="7762"/>
    <cellStyle name="SAPLocked 2 28 2" xfId="61608"/>
    <cellStyle name="SAPLocked 2 29" xfId="7763"/>
    <cellStyle name="SAPLocked 2 29 2" xfId="61609"/>
    <cellStyle name="SAPLocked 2 3" xfId="7764"/>
    <cellStyle name="SAPLocked 2 3 10" xfId="7765"/>
    <cellStyle name="SAPLocked 2 3 10 2" xfId="61610"/>
    <cellStyle name="SAPLocked 2 3 11" xfId="7766"/>
    <cellStyle name="SAPLocked 2 3 11 2" xfId="61611"/>
    <cellStyle name="SAPLocked 2 3 12" xfId="7767"/>
    <cellStyle name="SAPLocked 2 3 12 2" xfId="61612"/>
    <cellStyle name="SAPLocked 2 3 13" xfId="7768"/>
    <cellStyle name="SAPLocked 2 3 2" xfId="7769"/>
    <cellStyle name="SAPLocked 2 3 2 10" xfId="7770"/>
    <cellStyle name="SAPLocked 2 3 2 10 2" xfId="61613"/>
    <cellStyle name="SAPLocked 2 3 2 11" xfId="7771"/>
    <cellStyle name="SAPLocked 2 3 2 11 2" xfId="61614"/>
    <cellStyle name="SAPLocked 2 3 2 12" xfId="7772"/>
    <cellStyle name="SAPLocked 2 3 2 2" xfId="7773"/>
    <cellStyle name="SAPLocked 2 3 2 2 2" xfId="61615"/>
    <cellStyle name="SAPLocked 2 3 2 3" xfId="7774"/>
    <cellStyle name="SAPLocked 2 3 2 3 2" xfId="61616"/>
    <cellStyle name="SAPLocked 2 3 2 4" xfId="7775"/>
    <cellStyle name="SAPLocked 2 3 2 4 2" xfId="61617"/>
    <cellStyle name="SAPLocked 2 3 2 5" xfId="7776"/>
    <cellStyle name="SAPLocked 2 3 2 5 2" xfId="61618"/>
    <cellStyle name="SAPLocked 2 3 2 6" xfId="7777"/>
    <cellStyle name="SAPLocked 2 3 2 6 2" xfId="61619"/>
    <cellStyle name="SAPLocked 2 3 2 7" xfId="7778"/>
    <cellStyle name="SAPLocked 2 3 2 7 2" xfId="61620"/>
    <cellStyle name="SAPLocked 2 3 2 8" xfId="7779"/>
    <cellStyle name="SAPLocked 2 3 2 8 2" xfId="61621"/>
    <cellStyle name="SAPLocked 2 3 2 9" xfId="7780"/>
    <cellStyle name="SAPLocked 2 3 2 9 2" xfId="61622"/>
    <cellStyle name="SAPLocked 2 3 3" xfId="7781"/>
    <cellStyle name="SAPLocked 2 3 3 2" xfId="61623"/>
    <cellStyle name="SAPLocked 2 3 4" xfId="7782"/>
    <cellStyle name="SAPLocked 2 3 4 2" xfId="61624"/>
    <cellStyle name="SAPLocked 2 3 5" xfId="7783"/>
    <cellStyle name="SAPLocked 2 3 5 2" xfId="61625"/>
    <cellStyle name="SAPLocked 2 3 6" xfId="7784"/>
    <cellStyle name="SAPLocked 2 3 6 2" xfId="61626"/>
    <cellStyle name="SAPLocked 2 3 7" xfId="7785"/>
    <cellStyle name="SAPLocked 2 3 7 2" xfId="61627"/>
    <cellStyle name="SAPLocked 2 3 8" xfId="7786"/>
    <cellStyle name="SAPLocked 2 3 8 2" xfId="61628"/>
    <cellStyle name="SAPLocked 2 3 9" xfId="7787"/>
    <cellStyle name="SAPLocked 2 3 9 2" xfId="61629"/>
    <cellStyle name="SAPLocked 2 30" xfId="7788"/>
    <cellStyle name="SAPLocked 2 4" xfId="7789"/>
    <cellStyle name="SAPLocked 2 4 10" xfId="7790"/>
    <cellStyle name="SAPLocked 2 4 10 2" xfId="61630"/>
    <cellStyle name="SAPLocked 2 4 11" xfId="7791"/>
    <cellStyle name="SAPLocked 2 4 11 2" xfId="61631"/>
    <cellStyle name="SAPLocked 2 4 12" xfId="7792"/>
    <cellStyle name="SAPLocked 2 4 12 2" xfId="61632"/>
    <cellStyle name="SAPLocked 2 4 13" xfId="7793"/>
    <cellStyle name="SAPLocked 2 4 2" xfId="7794"/>
    <cellStyle name="SAPLocked 2 4 2 10" xfId="7795"/>
    <cellStyle name="SAPLocked 2 4 2 10 2" xfId="61633"/>
    <cellStyle name="SAPLocked 2 4 2 11" xfId="7796"/>
    <cellStyle name="SAPLocked 2 4 2 11 2" xfId="61634"/>
    <cellStyle name="SAPLocked 2 4 2 12" xfId="7797"/>
    <cellStyle name="SAPLocked 2 4 2 2" xfId="7798"/>
    <cellStyle name="SAPLocked 2 4 2 2 2" xfId="61635"/>
    <cellStyle name="SAPLocked 2 4 2 3" xfId="7799"/>
    <cellStyle name="SAPLocked 2 4 2 3 2" xfId="61636"/>
    <cellStyle name="SAPLocked 2 4 2 4" xfId="7800"/>
    <cellStyle name="SAPLocked 2 4 2 4 2" xfId="61637"/>
    <cellStyle name="SAPLocked 2 4 2 5" xfId="7801"/>
    <cellStyle name="SAPLocked 2 4 2 5 2" xfId="61638"/>
    <cellStyle name="SAPLocked 2 4 2 6" xfId="7802"/>
    <cellStyle name="SAPLocked 2 4 2 6 2" xfId="61639"/>
    <cellStyle name="SAPLocked 2 4 2 7" xfId="7803"/>
    <cellStyle name="SAPLocked 2 4 2 7 2" xfId="61640"/>
    <cellStyle name="SAPLocked 2 4 2 8" xfId="7804"/>
    <cellStyle name="SAPLocked 2 4 2 8 2" xfId="61641"/>
    <cellStyle name="SAPLocked 2 4 2 9" xfId="7805"/>
    <cellStyle name="SAPLocked 2 4 2 9 2" xfId="61642"/>
    <cellStyle name="SAPLocked 2 4 3" xfId="7806"/>
    <cellStyle name="SAPLocked 2 4 3 2" xfId="61643"/>
    <cellStyle name="SAPLocked 2 4 4" xfId="7807"/>
    <cellStyle name="SAPLocked 2 4 4 2" xfId="61644"/>
    <cellStyle name="SAPLocked 2 4 5" xfId="7808"/>
    <cellStyle name="SAPLocked 2 4 5 2" xfId="61645"/>
    <cellStyle name="SAPLocked 2 4 6" xfId="7809"/>
    <cellStyle name="SAPLocked 2 4 6 2" xfId="61646"/>
    <cellStyle name="SAPLocked 2 4 7" xfId="7810"/>
    <cellStyle name="SAPLocked 2 4 7 2" xfId="61647"/>
    <cellStyle name="SAPLocked 2 4 8" xfId="7811"/>
    <cellStyle name="SAPLocked 2 4 8 2" xfId="61648"/>
    <cellStyle name="SAPLocked 2 4 9" xfId="7812"/>
    <cellStyle name="SAPLocked 2 4 9 2" xfId="61649"/>
    <cellStyle name="SAPLocked 2 5" xfId="7813"/>
    <cellStyle name="SAPLocked 2 5 10" xfId="7814"/>
    <cellStyle name="SAPLocked 2 5 10 2" xfId="61650"/>
    <cellStyle name="SAPLocked 2 5 11" xfId="7815"/>
    <cellStyle name="SAPLocked 2 5 11 2" xfId="61651"/>
    <cellStyle name="SAPLocked 2 5 12" xfId="7816"/>
    <cellStyle name="SAPLocked 2 5 12 2" xfId="61652"/>
    <cellStyle name="SAPLocked 2 5 13" xfId="7817"/>
    <cellStyle name="SAPLocked 2 5 2" xfId="7818"/>
    <cellStyle name="SAPLocked 2 5 2 10" xfId="7819"/>
    <cellStyle name="SAPLocked 2 5 2 10 2" xfId="61653"/>
    <cellStyle name="SAPLocked 2 5 2 11" xfId="7820"/>
    <cellStyle name="SAPLocked 2 5 2 11 2" xfId="61654"/>
    <cellStyle name="SAPLocked 2 5 2 12" xfId="7821"/>
    <cellStyle name="SAPLocked 2 5 2 2" xfId="7822"/>
    <cellStyle name="SAPLocked 2 5 2 2 2" xfId="61655"/>
    <cellStyle name="SAPLocked 2 5 2 3" xfId="7823"/>
    <cellStyle name="SAPLocked 2 5 2 3 2" xfId="61656"/>
    <cellStyle name="SAPLocked 2 5 2 4" xfId="7824"/>
    <cellStyle name="SAPLocked 2 5 2 4 2" xfId="61657"/>
    <cellStyle name="SAPLocked 2 5 2 5" xfId="7825"/>
    <cellStyle name="SAPLocked 2 5 2 5 2" xfId="61658"/>
    <cellStyle name="SAPLocked 2 5 2 6" xfId="7826"/>
    <cellStyle name="SAPLocked 2 5 2 6 2" xfId="61659"/>
    <cellStyle name="SAPLocked 2 5 2 7" xfId="7827"/>
    <cellStyle name="SAPLocked 2 5 2 7 2" xfId="61660"/>
    <cellStyle name="SAPLocked 2 5 2 8" xfId="7828"/>
    <cellStyle name="SAPLocked 2 5 2 8 2" xfId="61661"/>
    <cellStyle name="SAPLocked 2 5 2 9" xfId="7829"/>
    <cellStyle name="SAPLocked 2 5 2 9 2" xfId="61662"/>
    <cellStyle name="SAPLocked 2 5 3" xfId="7830"/>
    <cellStyle name="SAPLocked 2 5 3 2" xfId="61663"/>
    <cellStyle name="SAPLocked 2 5 4" xfId="7831"/>
    <cellStyle name="SAPLocked 2 5 4 2" xfId="61664"/>
    <cellStyle name="SAPLocked 2 5 5" xfId="7832"/>
    <cellStyle name="SAPLocked 2 5 5 2" xfId="61665"/>
    <cellStyle name="SAPLocked 2 5 6" xfId="7833"/>
    <cellStyle name="SAPLocked 2 5 6 2" xfId="61666"/>
    <cellStyle name="SAPLocked 2 5 7" xfId="7834"/>
    <cellStyle name="SAPLocked 2 5 7 2" xfId="61667"/>
    <cellStyle name="SAPLocked 2 5 8" xfId="7835"/>
    <cellStyle name="SAPLocked 2 5 8 2" xfId="61668"/>
    <cellStyle name="SAPLocked 2 5 9" xfId="7836"/>
    <cellStyle name="SAPLocked 2 5 9 2" xfId="61669"/>
    <cellStyle name="SAPLocked 2 6" xfId="7837"/>
    <cellStyle name="SAPLocked 2 6 10" xfId="7838"/>
    <cellStyle name="SAPLocked 2 6 10 2" xfId="61670"/>
    <cellStyle name="SAPLocked 2 6 11" xfId="7839"/>
    <cellStyle name="SAPLocked 2 6 11 2" xfId="61671"/>
    <cellStyle name="SAPLocked 2 6 12" xfId="7840"/>
    <cellStyle name="SAPLocked 2 6 12 2" xfId="61672"/>
    <cellStyle name="SAPLocked 2 6 13" xfId="7841"/>
    <cellStyle name="SAPLocked 2 6 2" xfId="7842"/>
    <cellStyle name="SAPLocked 2 6 2 10" xfId="7843"/>
    <cellStyle name="SAPLocked 2 6 2 10 2" xfId="61673"/>
    <cellStyle name="SAPLocked 2 6 2 11" xfId="7844"/>
    <cellStyle name="SAPLocked 2 6 2 11 2" xfId="61674"/>
    <cellStyle name="SAPLocked 2 6 2 12" xfId="7845"/>
    <cellStyle name="SAPLocked 2 6 2 2" xfId="7846"/>
    <cellStyle name="SAPLocked 2 6 2 2 2" xfId="61675"/>
    <cellStyle name="SAPLocked 2 6 2 3" xfId="7847"/>
    <cellStyle name="SAPLocked 2 6 2 3 2" xfId="61676"/>
    <cellStyle name="SAPLocked 2 6 2 4" xfId="7848"/>
    <cellStyle name="SAPLocked 2 6 2 4 2" xfId="61677"/>
    <cellStyle name="SAPLocked 2 6 2 5" xfId="7849"/>
    <cellStyle name="SAPLocked 2 6 2 5 2" xfId="61678"/>
    <cellStyle name="SAPLocked 2 6 2 6" xfId="7850"/>
    <cellStyle name="SAPLocked 2 6 2 6 2" xfId="61679"/>
    <cellStyle name="SAPLocked 2 6 2 7" xfId="7851"/>
    <cellStyle name="SAPLocked 2 6 2 7 2" xfId="61680"/>
    <cellStyle name="SAPLocked 2 6 2 8" xfId="7852"/>
    <cellStyle name="SAPLocked 2 6 2 8 2" xfId="61681"/>
    <cellStyle name="SAPLocked 2 6 2 9" xfId="7853"/>
    <cellStyle name="SAPLocked 2 6 2 9 2" xfId="61682"/>
    <cellStyle name="SAPLocked 2 6 3" xfId="7854"/>
    <cellStyle name="SAPLocked 2 6 3 2" xfId="61683"/>
    <cellStyle name="SAPLocked 2 6 4" xfId="7855"/>
    <cellStyle name="SAPLocked 2 6 4 2" xfId="61684"/>
    <cellStyle name="SAPLocked 2 6 5" xfId="7856"/>
    <cellStyle name="SAPLocked 2 6 5 2" xfId="61685"/>
    <cellStyle name="SAPLocked 2 6 6" xfId="7857"/>
    <cellStyle name="SAPLocked 2 6 6 2" xfId="61686"/>
    <cellStyle name="SAPLocked 2 6 7" xfId="7858"/>
    <cellStyle name="SAPLocked 2 6 7 2" xfId="61687"/>
    <cellStyle name="SAPLocked 2 6 8" xfId="7859"/>
    <cellStyle name="SAPLocked 2 6 8 2" xfId="61688"/>
    <cellStyle name="SAPLocked 2 6 9" xfId="7860"/>
    <cellStyle name="SAPLocked 2 6 9 2" xfId="61689"/>
    <cellStyle name="SAPLocked 2 7" xfId="7861"/>
    <cellStyle name="SAPLocked 2 7 10" xfId="7862"/>
    <cellStyle name="SAPLocked 2 7 10 2" xfId="61690"/>
    <cellStyle name="SAPLocked 2 7 11" xfId="7863"/>
    <cellStyle name="SAPLocked 2 7 11 2" xfId="61691"/>
    <cellStyle name="SAPLocked 2 7 12" xfId="7864"/>
    <cellStyle name="SAPLocked 2 7 12 2" xfId="61692"/>
    <cellStyle name="SAPLocked 2 7 13" xfId="7865"/>
    <cellStyle name="SAPLocked 2 7 2" xfId="7866"/>
    <cellStyle name="SAPLocked 2 7 2 10" xfId="7867"/>
    <cellStyle name="SAPLocked 2 7 2 10 2" xfId="61693"/>
    <cellStyle name="SAPLocked 2 7 2 11" xfId="7868"/>
    <cellStyle name="SAPLocked 2 7 2 11 2" xfId="61694"/>
    <cellStyle name="SAPLocked 2 7 2 12" xfId="7869"/>
    <cellStyle name="SAPLocked 2 7 2 2" xfId="7870"/>
    <cellStyle name="SAPLocked 2 7 2 2 2" xfId="61695"/>
    <cellStyle name="SAPLocked 2 7 2 3" xfId="7871"/>
    <cellStyle name="SAPLocked 2 7 2 3 2" xfId="61696"/>
    <cellStyle name="SAPLocked 2 7 2 4" xfId="7872"/>
    <cellStyle name="SAPLocked 2 7 2 4 2" xfId="61697"/>
    <cellStyle name="SAPLocked 2 7 2 5" xfId="7873"/>
    <cellStyle name="SAPLocked 2 7 2 5 2" xfId="61698"/>
    <cellStyle name="SAPLocked 2 7 2 6" xfId="7874"/>
    <cellStyle name="SAPLocked 2 7 2 6 2" xfId="61699"/>
    <cellStyle name="SAPLocked 2 7 2 7" xfId="7875"/>
    <cellStyle name="SAPLocked 2 7 2 7 2" xfId="61700"/>
    <cellStyle name="SAPLocked 2 7 2 8" xfId="7876"/>
    <cellStyle name="SAPLocked 2 7 2 8 2" xfId="61701"/>
    <cellStyle name="SAPLocked 2 7 2 9" xfId="7877"/>
    <cellStyle name="SAPLocked 2 7 2 9 2" xfId="61702"/>
    <cellStyle name="SAPLocked 2 7 3" xfId="7878"/>
    <cellStyle name="SAPLocked 2 7 3 2" xfId="61703"/>
    <cellStyle name="SAPLocked 2 7 4" xfId="7879"/>
    <cellStyle name="SAPLocked 2 7 4 2" xfId="61704"/>
    <cellStyle name="SAPLocked 2 7 5" xfId="7880"/>
    <cellStyle name="SAPLocked 2 7 5 2" xfId="61705"/>
    <cellStyle name="SAPLocked 2 7 6" xfId="7881"/>
    <cellStyle name="SAPLocked 2 7 6 2" xfId="61706"/>
    <cellStyle name="SAPLocked 2 7 7" xfId="7882"/>
    <cellStyle name="SAPLocked 2 7 7 2" xfId="61707"/>
    <cellStyle name="SAPLocked 2 7 8" xfId="7883"/>
    <cellStyle name="SAPLocked 2 7 8 2" xfId="61708"/>
    <cellStyle name="SAPLocked 2 7 9" xfId="7884"/>
    <cellStyle name="SAPLocked 2 7 9 2" xfId="61709"/>
    <cellStyle name="SAPLocked 2 8" xfId="7885"/>
    <cellStyle name="SAPLocked 2 8 10" xfId="7886"/>
    <cellStyle name="SAPLocked 2 8 10 2" xfId="61710"/>
    <cellStyle name="SAPLocked 2 8 11" xfId="7887"/>
    <cellStyle name="SAPLocked 2 8 11 2" xfId="61711"/>
    <cellStyle name="SAPLocked 2 8 12" xfId="7888"/>
    <cellStyle name="SAPLocked 2 8 12 2" xfId="61712"/>
    <cellStyle name="SAPLocked 2 8 13" xfId="7889"/>
    <cellStyle name="SAPLocked 2 8 2" xfId="7890"/>
    <cellStyle name="SAPLocked 2 8 2 10" xfId="7891"/>
    <cellStyle name="SAPLocked 2 8 2 10 2" xfId="61713"/>
    <cellStyle name="SAPLocked 2 8 2 11" xfId="7892"/>
    <cellStyle name="SAPLocked 2 8 2 11 2" xfId="61714"/>
    <cellStyle name="SAPLocked 2 8 2 12" xfId="7893"/>
    <cellStyle name="SAPLocked 2 8 2 2" xfId="7894"/>
    <cellStyle name="SAPLocked 2 8 2 2 2" xfId="61715"/>
    <cellStyle name="SAPLocked 2 8 2 3" xfId="7895"/>
    <cellStyle name="SAPLocked 2 8 2 3 2" xfId="61716"/>
    <cellStyle name="SAPLocked 2 8 2 4" xfId="7896"/>
    <cellStyle name="SAPLocked 2 8 2 4 2" xfId="61717"/>
    <cellStyle name="SAPLocked 2 8 2 5" xfId="7897"/>
    <cellStyle name="SAPLocked 2 8 2 5 2" xfId="61718"/>
    <cellStyle name="SAPLocked 2 8 2 6" xfId="7898"/>
    <cellStyle name="SAPLocked 2 8 2 6 2" xfId="61719"/>
    <cellStyle name="SAPLocked 2 8 2 7" xfId="7899"/>
    <cellStyle name="SAPLocked 2 8 2 7 2" xfId="61720"/>
    <cellStyle name="SAPLocked 2 8 2 8" xfId="7900"/>
    <cellStyle name="SAPLocked 2 8 2 8 2" xfId="61721"/>
    <cellStyle name="SAPLocked 2 8 2 9" xfId="7901"/>
    <cellStyle name="SAPLocked 2 8 2 9 2" xfId="61722"/>
    <cellStyle name="SAPLocked 2 8 3" xfId="7902"/>
    <cellStyle name="SAPLocked 2 8 3 2" xfId="61723"/>
    <cellStyle name="SAPLocked 2 8 4" xfId="7903"/>
    <cellStyle name="SAPLocked 2 8 4 2" xfId="61724"/>
    <cellStyle name="SAPLocked 2 8 5" xfId="7904"/>
    <cellStyle name="SAPLocked 2 8 5 2" xfId="61725"/>
    <cellStyle name="SAPLocked 2 8 6" xfId="7905"/>
    <cellStyle name="SAPLocked 2 8 6 2" xfId="61726"/>
    <cellStyle name="SAPLocked 2 8 7" xfId="7906"/>
    <cellStyle name="SAPLocked 2 8 7 2" xfId="61727"/>
    <cellStyle name="SAPLocked 2 8 8" xfId="7907"/>
    <cellStyle name="SAPLocked 2 8 8 2" xfId="61728"/>
    <cellStyle name="SAPLocked 2 8 9" xfId="7908"/>
    <cellStyle name="SAPLocked 2 8 9 2" xfId="61729"/>
    <cellStyle name="SAPLocked 2 9" xfId="7909"/>
    <cellStyle name="SAPLocked 2 9 10" xfId="7910"/>
    <cellStyle name="SAPLocked 2 9 10 2" xfId="61730"/>
    <cellStyle name="SAPLocked 2 9 11" xfId="7911"/>
    <cellStyle name="SAPLocked 2 9 11 2" xfId="61731"/>
    <cellStyle name="SAPLocked 2 9 12" xfId="7912"/>
    <cellStyle name="SAPLocked 2 9 12 2" xfId="61732"/>
    <cellStyle name="SAPLocked 2 9 13" xfId="7913"/>
    <cellStyle name="SAPLocked 2 9 2" xfId="7914"/>
    <cellStyle name="SAPLocked 2 9 2 10" xfId="7915"/>
    <cellStyle name="SAPLocked 2 9 2 10 2" xfId="61733"/>
    <cellStyle name="SAPLocked 2 9 2 11" xfId="7916"/>
    <cellStyle name="SAPLocked 2 9 2 11 2" xfId="61734"/>
    <cellStyle name="SAPLocked 2 9 2 12" xfId="7917"/>
    <cellStyle name="SAPLocked 2 9 2 2" xfId="7918"/>
    <cellStyle name="SAPLocked 2 9 2 2 2" xfId="61735"/>
    <cellStyle name="SAPLocked 2 9 2 3" xfId="7919"/>
    <cellStyle name="SAPLocked 2 9 2 3 2" xfId="61736"/>
    <cellStyle name="SAPLocked 2 9 2 4" xfId="7920"/>
    <cellStyle name="SAPLocked 2 9 2 4 2" xfId="61737"/>
    <cellStyle name="SAPLocked 2 9 2 5" xfId="7921"/>
    <cellStyle name="SAPLocked 2 9 2 5 2" xfId="61738"/>
    <cellStyle name="SAPLocked 2 9 2 6" xfId="7922"/>
    <cellStyle name="SAPLocked 2 9 2 6 2" xfId="61739"/>
    <cellStyle name="SAPLocked 2 9 2 7" xfId="7923"/>
    <cellStyle name="SAPLocked 2 9 2 7 2" xfId="61740"/>
    <cellStyle name="SAPLocked 2 9 2 8" xfId="7924"/>
    <cellStyle name="SAPLocked 2 9 2 8 2" xfId="61741"/>
    <cellStyle name="SAPLocked 2 9 2 9" xfId="7925"/>
    <cellStyle name="SAPLocked 2 9 2 9 2" xfId="61742"/>
    <cellStyle name="SAPLocked 2 9 3" xfId="7926"/>
    <cellStyle name="SAPLocked 2 9 3 2" xfId="61743"/>
    <cellStyle name="SAPLocked 2 9 4" xfId="7927"/>
    <cellStyle name="SAPLocked 2 9 4 2" xfId="61744"/>
    <cellStyle name="SAPLocked 2 9 5" xfId="7928"/>
    <cellStyle name="SAPLocked 2 9 5 2" xfId="61745"/>
    <cellStyle name="SAPLocked 2 9 6" xfId="7929"/>
    <cellStyle name="SAPLocked 2 9 6 2" xfId="61746"/>
    <cellStyle name="SAPLocked 2 9 7" xfId="7930"/>
    <cellStyle name="SAPLocked 2 9 7 2" xfId="61747"/>
    <cellStyle name="SAPLocked 2 9 8" xfId="7931"/>
    <cellStyle name="SAPLocked 2 9 8 2" xfId="61748"/>
    <cellStyle name="SAPLocked 2 9 9" xfId="7932"/>
    <cellStyle name="SAPLocked 2 9 9 2" xfId="61749"/>
    <cellStyle name="SAPLocked 20" xfId="7933"/>
    <cellStyle name="SAPLocked 20 10" xfId="7934"/>
    <cellStyle name="SAPLocked 20 10 2" xfId="61750"/>
    <cellStyle name="SAPLocked 20 11" xfId="7935"/>
    <cellStyle name="SAPLocked 20 11 2" xfId="61751"/>
    <cellStyle name="SAPLocked 20 12" xfId="7936"/>
    <cellStyle name="SAPLocked 20 12 2" xfId="61752"/>
    <cellStyle name="SAPLocked 20 13" xfId="7937"/>
    <cellStyle name="SAPLocked 20 2" xfId="7938"/>
    <cellStyle name="SAPLocked 20 2 10" xfId="7939"/>
    <cellStyle name="SAPLocked 20 2 10 2" xfId="61753"/>
    <cellStyle name="SAPLocked 20 2 11" xfId="7940"/>
    <cellStyle name="SAPLocked 20 2 11 2" xfId="61754"/>
    <cellStyle name="SAPLocked 20 2 12" xfId="7941"/>
    <cellStyle name="SAPLocked 20 2 2" xfId="7942"/>
    <cellStyle name="SAPLocked 20 2 2 2" xfId="61755"/>
    <cellStyle name="SAPLocked 20 2 3" xfId="7943"/>
    <cellStyle name="SAPLocked 20 2 3 2" xfId="61756"/>
    <cellStyle name="SAPLocked 20 2 4" xfId="7944"/>
    <cellStyle name="SAPLocked 20 2 4 2" xfId="61757"/>
    <cellStyle name="SAPLocked 20 2 5" xfId="7945"/>
    <cellStyle name="SAPLocked 20 2 5 2" xfId="61758"/>
    <cellStyle name="SAPLocked 20 2 6" xfId="7946"/>
    <cellStyle name="SAPLocked 20 2 6 2" xfId="61759"/>
    <cellStyle name="SAPLocked 20 2 7" xfId="7947"/>
    <cellStyle name="SAPLocked 20 2 7 2" xfId="61760"/>
    <cellStyle name="SAPLocked 20 2 8" xfId="7948"/>
    <cellStyle name="SAPLocked 20 2 8 2" xfId="61761"/>
    <cellStyle name="SAPLocked 20 2 9" xfId="7949"/>
    <cellStyle name="SAPLocked 20 2 9 2" xfId="61762"/>
    <cellStyle name="SAPLocked 20 3" xfId="7950"/>
    <cellStyle name="SAPLocked 20 3 2" xfId="61763"/>
    <cellStyle name="SAPLocked 20 4" xfId="7951"/>
    <cellStyle name="SAPLocked 20 4 2" xfId="61764"/>
    <cellStyle name="SAPLocked 20 5" xfId="7952"/>
    <cellStyle name="SAPLocked 20 5 2" xfId="61765"/>
    <cellStyle name="SAPLocked 20 6" xfId="7953"/>
    <cellStyle name="SAPLocked 20 6 2" xfId="61766"/>
    <cellStyle name="SAPLocked 20 7" xfId="7954"/>
    <cellStyle name="SAPLocked 20 7 2" xfId="61767"/>
    <cellStyle name="SAPLocked 20 8" xfId="7955"/>
    <cellStyle name="SAPLocked 20 8 2" xfId="61768"/>
    <cellStyle name="SAPLocked 20 9" xfId="7956"/>
    <cellStyle name="SAPLocked 20 9 2" xfId="61769"/>
    <cellStyle name="SAPLocked 21" xfId="7957"/>
    <cellStyle name="SAPLocked 21 10" xfId="7958"/>
    <cellStyle name="SAPLocked 21 10 2" xfId="61770"/>
    <cellStyle name="SAPLocked 21 11" xfId="7959"/>
    <cellStyle name="SAPLocked 21 11 2" xfId="61771"/>
    <cellStyle name="SAPLocked 21 12" xfId="7960"/>
    <cellStyle name="SAPLocked 21 12 2" xfId="61772"/>
    <cellStyle name="SAPLocked 21 13" xfId="7961"/>
    <cellStyle name="SAPLocked 21 2" xfId="7962"/>
    <cellStyle name="SAPLocked 21 2 10" xfId="7963"/>
    <cellStyle name="SAPLocked 21 2 10 2" xfId="61773"/>
    <cellStyle name="SAPLocked 21 2 11" xfId="7964"/>
    <cellStyle name="SAPLocked 21 2 11 2" xfId="61774"/>
    <cellStyle name="SAPLocked 21 2 12" xfId="7965"/>
    <cellStyle name="SAPLocked 21 2 2" xfId="7966"/>
    <cellStyle name="SAPLocked 21 2 2 2" xfId="61775"/>
    <cellStyle name="SAPLocked 21 2 3" xfId="7967"/>
    <cellStyle name="SAPLocked 21 2 3 2" xfId="61776"/>
    <cellStyle name="SAPLocked 21 2 4" xfId="7968"/>
    <cellStyle name="SAPLocked 21 2 4 2" xfId="61777"/>
    <cellStyle name="SAPLocked 21 2 5" xfId="7969"/>
    <cellStyle name="SAPLocked 21 2 5 2" xfId="61778"/>
    <cellStyle name="SAPLocked 21 2 6" xfId="7970"/>
    <cellStyle name="SAPLocked 21 2 6 2" xfId="61779"/>
    <cellStyle name="SAPLocked 21 2 7" xfId="7971"/>
    <cellStyle name="SAPLocked 21 2 7 2" xfId="61780"/>
    <cellStyle name="SAPLocked 21 2 8" xfId="7972"/>
    <cellStyle name="SAPLocked 21 2 8 2" xfId="61781"/>
    <cellStyle name="SAPLocked 21 2 9" xfId="7973"/>
    <cellStyle name="SAPLocked 21 2 9 2" xfId="61782"/>
    <cellStyle name="SAPLocked 21 3" xfId="7974"/>
    <cellStyle name="SAPLocked 21 3 2" xfId="61783"/>
    <cellStyle name="SAPLocked 21 4" xfId="7975"/>
    <cellStyle name="SAPLocked 21 4 2" xfId="61784"/>
    <cellStyle name="SAPLocked 21 5" xfId="7976"/>
    <cellStyle name="SAPLocked 21 5 2" xfId="61785"/>
    <cellStyle name="SAPLocked 21 6" xfId="7977"/>
    <cellStyle name="SAPLocked 21 6 2" xfId="61786"/>
    <cellStyle name="SAPLocked 21 7" xfId="7978"/>
    <cellStyle name="SAPLocked 21 7 2" xfId="61787"/>
    <cellStyle name="SAPLocked 21 8" xfId="7979"/>
    <cellStyle name="SAPLocked 21 8 2" xfId="61788"/>
    <cellStyle name="SAPLocked 21 9" xfId="7980"/>
    <cellStyle name="SAPLocked 21 9 2" xfId="61789"/>
    <cellStyle name="SAPLocked 22" xfId="7981"/>
    <cellStyle name="SAPLocked 22 10" xfId="7982"/>
    <cellStyle name="SAPLocked 22 10 2" xfId="61790"/>
    <cellStyle name="SAPLocked 22 11" xfId="7983"/>
    <cellStyle name="SAPLocked 22 11 2" xfId="61791"/>
    <cellStyle name="SAPLocked 22 12" xfId="7984"/>
    <cellStyle name="SAPLocked 22 2" xfId="7985"/>
    <cellStyle name="SAPLocked 22 2 2" xfId="61792"/>
    <cellStyle name="SAPLocked 22 3" xfId="7986"/>
    <cellStyle name="SAPLocked 22 3 2" xfId="61793"/>
    <cellStyle name="SAPLocked 22 4" xfId="7987"/>
    <cellStyle name="SAPLocked 22 4 2" xfId="61794"/>
    <cellStyle name="SAPLocked 22 5" xfId="7988"/>
    <cellStyle name="SAPLocked 22 5 2" xfId="61795"/>
    <cellStyle name="SAPLocked 22 6" xfId="7989"/>
    <cellStyle name="SAPLocked 22 6 2" xfId="61796"/>
    <cellStyle name="SAPLocked 22 7" xfId="7990"/>
    <cellStyle name="SAPLocked 22 7 2" xfId="61797"/>
    <cellStyle name="SAPLocked 22 8" xfId="7991"/>
    <cellStyle name="SAPLocked 22 8 2" xfId="61798"/>
    <cellStyle name="SAPLocked 22 9" xfId="7992"/>
    <cellStyle name="SAPLocked 22 9 2" xfId="61799"/>
    <cellStyle name="SAPLocked 23" xfId="7993"/>
    <cellStyle name="SAPLocked 23 2" xfId="61800"/>
    <cellStyle name="SAPLocked 24" xfId="7994"/>
    <cellStyle name="SAPLocked 24 2" xfId="61801"/>
    <cellStyle name="SAPLocked 25" xfId="7995"/>
    <cellStyle name="SAPLocked 25 2" xfId="61802"/>
    <cellStyle name="SAPLocked 26" xfId="7996"/>
    <cellStyle name="SAPLocked 26 2" xfId="61803"/>
    <cellStyle name="SAPLocked 27" xfId="7997"/>
    <cellStyle name="SAPLocked 27 2" xfId="61804"/>
    <cellStyle name="SAPLocked 28" xfId="7998"/>
    <cellStyle name="SAPLocked 28 2" xfId="61805"/>
    <cellStyle name="SAPLocked 29" xfId="7999"/>
    <cellStyle name="SAPLocked 29 2" xfId="61806"/>
    <cellStyle name="SAPLocked 3" xfId="8000"/>
    <cellStyle name="SAPLocked 3 10" xfId="8001"/>
    <cellStyle name="SAPLocked 3 10 2" xfId="61807"/>
    <cellStyle name="SAPLocked 3 11" xfId="8002"/>
    <cellStyle name="SAPLocked 3 11 2" xfId="61808"/>
    <cellStyle name="SAPLocked 3 12" xfId="8003"/>
    <cellStyle name="SAPLocked 3 12 2" xfId="61809"/>
    <cellStyle name="SAPLocked 3 13" xfId="8004"/>
    <cellStyle name="SAPLocked 3 2" xfId="8005"/>
    <cellStyle name="SAPLocked 3 2 10" xfId="8006"/>
    <cellStyle name="SAPLocked 3 2 10 2" xfId="61810"/>
    <cellStyle name="SAPLocked 3 2 11" xfId="8007"/>
    <cellStyle name="SAPLocked 3 2 11 2" xfId="61811"/>
    <cellStyle name="SAPLocked 3 2 12" xfId="8008"/>
    <cellStyle name="SAPLocked 3 2 2" xfId="8009"/>
    <cellStyle name="SAPLocked 3 2 2 2" xfId="61812"/>
    <cellStyle name="SAPLocked 3 2 3" xfId="8010"/>
    <cellStyle name="SAPLocked 3 2 3 2" xfId="61813"/>
    <cellStyle name="SAPLocked 3 2 4" xfId="8011"/>
    <cellStyle name="SAPLocked 3 2 4 2" xfId="61814"/>
    <cellStyle name="SAPLocked 3 2 5" xfId="8012"/>
    <cellStyle name="SAPLocked 3 2 5 2" xfId="61815"/>
    <cellStyle name="SAPLocked 3 2 6" xfId="8013"/>
    <cellStyle name="SAPLocked 3 2 6 2" xfId="61816"/>
    <cellStyle name="SAPLocked 3 2 7" xfId="8014"/>
    <cellStyle name="SAPLocked 3 2 7 2" xfId="61817"/>
    <cellStyle name="SAPLocked 3 2 8" xfId="8015"/>
    <cellStyle name="SAPLocked 3 2 8 2" xfId="61818"/>
    <cellStyle name="SAPLocked 3 2 9" xfId="8016"/>
    <cellStyle name="SAPLocked 3 2 9 2" xfId="61819"/>
    <cellStyle name="SAPLocked 3 3" xfId="8017"/>
    <cellStyle name="SAPLocked 3 3 2" xfId="61820"/>
    <cellStyle name="SAPLocked 3 4" xfId="8018"/>
    <cellStyle name="SAPLocked 3 4 2" xfId="61821"/>
    <cellStyle name="SAPLocked 3 5" xfId="8019"/>
    <cellStyle name="SAPLocked 3 5 2" xfId="61822"/>
    <cellStyle name="SAPLocked 3 6" xfId="8020"/>
    <cellStyle name="SAPLocked 3 6 2" xfId="61823"/>
    <cellStyle name="SAPLocked 3 7" xfId="8021"/>
    <cellStyle name="SAPLocked 3 7 2" xfId="61824"/>
    <cellStyle name="SAPLocked 3 8" xfId="8022"/>
    <cellStyle name="SAPLocked 3 8 2" xfId="61825"/>
    <cellStyle name="SAPLocked 3 9" xfId="8023"/>
    <cellStyle name="SAPLocked 3 9 2" xfId="61826"/>
    <cellStyle name="SAPLocked 30" xfId="8024"/>
    <cellStyle name="SAPLocked 30 2" xfId="61827"/>
    <cellStyle name="SAPLocked 31" xfId="8025"/>
    <cellStyle name="SAPLocked 4" xfId="8026"/>
    <cellStyle name="SAPLocked 4 10" xfId="8027"/>
    <cellStyle name="SAPLocked 4 10 2" xfId="61828"/>
    <cellStyle name="SAPLocked 4 11" xfId="8028"/>
    <cellStyle name="SAPLocked 4 11 2" xfId="61829"/>
    <cellStyle name="SAPLocked 4 12" xfId="8029"/>
    <cellStyle name="SAPLocked 4 12 2" xfId="61830"/>
    <cellStyle name="SAPLocked 4 13" xfId="8030"/>
    <cellStyle name="SAPLocked 4 2" xfId="8031"/>
    <cellStyle name="SAPLocked 4 2 10" xfId="8032"/>
    <cellStyle name="SAPLocked 4 2 10 2" xfId="61831"/>
    <cellStyle name="SAPLocked 4 2 11" xfId="8033"/>
    <cellStyle name="SAPLocked 4 2 11 2" xfId="61832"/>
    <cellStyle name="SAPLocked 4 2 12" xfId="8034"/>
    <cellStyle name="SAPLocked 4 2 2" xfId="8035"/>
    <cellStyle name="SAPLocked 4 2 2 2" xfId="61833"/>
    <cellStyle name="SAPLocked 4 2 3" xfId="8036"/>
    <cellStyle name="SAPLocked 4 2 3 2" xfId="61834"/>
    <cellStyle name="SAPLocked 4 2 4" xfId="8037"/>
    <cellStyle name="SAPLocked 4 2 4 2" xfId="61835"/>
    <cellStyle name="SAPLocked 4 2 5" xfId="8038"/>
    <cellStyle name="SAPLocked 4 2 5 2" xfId="61836"/>
    <cellStyle name="SAPLocked 4 2 6" xfId="8039"/>
    <cellStyle name="SAPLocked 4 2 6 2" xfId="61837"/>
    <cellStyle name="SAPLocked 4 2 7" xfId="8040"/>
    <cellStyle name="SAPLocked 4 2 7 2" xfId="61838"/>
    <cellStyle name="SAPLocked 4 2 8" xfId="8041"/>
    <cellStyle name="SAPLocked 4 2 8 2" xfId="61839"/>
    <cellStyle name="SAPLocked 4 2 9" xfId="8042"/>
    <cellStyle name="SAPLocked 4 2 9 2" xfId="61840"/>
    <cellStyle name="SAPLocked 4 3" xfId="8043"/>
    <cellStyle name="SAPLocked 4 3 2" xfId="61841"/>
    <cellStyle name="SAPLocked 4 4" xfId="8044"/>
    <cellStyle name="SAPLocked 4 4 2" xfId="61842"/>
    <cellStyle name="SAPLocked 4 5" xfId="8045"/>
    <cellStyle name="SAPLocked 4 5 2" xfId="61843"/>
    <cellStyle name="SAPLocked 4 6" xfId="8046"/>
    <cellStyle name="SAPLocked 4 6 2" xfId="61844"/>
    <cellStyle name="SAPLocked 4 7" xfId="8047"/>
    <cellStyle name="SAPLocked 4 7 2" xfId="61845"/>
    <cellStyle name="SAPLocked 4 8" xfId="8048"/>
    <cellStyle name="SAPLocked 4 8 2" xfId="61846"/>
    <cellStyle name="SAPLocked 4 9" xfId="8049"/>
    <cellStyle name="SAPLocked 4 9 2" xfId="61847"/>
    <cellStyle name="SAPLocked 5" xfId="8050"/>
    <cellStyle name="SAPLocked 5 10" xfId="8051"/>
    <cellStyle name="SAPLocked 5 10 2" xfId="61848"/>
    <cellStyle name="SAPLocked 5 11" xfId="8052"/>
    <cellStyle name="SAPLocked 5 11 2" xfId="61849"/>
    <cellStyle name="SAPLocked 5 12" xfId="8053"/>
    <cellStyle name="SAPLocked 5 12 2" xfId="61850"/>
    <cellStyle name="SAPLocked 5 13" xfId="8054"/>
    <cellStyle name="SAPLocked 5 2" xfId="8055"/>
    <cellStyle name="SAPLocked 5 2 10" xfId="8056"/>
    <cellStyle name="SAPLocked 5 2 10 2" xfId="61851"/>
    <cellStyle name="SAPLocked 5 2 11" xfId="8057"/>
    <cellStyle name="SAPLocked 5 2 11 2" xfId="61852"/>
    <cellStyle name="SAPLocked 5 2 12" xfId="8058"/>
    <cellStyle name="SAPLocked 5 2 2" xfId="8059"/>
    <cellStyle name="SAPLocked 5 2 2 2" xfId="61853"/>
    <cellStyle name="SAPLocked 5 2 3" xfId="8060"/>
    <cellStyle name="SAPLocked 5 2 3 2" xfId="61854"/>
    <cellStyle name="SAPLocked 5 2 4" xfId="8061"/>
    <cellStyle name="SAPLocked 5 2 4 2" xfId="61855"/>
    <cellStyle name="SAPLocked 5 2 5" xfId="8062"/>
    <cellStyle name="SAPLocked 5 2 5 2" xfId="61856"/>
    <cellStyle name="SAPLocked 5 2 6" xfId="8063"/>
    <cellStyle name="SAPLocked 5 2 6 2" xfId="61857"/>
    <cellStyle name="SAPLocked 5 2 7" xfId="8064"/>
    <cellStyle name="SAPLocked 5 2 7 2" xfId="61858"/>
    <cellStyle name="SAPLocked 5 2 8" xfId="8065"/>
    <cellStyle name="SAPLocked 5 2 8 2" xfId="61859"/>
    <cellStyle name="SAPLocked 5 2 9" xfId="8066"/>
    <cellStyle name="SAPLocked 5 2 9 2" xfId="61860"/>
    <cellStyle name="SAPLocked 5 3" xfId="8067"/>
    <cellStyle name="SAPLocked 5 3 2" xfId="61861"/>
    <cellStyle name="SAPLocked 5 4" xfId="8068"/>
    <cellStyle name="SAPLocked 5 4 2" xfId="61862"/>
    <cellStyle name="SAPLocked 5 5" xfId="8069"/>
    <cellStyle name="SAPLocked 5 5 2" xfId="61863"/>
    <cellStyle name="SAPLocked 5 6" xfId="8070"/>
    <cellStyle name="SAPLocked 5 6 2" xfId="61864"/>
    <cellStyle name="SAPLocked 5 7" xfId="8071"/>
    <cellStyle name="SAPLocked 5 7 2" xfId="61865"/>
    <cellStyle name="SAPLocked 5 8" xfId="8072"/>
    <cellStyle name="SAPLocked 5 8 2" xfId="61866"/>
    <cellStyle name="SAPLocked 5 9" xfId="8073"/>
    <cellStyle name="SAPLocked 5 9 2" xfId="61867"/>
    <cellStyle name="SAPLocked 6" xfId="8074"/>
    <cellStyle name="SAPLocked 6 10" xfId="8075"/>
    <cellStyle name="SAPLocked 6 10 2" xfId="61868"/>
    <cellStyle name="SAPLocked 6 11" xfId="8076"/>
    <cellStyle name="SAPLocked 6 11 2" xfId="61869"/>
    <cellStyle name="SAPLocked 6 12" xfId="8077"/>
    <cellStyle name="SAPLocked 6 12 2" xfId="61870"/>
    <cellStyle name="SAPLocked 6 13" xfId="8078"/>
    <cellStyle name="SAPLocked 6 2" xfId="8079"/>
    <cellStyle name="SAPLocked 6 2 10" xfId="8080"/>
    <cellStyle name="SAPLocked 6 2 10 2" xfId="61871"/>
    <cellStyle name="SAPLocked 6 2 11" xfId="8081"/>
    <cellStyle name="SAPLocked 6 2 11 2" xfId="61872"/>
    <cellStyle name="SAPLocked 6 2 12" xfId="8082"/>
    <cellStyle name="SAPLocked 6 2 2" xfId="8083"/>
    <cellStyle name="SAPLocked 6 2 2 2" xfId="61873"/>
    <cellStyle name="SAPLocked 6 2 3" xfId="8084"/>
    <cellStyle name="SAPLocked 6 2 3 2" xfId="61874"/>
    <cellStyle name="SAPLocked 6 2 4" xfId="8085"/>
    <cellStyle name="SAPLocked 6 2 4 2" xfId="61875"/>
    <cellStyle name="SAPLocked 6 2 5" xfId="8086"/>
    <cellStyle name="SAPLocked 6 2 5 2" xfId="61876"/>
    <cellStyle name="SAPLocked 6 2 6" xfId="8087"/>
    <cellStyle name="SAPLocked 6 2 6 2" xfId="61877"/>
    <cellStyle name="SAPLocked 6 2 7" xfId="8088"/>
    <cellStyle name="SAPLocked 6 2 7 2" xfId="61878"/>
    <cellStyle name="SAPLocked 6 2 8" xfId="8089"/>
    <cellStyle name="SAPLocked 6 2 8 2" xfId="61879"/>
    <cellStyle name="SAPLocked 6 2 9" xfId="8090"/>
    <cellStyle name="SAPLocked 6 2 9 2" xfId="61880"/>
    <cellStyle name="SAPLocked 6 3" xfId="8091"/>
    <cellStyle name="SAPLocked 6 3 2" xfId="61881"/>
    <cellStyle name="SAPLocked 6 4" xfId="8092"/>
    <cellStyle name="SAPLocked 6 4 2" xfId="61882"/>
    <cellStyle name="SAPLocked 6 5" xfId="8093"/>
    <cellStyle name="SAPLocked 6 5 2" xfId="61883"/>
    <cellStyle name="SAPLocked 6 6" xfId="8094"/>
    <cellStyle name="SAPLocked 6 6 2" xfId="61884"/>
    <cellStyle name="SAPLocked 6 7" xfId="8095"/>
    <cellStyle name="SAPLocked 6 7 2" xfId="61885"/>
    <cellStyle name="SAPLocked 6 8" xfId="8096"/>
    <cellStyle name="SAPLocked 6 8 2" xfId="61886"/>
    <cellStyle name="SAPLocked 6 9" xfId="8097"/>
    <cellStyle name="SAPLocked 6 9 2" xfId="61887"/>
    <cellStyle name="SAPLocked 7" xfId="8098"/>
    <cellStyle name="SAPLocked 7 10" xfId="8099"/>
    <cellStyle name="SAPLocked 7 10 2" xfId="61888"/>
    <cellStyle name="SAPLocked 7 11" xfId="8100"/>
    <cellStyle name="SAPLocked 7 11 2" xfId="61889"/>
    <cellStyle name="SAPLocked 7 12" xfId="8101"/>
    <cellStyle name="SAPLocked 7 12 2" xfId="61890"/>
    <cellStyle name="SAPLocked 7 13" xfId="8102"/>
    <cellStyle name="SAPLocked 7 2" xfId="8103"/>
    <cellStyle name="SAPLocked 7 2 10" xfId="8104"/>
    <cellStyle name="SAPLocked 7 2 10 2" xfId="61891"/>
    <cellStyle name="SAPLocked 7 2 11" xfId="8105"/>
    <cellStyle name="SAPLocked 7 2 11 2" xfId="61892"/>
    <cellStyle name="SAPLocked 7 2 12" xfId="8106"/>
    <cellStyle name="SAPLocked 7 2 2" xfId="8107"/>
    <cellStyle name="SAPLocked 7 2 2 2" xfId="61893"/>
    <cellStyle name="SAPLocked 7 2 3" xfId="8108"/>
    <cellStyle name="SAPLocked 7 2 3 2" xfId="61894"/>
    <cellStyle name="SAPLocked 7 2 4" xfId="8109"/>
    <cellStyle name="SAPLocked 7 2 4 2" xfId="61895"/>
    <cellStyle name="SAPLocked 7 2 5" xfId="8110"/>
    <cellStyle name="SAPLocked 7 2 5 2" xfId="61896"/>
    <cellStyle name="SAPLocked 7 2 6" xfId="8111"/>
    <cellStyle name="SAPLocked 7 2 6 2" xfId="61897"/>
    <cellStyle name="SAPLocked 7 2 7" xfId="8112"/>
    <cellStyle name="SAPLocked 7 2 7 2" xfId="61898"/>
    <cellStyle name="SAPLocked 7 2 8" xfId="8113"/>
    <cellStyle name="SAPLocked 7 2 8 2" xfId="61899"/>
    <cellStyle name="SAPLocked 7 2 9" xfId="8114"/>
    <cellStyle name="SAPLocked 7 2 9 2" xfId="61900"/>
    <cellStyle name="SAPLocked 7 3" xfId="8115"/>
    <cellStyle name="SAPLocked 7 3 2" xfId="61901"/>
    <cellStyle name="SAPLocked 7 4" xfId="8116"/>
    <cellStyle name="SAPLocked 7 4 2" xfId="61902"/>
    <cellStyle name="SAPLocked 7 5" xfId="8117"/>
    <cellStyle name="SAPLocked 7 5 2" xfId="61903"/>
    <cellStyle name="SAPLocked 7 6" xfId="8118"/>
    <cellStyle name="SAPLocked 7 6 2" xfId="61904"/>
    <cellStyle name="SAPLocked 7 7" xfId="8119"/>
    <cellStyle name="SAPLocked 7 7 2" xfId="61905"/>
    <cellStyle name="SAPLocked 7 8" xfId="8120"/>
    <cellStyle name="SAPLocked 7 8 2" xfId="61906"/>
    <cellStyle name="SAPLocked 7 9" xfId="8121"/>
    <cellStyle name="SAPLocked 7 9 2" xfId="61907"/>
    <cellStyle name="SAPLocked 8" xfId="8122"/>
    <cellStyle name="SAPLocked 8 10" xfId="8123"/>
    <cellStyle name="SAPLocked 8 10 2" xfId="61908"/>
    <cellStyle name="SAPLocked 8 11" xfId="8124"/>
    <cellStyle name="SAPLocked 8 11 2" xfId="61909"/>
    <cellStyle name="SAPLocked 8 12" xfId="8125"/>
    <cellStyle name="SAPLocked 8 12 2" xfId="61910"/>
    <cellStyle name="SAPLocked 8 13" xfId="8126"/>
    <cellStyle name="SAPLocked 8 2" xfId="8127"/>
    <cellStyle name="SAPLocked 8 2 10" xfId="8128"/>
    <cellStyle name="SAPLocked 8 2 10 2" xfId="61911"/>
    <cellStyle name="SAPLocked 8 2 11" xfId="8129"/>
    <cellStyle name="SAPLocked 8 2 11 2" xfId="61912"/>
    <cellStyle name="SAPLocked 8 2 12" xfId="8130"/>
    <cellStyle name="SAPLocked 8 2 2" xfId="8131"/>
    <cellStyle name="SAPLocked 8 2 2 2" xfId="61913"/>
    <cellStyle name="SAPLocked 8 2 3" xfId="8132"/>
    <cellStyle name="SAPLocked 8 2 3 2" xfId="61914"/>
    <cellStyle name="SAPLocked 8 2 4" xfId="8133"/>
    <cellStyle name="SAPLocked 8 2 4 2" xfId="61915"/>
    <cellStyle name="SAPLocked 8 2 5" xfId="8134"/>
    <cellStyle name="SAPLocked 8 2 5 2" xfId="61916"/>
    <cellStyle name="SAPLocked 8 2 6" xfId="8135"/>
    <cellStyle name="SAPLocked 8 2 6 2" xfId="61917"/>
    <cellStyle name="SAPLocked 8 2 7" xfId="8136"/>
    <cellStyle name="SAPLocked 8 2 7 2" xfId="61918"/>
    <cellStyle name="SAPLocked 8 2 8" xfId="8137"/>
    <cellStyle name="SAPLocked 8 2 8 2" xfId="61919"/>
    <cellStyle name="SAPLocked 8 2 9" xfId="8138"/>
    <cellStyle name="SAPLocked 8 2 9 2" xfId="61920"/>
    <cellStyle name="SAPLocked 8 3" xfId="8139"/>
    <cellStyle name="SAPLocked 8 3 2" xfId="61921"/>
    <cellStyle name="SAPLocked 8 4" xfId="8140"/>
    <cellStyle name="SAPLocked 8 4 2" xfId="61922"/>
    <cellStyle name="SAPLocked 8 5" xfId="8141"/>
    <cellStyle name="SAPLocked 8 5 2" xfId="61923"/>
    <cellStyle name="SAPLocked 8 6" xfId="8142"/>
    <cellStyle name="SAPLocked 8 6 2" xfId="61924"/>
    <cellStyle name="SAPLocked 8 7" xfId="8143"/>
    <cellStyle name="SAPLocked 8 7 2" xfId="61925"/>
    <cellStyle name="SAPLocked 8 8" xfId="8144"/>
    <cellStyle name="SAPLocked 8 8 2" xfId="61926"/>
    <cellStyle name="SAPLocked 8 9" xfId="8145"/>
    <cellStyle name="SAPLocked 8 9 2" xfId="61927"/>
    <cellStyle name="SAPLocked 9" xfId="8146"/>
    <cellStyle name="SAPLocked 9 10" xfId="8147"/>
    <cellStyle name="SAPLocked 9 10 2" xfId="61928"/>
    <cellStyle name="SAPLocked 9 11" xfId="8148"/>
    <cellStyle name="SAPLocked 9 11 2" xfId="61929"/>
    <cellStyle name="SAPLocked 9 12" xfId="8149"/>
    <cellStyle name="SAPLocked 9 12 2" xfId="61930"/>
    <cellStyle name="SAPLocked 9 13" xfId="8150"/>
    <cellStyle name="SAPLocked 9 2" xfId="8151"/>
    <cellStyle name="SAPLocked 9 2 10" xfId="8152"/>
    <cellStyle name="SAPLocked 9 2 10 2" xfId="61931"/>
    <cellStyle name="SAPLocked 9 2 11" xfId="8153"/>
    <cellStyle name="SAPLocked 9 2 11 2" xfId="61932"/>
    <cellStyle name="SAPLocked 9 2 12" xfId="8154"/>
    <cellStyle name="SAPLocked 9 2 2" xfId="8155"/>
    <cellStyle name="SAPLocked 9 2 2 2" xfId="61933"/>
    <cellStyle name="SAPLocked 9 2 3" xfId="8156"/>
    <cellStyle name="SAPLocked 9 2 3 2" xfId="61934"/>
    <cellStyle name="SAPLocked 9 2 4" xfId="8157"/>
    <cellStyle name="SAPLocked 9 2 4 2" xfId="61935"/>
    <cellStyle name="SAPLocked 9 2 5" xfId="8158"/>
    <cellStyle name="SAPLocked 9 2 5 2" xfId="61936"/>
    <cellStyle name="SAPLocked 9 2 6" xfId="8159"/>
    <cellStyle name="SAPLocked 9 2 6 2" xfId="61937"/>
    <cellStyle name="SAPLocked 9 2 7" xfId="8160"/>
    <cellStyle name="SAPLocked 9 2 7 2" xfId="61938"/>
    <cellStyle name="SAPLocked 9 2 8" xfId="8161"/>
    <cellStyle name="SAPLocked 9 2 8 2" xfId="61939"/>
    <cellStyle name="SAPLocked 9 2 9" xfId="8162"/>
    <cellStyle name="SAPLocked 9 2 9 2" xfId="61940"/>
    <cellStyle name="SAPLocked 9 3" xfId="8163"/>
    <cellStyle name="SAPLocked 9 3 2" xfId="61941"/>
    <cellStyle name="SAPLocked 9 4" xfId="8164"/>
    <cellStyle name="SAPLocked 9 4 2" xfId="61942"/>
    <cellStyle name="SAPLocked 9 5" xfId="8165"/>
    <cellStyle name="SAPLocked 9 5 2" xfId="61943"/>
    <cellStyle name="SAPLocked 9 6" xfId="8166"/>
    <cellStyle name="SAPLocked 9 6 2" xfId="61944"/>
    <cellStyle name="SAPLocked 9 7" xfId="8167"/>
    <cellStyle name="SAPLocked 9 7 2" xfId="61945"/>
    <cellStyle name="SAPLocked 9 8" xfId="8168"/>
    <cellStyle name="SAPLocked 9 8 2" xfId="61946"/>
    <cellStyle name="SAPLocked 9 9" xfId="8169"/>
    <cellStyle name="SAPLocked 9 9 2" xfId="61947"/>
    <cellStyle name="SAPMemberCell" xfId="61948"/>
    <cellStyle name="SAPMemberTotalCell" xfId="61949"/>
    <cellStyle name="Shade" xfId="9362"/>
    <cellStyle name="Standard_CORE_20040805_Movement types_Sets_V0.1_e" xfId="8170"/>
    <cellStyle name="STYL5 - Style5" xfId="8171"/>
    <cellStyle name="STYL5 - Style5 2" xfId="8172"/>
    <cellStyle name="STYL5 - Style5 2 2" xfId="9948"/>
    <cellStyle name="STYL5 - Style5 3" xfId="9949"/>
    <cellStyle name="STYL5 - Style5 3 2" xfId="9950"/>
    <cellStyle name="STYL6 - Style6" xfId="8173"/>
    <cellStyle name="STYL6 - Style6 2" xfId="8174"/>
    <cellStyle name="STYL6 - Style6 2 2" xfId="9951"/>
    <cellStyle name="STYL6 - Style6 3" xfId="9952"/>
    <cellStyle name="STYL6 - Style6 3 2" xfId="9953"/>
    <cellStyle name="Style 1" xfId="8765"/>
    <cellStyle name="STYLE1 - Style1" xfId="8175"/>
    <cellStyle name="STYLE1 - Style1 2" xfId="8176"/>
    <cellStyle name="STYLE1 - Style1 2 2" xfId="9954"/>
    <cellStyle name="STYLE1 - Style1 3" xfId="9955"/>
    <cellStyle name="STYLE1 - Style1 3 2" xfId="9956"/>
    <cellStyle name="STYLE2 - Style2" xfId="8177"/>
    <cellStyle name="STYLE2 - Style2 2" xfId="8178"/>
    <cellStyle name="STYLE2 - Style2 2 2" xfId="9957"/>
    <cellStyle name="STYLE2 - Style2 3" xfId="9958"/>
    <cellStyle name="STYLE2 - Style2 3 2" xfId="9959"/>
    <cellStyle name="STYLE3 - Style3" xfId="8179"/>
    <cellStyle name="STYLE3 - Style3 2" xfId="8180"/>
    <cellStyle name="STYLE3 - Style3 2 2" xfId="9960"/>
    <cellStyle name="STYLE3 - Style3 3" xfId="9961"/>
    <cellStyle name="STYLE3 - Style3 3 2" xfId="9962"/>
    <cellStyle name="STYLE4 - Style4" xfId="8181"/>
    <cellStyle name="STYLE4 - Style4 2" xfId="8182"/>
    <cellStyle name="STYLE4 - Style4 2 2" xfId="9963"/>
    <cellStyle name="STYLE4 - Style4 3" xfId="9964"/>
    <cellStyle name="STYLE4 - Style4 3 2" xfId="9965"/>
    <cellStyle name="Table  - Style5" xfId="61950"/>
    <cellStyle name="Text" xfId="57796"/>
    <cellStyle name="Title  - Style6" xfId="61951"/>
    <cellStyle name="Title 10" xfId="9966"/>
    <cellStyle name="Title 11" xfId="9967"/>
    <cellStyle name="Title 12" xfId="9968"/>
    <cellStyle name="Title 13" xfId="9969"/>
    <cellStyle name="Title 14" xfId="9970"/>
    <cellStyle name="Title 15" xfId="9971"/>
    <cellStyle name="Title 16" xfId="9972"/>
    <cellStyle name="Title 17" xfId="9973"/>
    <cellStyle name="Title 17 2" xfId="61952"/>
    <cellStyle name="Title 18" xfId="61953"/>
    <cellStyle name="Title 19" xfId="61954"/>
    <cellStyle name="Title 2" xfId="8183"/>
    <cellStyle name="Title 2 2" xfId="8184"/>
    <cellStyle name="Title 2 2 2" xfId="57797"/>
    <cellStyle name="Title 2 3" xfId="57798"/>
    <cellStyle name="Title 20" xfId="61955"/>
    <cellStyle name="Title 3" xfId="8185"/>
    <cellStyle name="Title 3 2" xfId="9363"/>
    <cellStyle name="Title 4" xfId="9974"/>
    <cellStyle name="Title 5" xfId="9975"/>
    <cellStyle name="Title 6" xfId="9976"/>
    <cellStyle name="Title 7" xfId="9977"/>
    <cellStyle name="Title 8" xfId="9978"/>
    <cellStyle name="Title 9" xfId="9979"/>
    <cellStyle name="Total 10" xfId="9980"/>
    <cellStyle name="Total 11" xfId="9981"/>
    <cellStyle name="Total 12" xfId="9982"/>
    <cellStyle name="Total 13" xfId="9983"/>
    <cellStyle name="Total 14" xfId="9984"/>
    <cellStyle name="Total 15" xfId="9985"/>
    <cellStyle name="Total 16" xfId="9986"/>
    <cellStyle name="Total 17" xfId="9987"/>
    <cellStyle name="Total 17 2" xfId="61956"/>
    <cellStyle name="Total 17 3" xfId="61957"/>
    <cellStyle name="Total 17 4" xfId="61958"/>
    <cellStyle name="Total 18" xfId="61959"/>
    <cellStyle name="Total 2" xfId="8186"/>
    <cellStyle name="Total 2 2" xfId="8187"/>
    <cellStyle name="Total 2 2 2" xfId="8188"/>
    <cellStyle name="Total 2 2 3" xfId="61960"/>
    <cellStyle name="Total 2 3" xfId="8189"/>
    <cellStyle name="Total 2 3 2" xfId="61961"/>
    <cellStyle name="Total 2 4" xfId="8190"/>
    <cellStyle name="Total 2 4 2" xfId="61962"/>
    <cellStyle name="Total 2 5" xfId="8191"/>
    <cellStyle name="Total 2 5 2" xfId="61963"/>
    <cellStyle name="Total 2 6" xfId="8192"/>
    <cellStyle name="Total 2 6 2" xfId="61964"/>
    <cellStyle name="Total 2 7" xfId="8193"/>
    <cellStyle name="Total 2 7 2" xfId="61965"/>
    <cellStyle name="Total 2 8" xfId="8194"/>
    <cellStyle name="Total 2 9" xfId="8195"/>
    <cellStyle name="Total 3" xfId="8196"/>
    <cellStyle name="Total 3 2" xfId="8197"/>
    <cellStyle name="Total 3 2 2" xfId="61966"/>
    <cellStyle name="Total 3 3" xfId="8198"/>
    <cellStyle name="Total 4" xfId="9364"/>
    <cellStyle name="Total 4 2" xfId="57799"/>
    <cellStyle name="Total 5" xfId="9365"/>
    <cellStyle name="Total 5 2" xfId="57800"/>
    <cellStyle name="Total 6" xfId="9988"/>
    <cellStyle name="Total 6 2" xfId="57801"/>
    <cellStyle name="Total 7" xfId="9989"/>
    <cellStyle name="Total 7 2" xfId="57802"/>
    <cellStyle name="Total 8" xfId="9990"/>
    <cellStyle name="Total 9" xfId="9991"/>
    <cellStyle name="TotCol - Style7" xfId="61967"/>
    <cellStyle name="TotRow - Style8" xfId="61968"/>
    <cellStyle name="Undefiniert" xfId="8199"/>
    <cellStyle name="Undefiniert 2" xfId="9992"/>
    <cellStyle name="UploadThisRowValue" xfId="8200"/>
    <cellStyle name="UploadThisRowValue 2" xfId="8201"/>
    <cellStyle name="UploadThisRowValue 2 2" xfId="57803"/>
    <cellStyle name="UploadThisRowValue 3" xfId="8202"/>
    <cellStyle name="UploadThisRowValue 4" xfId="9366"/>
    <cellStyle name="Währung_KURSE3Q" xfId="9367"/>
    <cellStyle name="Warning Text 10" xfId="9993"/>
    <cellStyle name="Warning Text 11" xfId="9994"/>
    <cellStyle name="Warning Text 12" xfId="9995"/>
    <cellStyle name="Warning Text 13" xfId="9996"/>
    <cellStyle name="Warning Text 14" xfId="9997"/>
    <cellStyle name="Warning Text 15" xfId="9998"/>
    <cellStyle name="Warning Text 16" xfId="9999"/>
    <cellStyle name="Warning Text 17" xfId="10000"/>
    <cellStyle name="Warning Text 2" xfId="8203"/>
    <cellStyle name="Warning Text 2 2" xfId="8204"/>
    <cellStyle name="Warning Text 2 2 2" xfId="61969"/>
    <cellStyle name="Warning Text 2 3" xfId="57804"/>
    <cellStyle name="Warning Text 2 4" xfId="57805"/>
    <cellStyle name="Warning Text 2 5" xfId="57806"/>
    <cellStyle name="Warning Text 2 6" xfId="57807"/>
    <cellStyle name="Warning Text 3" xfId="8205"/>
    <cellStyle name="Warning Text 3 2" xfId="9368"/>
    <cellStyle name="Warning Text 3 3" xfId="57808"/>
    <cellStyle name="Warning Text 4" xfId="8206"/>
    <cellStyle name="Warning Text 4 2" xfId="57809"/>
    <cellStyle name="Warning Text 5" xfId="9369"/>
    <cellStyle name="Warning Text 5 2" xfId="57810"/>
    <cellStyle name="Warning Text 6" xfId="10001"/>
    <cellStyle name="Warning Text 6 2" xfId="57811"/>
    <cellStyle name="Warning Text 7" xfId="10002"/>
    <cellStyle name="Warning Text 7 2" xfId="57812"/>
    <cellStyle name="Warning Text 8" xfId="10003"/>
    <cellStyle name="Warning Text 8 2" xfId="57813"/>
    <cellStyle name="Warning Text 9" xfId="100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home/Leveraged%20Finance/Diversified%20Industries/Manufacturing%20and%20Ind.%20Tech/P&amp;L%20Coal/P&amp;L%20Coal%202002%20Deal/Credit/Natural%20Gas%20and%20GDP%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home/Inv_grad/Energy/RV%20Secondary%20Energy%202005%20Jan%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chome/DEBT%20JOURNAL%20ENTRIES/2013/12-%20Dec%202013/KU/J043-0110-1213%20AMORT%20EXP%20AND%20LOSS%20ON%20DEBTwith%20error%20correc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row r="3">
          <cell r="A3" t="e">
            <v>#NAME?</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row r="1">
          <cell r="A1" t="str">
            <v>No</v>
          </cell>
        </row>
        <row r="2">
          <cell r="A2" t="str">
            <v>Yes</v>
          </cell>
        </row>
      </sheetData>
      <sheetData sheetId="1"/>
      <sheetData sheetId="2"/>
      <sheetData sheetId="3"/>
      <sheetData sheetId="4"/>
      <sheetData sheetId="5">
        <row r="31">
          <cell r="BF31">
            <v>566.79677570093452</v>
          </cell>
        </row>
      </sheetData>
      <sheetData sheetId="6"/>
      <sheetData sheetId="7">
        <row r="3">
          <cell r="F3">
            <v>21406.831685393259</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53"/>
  <sheetViews>
    <sheetView showGridLines="0" zoomScale="70" zoomScaleNormal="70" zoomScaleSheetLayoutView="75" workbookViewId="0">
      <selection activeCell="J45" sqref="J45"/>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133</v>
      </c>
      <c r="R1" s="367" t="s">
        <v>2062</v>
      </c>
    </row>
    <row r="2" spans="1:22">
      <c r="B2" s="371" t="str">
        <f>'Rate Case Constants'!C29</f>
        <v>TYPE OF FILING: __X__ ORIGINAL  _____ UPDATED  _____ REVISED</v>
      </c>
      <c r="R2" s="368" t="str">
        <f>'Rate Case Constants'!C38</f>
        <v>WITNESS:   C. M. GARRETT</v>
      </c>
      <c r="T2" s="304"/>
    </row>
    <row r="3" spans="1:22">
      <c r="R3" s="369" t="s">
        <v>177</v>
      </c>
    </row>
    <row r="5" spans="1:22">
      <c r="A5" s="760" t="str">
        <f>'Rate Case Constants'!C9</f>
        <v>KENTUCKY UTILITIES COMPANY</v>
      </c>
      <c r="B5" s="760"/>
      <c r="C5" s="760"/>
      <c r="D5" s="760"/>
      <c r="E5" s="760"/>
      <c r="F5" s="760"/>
      <c r="G5" s="760"/>
      <c r="H5" s="760"/>
      <c r="I5" s="760"/>
      <c r="J5" s="760"/>
      <c r="K5" s="760"/>
      <c r="L5" s="760"/>
      <c r="M5" s="760"/>
      <c r="N5" s="760"/>
      <c r="O5" s="760"/>
      <c r="P5" s="760"/>
      <c r="Q5" s="760"/>
      <c r="R5" s="760"/>
    </row>
    <row r="7" spans="1:22">
      <c r="A7" s="761" t="s">
        <v>2470</v>
      </c>
      <c r="B7" s="761"/>
      <c r="C7" s="761"/>
      <c r="D7" s="761"/>
      <c r="E7" s="761"/>
      <c r="F7" s="761"/>
      <c r="G7" s="761"/>
      <c r="H7" s="761"/>
      <c r="I7" s="761"/>
      <c r="J7" s="761"/>
      <c r="K7" s="761"/>
      <c r="L7" s="761"/>
      <c r="M7" s="761"/>
      <c r="N7" s="761"/>
      <c r="O7" s="761"/>
      <c r="P7" s="761"/>
      <c r="Q7" s="761"/>
      <c r="R7" s="761"/>
    </row>
    <row r="8" spans="1:22">
      <c r="A8" s="762"/>
      <c r="B8" s="762"/>
      <c r="C8" s="762"/>
      <c r="D8" s="762"/>
      <c r="E8" s="762"/>
      <c r="F8" s="762"/>
      <c r="G8" s="762"/>
      <c r="H8" s="762"/>
      <c r="I8" s="762"/>
      <c r="J8" s="762"/>
      <c r="K8" s="762"/>
      <c r="L8" s="762"/>
      <c r="M8" s="762"/>
      <c r="N8" s="762"/>
      <c r="O8" s="762"/>
      <c r="P8" s="762"/>
      <c r="Q8" s="762"/>
      <c r="R8" s="762"/>
    </row>
    <row r="9" spans="1:22">
      <c r="A9" s="763"/>
      <c r="B9" s="763"/>
      <c r="C9" s="763"/>
      <c r="D9" s="763"/>
      <c r="E9" s="763"/>
      <c r="F9" s="763"/>
      <c r="G9" s="763"/>
      <c r="H9" s="763"/>
      <c r="I9" s="763"/>
      <c r="J9" s="763"/>
      <c r="K9" s="763"/>
      <c r="L9" s="763"/>
      <c r="M9" s="763"/>
      <c r="N9" s="763"/>
      <c r="O9" s="763"/>
      <c r="P9" s="763"/>
      <c r="Q9" s="763"/>
      <c r="R9" s="763"/>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9</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2059</v>
      </c>
      <c r="O17" s="308"/>
      <c r="P17" s="307"/>
      <c r="Q17" s="308"/>
      <c r="R17" s="307" t="s">
        <v>2058</v>
      </c>
      <c r="T17" s="303"/>
      <c r="U17" s="303"/>
      <c r="V17" s="303"/>
    </row>
    <row r="18" spans="1:22" ht="21" customHeight="1">
      <c r="A18" s="317">
        <f>1</f>
        <v>1</v>
      </c>
      <c r="B18" s="318" t="s">
        <v>2034</v>
      </c>
      <c r="C18" s="319"/>
      <c r="D18" s="321">
        <f>'SCH B-2'!E27+SUM('SCH B-2.6'!G13:G18)+'SCH B-4'!H22</f>
        <v>8993064712.7163277</v>
      </c>
      <c r="E18" s="320"/>
      <c r="F18" s="321">
        <f>SUM('SCH B-2.2'!F12:F16,'SCH B-2.2'!F21:F24,'SCH B-2.2'!F27,'SCH B-4.1'!E12)*-1</f>
        <v>1451167917.4495189</v>
      </c>
      <c r="G18" s="320"/>
      <c r="H18" s="321">
        <f>SUM('SCH B-2.2'!F25,'SCH B-2.2'!F28)*-1</f>
        <v>9108523.959999999</v>
      </c>
      <c r="I18" s="320"/>
      <c r="J18" s="321">
        <f>SUM('SCH B-2.2'!F17:F20,'SCH B-2.2'!F26)*-1</f>
        <v>175155625.91100633</v>
      </c>
      <c r="K18" s="320"/>
      <c r="L18" s="321">
        <v>0</v>
      </c>
      <c r="M18" s="320"/>
      <c r="N18" s="321">
        <f>D18-SUM(F18:L18)</f>
        <v>7357632645.3958025</v>
      </c>
      <c r="O18" s="320"/>
      <c r="P18" s="321">
        <f>R18-D18</f>
        <v>1111648829.2048931</v>
      </c>
      <c r="Q18" s="320"/>
      <c r="R18" s="321">
        <f>SUM('SCH B-2'!C27+SUM('SCH B-2.6'!D13:D18)+'SCH B-4'!F22)</f>
        <v>10104713541.921221</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B'!G116</f>
        <v>3054968318.7710867</v>
      </c>
      <c r="E21" s="320"/>
      <c r="F21" s="323">
        <f>SUM('SCH B-3.1'!F12:F15,'SCH B-3.1'!F20:F23,'SCH B-3.1'!F26)</f>
        <v>101892789.02246837</v>
      </c>
      <c r="G21" s="320"/>
      <c r="H21" s="323">
        <f>SUM('SCH B-3.1'!F27,'SCH B-3.1'!F24)</f>
        <v>2822503.9459919999</v>
      </c>
      <c r="I21" s="320"/>
      <c r="J21" s="323">
        <f>SUM('SCH B-3.1'!F16:F19,'SCH B-3.1'!F25)</f>
        <v>116436917.0011571</v>
      </c>
      <c r="K21" s="320"/>
      <c r="L21" s="323">
        <v>0</v>
      </c>
      <c r="M21" s="320"/>
      <c r="N21" s="323">
        <f>D21-SUM(F21:L21)</f>
        <v>2833816108.8014693</v>
      </c>
      <c r="O21" s="320"/>
      <c r="P21" s="323">
        <f>R21-D21</f>
        <v>403017577.26066971</v>
      </c>
      <c r="Q21" s="320"/>
      <c r="R21" s="323">
        <f>-'SCH B-3 B'!E116</f>
        <v>3457985896.0317564</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5938096393.945241</v>
      </c>
      <c r="E23" s="320"/>
      <c r="F23" s="324">
        <f>+F18-F21</f>
        <v>1349275128.4270506</v>
      </c>
      <c r="G23" s="320"/>
      <c r="H23" s="324">
        <f>+H18-H21</f>
        <v>6286020.0140079986</v>
      </c>
      <c r="I23" s="320"/>
      <c r="J23" s="324">
        <f>+J18-J21</f>
        <v>58718708.909849226</v>
      </c>
      <c r="K23" s="320"/>
      <c r="L23" s="324">
        <f>+L18-L21</f>
        <v>0</v>
      </c>
      <c r="M23" s="320"/>
      <c r="N23" s="324">
        <f>+N18-N21</f>
        <v>4523816536.5943336</v>
      </c>
      <c r="O23" s="320"/>
      <c r="P23" s="324">
        <f>P18-P21</f>
        <v>708631251.9442234</v>
      </c>
      <c r="Q23" s="320"/>
      <c r="R23" s="324">
        <f>+R18-R21</f>
        <v>6646727645.8894644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B-6'!F12</f>
        <v>951646.55364259379</v>
      </c>
      <c r="E26" s="320"/>
      <c r="F26" s="323">
        <v>0</v>
      </c>
      <c r="G26" s="320"/>
      <c r="H26" s="323">
        <v>0</v>
      </c>
      <c r="I26" s="320"/>
      <c r="J26" s="323">
        <v>0</v>
      </c>
      <c r="K26" s="320"/>
      <c r="L26" s="323">
        <v>0</v>
      </c>
      <c r="M26" s="320"/>
      <c r="N26" s="323">
        <f t="shared" ref="N26:N28" si="0">D26-SUM(F26:L26)</f>
        <v>951646.55364259379</v>
      </c>
      <c r="O26" s="320"/>
      <c r="P26" s="323">
        <f t="shared" ref="P26:P28" si="1">R26-D26</f>
        <v>29334.816357406205</v>
      </c>
      <c r="Q26" s="320"/>
      <c r="R26" s="323">
        <f>'SCH B-6'!D12</f>
        <v>980981.37</v>
      </c>
      <c r="T26" s="326"/>
    </row>
    <row r="27" spans="1:22" ht="21" customHeight="1">
      <c r="A27" s="317">
        <f>1+A26</f>
        <v>7</v>
      </c>
      <c r="B27" s="318" t="s">
        <v>2038</v>
      </c>
      <c r="C27" s="319"/>
      <c r="D27" s="323">
        <f>'SCH B-6'!F16</f>
        <v>1235513890.8331704</v>
      </c>
      <c r="E27" s="327"/>
      <c r="F27" s="328">
        <f>-'ECR DEFTAX'!M4</f>
        <v>294508460.53322691</v>
      </c>
      <c r="G27" s="327"/>
      <c r="H27" s="328">
        <f>-'DSM DEFTAX'!M2</f>
        <v>1782749.3012646399</v>
      </c>
      <c r="I27" s="327"/>
      <c r="J27" s="328">
        <v>0</v>
      </c>
      <c r="K27" s="327"/>
      <c r="L27" s="328">
        <v>0</v>
      </c>
      <c r="M27" s="327"/>
      <c r="N27" s="328">
        <f t="shared" si="0"/>
        <v>939222680.99867892</v>
      </c>
      <c r="O27" s="327"/>
      <c r="P27" s="323">
        <f t="shared" si="1"/>
        <v>145112113.16682982</v>
      </c>
      <c r="Q27" s="327"/>
      <c r="R27" s="323">
        <f>'SCH B-6'!D16</f>
        <v>1380626004.0000002</v>
      </c>
    </row>
    <row r="28" spans="1:22" ht="21" customHeight="1">
      <c r="A28" s="317">
        <f>A27+1</f>
        <v>8</v>
      </c>
      <c r="B28" s="331" t="s">
        <v>2039</v>
      </c>
      <c r="C28" s="319"/>
      <c r="D28" s="323">
        <f>'SCH B-6'!F14</f>
        <v>79747725.782731548</v>
      </c>
      <c r="E28" s="320"/>
      <c r="F28" s="320">
        <v>0</v>
      </c>
      <c r="G28" s="320"/>
      <c r="H28" s="320">
        <v>0</v>
      </c>
      <c r="I28" s="320"/>
      <c r="J28" s="320">
        <v>0</v>
      </c>
      <c r="K28" s="320"/>
      <c r="L28" s="320">
        <v>0</v>
      </c>
      <c r="M28" s="320"/>
      <c r="N28" s="320">
        <f t="shared" si="0"/>
        <v>79747725.782731548</v>
      </c>
      <c r="O28" s="320"/>
      <c r="P28" s="323">
        <f t="shared" si="1"/>
        <v>11876320.217268467</v>
      </c>
      <c r="Q28" s="320"/>
      <c r="R28" s="323">
        <f>'SCH B-6'!D14</f>
        <v>91624046.000000015</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1316213263.1695445</v>
      </c>
      <c r="E30" s="320"/>
      <c r="F30" s="324">
        <f>SUM(F26:F29)</f>
        <v>294508460.53322691</v>
      </c>
      <c r="G30" s="320"/>
      <c r="H30" s="324">
        <f>SUM(H26:H29)</f>
        <v>1782749.3012646399</v>
      </c>
      <c r="I30" s="320"/>
      <c r="J30" s="324">
        <f>SUM(J26:J29)</f>
        <v>0</v>
      </c>
      <c r="K30" s="320"/>
      <c r="L30" s="324">
        <f>SUM(L26:L29)</f>
        <v>0</v>
      </c>
      <c r="M30" s="320"/>
      <c r="N30" s="324">
        <f>SUM(N26:N29)</f>
        <v>1019922053.3350531</v>
      </c>
      <c r="O30" s="320"/>
      <c r="P30" s="324">
        <f>SUM(P26:P29)</f>
        <v>157017768.2004557</v>
      </c>
      <c r="Q30" s="320"/>
      <c r="R30" s="324">
        <f>SUM(R26:R29)</f>
        <v>1473231031.3700001</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4621883130.7756968</v>
      </c>
      <c r="E32" s="320"/>
      <c r="F32" s="324">
        <f>+F23-F30</f>
        <v>1054766667.8938236</v>
      </c>
      <c r="G32" s="320"/>
      <c r="H32" s="324">
        <f>+H23-H30</f>
        <v>4503270.7127433587</v>
      </c>
      <c r="I32" s="320"/>
      <c r="J32" s="324">
        <f>+J23-J30</f>
        <v>58718708.909849226</v>
      </c>
      <c r="K32" s="320"/>
      <c r="L32" s="324">
        <f>+L23-L30</f>
        <v>0</v>
      </c>
      <c r="M32" s="320"/>
      <c r="N32" s="324">
        <f>+N23-N30</f>
        <v>3503894483.2592807</v>
      </c>
      <c r="O32" s="320"/>
      <c r="P32" s="324">
        <f>P23-P30</f>
        <v>551613483.74376774</v>
      </c>
      <c r="Q32" s="320"/>
      <c r="R32" s="324">
        <f>+R23-R30</f>
        <v>5173496614.5194645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B-5'!G13+'SCH B-5'!G15</f>
        <v>109068057.27403554</v>
      </c>
      <c r="E35" s="320"/>
      <c r="F35" s="323">
        <v>0</v>
      </c>
      <c r="G35" s="320"/>
      <c r="H35" s="323">
        <v>0</v>
      </c>
      <c r="I35" s="320"/>
      <c r="J35" s="323">
        <v>0</v>
      </c>
      <c r="K35" s="320"/>
      <c r="L35" s="323">
        <v>0</v>
      </c>
      <c r="M35" s="320"/>
      <c r="N35" s="323">
        <f t="shared" ref="N35:N37" si="2">D35-SUM(F35:L35)</f>
        <v>109068057.27403554</v>
      </c>
      <c r="O35" s="320"/>
      <c r="P35" s="328">
        <f t="shared" ref="P35:P38" si="3">R35-D35</f>
        <v>14271243.725964457</v>
      </c>
      <c r="Q35" s="320"/>
      <c r="R35" s="328">
        <f>'SCH B-5'!E13+'SCH B-5'!E15</f>
        <v>123339301</v>
      </c>
    </row>
    <row r="36" spans="1:19" ht="21" customHeight="1">
      <c r="A36" s="317">
        <f>1+A35</f>
        <v>13</v>
      </c>
      <c r="B36" s="332" t="s">
        <v>2044</v>
      </c>
      <c r="C36" s="319"/>
      <c r="D36" s="328">
        <f>'SCH B-5'!G17</f>
        <v>15330015.95195738</v>
      </c>
      <c r="E36" s="320"/>
      <c r="F36" s="323">
        <v>0</v>
      </c>
      <c r="G36" s="320"/>
      <c r="H36" s="323">
        <v>0</v>
      </c>
      <c r="I36" s="320"/>
      <c r="J36" s="323">
        <v>0</v>
      </c>
      <c r="K36" s="320"/>
      <c r="L36" s="323">
        <v>0</v>
      </c>
      <c r="M36" s="320"/>
      <c r="N36" s="323">
        <f t="shared" si="2"/>
        <v>15330015.95195738</v>
      </c>
      <c r="O36" s="320"/>
      <c r="P36" s="328">
        <f t="shared" si="3"/>
        <v>956209.61574366875</v>
      </c>
      <c r="Q36" s="320"/>
      <c r="R36" s="328">
        <f>'SCH B-5'!E17</f>
        <v>16286225.567701049</v>
      </c>
    </row>
    <row r="37" spans="1:19" ht="21" customHeight="1">
      <c r="A37" s="317">
        <f>1+A36</f>
        <v>14</v>
      </c>
      <c r="B37" s="318" t="s">
        <v>2045</v>
      </c>
      <c r="C37" s="319"/>
      <c r="D37" s="328">
        <f>'SCH B-5'!G19+F37</f>
        <v>113981.13937935673</v>
      </c>
      <c r="E37" s="320"/>
      <c r="F37" s="328">
        <f>'ECR ALLOW'!O7*1000</f>
        <v>113981.13937935673</v>
      </c>
      <c r="G37" s="320"/>
      <c r="H37" s="323">
        <v>0</v>
      </c>
      <c r="I37" s="320"/>
      <c r="J37" s="323">
        <v>0</v>
      </c>
      <c r="K37" s="320"/>
      <c r="L37" s="323">
        <v>0</v>
      </c>
      <c r="M37" s="320"/>
      <c r="N37" s="323">
        <f t="shared" si="2"/>
        <v>0</v>
      </c>
      <c r="O37" s="320"/>
      <c r="P37" s="328">
        <f t="shared" si="3"/>
        <v>16024.860620643274</v>
      </c>
      <c r="Q37" s="320"/>
      <c r="R37" s="328">
        <f>'JURISSEP B'!$E$30</f>
        <v>130006</v>
      </c>
      <c r="S37" s="330"/>
    </row>
    <row r="38" spans="1:19" ht="21" customHeight="1">
      <c r="A38" s="317">
        <f>1+A37</f>
        <v>15</v>
      </c>
      <c r="B38" s="318" t="s">
        <v>2669</v>
      </c>
      <c r="C38" s="319"/>
      <c r="D38" s="320">
        <f>'SCH B-5.2 B (1)'!$Q78</f>
        <v>55728923.142540924</v>
      </c>
      <c r="E38" s="320"/>
      <c r="F38" s="320">
        <f ca="1">'SCH B-5.2 B (1)'!$Q80</f>
        <v>2900008.3762499974</v>
      </c>
      <c r="G38" s="320"/>
      <c r="H38" s="320">
        <v>0</v>
      </c>
      <c r="I38" s="320"/>
      <c r="J38" s="320">
        <v>0</v>
      </c>
      <c r="K38" s="320"/>
      <c r="L38" s="320">
        <v>0</v>
      </c>
      <c r="M38" s="320"/>
      <c r="N38" s="320">
        <f ca="1">D38-SUM(F38:L38)</f>
        <v>52828914.766290925</v>
      </c>
      <c r="O38" s="320"/>
      <c r="P38" s="320">
        <f t="shared" si="3"/>
        <v>13134124.09973482</v>
      </c>
      <c r="Q38" s="320"/>
      <c r="R38" s="320">
        <f>'JURISSEP B'!$E$29</f>
        <v>68863047.242275745</v>
      </c>
    </row>
    <row r="39" spans="1:19" ht="21" customHeight="1">
      <c r="A39" s="317">
        <f t="shared" ref="A39" si="4">A38+1</f>
        <v>16</v>
      </c>
      <c r="B39" s="471" t="s">
        <v>2268</v>
      </c>
      <c r="C39" s="345"/>
      <c r="D39" s="345">
        <f>-'SCH B-6'!F18</f>
        <v>62293698</v>
      </c>
      <c r="E39" s="345"/>
      <c r="F39" s="345">
        <f>'SCH B-6'!G18</f>
        <v>62293698</v>
      </c>
      <c r="G39" s="345"/>
      <c r="H39" s="323">
        <v>0</v>
      </c>
      <c r="I39" s="320"/>
      <c r="J39" s="323">
        <v>0</v>
      </c>
      <c r="K39" s="320"/>
      <c r="L39" s="323">
        <v>0</v>
      </c>
      <c r="M39" s="320"/>
      <c r="N39" s="323">
        <f t="shared" ref="N39" si="5">D39-SUM(F39:L39)</f>
        <v>0</v>
      </c>
      <c r="O39" s="320"/>
      <c r="P39" s="328">
        <f t="shared" ref="P39" si="6">R39-D39</f>
        <v>7339924.4276371151</v>
      </c>
      <c r="Q39" s="320"/>
      <c r="R39" s="323">
        <f>-'SCH B-6'!D18</f>
        <v>69633622.427637115</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242534675.5079132</v>
      </c>
      <c r="E41" s="320"/>
      <c r="F41" s="324">
        <f ca="1">SUM(F35:F39)</f>
        <v>65307687.515629351</v>
      </c>
      <c r="G41" s="320"/>
      <c r="H41" s="324">
        <f>SUM(H35:H39)</f>
        <v>0</v>
      </c>
      <c r="I41" s="320"/>
      <c r="J41" s="324">
        <f>SUM(J35:J39)</f>
        <v>0</v>
      </c>
      <c r="K41" s="320"/>
      <c r="L41" s="324">
        <f>SUM(L35:L39)</f>
        <v>0</v>
      </c>
      <c r="M41" s="320"/>
      <c r="N41" s="324">
        <f ca="1">SUM(N35:N39)</f>
        <v>177226987.99228385</v>
      </c>
      <c r="O41" s="320"/>
      <c r="P41" s="324">
        <f>SUM(P35:P39)</f>
        <v>35717526.729700707</v>
      </c>
      <c r="Q41" s="320"/>
      <c r="R41" s="324">
        <f>SUM(R35:R39)</f>
        <v>278252202.23761392</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4864417806.2836103</v>
      </c>
      <c r="E43" s="334"/>
      <c r="F43" s="333">
        <f ca="1">+F32+F41</f>
        <v>1120074355.4094529</v>
      </c>
      <c r="G43" s="334"/>
      <c r="H43" s="333">
        <f>+H32+H41</f>
        <v>4503270.7127433587</v>
      </c>
      <c r="I43" s="334"/>
      <c r="J43" s="333">
        <f>+J32+J41</f>
        <v>58718708.909849226</v>
      </c>
      <c r="K43" s="334"/>
      <c r="L43" s="333">
        <f>+L32+L41</f>
        <v>0</v>
      </c>
      <c r="M43" s="334"/>
      <c r="N43" s="333">
        <f ca="1">+N32+N41</f>
        <v>3681121471.2515645</v>
      </c>
      <c r="O43" s="334"/>
      <c r="P43" s="333">
        <f>+P32+P41</f>
        <v>587331010.47346842</v>
      </c>
      <c r="Q43" s="334"/>
      <c r="R43" s="333">
        <f>+R32+R41</f>
        <v>5451748816.7570782</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-58718708.909849226</v>
      </c>
      <c r="K45" s="320"/>
      <c r="L45" s="323">
        <v>0</v>
      </c>
      <c r="M45" s="320"/>
      <c r="N45" s="323">
        <f t="shared" ref="N45" si="7">D45-SUM(F45:L45)</f>
        <v>58718708.909849226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4864417806.2836103</v>
      </c>
      <c r="E47" s="334"/>
      <c r="F47" s="333">
        <f ca="1">F43+F45</f>
        <v>1120074355.4094529</v>
      </c>
      <c r="G47" s="334"/>
      <c r="H47" s="333">
        <f>H43+H45</f>
        <v>4503270.7127433587</v>
      </c>
      <c r="I47" s="334"/>
      <c r="J47" s="333">
        <f>J43+J45</f>
        <v>0</v>
      </c>
      <c r="K47" s="334"/>
      <c r="L47" s="333">
        <f>L43+L45</f>
        <v>0</v>
      </c>
      <c r="M47" s="334"/>
      <c r="N47" s="333">
        <f ca="1">N43+N45</f>
        <v>3739840180.1614137</v>
      </c>
      <c r="O47" s="334"/>
      <c r="P47" s="333">
        <f>P43+P45</f>
        <v>587331010.47346842</v>
      </c>
      <c r="Q47" s="334"/>
      <c r="R47" s="333">
        <f>R43+R45</f>
        <v>5451748816.7570782</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0.89229999999999998</v>
      </c>
      <c r="E49" s="302"/>
      <c r="F49" s="336">
        <f ca="1">ROUND(F47/$R47,4)</f>
        <v>0.20549999999999999</v>
      </c>
      <c r="G49" s="302"/>
      <c r="H49" s="336">
        <f>ROUND(H47/$R47,4)</f>
        <v>8.0000000000000004E-4</v>
      </c>
      <c r="I49" s="302"/>
      <c r="J49" s="336">
        <f>ROUND(J47/$R47,4)</f>
        <v>0</v>
      </c>
      <c r="K49" s="302"/>
      <c r="L49" s="336">
        <f>ROUND(L47/$R47,4)</f>
        <v>0</v>
      </c>
      <c r="M49" s="302"/>
      <c r="N49" s="336">
        <f ca="1">ROUND(N47/$R47,4)</f>
        <v>0.68600000000000005</v>
      </c>
      <c r="O49" s="302"/>
      <c r="P49" s="336">
        <f>ROUND(P47/$R47,4)</f>
        <v>0.1077</v>
      </c>
      <c r="Q49" s="302"/>
      <c r="R49" s="336">
        <f>ROUND(R47/$R47,4)</f>
        <v>1</v>
      </c>
    </row>
    <row r="50" spans="1:21" ht="18.95" customHeight="1" thickTop="1">
      <c r="A50" s="302"/>
      <c r="C50" s="302"/>
      <c r="E50" s="302"/>
      <c r="F50" s="337"/>
      <c r="G50" s="302"/>
      <c r="I50" s="302"/>
      <c r="K50" s="302"/>
      <c r="M50" s="302"/>
      <c r="N50" s="338"/>
      <c r="O50" s="302"/>
      <c r="Q50" s="302"/>
    </row>
    <row r="51" spans="1:21" ht="18.95" customHeight="1">
      <c r="A51" s="339"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sheetData>
  <mergeCells count="4">
    <mergeCell ref="A5:R5"/>
    <mergeCell ref="A7:R7"/>
    <mergeCell ref="A8:R8"/>
    <mergeCell ref="A9:R9"/>
  </mergeCells>
  <printOptions horizontalCentered="1"/>
  <pageMargins left="0" right="0" top="0.75" bottom="0" header="0.75" footer="0.5"/>
  <pageSetup scale="5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69"/>
  <sheetViews>
    <sheetView zoomScaleNormal="100" workbookViewId="0">
      <selection sqref="A1:H1"/>
    </sheetView>
  </sheetViews>
  <sheetFormatPr defaultColWidth="9" defaultRowHeight="12.75"/>
  <cols>
    <col min="1" max="1" width="6" style="69" customWidth="1"/>
    <col min="2" max="2" width="7.6640625" style="69" customWidth="1"/>
    <col min="3" max="3" width="29.77734375" style="69" customWidth="1"/>
    <col min="4" max="6" width="15.77734375" style="69" customWidth="1"/>
    <col min="7" max="7" width="15.33203125" style="69" customWidth="1"/>
    <col min="8" max="8" width="33" style="69" customWidth="1"/>
    <col min="9" max="9" width="1.6640625" style="69" customWidth="1"/>
    <col min="10" max="10" width="9" style="69"/>
    <col min="11" max="11" width="18" style="69" customWidth="1"/>
    <col min="12" max="16384" width="9" style="69"/>
  </cols>
  <sheetData>
    <row r="1" spans="1:11" s="68" customFormat="1" ht="20.100000000000001" customHeight="1">
      <c r="A1" s="767" t="str">
        <f>'Rate Case Constants'!C9</f>
        <v>KENTUCKY UTILITIES COMPANY</v>
      </c>
      <c r="B1" s="767"/>
      <c r="C1" s="767"/>
      <c r="D1" s="767"/>
      <c r="E1" s="767"/>
      <c r="F1" s="767"/>
      <c r="G1" s="767"/>
      <c r="H1" s="767"/>
    </row>
    <row r="2" spans="1:11" s="68" customFormat="1" ht="20.100000000000001" customHeight="1">
      <c r="A2" s="767" t="str">
        <f>'Rate Case Constants'!C10</f>
        <v>CASE NO. 2018-00294</v>
      </c>
      <c r="B2" s="767"/>
      <c r="C2" s="767"/>
      <c r="D2" s="767"/>
      <c r="E2" s="767"/>
      <c r="F2" s="767"/>
      <c r="G2" s="767"/>
      <c r="H2" s="767"/>
    </row>
    <row r="3" spans="1:11" s="68" customFormat="1" ht="20.100000000000001" customHeight="1">
      <c r="A3" s="767" t="s">
        <v>215</v>
      </c>
      <c r="B3" s="767"/>
      <c r="C3" s="767"/>
      <c r="D3" s="767"/>
      <c r="E3" s="767"/>
      <c r="F3" s="767"/>
      <c r="G3" s="767"/>
      <c r="H3" s="767"/>
    </row>
    <row r="4" spans="1:11" s="68" customFormat="1" ht="20.100000000000001" customHeight="1">
      <c r="A4" s="767" t="str">
        <f>'Rate Case Constants'!C12</f>
        <v>AS OF DECEMBER 31, 2018</v>
      </c>
      <c r="B4" s="767"/>
      <c r="C4" s="767"/>
      <c r="D4" s="767"/>
      <c r="E4" s="767"/>
      <c r="F4" s="767"/>
      <c r="G4" s="767"/>
      <c r="H4" s="767"/>
    </row>
    <row r="5" spans="1:11" s="68" customFormat="1" ht="20.100000000000001" customHeight="1">
      <c r="A5" s="84"/>
      <c r="B5" s="84"/>
      <c r="C5" s="84"/>
      <c r="D5" s="84"/>
      <c r="E5" s="84"/>
      <c r="F5" s="84"/>
      <c r="G5" s="84"/>
      <c r="H5" s="84"/>
    </row>
    <row r="6" spans="1:11" s="68" customFormat="1" ht="20.100000000000001" customHeight="1">
      <c r="A6" s="67" t="s">
        <v>133</v>
      </c>
      <c r="B6" s="67"/>
      <c r="G6" s="74"/>
      <c r="H6" s="74" t="s">
        <v>214</v>
      </c>
    </row>
    <row r="7" spans="1:11" s="68" customFormat="1" ht="20.100000000000001" customHeight="1">
      <c r="A7" s="68" t="str">
        <f>'Rate Case Constants'!C29</f>
        <v>TYPE OF FILING: __X__ ORIGINAL  _____ UPDATED  _____ REVISED</v>
      </c>
      <c r="G7" s="74"/>
      <c r="H7" s="74" t="s">
        <v>177</v>
      </c>
    </row>
    <row r="8" spans="1:11" s="68" customFormat="1" ht="20.100000000000001" customHeight="1">
      <c r="A8" s="67" t="s">
        <v>1198</v>
      </c>
      <c r="B8" s="67"/>
      <c r="F8" s="67"/>
      <c r="G8" s="75"/>
      <c r="H8" s="75" t="str">
        <f>'Rate Case Constants'!C36</f>
        <v>WITNESS:   C. M. GARRETT</v>
      </c>
    </row>
    <row r="9" spans="1:11" s="68" customFormat="1" ht="20.100000000000001" customHeight="1"/>
    <row r="10" spans="1:11" ht="58.5" customHeight="1">
      <c r="A10" s="76" t="s">
        <v>131</v>
      </c>
      <c r="B10" s="76" t="s">
        <v>134</v>
      </c>
      <c r="C10" s="79" t="s">
        <v>135</v>
      </c>
      <c r="D10" s="76" t="s">
        <v>216</v>
      </c>
      <c r="E10" s="76" t="s">
        <v>217</v>
      </c>
      <c r="F10" s="76" t="s">
        <v>218</v>
      </c>
      <c r="G10" s="76" t="s">
        <v>219</v>
      </c>
      <c r="H10" s="76" t="s">
        <v>220</v>
      </c>
      <c r="K10" s="501" t="s">
        <v>2187</v>
      </c>
    </row>
    <row r="11" spans="1:11" ht="23.1" customHeight="1">
      <c r="A11" s="80"/>
      <c r="B11" s="80"/>
      <c r="C11" s="81"/>
      <c r="D11" s="82" t="s">
        <v>142</v>
      </c>
      <c r="E11" s="350"/>
      <c r="F11" s="82" t="s">
        <v>142</v>
      </c>
      <c r="G11" s="82"/>
      <c r="H11" s="82"/>
      <c r="K11" s="421" t="s">
        <v>2184</v>
      </c>
    </row>
    <row r="12" spans="1:11" ht="18.95" customHeight="1">
      <c r="A12" s="282">
        <v>1</v>
      </c>
      <c r="B12" s="390">
        <v>310</v>
      </c>
      <c r="C12" s="67" t="s">
        <v>154</v>
      </c>
      <c r="D12" s="396">
        <f>SUMIFS('FCPIS B'!$R$6:$R$144,'FCPIS B'!$E$6:$E$144,$J12,'FCPIS B'!$C$6:$C$144,$B12)*-1000</f>
        <v>-13041006.0399999</v>
      </c>
      <c r="E12" s="137">
        <f>'SCH B-2.1 B'!E19</f>
        <v>0.87673530496058705</v>
      </c>
      <c r="F12" s="396">
        <f t="shared" ref="F12:F15" si="0">D12*E12</f>
        <v>-11433510.407472171</v>
      </c>
      <c r="H12" s="68" t="s">
        <v>2003</v>
      </c>
      <c r="J12" s="68" t="s">
        <v>2184</v>
      </c>
      <c r="K12" s="88">
        <f>SUMIFS('FCPIS B'!$R$6:$R$136,'FCPIS B'!$E$6:$E$136,$K11)*-1000</f>
        <v>-1425114592.9699988</v>
      </c>
    </row>
    <row r="13" spans="1:11" ht="18.95" customHeight="1">
      <c r="A13" s="282">
        <f>A12+1</f>
        <v>2</v>
      </c>
      <c r="B13" s="390">
        <v>311</v>
      </c>
      <c r="C13" s="67" t="s">
        <v>148</v>
      </c>
      <c r="D13" s="396">
        <f>SUMIFS('FCPIS B'!$R$6:$R$144,'FCPIS B'!$E$6:$E$144,$J13,'FCPIS B'!$C$6:$C$144,$B13)*-1000</f>
        <v>-24803207.66</v>
      </c>
      <c r="E13" s="137">
        <f>'SCH B-2.1 B'!E20</f>
        <v>0.86792899543601409</v>
      </c>
      <c r="F13" s="396">
        <f t="shared" si="0"/>
        <v>-21527423.10793465</v>
      </c>
      <c r="H13" s="68" t="s">
        <v>2003</v>
      </c>
      <c r="J13" s="68" t="s">
        <v>2184</v>
      </c>
      <c r="K13" s="88">
        <f>SUM(D12:D16,D21:D24,D27)-'ECR Exclusion'!$G$6</f>
        <v>-1425114592.9699986</v>
      </c>
    </row>
    <row r="14" spans="1:11" ht="18.95" customHeight="1">
      <c r="A14" s="282">
        <f>A13+1</f>
        <v>3</v>
      </c>
      <c r="B14" s="390">
        <v>312</v>
      </c>
      <c r="C14" s="67" t="s">
        <v>1629</v>
      </c>
      <c r="D14" s="396">
        <f>SUMIFS('FCPIS B'!$R$6:$R$144,'FCPIS B'!$E$6:$E$144,$J14,'FCPIS B'!$C$6:$C$144,$B14)*-1000+'ECR Exclusion'!$G$6</f>
        <v>-1339657379.6799998</v>
      </c>
      <c r="E14" s="137">
        <f>'SCH B-2.1 B'!E21</f>
        <v>0.87020641360608453</v>
      </c>
      <c r="F14" s="396">
        <f t="shared" si="0"/>
        <v>-1165778443.8322573</v>
      </c>
      <c r="H14" s="68" t="s">
        <v>2003</v>
      </c>
      <c r="J14" s="68" t="s">
        <v>2184</v>
      </c>
      <c r="K14" s="88">
        <f>K12-K13</f>
        <v>0</v>
      </c>
    </row>
    <row r="15" spans="1:11" ht="18.95" customHeight="1">
      <c r="A15" s="282">
        <f>A14+1</f>
        <v>4</v>
      </c>
      <c r="B15" s="390">
        <v>315</v>
      </c>
      <c r="C15" s="67" t="s">
        <v>1633</v>
      </c>
      <c r="D15" s="396">
        <f>SUMIFS('FCPIS B'!$R$6:$R$144,'FCPIS B'!$E$6:$E$144,$J15,'FCPIS B'!$C$6:$C$144,$B15)*-1000</f>
        <v>-36312139.769999996</v>
      </c>
      <c r="E15" s="137">
        <f>'SCH B-2.1 B'!E24</f>
        <v>0.86660540394745911</v>
      </c>
      <c r="F15" s="396">
        <f t="shared" si="0"/>
        <v>-31468296.553577442</v>
      </c>
      <c r="H15" s="68" t="s">
        <v>2003</v>
      </c>
      <c r="J15" s="68" t="s">
        <v>2184</v>
      </c>
    </row>
    <row r="16" spans="1:11" ht="18.95" customHeight="1">
      <c r="A16" s="424">
        <f t="shared" ref="A16:A28" si="1">A15+1</f>
        <v>5</v>
      </c>
      <c r="B16" s="423">
        <v>316</v>
      </c>
      <c r="C16" s="78" t="s">
        <v>1635</v>
      </c>
      <c r="D16" s="396">
        <f>SUMIFS('FCPIS B'!$R$6:$R$144,'FCPIS B'!$E$6:$E$144,$J16,'FCPIS B'!$C$6:$C$144,$B16)*-1000</f>
        <v>-824923.38</v>
      </c>
      <c r="E16" s="137">
        <f>'SCH B-2.1 B'!E25</f>
        <v>0.87085188897783883</v>
      </c>
      <c r="F16" s="396">
        <f t="shared" ref="F16" si="2">D16*E16</f>
        <v>-718386.08373498358</v>
      </c>
      <c r="H16" s="68" t="s">
        <v>2003</v>
      </c>
      <c r="J16" s="68" t="s">
        <v>2184</v>
      </c>
      <c r="K16" s="421" t="s">
        <v>2185</v>
      </c>
    </row>
    <row r="17" spans="1:11" ht="18.95" customHeight="1">
      <c r="A17" s="424">
        <f t="shared" si="1"/>
        <v>6</v>
      </c>
      <c r="B17" s="390" t="str">
        <f>'SCH B-2.1 B'!B$26</f>
        <v>317</v>
      </c>
      <c r="C17" s="67" t="str">
        <f>'SCH B-2.1 B'!C$26</f>
        <v>ARO Cost Steam Production</v>
      </c>
      <c r="D17" s="396">
        <f>-'SCH B-2.1 B'!D$26</f>
        <v>-197376730.74999991</v>
      </c>
      <c r="E17" s="137">
        <f>'SCH B-2.1 B'!E$26</f>
        <v>0.87673530496058716</v>
      </c>
      <c r="F17" s="396">
        <f>D17*E17</f>
        <v>-173047148.22622487</v>
      </c>
      <c r="H17" s="68" t="s">
        <v>1417</v>
      </c>
      <c r="J17" s="68" t="s">
        <v>2185</v>
      </c>
      <c r="K17" s="88">
        <f>SUMIFS('FCPIS B'!$R$6:$R$136,'FCPIS B'!$E$6:$E$136,$K16)*-1000</f>
        <v>-199639120.99000004</v>
      </c>
    </row>
    <row r="18" spans="1:11" ht="18.95" customHeight="1">
      <c r="A18" s="424">
        <f t="shared" si="1"/>
        <v>7</v>
      </c>
      <c r="B18" s="390" t="str">
        <f>'SCH B-2.1 B'!B$37</f>
        <v>337</v>
      </c>
      <c r="C18" s="67" t="str">
        <f>'SCH B-2.1 B'!C$37</f>
        <v>ARO Cost Hydro Production</v>
      </c>
      <c r="D18" s="396">
        <f>-'SCH B-2.1 B'!D$37</f>
        <v>-645787.99</v>
      </c>
      <c r="E18" s="137">
        <f>'SCH B-2.1 B'!E$37</f>
        <v>0.87673530496058716</v>
      </c>
      <c r="F18" s="396">
        <f>D18*E18</f>
        <v>-566185.13035253459</v>
      </c>
      <c r="H18" s="68" t="s">
        <v>1417</v>
      </c>
      <c r="J18" s="68" t="s">
        <v>2185</v>
      </c>
      <c r="K18" s="88">
        <f>SUM(D17:D20,D26)</f>
        <v>-199639120.92999992</v>
      </c>
    </row>
    <row r="19" spans="1:11" ht="18.95" customHeight="1">
      <c r="A19" s="424">
        <f t="shared" si="1"/>
        <v>8</v>
      </c>
      <c r="B19" s="423" t="str">
        <f>'SCH B-2.1 B'!B$59</f>
        <v>347</v>
      </c>
      <c r="C19" s="67" t="str">
        <f>'SCH B-2.1 B'!C$59</f>
        <v>ARO Cost Other Production</v>
      </c>
      <c r="D19" s="396">
        <f>-'SCH B-2.1 B'!D$59</f>
        <v>-406991.12</v>
      </c>
      <c r="E19" s="137">
        <f>'SCH B-2.1 B'!E$59</f>
        <v>0.87673530496058716</v>
      </c>
      <c r="F19" s="396">
        <f>D19*E19</f>
        <v>-356823.48370945093</v>
      </c>
      <c r="H19" s="68" t="s">
        <v>1417</v>
      </c>
      <c r="J19" s="68" t="s">
        <v>2185</v>
      </c>
      <c r="K19" s="88">
        <f>K17-K18</f>
        <v>-6.0000121593475342E-2</v>
      </c>
    </row>
    <row r="20" spans="1:11" ht="18.95" customHeight="1">
      <c r="A20" s="424">
        <f t="shared" si="1"/>
        <v>9</v>
      </c>
      <c r="B20" s="390" t="str">
        <f>'SCH B-2.1 B'!B$71</f>
        <v>359</v>
      </c>
      <c r="C20" s="67" t="str">
        <f>'SCH B-2.1 B'!C$71</f>
        <v>ARO Cost Elec Transmission</v>
      </c>
      <c r="D20" s="396">
        <f>-'SCH B-2.1 B'!D$71</f>
        <v>-551323.88</v>
      </c>
      <c r="E20" s="137">
        <f>'SCH B-2.1 B'!E71</f>
        <v>0.95621085870522027</v>
      </c>
      <c r="F20" s="396">
        <f>D20*E20</f>
        <v>-527181.88071949384</v>
      </c>
      <c r="H20" s="68" t="s">
        <v>1417</v>
      </c>
      <c r="J20" s="68" t="s">
        <v>2185</v>
      </c>
    </row>
    <row r="21" spans="1:11" ht="18.95" customHeight="1">
      <c r="A21" s="424">
        <f t="shared" si="1"/>
        <v>10</v>
      </c>
      <c r="B21" s="423">
        <v>364</v>
      </c>
      <c r="C21" s="78" t="s">
        <v>1681</v>
      </c>
      <c r="D21" s="396">
        <f>SUMIFS('FCPIS B'!$R$6:$R$144,'FCPIS B'!$E$6:$E$144,$J21,'FCPIS B'!$C$6:$C$144,$B21)*-1000</f>
        <v>-26531.199999999997</v>
      </c>
      <c r="E21" s="137">
        <f>'SCH B-2.1 B'!E78</f>
        <v>0.92623209835112208</v>
      </c>
      <c r="F21" s="396">
        <f t="shared" ref="F21:F25" si="3">D21*E21</f>
        <v>-24574.049047773289</v>
      </c>
      <c r="H21" s="68" t="s">
        <v>2003</v>
      </c>
      <c r="J21" s="68" t="s">
        <v>2184</v>
      </c>
      <c r="K21" s="421" t="s">
        <v>2186</v>
      </c>
    </row>
    <row r="22" spans="1:11" ht="18.95" customHeight="1">
      <c r="A22" s="424">
        <f t="shared" si="1"/>
        <v>11</v>
      </c>
      <c r="B22" s="423">
        <v>365</v>
      </c>
      <c r="C22" s="78" t="s">
        <v>1670</v>
      </c>
      <c r="D22" s="396">
        <f>SUMIFS('FCPIS B'!$R$6:$R$144,'FCPIS B'!$E$6:$E$144,$J22,'FCPIS B'!$C$6:$C$144,$B22)*-1000</f>
        <v>-23599.41</v>
      </c>
      <c r="E22" s="137">
        <f>'SCH B-2.1 B'!E79</f>
        <v>0.93150329279560695</v>
      </c>
      <c r="F22" s="396">
        <f t="shared" si="3"/>
        <v>-21982.928123033573</v>
      </c>
      <c r="H22" s="68" t="s">
        <v>2003</v>
      </c>
      <c r="J22" s="68" t="s">
        <v>2184</v>
      </c>
      <c r="K22" s="88">
        <f>SUMIFS('FCPIS B'!$R$6:$R$136,'FCPIS B'!$E$6:$E$136,$K21)*-1000</f>
        <v>-9108523.959999999</v>
      </c>
    </row>
    <row r="23" spans="1:11" ht="18.95" customHeight="1">
      <c r="A23" s="424">
        <f t="shared" si="1"/>
        <v>12</v>
      </c>
      <c r="B23" s="423">
        <v>366</v>
      </c>
      <c r="C23" s="78" t="s">
        <v>1672</v>
      </c>
      <c r="D23" s="396">
        <f>SUMIFS('FCPIS B'!$R$6:$R$144,'FCPIS B'!$E$6:$E$144,$J23,'FCPIS B'!$C$6:$C$144,$B23)*-1000</f>
        <v>-171002.52000000002</v>
      </c>
      <c r="E23" s="137">
        <f>'SCH B-2.1 B'!E80</f>
        <v>1</v>
      </c>
      <c r="F23" s="396">
        <f t="shared" si="3"/>
        <v>-171002.52000000002</v>
      </c>
      <c r="H23" s="68" t="s">
        <v>2003</v>
      </c>
      <c r="J23" s="68" t="s">
        <v>2184</v>
      </c>
      <c r="K23" s="88">
        <f>SUM(D28,D25)</f>
        <v>-9108523.959999999</v>
      </c>
    </row>
    <row r="24" spans="1:11" ht="18.95" customHeight="1">
      <c r="A24" s="501">
        <f t="shared" si="1"/>
        <v>13</v>
      </c>
      <c r="B24" s="423">
        <v>367</v>
      </c>
      <c r="C24" s="78" t="s">
        <v>1674</v>
      </c>
      <c r="D24" s="396">
        <f>SUMIFS('FCPIS B'!$R$6:$R$144,'FCPIS B'!$E$6:$E$144,$J24,'FCPIS B'!$C$6:$C$144,$B24)*-1000</f>
        <v>-1326115.3699999999</v>
      </c>
      <c r="E24" s="137">
        <f>'SCH B-2.1 B'!E81</f>
        <v>0.97745961021996142</v>
      </c>
      <c r="F24" s="396">
        <f t="shared" si="3"/>
        <v>-1296224.2126668999</v>
      </c>
      <c r="H24" s="68" t="s">
        <v>2003</v>
      </c>
      <c r="J24" s="68" t="s">
        <v>2184</v>
      </c>
      <c r="K24" s="88">
        <f>K22-K23</f>
        <v>0</v>
      </c>
    </row>
    <row r="25" spans="1:11" ht="18.95" customHeight="1">
      <c r="A25" s="501">
        <f t="shared" si="1"/>
        <v>14</v>
      </c>
      <c r="B25" s="500">
        <v>370</v>
      </c>
      <c r="C25" s="67" t="s">
        <v>1690</v>
      </c>
      <c r="D25" s="396">
        <f>SUMIFS('FCPIS B'!$R$6:$R$144,'FCPIS B'!$E$6:$E$144,$J25,'FCPIS B'!$C$6:$C$144,$B25)*-1000</f>
        <v>-1331333.5999999999</v>
      </c>
      <c r="E25" s="395">
        <v>1</v>
      </c>
      <c r="F25" s="396">
        <f t="shared" si="3"/>
        <v>-1331333.5999999999</v>
      </c>
      <c r="H25" s="68" t="s">
        <v>2004</v>
      </c>
      <c r="J25" s="68" t="s">
        <v>2186</v>
      </c>
    </row>
    <row r="26" spans="1:11" ht="18.95" customHeight="1">
      <c r="A26" s="501">
        <f t="shared" si="1"/>
        <v>15</v>
      </c>
      <c r="B26" s="390" t="str">
        <f>'SCH B-2.1 B'!B$87</f>
        <v>374</v>
      </c>
      <c r="C26" s="67" t="str">
        <f>'SCH B-2.1 B'!C$87</f>
        <v>ARO Cost Elec Distribution</v>
      </c>
      <c r="D26" s="396">
        <f>-'SCH B-2.1 B'!D$87</f>
        <v>-658287.18999999901</v>
      </c>
      <c r="E26" s="137">
        <f>'SCH B-2.1 B'!E$87</f>
        <v>1</v>
      </c>
      <c r="F26" s="396">
        <f>D26*E26</f>
        <v>-658287.18999999901</v>
      </c>
      <c r="H26" s="68" t="s">
        <v>1417</v>
      </c>
      <c r="J26" s="68" t="s">
        <v>2185</v>
      </c>
    </row>
    <row r="27" spans="1:11" ht="18.95" customHeight="1">
      <c r="A27" s="501">
        <f t="shared" si="1"/>
        <v>16</v>
      </c>
      <c r="B27" s="390">
        <v>392</v>
      </c>
      <c r="C27" s="67" t="s">
        <v>155</v>
      </c>
      <c r="D27" s="396">
        <f>SUMIFS('FCPIS B'!$R$6:$R$144,'FCPIS B'!$E$6:$E$144,$J27,'FCPIS B'!$C$6:$C$144,$B27)*-1000</f>
        <v>-19403.82</v>
      </c>
      <c r="E27" s="395">
        <f>'SCH B-2.1 B'!E$104</f>
        <v>0.90503374622094968</v>
      </c>
      <c r="F27" s="396">
        <f t="shared" ref="F27" si="4">D27*E27</f>
        <v>-17561.111905596987</v>
      </c>
      <c r="H27" s="68" t="s">
        <v>2003</v>
      </c>
      <c r="J27" s="68" t="s">
        <v>2184</v>
      </c>
    </row>
    <row r="28" spans="1:11" ht="18.95" customHeight="1">
      <c r="A28" s="501">
        <f t="shared" si="1"/>
        <v>17</v>
      </c>
      <c r="B28" s="390">
        <v>397</v>
      </c>
      <c r="C28" s="67" t="s">
        <v>157</v>
      </c>
      <c r="D28" s="396">
        <f>SUMIFS('FCPIS B'!$R$6:$R$144,'FCPIS B'!$E$6:$E$144,$J28,'FCPIS B'!$C$6:$C$144,$B28)*-1000</f>
        <v>-7777190.3599999994</v>
      </c>
      <c r="E28" s="395">
        <v>1</v>
      </c>
      <c r="F28" s="396">
        <f t="shared" ref="F28" si="5">D28*E28</f>
        <v>-7777190.3599999994</v>
      </c>
      <c r="H28" s="68" t="s">
        <v>2004</v>
      </c>
      <c r="J28" s="68" t="s">
        <v>2186</v>
      </c>
    </row>
    <row r="29" spans="1:11" ht="18.95" customHeight="1">
      <c r="A29" s="300"/>
      <c r="B29" s="390"/>
      <c r="C29" s="67"/>
      <c r="D29" s="396"/>
      <c r="E29" s="395"/>
      <c r="F29" s="396"/>
      <c r="H29" s="68"/>
    </row>
    <row r="30" spans="1:11" ht="18.95" customHeight="1" thickBot="1">
      <c r="A30" s="300">
        <f>A28+1</f>
        <v>18</v>
      </c>
      <c r="B30" s="390"/>
      <c r="C30" s="67" t="s">
        <v>2023</v>
      </c>
      <c r="D30" s="394">
        <f>SUM(D12:D29)</f>
        <v>-1624952953.7399995</v>
      </c>
      <c r="E30" s="395"/>
      <c r="F30" s="394">
        <f>SUM(F12:F29)</f>
        <v>-1416721554.6777258</v>
      </c>
      <c r="H30" s="68"/>
    </row>
    <row r="31" spans="1:11" ht="18.95" customHeight="1" thickTop="1">
      <c r="B31" s="71"/>
      <c r="D31" s="86"/>
    </row>
    <row r="32" spans="1:11" s="68" customFormat="1" ht="20.100000000000001" customHeight="1">
      <c r="A32" s="767" t="str">
        <f>$A$1</f>
        <v>KENTUCKY UTILITIES COMPANY</v>
      </c>
      <c r="B32" s="767"/>
      <c r="C32" s="767"/>
      <c r="D32" s="767"/>
      <c r="E32" s="767"/>
      <c r="F32" s="767"/>
      <c r="G32" s="767"/>
      <c r="H32" s="767"/>
    </row>
    <row r="33" spans="1:11" s="68" customFormat="1" ht="20.100000000000001" customHeight="1">
      <c r="A33" s="767" t="str">
        <f>$A$2</f>
        <v>CASE NO. 2018-00294</v>
      </c>
      <c r="B33" s="767"/>
      <c r="C33" s="767"/>
      <c r="D33" s="767"/>
      <c r="E33" s="767"/>
      <c r="F33" s="767"/>
      <c r="G33" s="767"/>
      <c r="H33" s="767"/>
    </row>
    <row r="34" spans="1:11" s="68" customFormat="1" ht="20.100000000000001" customHeight="1">
      <c r="A34" s="767" t="str">
        <f>$A$3</f>
        <v>PROPOSED ADJUSTMENTS TO PLANT IN SERVICE</v>
      </c>
      <c r="B34" s="767"/>
      <c r="C34" s="767"/>
      <c r="D34" s="767"/>
      <c r="E34" s="767"/>
      <c r="F34" s="767"/>
      <c r="G34" s="767"/>
      <c r="H34" s="767"/>
    </row>
    <row r="35" spans="1:11" s="68" customFormat="1" ht="20.100000000000001" customHeight="1">
      <c r="A35" s="767" t="str">
        <f>'Rate Case Constants'!C18</f>
        <v>AS OF APRIL 30, 2020</v>
      </c>
      <c r="B35" s="767"/>
      <c r="C35" s="767"/>
      <c r="D35" s="767"/>
      <c r="E35" s="767"/>
      <c r="F35" s="767"/>
      <c r="G35" s="767"/>
      <c r="H35" s="767"/>
    </row>
    <row r="36" spans="1:11" s="68" customFormat="1" ht="20.100000000000001" customHeight="1">
      <c r="A36" s="84"/>
      <c r="B36" s="84"/>
      <c r="C36" s="84"/>
      <c r="D36" s="84"/>
      <c r="E36" s="84"/>
      <c r="F36" s="84"/>
      <c r="G36" s="84"/>
      <c r="H36" s="84"/>
    </row>
    <row r="37" spans="1:11" s="68" customFormat="1" ht="20.100000000000001" customHeight="1">
      <c r="A37" s="67" t="s">
        <v>161</v>
      </c>
      <c r="B37" s="67"/>
      <c r="G37" s="74"/>
      <c r="H37" s="74" t="s">
        <v>214</v>
      </c>
    </row>
    <row r="38" spans="1:11" s="68" customFormat="1" ht="20.100000000000001" customHeight="1">
      <c r="A38" s="67" t="str">
        <f>$A$7</f>
        <v>TYPE OF FILING: __X__ ORIGINAL  _____ UPDATED  _____ REVISED</v>
      </c>
      <c r="G38" s="74"/>
      <c r="H38" s="74" t="s">
        <v>185</v>
      </c>
    </row>
    <row r="39" spans="1:11" s="68" customFormat="1" ht="20.100000000000001" customHeight="1">
      <c r="A39" s="67" t="str">
        <f>$A$8</f>
        <v>WORKPAPER REFERENCE NO(S).:</v>
      </c>
      <c r="B39" s="67"/>
      <c r="F39" s="67"/>
      <c r="G39" s="75"/>
      <c r="H39" s="75" t="str">
        <f>$H$8</f>
        <v>WITNESS:   C. M. GARRETT</v>
      </c>
    </row>
    <row r="40" spans="1:11" s="68" customFormat="1" ht="20.100000000000001" customHeight="1"/>
    <row r="41" spans="1:11" ht="58.5" customHeight="1">
      <c r="A41" s="76" t="s">
        <v>131</v>
      </c>
      <c r="B41" s="76" t="s">
        <v>134</v>
      </c>
      <c r="C41" s="79" t="s">
        <v>135</v>
      </c>
      <c r="D41" s="76" t="s">
        <v>216</v>
      </c>
      <c r="E41" s="76" t="s">
        <v>217</v>
      </c>
      <c r="F41" s="76" t="s">
        <v>218</v>
      </c>
      <c r="G41" s="76" t="s">
        <v>219</v>
      </c>
      <c r="H41" s="76" t="s">
        <v>220</v>
      </c>
      <c r="K41" s="420" t="s">
        <v>2187</v>
      </c>
    </row>
    <row r="42" spans="1:11" ht="23.1" customHeight="1">
      <c r="A42" s="80"/>
      <c r="B42" s="80"/>
      <c r="C42" s="81"/>
      <c r="D42" s="82" t="s">
        <v>142</v>
      </c>
      <c r="E42" s="82"/>
      <c r="F42" s="82" t="s">
        <v>142</v>
      </c>
      <c r="G42" s="82"/>
      <c r="H42" s="82"/>
      <c r="K42" s="421" t="s">
        <v>2184</v>
      </c>
    </row>
    <row r="43" spans="1:11" ht="18.95" customHeight="1">
      <c r="A43" s="283">
        <v>1</v>
      </c>
      <c r="B43" s="390">
        <f t="shared" ref="B43:B49" si="6">B12</f>
        <v>310</v>
      </c>
      <c r="C43" s="67" t="s">
        <v>154</v>
      </c>
      <c r="D43" s="396">
        <f>SUMIFS('FCPIS F'!$T$6:$T$136,'FCPIS F'!$E$6:$E$136,$J43,'FCPIS F'!$C$6:$C$136,$B43)*-1000</f>
        <v>-13041006.0399999</v>
      </c>
      <c r="E43" s="137">
        <f>'SCH B-2.1 F'!E19</f>
        <v>0.93741603079505242</v>
      </c>
      <c r="F43" s="396">
        <f t="shared" ref="F43:F46" si="7">D43*E43</f>
        <v>-12224848.119591011</v>
      </c>
      <c r="H43" s="68" t="s">
        <v>2003</v>
      </c>
      <c r="J43" s="68" t="s">
        <v>2184</v>
      </c>
      <c r="K43" s="88">
        <f>SUMIFS('FCPIS F'!$T$6:$T$136,'FCPIS F'!$E$6:$E$136,$K42)*-1000</f>
        <v>-1639995250.3653843</v>
      </c>
    </row>
    <row r="44" spans="1:11" ht="18.95" customHeight="1">
      <c r="A44" s="283">
        <f>A43+1</f>
        <v>2</v>
      </c>
      <c r="B44" s="423">
        <f t="shared" si="6"/>
        <v>311</v>
      </c>
      <c r="C44" s="67" t="s">
        <v>148</v>
      </c>
      <c r="D44" s="396">
        <f>SUMIFS('FCPIS F'!$T$6:$T$136,'FCPIS F'!$E$6:$E$136,$J44,'FCPIS F'!$C$6:$C$136,$B44)*-1000</f>
        <v>-24803207.659999993</v>
      </c>
      <c r="E44" s="137">
        <f>'SCH B-2.1 F'!E20</f>
        <v>0.93447856849089372</v>
      </c>
      <c r="F44" s="396">
        <f t="shared" si="7"/>
        <v>-23178065.988099162</v>
      </c>
      <c r="H44" s="68" t="s">
        <v>2003</v>
      </c>
      <c r="J44" s="68" t="s">
        <v>2184</v>
      </c>
      <c r="K44" s="88">
        <f>SUM(D43:D47,D52:D55,D58)-'ECR Exclusion'!$G$6</f>
        <v>-1639995250.3653843</v>
      </c>
    </row>
    <row r="45" spans="1:11" ht="18.95" customHeight="1">
      <c r="A45" s="283">
        <f>A44+1</f>
        <v>3</v>
      </c>
      <c r="B45" s="423">
        <f t="shared" si="6"/>
        <v>312</v>
      </c>
      <c r="C45" s="67" t="s">
        <v>1629</v>
      </c>
      <c r="D45" s="396">
        <f>SUMIFS('FCPIS F'!$T$6:$T$136,'FCPIS F'!$E$6:$E$136,$J45,'FCPIS F'!$C$6:$C$136,$B45)*-1000+'ECR Exclusion'!$G$6</f>
        <v>-1554538037.0753856</v>
      </c>
      <c r="E45" s="137">
        <f>'SCH B-2.1 F'!E21</f>
        <v>0.93568376102089679</v>
      </c>
      <c r="F45" s="396">
        <f t="shared" si="7"/>
        <v>-1454555997.1807392</v>
      </c>
      <c r="H45" s="68" t="s">
        <v>2003</v>
      </c>
      <c r="J45" s="68" t="s">
        <v>2184</v>
      </c>
      <c r="K45" s="88">
        <f>K43-K44</f>
        <v>0</v>
      </c>
    </row>
    <row r="46" spans="1:11" ht="18.95" customHeight="1">
      <c r="A46" s="283">
        <f>A45+1</f>
        <v>4</v>
      </c>
      <c r="B46" s="423">
        <f t="shared" si="6"/>
        <v>315</v>
      </c>
      <c r="C46" s="67" t="s">
        <v>1633</v>
      </c>
      <c r="D46" s="396">
        <f>SUMIFS('FCPIS F'!$T$6:$T$136,'FCPIS F'!$E$6:$E$136,$J46,'FCPIS F'!$C$6:$C$136,$B46)*-1000</f>
        <v>-36312139.770000003</v>
      </c>
      <c r="E46" s="137">
        <f>'SCH B-2.1 F'!E24</f>
        <v>0.93374091873922915</v>
      </c>
      <c r="F46" s="396">
        <f t="shared" si="7"/>
        <v>-33906130.750227101</v>
      </c>
      <c r="H46" s="68" t="s">
        <v>2003</v>
      </c>
      <c r="J46" s="68" t="s">
        <v>2184</v>
      </c>
    </row>
    <row r="47" spans="1:11" ht="18.95" customHeight="1">
      <c r="A47" s="424">
        <f t="shared" ref="A47:A59" si="8">A46+1</f>
        <v>5</v>
      </c>
      <c r="B47" s="423">
        <f t="shared" si="6"/>
        <v>316</v>
      </c>
      <c r="C47" s="78" t="s">
        <v>1635</v>
      </c>
      <c r="D47" s="396">
        <f>SUMIFS('FCPIS F'!$T$6:$T$136,'FCPIS F'!$E$6:$E$136,$J47,'FCPIS F'!$C$6:$C$136,$B47)*-1000</f>
        <v>-824923.38000000012</v>
      </c>
      <c r="E47" s="137">
        <f>'SCH B-2.1 F'!E25</f>
        <v>0.9354754901737018</v>
      </c>
      <c r="F47" s="396">
        <f t="shared" ref="F47" si="9">D47*E47</f>
        <v>-771695.60326124693</v>
      </c>
      <c r="H47" s="68" t="s">
        <v>2003</v>
      </c>
      <c r="J47" s="68" t="s">
        <v>2184</v>
      </c>
      <c r="K47" s="421" t="s">
        <v>2185</v>
      </c>
    </row>
    <row r="48" spans="1:11" ht="18.95" customHeight="1">
      <c r="A48" s="424">
        <f t="shared" si="8"/>
        <v>6</v>
      </c>
      <c r="B48" s="423" t="str">
        <f t="shared" si="6"/>
        <v>317</v>
      </c>
      <c r="C48" s="67" t="str">
        <f>'SCH B-2.1 F'!C$26</f>
        <v>ARO Cost Steam Production</v>
      </c>
      <c r="D48" s="396">
        <f>-'SCH B-2.1 F'!D$26</f>
        <v>-178310652.40384617</v>
      </c>
      <c r="E48" s="137">
        <f>'SCH B-2.1 F'!E$26</f>
        <v>0.93741603079505254</v>
      </c>
      <c r="F48" s="396">
        <f>D48*E48</f>
        <v>-167151264.02488977</v>
      </c>
      <c r="H48" s="68" t="s">
        <v>1417</v>
      </c>
      <c r="J48" s="68" t="s">
        <v>2185</v>
      </c>
      <c r="K48" s="88">
        <f>SUMIFS('FCPIS F'!$T$6:$T$136,'FCPIS F'!$E$6:$E$136,$K47)*-1000</f>
        <v>-180573042.58384618</v>
      </c>
    </row>
    <row r="49" spans="1:11" ht="18.95" customHeight="1">
      <c r="A49" s="424">
        <f t="shared" si="8"/>
        <v>7</v>
      </c>
      <c r="B49" s="423" t="str">
        <f t="shared" si="6"/>
        <v>337</v>
      </c>
      <c r="C49" s="67" t="str">
        <f>'SCH B-2.1 F'!C$37</f>
        <v>ARO Cost Hydro Production</v>
      </c>
      <c r="D49" s="396">
        <f>-'SCH B-2.1 F'!D$37</f>
        <v>-645787.98999999987</v>
      </c>
      <c r="E49" s="137">
        <f>'SCH B-2.1 F'!E$37</f>
        <v>0.93741603079505242</v>
      </c>
      <c r="F49" s="396">
        <f>D49*E49</f>
        <v>-605372.01432091487</v>
      </c>
      <c r="H49" s="68" t="s">
        <v>1417</v>
      </c>
      <c r="J49" s="68" t="s">
        <v>2185</v>
      </c>
      <c r="K49" s="88">
        <f>SUM(D48:D51,D57)</f>
        <v>-180573042.58384618</v>
      </c>
    </row>
    <row r="50" spans="1:11" ht="18.95" customHeight="1">
      <c r="A50" s="424">
        <f t="shared" si="8"/>
        <v>8</v>
      </c>
      <c r="B50" s="423" t="str">
        <f>'SCH B-2.1 B'!B$59</f>
        <v>347</v>
      </c>
      <c r="C50" s="67" t="str">
        <f>'SCH B-2.1 F'!C$59</f>
        <v>ARO Cost Other Production</v>
      </c>
      <c r="D50" s="396">
        <f>-'SCH B-2.1 F'!D$59</f>
        <v>-406991.12</v>
      </c>
      <c r="E50" s="137">
        <f>'SCH B-2.1 F'!E$59</f>
        <v>0.93741603079505242</v>
      </c>
      <c r="F50" s="396">
        <f>D50*E50</f>
        <v>-381520.00027923286</v>
      </c>
      <c r="H50" s="68" t="s">
        <v>1417</v>
      </c>
      <c r="J50" s="68" t="s">
        <v>2185</v>
      </c>
      <c r="K50" s="88">
        <f>K48-K49</f>
        <v>0</v>
      </c>
    </row>
    <row r="51" spans="1:11" ht="18.95" customHeight="1">
      <c r="A51" s="424">
        <f t="shared" si="8"/>
        <v>9</v>
      </c>
      <c r="B51" s="423" t="str">
        <f>B20</f>
        <v>359</v>
      </c>
      <c r="C51" s="67" t="str">
        <f>'SCH B-2.1 F'!C$71</f>
        <v>ARO Cost Elec Transmission</v>
      </c>
      <c r="D51" s="396">
        <f>-'SCH B-2.1 F'!D$71</f>
        <v>-551323.88</v>
      </c>
      <c r="E51" s="137">
        <f>'SCH B-2.1 F'!E$71</f>
        <v>0.95621085870522027</v>
      </c>
      <c r="F51" s="396">
        <f>D51*E51</f>
        <v>-527181.88071949384</v>
      </c>
      <c r="H51" s="68" t="s">
        <v>1417</v>
      </c>
      <c r="J51" s="68" t="s">
        <v>2185</v>
      </c>
    </row>
    <row r="52" spans="1:11" ht="18.95" customHeight="1">
      <c r="A52" s="424">
        <f t="shared" si="8"/>
        <v>10</v>
      </c>
      <c r="B52" s="423">
        <f>B21</f>
        <v>364</v>
      </c>
      <c r="C52" s="78" t="s">
        <v>1681</v>
      </c>
      <c r="D52" s="396">
        <f>SUMIFS('FCPIS F'!$T$6:$T$136,'FCPIS F'!$E$6:$E$136,$J52,'FCPIS F'!$C$6:$C$136,$B52)*-1000</f>
        <v>-26531.200000000008</v>
      </c>
      <c r="E52" s="137">
        <f>'SCH B-2.1 F'!E78</f>
        <v>0.92828133450534078</v>
      </c>
      <c r="F52" s="396">
        <f t="shared" ref="F52:F56" si="10">D52*E52</f>
        <v>-24628.417742028105</v>
      </c>
      <c r="H52" s="68" t="s">
        <v>2003</v>
      </c>
      <c r="J52" s="68" t="s">
        <v>2184</v>
      </c>
      <c r="K52" s="421" t="s">
        <v>2186</v>
      </c>
    </row>
    <row r="53" spans="1:11" ht="18.95" customHeight="1">
      <c r="A53" s="424">
        <f t="shared" si="8"/>
        <v>11</v>
      </c>
      <c r="B53" s="423">
        <f>B22</f>
        <v>365</v>
      </c>
      <c r="C53" s="78" t="s">
        <v>1670</v>
      </c>
      <c r="D53" s="396">
        <f>SUMIFS('FCPIS F'!$T$6:$T$136,'FCPIS F'!$E$6:$E$136,$J53,'FCPIS F'!$C$6:$C$136,$B53)*-1000</f>
        <v>-23599.41</v>
      </c>
      <c r="E53" s="137">
        <f>'SCH B-2.1 F'!E79</f>
        <v>0.9316016122299462</v>
      </c>
      <c r="F53" s="396">
        <f t="shared" si="10"/>
        <v>-21985.248403675516</v>
      </c>
      <c r="H53" s="68" t="s">
        <v>2003</v>
      </c>
      <c r="J53" s="68" t="s">
        <v>2184</v>
      </c>
      <c r="K53" s="88">
        <f>SUMIFS('FCPIS F'!$T$5:$T$226,'FCPIS F'!$E$5:$E$226,$K52)*-1000</f>
        <v>-9302786.7492307667</v>
      </c>
    </row>
    <row r="54" spans="1:11" ht="18.95" customHeight="1">
      <c r="A54" s="643">
        <f t="shared" si="8"/>
        <v>12</v>
      </c>
      <c r="B54" s="423">
        <f>B23</f>
        <v>366</v>
      </c>
      <c r="C54" s="78" t="s">
        <v>1672</v>
      </c>
      <c r="D54" s="396">
        <f>SUMIFS('FCPIS F'!$T$6:$T$136,'FCPIS F'!$E$6:$E$136,$J54,'FCPIS F'!$C$6:$C$136,$B54)*-1000</f>
        <v>-171002.52000000002</v>
      </c>
      <c r="E54" s="137">
        <f>'SCH B-2.1 F'!E80</f>
        <v>1</v>
      </c>
      <c r="F54" s="396">
        <f t="shared" si="10"/>
        <v>-171002.52000000002</v>
      </c>
      <c r="H54" s="68" t="s">
        <v>2003</v>
      </c>
      <c r="J54" s="68" t="s">
        <v>2184</v>
      </c>
      <c r="K54" s="88">
        <f>SUM(D59,D56)</f>
        <v>-9302786.7492307685</v>
      </c>
    </row>
    <row r="55" spans="1:11" ht="18.95" customHeight="1">
      <c r="A55" s="643">
        <f t="shared" si="8"/>
        <v>13</v>
      </c>
      <c r="B55" s="423">
        <f>B24</f>
        <v>367</v>
      </c>
      <c r="C55" s="78" t="s">
        <v>1674</v>
      </c>
      <c r="D55" s="396">
        <f>SUMIFS('FCPIS F'!$T$6:$T$136,'FCPIS F'!$E$6:$E$136,$J55,'FCPIS F'!$C$6:$C$136,$B55)*-1000</f>
        <v>-1326115.3699999996</v>
      </c>
      <c r="E55" s="137">
        <f>'SCH B-2.1 F'!E81</f>
        <v>0.97686540227745411</v>
      </c>
      <c r="F55" s="396">
        <f t="shared" si="10"/>
        <v>-1295436.2243813646</v>
      </c>
      <c r="H55" s="68" t="s">
        <v>2003</v>
      </c>
      <c r="J55" s="68" t="s">
        <v>2184</v>
      </c>
      <c r="K55" s="88">
        <f>K53-K54</f>
        <v>0</v>
      </c>
    </row>
    <row r="56" spans="1:11" ht="18.95" customHeight="1">
      <c r="A56" s="643">
        <f t="shared" si="8"/>
        <v>14</v>
      </c>
      <c r="B56" s="642">
        <v>370</v>
      </c>
      <c r="C56" s="67" t="s">
        <v>1690</v>
      </c>
      <c r="D56" s="396">
        <f>SUMIFS('FCPIS F'!$T$6:$T$136,'FCPIS F'!$E$6:$E$136,$J56,'FCPIS F'!$C$6:$C$136,$B56)*-1000</f>
        <v>-1331333.5999999996</v>
      </c>
      <c r="E56" s="395">
        <v>1</v>
      </c>
      <c r="F56" s="396">
        <f t="shared" si="10"/>
        <v>-1331333.5999999996</v>
      </c>
      <c r="H56" s="68" t="s">
        <v>2004</v>
      </c>
      <c r="J56" s="68" t="s">
        <v>2186</v>
      </c>
    </row>
    <row r="57" spans="1:11" ht="18.95" customHeight="1">
      <c r="A57" s="643">
        <f t="shared" si="8"/>
        <v>15</v>
      </c>
      <c r="B57" s="423" t="str">
        <f>B26</f>
        <v>374</v>
      </c>
      <c r="C57" s="67" t="str">
        <f>'SCH B-2.1 F'!C$87</f>
        <v>ARO Cost Elec Distribution</v>
      </c>
      <c r="D57" s="396">
        <f>-'SCH B-2.1 F'!D$87</f>
        <v>-658287.18999999994</v>
      </c>
      <c r="E57" s="137">
        <f>'SCH B-2.1 F'!E$87</f>
        <v>1</v>
      </c>
      <c r="F57" s="396">
        <f>D57*E57</f>
        <v>-658287.18999999994</v>
      </c>
      <c r="H57" s="68" t="s">
        <v>1417</v>
      </c>
      <c r="J57" s="68" t="s">
        <v>2185</v>
      </c>
    </row>
    <row r="58" spans="1:11" ht="18.95" customHeight="1">
      <c r="A58" s="643">
        <f t="shared" si="8"/>
        <v>16</v>
      </c>
      <c r="B58" s="423">
        <f>B27</f>
        <v>392</v>
      </c>
      <c r="C58" s="67" t="s">
        <v>155</v>
      </c>
      <c r="D58" s="396">
        <f>SUMIFS('FCPIS F'!$T$6:$T$136,'FCPIS F'!$E$6:$E$136,$J58,'FCPIS F'!$C$6:$C$136,$B58)*-1000</f>
        <v>-19403.82</v>
      </c>
      <c r="E58" s="395">
        <f>'SCH B-2.1 F'!E$104</f>
        <v>0.94069865484010706</v>
      </c>
      <c r="F58" s="396">
        <f t="shared" ref="F58:F59" si="11">D58*E58</f>
        <v>-18253.147372759566</v>
      </c>
      <c r="H58" s="68" t="s">
        <v>2003</v>
      </c>
      <c r="J58" s="68" t="s">
        <v>2184</v>
      </c>
    </row>
    <row r="59" spans="1:11" ht="18.95" customHeight="1">
      <c r="A59" s="643">
        <f t="shared" si="8"/>
        <v>17</v>
      </c>
      <c r="B59" s="423">
        <f>B28</f>
        <v>397</v>
      </c>
      <c r="C59" s="67" t="s">
        <v>157</v>
      </c>
      <c r="D59" s="396">
        <f>SUMIFS('FCPIS F'!$T$6:$T$136,'FCPIS F'!$E$6:$E$136,$J59,'FCPIS F'!$C$6:$C$136,$B59)*-1000</f>
        <v>-7971453.149230768</v>
      </c>
      <c r="E59" s="395">
        <v>1</v>
      </c>
      <c r="F59" s="396">
        <f t="shared" si="11"/>
        <v>-7971453.149230768</v>
      </c>
      <c r="H59" s="68" t="s">
        <v>2004</v>
      </c>
      <c r="J59" s="68" t="s">
        <v>2186</v>
      </c>
    </row>
    <row r="60" spans="1:11" ht="18.95" customHeight="1"/>
    <row r="61" spans="1:11" ht="18.95" customHeight="1" thickBot="1">
      <c r="A61" s="300">
        <f>A59+1</f>
        <v>18</v>
      </c>
      <c r="B61" s="390"/>
      <c r="C61" s="67" t="s">
        <v>2023</v>
      </c>
      <c r="D61" s="394">
        <f>SUM(D43:D60)</f>
        <v>-1820961795.5784624</v>
      </c>
      <c r="E61" s="395"/>
      <c r="F61" s="394">
        <f>SUM(F43:F60)</f>
        <v>-1704794455.0592575</v>
      </c>
      <c r="H61" s="68"/>
    </row>
    <row r="62" spans="1:11" ht="18.95" customHeight="1" thickTop="1"/>
    <row r="63" spans="1:11" ht="18.95" customHeight="1"/>
    <row r="64" spans="1:11" ht="18.95" customHeight="1"/>
    <row r="65" ht="18.95" customHeight="1"/>
    <row r="66" ht="18.95" customHeight="1"/>
    <row r="67" ht="18.95" customHeight="1"/>
    <row r="68" ht="18.95" customHeight="1"/>
    <row r="69" ht="18.95" customHeight="1"/>
  </sheetData>
  <mergeCells count="8">
    <mergeCell ref="A34:H34"/>
    <mergeCell ref="A35:H35"/>
    <mergeCell ref="A1:H1"/>
    <mergeCell ref="A2:H2"/>
    <mergeCell ref="A3:H3"/>
    <mergeCell ref="A4:H4"/>
    <mergeCell ref="A32:H32"/>
    <mergeCell ref="A33:H33"/>
  </mergeCells>
  <pageMargins left="0.95" right="0.5" top="0.75" bottom="0.75" header="0.3" footer="0.3"/>
  <pageSetup scale="65" fitToHeight="0" orientation="portrait" r:id="rId1"/>
  <rowBreaks count="1" manualBreakCount="1">
    <brk id="3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6640625" style="69" customWidth="1"/>
    <col min="6" max="6" width="14.77734375" style="69" customWidth="1"/>
    <col min="7" max="7" width="13.6640625" style="69" customWidth="1"/>
    <col min="8" max="8" width="14.77734375" style="69" customWidth="1"/>
    <col min="9" max="9" width="1.6640625" style="69" customWidth="1"/>
    <col min="10" max="16384" width="9" style="69"/>
  </cols>
  <sheetData>
    <row r="1" spans="1:8" s="68" customFormat="1" ht="20.100000000000001" customHeight="1">
      <c r="A1" s="767" t="str">
        <f>'Rate Case Constants'!C9</f>
        <v>KENTUCKY UTILITIES COMPANY</v>
      </c>
      <c r="B1" s="767"/>
      <c r="C1" s="767"/>
      <c r="D1" s="767"/>
      <c r="E1" s="767"/>
      <c r="F1" s="767"/>
      <c r="G1" s="767"/>
      <c r="H1" s="767"/>
    </row>
    <row r="2" spans="1:8" s="68" customFormat="1" ht="20.100000000000001" customHeight="1">
      <c r="A2" s="767" t="str">
        <f>'Rate Case Constants'!C10</f>
        <v>CASE NO. 2018-00294</v>
      </c>
      <c r="B2" s="767"/>
      <c r="C2" s="767"/>
      <c r="D2" s="767"/>
      <c r="E2" s="767"/>
      <c r="F2" s="767"/>
      <c r="G2" s="767"/>
      <c r="H2" s="767"/>
    </row>
    <row r="3" spans="1:8" s="68" customFormat="1" ht="20.100000000000001" customHeight="1">
      <c r="A3" s="767" t="s">
        <v>132</v>
      </c>
      <c r="B3" s="767"/>
      <c r="C3" s="767"/>
      <c r="D3" s="767"/>
      <c r="E3" s="767"/>
      <c r="F3" s="767"/>
      <c r="G3" s="767"/>
      <c r="H3" s="767"/>
    </row>
    <row r="4" spans="1:8" s="68" customFormat="1" ht="20.100000000000001" customHeight="1">
      <c r="A4" s="767" t="str">
        <f>'Rate Case Constants'!C14</f>
        <v>FROM JANUARY 1, 2018 TO DECEMBER 31, 2018</v>
      </c>
      <c r="B4" s="767"/>
      <c r="C4" s="767"/>
      <c r="D4" s="767"/>
      <c r="E4" s="767"/>
      <c r="F4" s="767"/>
      <c r="G4" s="767"/>
      <c r="H4" s="767"/>
    </row>
    <row r="5" spans="1:8" s="68" customFormat="1" ht="20.100000000000001" customHeight="1">
      <c r="A5" s="83"/>
      <c r="B5" s="83"/>
      <c r="C5" s="83"/>
      <c r="D5" s="83"/>
      <c r="E5" s="83"/>
      <c r="F5" s="83"/>
      <c r="G5" s="83"/>
      <c r="H5" s="83"/>
    </row>
    <row r="6" spans="1:8" s="68" customFormat="1" ht="20.100000000000001" customHeight="1">
      <c r="A6" s="67" t="s">
        <v>133</v>
      </c>
      <c r="B6" s="67"/>
      <c r="G6" s="74"/>
      <c r="H6" s="74" t="s">
        <v>139</v>
      </c>
    </row>
    <row r="7" spans="1:8" s="68" customFormat="1" ht="20.100000000000001" customHeight="1">
      <c r="A7" s="68" t="str">
        <f>'Rate Case Constants'!C29</f>
        <v>TYPE OF FILING: __X__ ORIGINAL  _____ UPDATED  _____ REVISED</v>
      </c>
      <c r="G7" s="74"/>
      <c r="H7" s="74" t="s">
        <v>173</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134</v>
      </c>
      <c r="C10" s="79" t="s">
        <v>135</v>
      </c>
      <c r="D10" s="76" t="s">
        <v>136</v>
      </c>
      <c r="E10" s="76" t="s">
        <v>137</v>
      </c>
      <c r="F10" s="76" t="s">
        <v>138</v>
      </c>
      <c r="G10" s="76" t="s">
        <v>140</v>
      </c>
      <c r="H10" s="76" t="s">
        <v>141</v>
      </c>
    </row>
    <row r="11" spans="1:8" ht="23.1" customHeight="1">
      <c r="A11" s="80"/>
      <c r="B11" s="80"/>
      <c r="C11" s="81"/>
      <c r="D11" s="82" t="s">
        <v>142</v>
      </c>
      <c r="E11" s="82" t="s">
        <v>142</v>
      </c>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SUMIFS('PIS B'!$D$11:$D$338,'PIS B'!$B$11:$B$338,'SCH B-2.3 B'!$B13)</f>
        <v>44455.58</v>
      </c>
      <c r="E13" s="86">
        <f>SUMIFS('PIS B'!$F$11:$F$338,'PIS B'!$B$11:$B$338,'SCH B-2.3 B'!$B13)</f>
        <v>0</v>
      </c>
      <c r="F13" s="86">
        <f>SUMIFS('PIS B'!$H$11:$H$338,'PIS B'!$B$11:$B$338,'SCH B-2.3 B'!$B13)</f>
        <v>0</v>
      </c>
      <c r="G13" s="86">
        <f>SUMIFS('PIS B'!$J$11:$J$338,'PIS B'!$B$11:$B$338,'SCH B-2.3 B'!$B13)</f>
        <v>0</v>
      </c>
      <c r="H13" s="86">
        <f>SUM(D13:G13)</f>
        <v>44455.58</v>
      </c>
    </row>
    <row r="14" spans="1:8" ht="18.95" customHeight="1">
      <c r="A14" s="70">
        <f t="shared" ref="A14:A88" si="0">A13+1</f>
        <v>3</v>
      </c>
      <c r="B14" s="71" t="s">
        <v>1622</v>
      </c>
      <c r="C14" s="78" t="s">
        <v>1623</v>
      </c>
      <c r="D14" s="86">
        <f>SUMIFS('PIS B'!$D$11:$D$338,'PIS B'!$B$11:$B$338,'SCH B-2.3 B'!$B14)</f>
        <v>55918.83</v>
      </c>
      <c r="E14" s="86">
        <f>SUMIFS('PIS B'!$F$11:$F$338,'PIS B'!$B$11:$B$338,'SCH B-2.3 B'!$B14)</f>
        <v>0</v>
      </c>
      <c r="F14" s="87">
        <f>SUMIFS('PIS B'!$H$11:$H$338,'PIS B'!$B$11:$B$338,'SCH B-2.3 B'!$B14)</f>
        <v>0</v>
      </c>
      <c r="G14" s="87">
        <f>SUMIFS('PIS B'!$J$11:$J$338,'PIS B'!$B$11:$B$338,'SCH B-2.3 B'!$B14)</f>
        <v>0</v>
      </c>
      <c r="H14" s="87">
        <f t="shared" ref="H14:H15" si="1">SUM(D14:G14)</f>
        <v>55918.83</v>
      </c>
    </row>
    <row r="15" spans="1:8" ht="18.95" customHeight="1">
      <c r="A15" s="70">
        <f t="shared" si="0"/>
        <v>4</v>
      </c>
      <c r="B15" s="71" t="s">
        <v>1624</v>
      </c>
      <c r="C15" s="78" t="s">
        <v>1625</v>
      </c>
      <c r="D15" s="89">
        <f>SUMIFS('PIS B'!$D$11:$D$338,'PIS B'!$B$11:$B$338,'SCH B-2.3 B'!$B15)</f>
        <v>118588359.95</v>
      </c>
      <c r="E15" s="89">
        <f>SUMIFS('PIS B'!$F$11:$F$338,'PIS B'!$B$11:$B$338,'SCH B-2.3 B'!$B15)</f>
        <v>20286054.979999997</v>
      </c>
      <c r="F15" s="89">
        <f>SUMIFS('PIS B'!$H$11:$H$338,'PIS B'!$B$11:$B$338,'SCH B-2.3 B'!$B15)</f>
        <v>-7125529.3799999896</v>
      </c>
      <c r="G15" s="89">
        <f>SUMIFS('PIS B'!$J$11:$J$338,'PIS B'!$B$11:$B$338,'SCH B-2.3 B'!$B15)</f>
        <v>0</v>
      </c>
      <c r="H15" s="89">
        <f t="shared" si="1"/>
        <v>131748885.55000001</v>
      </c>
    </row>
    <row r="16" spans="1:8" ht="18.95" customHeight="1">
      <c r="A16" s="70">
        <f t="shared" si="0"/>
        <v>5</v>
      </c>
      <c r="B16" s="70"/>
      <c r="C16" s="78" t="s">
        <v>143</v>
      </c>
      <c r="D16" s="86">
        <f>SUM(D13:D15)</f>
        <v>118688734.36</v>
      </c>
      <c r="E16" s="86">
        <f>SUM(E13:E15)</f>
        <v>20286054.979999997</v>
      </c>
      <c r="F16" s="86">
        <f>SUM(F13:F15)</f>
        <v>-7125529.3799999896</v>
      </c>
      <c r="G16" s="86">
        <f>SUM(G13:G15)</f>
        <v>0</v>
      </c>
      <c r="H16" s="86">
        <f>SUM(H13:H15)</f>
        <v>131849259.96000001</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SUMIFS('PIS B'!$D$11:$D$338,'PIS B'!$B$11:$B$338,'SCH B-2.3 B'!$B19)</f>
        <v>24171385.919999901</v>
      </c>
      <c r="E19" s="88">
        <f>SUMIFS('PIS B'!$F$11:$F$338,'PIS B'!$B$11:$B$338,'SCH B-2.3 B'!$B19)</f>
        <v>275961.96999999997</v>
      </c>
      <c r="F19" s="88">
        <f>SUMIFS('PIS B'!$H$11:$H$338,'PIS B'!$B$11:$B$338,'SCH B-2.3 B'!$B19)</f>
        <v>0</v>
      </c>
      <c r="G19" s="88">
        <f>SUMIFS('PIS B'!$J$11:$J$338,'PIS B'!$B$11:$B$338,'SCH B-2.3 B'!$B19)</f>
        <v>0</v>
      </c>
      <c r="H19" s="88">
        <f t="shared" ref="H19:H26" si="2">SUM(D19:G19)</f>
        <v>24447347.8899999</v>
      </c>
    </row>
    <row r="20" spans="1:8" ht="18" customHeight="1">
      <c r="A20" s="70">
        <f t="shared" si="0"/>
        <v>8</v>
      </c>
      <c r="B20" s="71" t="s">
        <v>1627</v>
      </c>
      <c r="C20" s="78" t="s">
        <v>148</v>
      </c>
      <c r="D20" s="88">
        <f>SUMIFS('PIS B'!$D$11:$D$338,'PIS B'!$B$11:$B$338,'SCH B-2.3 B'!$B20)</f>
        <v>351757110.73000002</v>
      </c>
      <c r="E20" s="88">
        <f>SUMIFS('PIS B'!$F$11:$F$338,'PIS B'!$B$11:$B$338,'SCH B-2.3 B'!$B20)</f>
        <v>3680625.5299999984</v>
      </c>
      <c r="F20" s="88">
        <f>SUMIFS('PIS B'!$H$11:$H$338,'PIS B'!$B$11:$B$338,'SCH B-2.3 B'!$B20)</f>
        <v>-34696.36</v>
      </c>
      <c r="G20" s="88">
        <f>SUMIFS('PIS B'!$J$11:$J$338,'PIS B'!$B$11:$B$338,'SCH B-2.3 B'!$B20)</f>
        <v>2066298.3999999997</v>
      </c>
      <c r="H20" s="88">
        <f t="shared" si="2"/>
        <v>357469338.29999995</v>
      </c>
    </row>
    <row r="21" spans="1:8" ht="18.95" customHeight="1">
      <c r="A21" s="70">
        <f t="shared" si="0"/>
        <v>9</v>
      </c>
      <c r="B21" s="71" t="s">
        <v>1628</v>
      </c>
      <c r="C21" s="78" t="s">
        <v>1629</v>
      </c>
      <c r="D21" s="88">
        <f>SUMIFS('PIS B'!$D$11:$D$338,'PIS B'!$B$11:$B$338,'SCH B-2.3 B'!$B21)</f>
        <v>3968896484.9799895</v>
      </c>
      <c r="E21" s="88">
        <f>SUMIFS('PIS B'!$F$11:$F$338,'PIS B'!$B$11:$B$338,'SCH B-2.3 B'!$B21)</f>
        <v>139516890.51998976</v>
      </c>
      <c r="F21" s="88">
        <f>SUMIFS('PIS B'!$H$11:$H$338,'PIS B'!$B$11:$B$338,'SCH B-2.3 B'!$B21)</f>
        <v>-7387110.2299999893</v>
      </c>
      <c r="G21" s="88">
        <f>SUMIFS('PIS B'!$J$11:$J$338,'PIS B'!$B$11:$B$338,'SCH B-2.3 B'!$B21)</f>
        <v>-706125.60000000009</v>
      </c>
      <c r="H21" s="88">
        <f t="shared" si="2"/>
        <v>4100320139.6699796</v>
      </c>
    </row>
    <row r="22" spans="1:8" ht="18.95" customHeight="1">
      <c r="A22" s="70">
        <f>A20+1</f>
        <v>9</v>
      </c>
      <c r="B22" s="71">
        <v>313</v>
      </c>
      <c r="C22" s="78" t="s">
        <v>144</v>
      </c>
      <c r="D22" s="88">
        <f>SUMIFS('PIS B'!$D$11:$D$338,'PIS B'!$B$11:$B$338,'SCH B-2.3 B'!$B22)</f>
        <v>0</v>
      </c>
      <c r="E22" s="88">
        <f>SUMIFS('PIS B'!$F$11:$F$338,'PIS B'!$B$11:$B$338,'SCH B-2.3 B'!$B22)</f>
        <v>0</v>
      </c>
      <c r="F22" s="88">
        <f>SUMIFS('PIS B'!$H$11:$H$338,'PIS B'!$B$11:$B$338,'SCH B-2.3 B'!$B22)</f>
        <v>0</v>
      </c>
      <c r="G22" s="88">
        <f>SUMIFS('PIS B'!$J$11:$J$338,'PIS B'!$B$11:$B$338,'SCH B-2.3 B'!$B22)</f>
        <v>0</v>
      </c>
      <c r="H22" s="88">
        <f t="shared" ref="H22" si="3">SUM(D22:G22)</f>
        <v>0</v>
      </c>
    </row>
    <row r="23" spans="1:8" ht="18.95" customHeight="1">
      <c r="A23" s="70">
        <f>A21+1</f>
        <v>10</v>
      </c>
      <c r="B23" s="71" t="s">
        <v>1630</v>
      </c>
      <c r="C23" s="78" t="s">
        <v>1631</v>
      </c>
      <c r="D23" s="88">
        <f>SUMIFS('PIS B'!$D$11:$D$338,'PIS B'!$B$11:$B$338,'SCH B-2.3 B'!$B23)</f>
        <v>337507665.61000001</v>
      </c>
      <c r="E23" s="88">
        <f>SUMIFS('PIS B'!$F$11:$F$338,'PIS B'!$B$11:$B$338,'SCH B-2.3 B'!$B23)</f>
        <v>23802347.889999997</v>
      </c>
      <c r="F23" s="88">
        <f>SUMIFS('PIS B'!$H$11:$H$338,'PIS B'!$B$11:$B$338,'SCH B-2.3 B'!$B23)</f>
        <v>-6414979.8799999999</v>
      </c>
      <c r="G23" s="88">
        <f>SUMIFS('PIS B'!$J$11:$J$338,'PIS B'!$B$11:$B$338,'SCH B-2.3 B'!$B23)</f>
        <v>-164486.25999999998</v>
      </c>
      <c r="H23" s="88">
        <f t="shared" si="2"/>
        <v>354730547.36000001</v>
      </c>
    </row>
    <row r="24" spans="1:8" ht="18.95" customHeight="1">
      <c r="A24" s="70">
        <f t="shared" si="0"/>
        <v>11</v>
      </c>
      <c r="B24" s="71" t="s">
        <v>1632</v>
      </c>
      <c r="C24" s="78" t="s">
        <v>1633</v>
      </c>
      <c r="D24" s="88">
        <f>SUMIFS('PIS B'!$D$11:$D$338,'PIS B'!$B$11:$B$338,'SCH B-2.3 B'!$B24)</f>
        <v>251867428.06</v>
      </c>
      <c r="E24" s="88">
        <f>SUMIFS('PIS B'!$F$11:$F$338,'PIS B'!$B$11:$B$338,'SCH B-2.3 B'!$B24)</f>
        <v>2413510.71</v>
      </c>
      <c r="F24" s="88">
        <f>SUMIFS('PIS B'!$H$11:$H$338,'PIS B'!$B$11:$B$338,'SCH B-2.3 B'!$B24)</f>
        <v>-6115.6100000000006</v>
      </c>
      <c r="G24" s="88">
        <f>SUMIFS('PIS B'!$J$11:$J$338,'PIS B'!$B$11:$B$338,'SCH B-2.3 B'!$B24)</f>
        <v>-670417.05999999994</v>
      </c>
      <c r="H24" s="88">
        <f t="shared" si="2"/>
        <v>253604406.09999999</v>
      </c>
    </row>
    <row r="25" spans="1:8" ht="18.95" customHeight="1">
      <c r="A25" s="70">
        <f t="shared" si="0"/>
        <v>12</v>
      </c>
      <c r="B25" s="71" t="s">
        <v>1634</v>
      </c>
      <c r="C25" s="78" t="s">
        <v>1635</v>
      </c>
      <c r="D25" s="88">
        <f>SUMIFS('PIS B'!$D$11:$D$338,'PIS B'!$B$11:$B$338,'SCH B-2.3 B'!$B25)</f>
        <v>36601585.720000006</v>
      </c>
      <c r="E25" s="88">
        <f>SUMIFS('PIS B'!$F$11:$F$338,'PIS B'!$B$11:$B$338,'SCH B-2.3 B'!$B25)</f>
        <v>2235849.4899999988</v>
      </c>
      <c r="F25" s="88">
        <f>SUMIFS('PIS B'!$H$11:$H$338,'PIS B'!$B$11:$B$338,'SCH B-2.3 B'!$B25)</f>
        <v>-40955.609999999899</v>
      </c>
      <c r="G25" s="88">
        <f>SUMIFS('PIS B'!$J$11:$J$338,'PIS B'!$B$11:$B$338,'SCH B-2.3 B'!$B25)</f>
        <v>-525269.4800000001</v>
      </c>
      <c r="H25" s="88">
        <f t="shared" si="2"/>
        <v>38271210.120000012</v>
      </c>
    </row>
    <row r="26" spans="1:8" ht="18.95" customHeight="1">
      <c r="A26" s="70">
        <f t="shared" si="0"/>
        <v>13</v>
      </c>
      <c r="B26" s="71" t="s">
        <v>1636</v>
      </c>
      <c r="C26" s="78" t="s">
        <v>1655</v>
      </c>
      <c r="D26" s="89">
        <f>SUMIFS('PIS B'!$D$11:$D$338,'PIS B'!$B$11:$B$338,'SCH B-2.3 B'!$B26)</f>
        <v>202001563.71999991</v>
      </c>
      <c r="E26" s="89">
        <f>SUMIFS('PIS B'!$F$11:$F$338,'PIS B'!$B$11:$B$338,'SCH B-2.3 B'!$B26)</f>
        <v>0</v>
      </c>
      <c r="F26" s="89">
        <f>SUMIFS('PIS B'!$H$11:$H$338,'PIS B'!$B$11:$B$338,'SCH B-2.3 B'!$B26)</f>
        <v>0</v>
      </c>
      <c r="G26" s="89">
        <f>SUMIFS('PIS B'!$J$11:$J$338,'PIS B'!$B$11:$B$338,'SCH B-2.3 B'!$B26)</f>
        <v>-4624832.9699999904</v>
      </c>
      <c r="H26" s="89">
        <f t="shared" si="2"/>
        <v>197376730.74999991</v>
      </c>
    </row>
    <row r="27" spans="1:8" ht="18.95" customHeight="1">
      <c r="A27" s="70">
        <f t="shared" si="0"/>
        <v>14</v>
      </c>
      <c r="C27" s="78" t="s">
        <v>146</v>
      </c>
      <c r="D27" s="86">
        <f>SUM(D19:D26)</f>
        <v>5172803224.7399902</v>
      </c>
      <c r="E27" s="86">
        <f>SUM(E19:E26)</f>
        <v>171925186.10998976</v>
      </c>
      <c r="F27" s="86">
        <f>SUM(F19:F26)</f>
        <v>-13883857.689999988</v>
      </c>
      <c r="G27" s="86">
        <f>SUM(G19:G26)</f>
        <v>-4624832.9699999914</v>
      </c>
      <c r="H27" s="86">
        <f>SUM(H19:H26)</f>
        <v>5326219720.1899796</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SUMIFS('PIS B'!$D$11:$D$338,'PIS B'!$B$11:$B$338,'SCH B-2.3 B'!$B30)</f>
        <v>855636.47000000009</v>
      </c>
      <c r="E30" s="88">
        <f>SUMIFS('PIS B'!$F$11:$F$338,'PIS B'!$B$11:$B$338,'SCH B-2.3 B'!$B30)</f>
        <v>0</v>
      </c>
      <c r="F30" s="88">
        <f>SUMIFS('PIS B'!$H$11:$H$338,'PIS B'!$B$11:$B$338,'SCH B-2.3 B'!$B30)</f>
        <v>0</v>
      </c>
      <c r="G30" s="88">
        <f>SUMIFS('PIS B'!$J$11:$J$338,'PIS B'!$B$11:$B$338,'SCH B-2.3 B'!$B30)</f>
        <v>0</v>
      </c>
      <c r="H30" s="88">
        <f t="shared" ref="H30:H37" si="4">SUM(D30:G30)</f>
        <v>855636.47000000009</v>
      </c>
    </row>
    <row r="31" spans="1:8" ht="18.95" customHeight="1">
      <c r="A31" s="70">
        <f t="shared" si="0"/>
        <v>17</v>
      </c>
      <c r="B31" s="71" t="s">
        <v>1638</v>
      </c>
      <c r="C31" s="78" t="s">
        <v>148</v>
      </c>
      <c r="D31" s="88">
        <f>SUMIFS('PIS B'!$D$11:$D$338,'PIS B'!$B$11:$B$338,'SCH B-2.3 B'!$B31)</f>
        <v>2999390.54</v>
      </c>
      <c r="E31" s="88">
        <f>SUMIFS('PIS B'!$F$11:$F$338,'PIS B'!$B$11:$B$338,'SCH B-2.3 B'!$B31)</f>
        <v>1410447.7999999998</v>
      </c>
      <c r="F31" s="88">
        <f>SUMIFS('PIS B'!$H$11:$H$338,'PIS B'!$B$11:$B$338,'SCH B-2.3 B'!$B31)</f>
        <v>0</v>
      </c>
      <c r="G31" s="88">
        <f>SUMIFS('PIS B'!$J$11:$J$338,'PIS B'!$B$11:$B$338,'SCH B-2.3 B'!$B31)</f>
        <v>0</v>
      </c>
      <c r="H31" s="88">
        <f t="shared" si="4"/>
        <v>4409838.34</v>
      </c>
    </row>
    <row r="32" spans="1:8" ht="18.95" customHeight="1">
      <c r="A32" s="70">
        <f t="shared" si="0"/>
        <v>18</v>
      </c>
      <c r="B32" s="71" t="s">
        <v>1639</v>
      </c>
      <c r="C32" s="78" t="s">
        <v>1640</v>
      </c>
      <c r="D32" s="88">
        <f>SUMIFS('PIS B'!$D$11:$D$338,'PIS B'!$B$11:$B$338,'SCH B-2.3 B'!$B32)</f>
        <v>21885646.369999997</v>
      </c>
      <c r="E32" s="88">
        <f>SUMIFS('PIS B'!$F$11:$F$338,'PIS B'!$B$11:$B$338,'SCH B-2.3 B'!$B32)</f>
        <v>0</v>
      </c>
      <c r="F32" s="88">
        <f>SUMIFS('PIS B'!$H$11:$H$338,'PIS B'!$B$11:$B$338,'SCH B-2.3 B'!$B32)</f>
        <v>0</v>
      </c>
      <c r="G32" s="88">
        <f>SUMIFS('PIS B'!$J$11:$J$338,'PIS B'!$B$11:$B$338,'SCH B-2.3 B'!$B32)</f>
        <v>0</v>
      </c>
      <c r="H32" s="88">
        <f t="shared" si="4"/>
        <v>21885646.369999997</v>
      </c>
    </row>
    <row r="33" spans="1:8" ht="18.95" customHeight="1">
      <c r="A33" s="70">
        <f t="shared" si="0"/>
        <v>19</v>
      </c>
      <c r="B33" s="71" t="s">
        <v>1641</v>
      </c>
      <c r="C33" s="78" t="s">
        <v>1642</v>
      </c>
      <c r="D33" s="88">
        <f>SUMIFS('PIS B'!$D$11:$D$338,'PIS B'!$B$11:$B$338,'SCH B-2.3 B'!$B33)</f>
        <v>14046741.58</v>
      </c>
      <c r="E33" s="88">
        <f>SUMIFS('PIS B'!$F$11:$F$338,'PIS B'!$B$11:$B$338,'SCH B-2.3 B'!$B33)</f>
        <v>0</v>
      </c>
      <c r="F33" s="88">
        <f>SUMIFS('PIS B'!$H$11:$H$338,'PIS B'!$B$11:$B$338,'SCH B-2.3 B'!$B33)</f>
        <v>0</v>
      </c>
      <c r="G33" s="88">
        <f>SUMIFS('PIS B'!$J$11:$J$338,'PIS B'!$B$11:$B$338,'SCH B-2.3 B'!$B33)</f>
        <v>0</v>
      </c>
      <c r="H33" s="88">
        <f t="shared" si="4"/>
        <v>14046741.58</v>
      </c>
    </row>
    <row r="34" spans="1:8" ht="18.95" customHeight="1">
      <c r="A34" s="70">
        <f t="shared" si="0"/>
        <v>20</v>
      </c>
      <c r="B34" s="71" t="s">
        <v>1643</v>
      </c>
      <c r="C34" s="78" t="s">
        <v>1633</v>
      </c>
      <c r="D34" s="88">
        <f>SUMIFS('PIS B'!$D$11:$D$338,'PIS B'!$B$11:$B$338,'SCH B-2.3 B'!$B34)</f>
        <v>1381870.67</v>
      </c>
      <c r="E34" s="88">
        <f>SUMIFS('PIS B'!$F$11:$F$338,'PIS B'!$B$11:$B$338,'SCH B-2.3 B'!$B34)</f>
        <v>0</v>
      </c>
      <c r="F34" s="88">
        <f>SUMIFS('PIS B'!$H$11:$H$338,'PIS B'!$B$11:$B$338,'SCH B-2.3 B'!$B34)</f>
        <v>0</v>
      </c>
      <c r="G34" s="88">
        <f>SUMIFS('PIS B'!$J$11:$J$338,'PIS B'!$B$11:$B$338,'SCH B-2.3 B'!$B34)</f>
        <v>0</v>
      </c>
      <c r="H34" s="88">
        <f t="shared" si="4"/>
        <v>1381870.67</v>
      </c>
    </row>
    <row r="35" spans="1:8" ht="18.95" customHeight="1">
      <c r="A35" s="70">
        <f t="shared" si="0"/>
        <v>21</v>
      </c>
      <c r="B35" s="71" t="s">
        <v>1644</v>
      </c>
      <c r="C35" s="78" t="s">
        <v>1645</v>
      </c>
      <c r="D35" s="88">
        <f>SUMIFS('PIS B'!$D$11:$D$338,'PIS B'!$B$11:$B$338,'SCH B-2.3 B'!$B35)</f>
        <v>329374.18000000005</v>
      </c>
      <c r="E35" s="88">
        <f>SUMIFS('PIS B'!$F$11:$F$338,'PIS B'!$B$11:$B$338,'SCH B-2.3 B'!$B35)</f>
        <v>0</v>
      </c>
      <c r="F35" s="88">
        <f>SUMIFS('PIS B'!$H$11:$H$338,'PIS B'!$B$11:$B$338,'SCH B-2.3 B'!$B35)</f>
        <v>0</v>
      </c>
      <c r="G35" s="88">
        <f>SUMIFS('PIS B'!$J$11:$J$338,'PIS B'!$B$11:$B$338,'SCH B-2.3 B'!$B35)</f>
        <v>0</v>
      </c>
      <c r="H35" s="88">
        <f t="shared" si="4"/>
        <v>329374.18000000005</v>
      </c>
    </row>
    <row r="36" spans="1:8" ht="18.95" customHeight="1">
      <c r="A36" s="70">
        <f t="shared" si="0"/>
        <v>22</v>
      </c>
      <c r="B36" s="71" t="s">
        <v>1646</v>
      </c>
      <c r="C36" s="78" t="s">
        <v>1647</v>
      </c>
      <c r="D36" s="88">
        <f>SUMIFS('PIS B'!$D$11:$D$338,'PIS B'!$B$11:$B$338,'SCH B-2.3 B'!$B36)</f>
        <v>234509.13</v>
      </c>
      <c r="E36" s="88">
        <f>SUMIFS('PIS B'!$F$11:$F$338,'PIS B'!$B$11:$B$338,'SCH B-2.3 B'!$B36)</f>
        <v>0</v>
      </c>
      <c r="F36" s="88">
        <f>SUMIFS('PIS B'!$H$11:$H$338,'PIS B'!$B$11:$B$338,'SCH B-2.3 B'!$B36)</f>
        <v>0</v>
      </c>
      <c r="G36" s="88">
        <f>SUMIFS('PIS B'!$J$11:$J$338,'PIS B'!$B$11:$B$338,'SCH B-2.3 B'!$B36)</f>
        <v>0</v>
      </c>
      <c r="H36" s="88">
        <f t="shared" si="4"/>
        <v>234509.13</v>
      </c>
    </row>
    <row r="37" spans="1:8" ht="18.95" customHeight="1">
      <c r="A37" s="70">
        <f t="shared" si="0"/>
        <v>23</v>
      </c>
      <c r="B37" s="71" t="s">
        <v>1648</v>
      </c>
      <c r="C37" s="78" t="s">
        <v>1656</v>
      </c>
      <c r="D37" s="89">
        <f>SUMIFS('PIS B'!$D$11:$D$338,'PIS B'!$B$11:$B$338,'SCH B-2.3 B'!$B37)</f>
        <v>645787.99</v>
      </c>
      <c r="E37" s="89">
        <f>SUMIFS('PIS B'!$F$11:$F$338,'PIS B'!$B$11:$B$338,'SCH B-2.3 B'!$B37)</f>
        <v>0</v>
      </c>
      <c r="F37" s="89">
        <f>SUMIFS('PIS B'!$H$11:$H$338,'PIS B'!$B$11:$B$338,'SCH B-2.3 B'!$B37)</f>
        <v>0</v>
      </c>
      <c r="G37" s="89">
        <f>SUMIFS('PIS B'!$J$11:$J$338,'PIS B'!$B$11:$B$338,'SCH B-2.3 B'!$B37)</f>
        <v>0</v>
      </c>
      <c r="H37" s="89">
        <f t="shared" si="4"/>
        <v>645787.99</v>
      </c>
    </row>
    <row r="38" spans="1:8" ht="18.95" customHeight="1">
      <c r="A38" s="70">
        <f t="shared" si="0"/>
        <v>24</v>
      </c>
      <c r="B38" s="71" t="s">
        <v>251</v>
      </c>
      <c r="C38" s="78" t="s">
        <v>147</v>
      </c>
      <c r="D38" s="86">
        <f>SUM(D30:D37)</f>
        <v>42378956.930000007</v>
      </c>
      <c r="E38" s="86">
        <f t="shared" ref="E38:H38" si="5">SUM(E30:E37)</f>
        <v>1410447.7999999998</v>
      </c>
      <c r="F38" s="86">
        <f t="shared" si="5"/>
        <v>0</v>
      </c>
      <c r="G38" s="86">
        <f t="shared" si="5"/>
        <v>0</v>
      </c>
      <c r="H38" s="86">
        <f t="shared" si="5"/>
        <v>43789404.730000004</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SUMIFS('PIS B'!$D$11:$D$338,'PIS B'!$B$11:$B$338,'SCH B-2.3 B'!$B41)</f>
        <v>473578.52</v>
      </c>
      <c r="E41" s="88">
        <f>SUMIFS('PIS B'!$F$11:$F$338,'PIS B'!$B$11:$B$338,'SCH B-2.3 B'!$B41)</f>
        <v>429922.65</v>
      </c>
      <c r="F41" s="88">
        <f>SUMIFS('PIS B'!$H$11:$H$338,'PIS B'!$B$11:$B$338,'SCH B-2.3 B'!$B41)</f>
        <v>0</v>
      </c>
      <c r="G41" s="88">
        <f>SUMIFS('PIS B'!$J$11:$J$338,'PIS B'!$B$11:$B$338,'SCH B-2.3 B'!$B41)</f>
        <v>0</v>
      </c>
      <c r="H41" s="88">
        <f t="shared" ref="H41:H59" si="6">SUM(D41:G41)</f>
        <v>903501.17</v>
      </c>
    </row>
    <row r="42" spans="1:8" ht="18.95" customHeight="1">
      <c r="A42" s="70">
        <f t="shared" si="0"/>
        <v>27</v>
      </c>
      <c r="B42" s="71" t="s">
        <v>1650</v>
      </c>
      <c r="C42" s="78" t="s">
        <v>148</v>
      </c>
      <c r="D42" s="88">
        <f>SUMIFS('PIS B'!$D$11:$D$338,'PIS B'!$B$11:$B$338,'SCH B-2.3 B'!$B42)</f>
        <v>85707409.529999986</v>
      </c>
      <c r="E42" s="88">
        <f>SUMIFS('PIS B'!$F$11:$F$338,'PIS B'!$B$11:$B$338,'SCH B-2.3 B'!$B42)</f>
        <v>1444189.4799999997</v>
      </c>
      <c r="F42" s="88">
        <f>SUMIFS('PIS B'!$H$11:$H$338,'PIS B'!$B$11:$B$338,'SCH B-2.3 B'!$B42)</f>
        <v>0</v>
      </c>
      <c r="G42" s="88">
        <f>SUMIFS('PIS B'!$J$11:$J$338,'PIS B'!$B$11:$B$338,'SCH B-2.3 B'!$B42)</f>
        <v>0</v>
      </c>
      <c r="H42" s="88">
        <f t="shared" si="6"/>
        <v>87151599.00999999</v>
      </c>
    </row>
    <row r="43" spans="1:8" ht="18.95" customHeight="1">
      <c r="A43" s="70">
        <f t="shared" si="0"/>
        <v>28</v>
      </c>
      <c r="B43" s="71" t="s">
        <v>1651</v>
      </c>
      <c r="C43" s="78" t="s">
        <v>1652</v>
      </c>
      <c r="D43" s="88">
        <f>SUMIFS('PIS B'!$D$11:$D$338,'PIS B'!$B$11:$B$338,'SCH B-2.3 B'!$B43)</f>
        <v>62586648.629999988</v>
      </c>
      <c r="E43" s="88">
        <f>SUMIFS('PIS B'!$F$11:$F$338,'PIS B'!$B$11:$B$338,'SCH B-2.3 B'!$B43)</f>
        <v>519299.58</v>
      </c>
      <c r="F43" s="88">
        <f>SUMIFS('PIS B'!$H$11:$H$338,'PIS B'!$B$11:$B$338,'SCH B-2.3 B'!$B43)</f>
        <v>0</v>
      </c>
      <c r="G43" s="88">
        <f>SUMIFS('PIS B'!$J$11:$J$338,'PIS B'!$B$11:$B$338,'SCH B-2.3 B'!$B43)</f>
        <v>0</v>
      </c>
      <c r="H43" s="88">
        <f t="shared" si="6"/>
        <v>63105948.209999986</v>
      </c>
    </row>
    <row r="44" spans="1:8" ht="18.95" customHeight="1">
      <c r="A44" s="70">
        <f t="shared" si="0"/>
        <v>29</v>
      </c>
      <c r="B44" s="71" t="s">
        <v>1653</v>
      </c>
      <c r="C44" s="78" t="s">
        <v>1654</v>
      </c>
      <c r="D44" s="88">
        <f>SUMIFS('PIS B'!$D$11:$D$338,'PIS B'!$B$11:$B$338,'SCH B-2.3 B'!$B44)</f>
        <v>657987557.62000012</v>
      </c>
      <c r="E44" s="88">
        <f>SUMIFS('PIS B'!$F$11:$F$338,'PIS B'!$B$11:$B$338,'SCH B-2.3 B'!$B44)</f>
        <v>16529431.900000004</v>
      </c>
      <c r="F44" s="88">
        <f>SUMIFS('PIS B'!$H$11:$H$338,'PIS B'!$B$11:$B$338,'SCH B-2.3 B'!$B44)</f>
        <v>-9132411.8499999996</v>
      </c>
      <c r="G44" s="88">
        <f>SUMIFS('PIS B'!$J$11:$J$338,'PIS B'!$B$11:$B$338,'SCH B-2.3 B'!$B44)</f>
        <v>0</v>
      </c>
      <c r="H44" s="88">
        <f t="shared" si="6"/>
        <v>665384577.67000008</v>
      </c>
    </row>
    <row r="45" spans="1:8" s="68" customFormat="1" ht="20.100000000000001" customHeight="1">
      <c r="A45" s="767" t="str">
        <f>$A$1</f>
        <v>KENTUCKY UTILITIES COMPANY</v>
      </c>
      <c r="B45" s="767"/>
      <c r="C45" s="767"/>
      <c r="D45" s="767"/>
      <c r="E45" s="767"/>
      <c r="F45" s="767"/>
      <c r="G45" s="767"/>
      <c r="H45" s="767"/>
    </row>
    <row r="46" spans="1:8" s="68" customFormat="1" ht="20.100000000000001" customHeight="1">
      <c r="A46" s="767" t="str">
        <f>$A$2</f>
        <v>CASE NO. 2018-00294</v>
      </c>
      <c r="B46" s="767"/>
      <c r="C46" s="767"/>
      <c r="D46" s="767"/>
      <c r="E46" s="767"/>
      <c r="F46" s="767"/>
      <c r="G46" s="767"/>
      <c r="H46" s="767"/>
    </row>
    <row r="47" spans="1:8" s="68" customFormat="1" ht="20.100000000000001" customHeight="1">
      <c r="A47" s="767" t="str">
        <f>$A$3</f>
        <v>GROSS ADDITIONS, RETIREMENTS, AND TRANSFERS</v>
      </c>
      <c r="B47" s="767"/>
      <c r="C47" s="767"/>
      <c r="D47" s="767"/>
      <c r="E47" s="767"/>
      <c r="F47" s="767"/>
      <c r="G47" s="767"/>
      <c r="H47" s="767"/>
    </row>
    <row r="48" spans="1:8" s="68" customFormat="1" ht="20.100000000000001" customHeight="1">
      <c r="A48" s="766" t="str">
        <f>$A$4</f>
        <v>FROM JANUARY 1, 2018 TO DECEMBER 31, 2018</v>
      </c>
      <c r="B48" s="767"/>
      <c r="C48" s="767"/>
      <c r="D48" s="767"/>
      <c r="E48" s="767"/>
      <c r="F48" s="767"/>
      <c r="G48" s="767"/>
      <c r="H48" s="767"/>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5" t="str">
        <f>$H$6</f>
        <v>SCHEDULE B-2.3</v>
      </c>
    </row>
    <row r="51" spans="1:8" s="68" customFormat="1" ht="20.100000000000001" customHeight="1">
      <c r="A51" s="67" t="str">
        <f>$A$7</f>
        <v>TYPE OF FILING: __X__ ORIGINAL  _____ UPDATED  _____ REVISED</v>
      </c>
      <c r="G51" s="74"/>
      <c r="H51" s="74" t="s">
        <v>172</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58.5" customHeight="1">
      <c r="A54" s="76" t="s">
        <v>131</v>
      </c>
      <c r="B54" s="76" t="s">
        <v>134</v>
      </c>
      <c r="C54" s="79" t="s">
        <v>135</v>
      </c>
      <c r="D54" s="76" t="s">
        <v>136</v>
      </c>
      <c r="E54" s="76" t="s">
        <v>137</v>
      </c>
      <c r="F54" s="76" t="s">
        <v>138</v>
      </c>
      <c r="G54" s="76" t="s">
        <v>140</v>
      </c>
      <c r="H54" s="76" t="s">
        <v>141</v>
      </c>
    </row>
    <row r="55" spans="1:8" ht="23.1" customHeight="1">
      <c r="A55" s="80"/>
      <c r="B55" s="80"/>
      <c r="C55" s="81"/>
      <c r="D55" s="82" t="s">
        <v>142</v>
      </c>
      <c r="E55" s="82" t="s">
        <v>142</v>
      </c>
      <c r="F55" s="82" t="s">
        <v>142</v>
      </c>
      <c r="G55" s="82" t="s">
        <v>142</v>
      </c>
      <c r="H55" s="82" t="s">
        <v>142</v>
      </c>
    </row>
    <row r="56" spans="1:8" ht="18.95" customHeight="1">
      <c r="A56" s="70">
        <f>A44+1</f>
        <v>30</v>
      </c>
      <c r="B56" s="71" t="s">
        <v>1657</v>
      </c>
      <c r="C56" s="78" t="s">
        <v>1658</v>
      </c>
      <c r="D56" s="88">
        <f>SUMIFS('PIS B'!$D$11:$D$338,'PIS B'!$B$11:$B$338,'SCH B-2.3 B'!$B56)</f>
        <v>131571205.04000001</v>
      </c>
      <c r="E56" s="88">
        <f>SUMIFS('PIS B'!$F$11:$F$338,'PIS B'!$B$11:$B$338,'SCH B-2.3 B'!$B56)</f>
        <v>808632.27</v>
      </c>
      <c r="F56" s="88">
        <f>SUMIFS('PIS B'!$H$11:$H$338,'PIS B'!$B$11:$B$338,'SCH B-2.3 B'!$B56)</f>
        <v>0</v>
      </c>
      <c r="G56" s="88">
        <f>SUMIFS('PIS B'!$J$11:$J$338,'PIS B'!$B$11:$B$338,'SCH B-2.3 B'!$B56)</f>
        <v>0</v>
      </c>
      <c r="H56" s="88">
        <f t="shared" si="6"/>
        <v>132379837.31</v>
      </c>
    </row>
    <row r="57" spans="1:8" ht="18.95" customHeight="1">
      <c r="A57" s="70">
        <f t="shared" si="0"/>
        <v>31</v>
      </c>
      <c r="B57" s="71" t="s">
        <v>1659</v>
      </c>
      <c r="C57" s="78" t="s">
        <v>1633</v>
      </c>
      <c r="D57" s="88">
        <f>SUMIFS('PIS B'!$D$11:$D$338,'PIS B'!$B$11:$B$338,'SCH B-2.3 B'!$B57)</f>
        <v>78605669.599999994</v>
      </c>
      <c r="E57" s="88">
        <f>SUMIFS('PIS B'!$F$11:$F$338,'PIS B'!$B$11:$B$338,'SCH B-2.3 B'!$B57)</f>
        <v>244927.33</v>
      </c>
      <c r="F57" s="88">
        <f>SUMIFS('PIS B'!$H$11:$H$338,'PIS B'!$B$11:$B$338,'SCH B-2.3 B'!$B57)</f>
        <v>0</v>
      </c>
      <c r="G57" s="88">
        <f>SUMIFS('PIS B'!$J$11:$J$338,'PIS B'!$B$11:$B$338,'SCH B-2.3 B'!$B57)</f>
        <v>0</v>
      </c>
      <c r="H57" s="88">
        <f t="shared" si="6"/>
        <v>78850596.929999992</v>
      </c>
    </row>
    <row r="58" spans="1:8" ht="18.95" customHeight="1">
      <c r="A58" s="70">
        <f t="shared" si="0"/>
        <v>32</v>
      </c>
      <c r="B58" s="71" t="s">
        <v>1660</v>
      </c>
      <c r="C58" s="78" t="s">
        <v>1645</v>
      </c>
      <c r="D58" s="88">
        <f>SUMIFS('PIS B'!$D$11:$D$338,'PIS B'!$B$11:$B$338,'SCH B-2.3 B'!$B58)</f>
        <v>9077175.629999999</v>
      </c>
      <c r="E58" s="88">
        <f>SUMIFS('PIS B'!$F$11:$F$338,'PIS B'!$B$11:$B$338,'SCH B-2.3 B'!$B58)</f>
        <v>687844.95000000007</v>
      </c>
      <c r="F58" s="88">
        <f>SUMIFS('PIS B'!$H$11:$H$338,'PIS B'!$B$11:$B$338,'SCH B-2.3 B'!$B58)</f>
        <v>0</v>
      </c>
      <c r="G58" s="88">
        <f>SUMIFS('PIS B'!$J$11:$J$338,'PIS B'!$B$11:$B$338,'SCH B-2.3 B'!$B58)</f>
        <v>0</v>
      </c>
      <c r="H58" s="88">
        <f t="shared" si="6"/>
        <v>9765020.5799999982</v>
      </c>
    </row>
    <row r="59" spans="1:8" ht="18.95" customHeight="1">
      <c r="A59" s="70">
        <f t="shared" si="0"/>
        <v>33</v>
      </c>
      <c r="B59" s="71" t="s">
        <v>1661</v>
      </c>
      <c r="C59" s="78" t="s">
        <v>1696</v>
      </c>
      <c r="D59" s="89">
        <f>SUMIFS('PIS B'!$D$11:$D$338,'PIS B'!$B$11:$B$338,'SCH B-2.3 B'!$B59)</f>
        <v>406991.12</v>
      </c>
      <c r="E59" s="89">
        <f>SUMIFS('PIS B'!$F$11:$F$338,'PIS B'!$B$11:$B$338,'SCH B-2.3 B'!$B59)</f>
        <v>0</v>
      </c>
      <c r="F59" s="89">
        <f>SUMIFS('PIS B'!$H$11:$H$338,'PIS B'!$B$11:$B$338,'SCH B-2.3 B'!$B59)</f>
        <v>0</v>
      </c>
      <c r="G59" s="89">
        <f>SUMIFS('PIS B'!$J$11:$J$338,'PIS B'!$B$11:$B$338,'SCH B-2.3 B'!$B59)</f>
        <v>0</v>
      </c>
      <c r="H59" s="89">
        <f t="shared" si="6"/>
        <v>406991.12</v>
      </c>
    </row>
    <row r="60" spans="1:8" ht="18.95" customHeight="1">
      <c r="A60" s="70">
        <f t="shared" si="0"/>
        <v>34</v>
      </c>
      <c r="C60" s="78" t="s">
        <v>145</v>
      </c>
      <c r="D60" s="86">
        <f>SUM(D41:D44,D56:D59)</f>
        <v>1026416235.6900001</v>
      </c>
      <c r="E60" s="86">
        <f t="shared" ref="E60:H60" si="7">SUM(E41:E44,E56:E59)</f>
        <v>20664248.16</v>
      </c>
      <c r="F60" s="86">
        <f t="shared" si="7"/>
        <v>-9132411.8499999996</v>
      </c>
      <c r="G60" s="86">
        <f t="shared" si="7"/>
        <v>0</v>
      </c>
      <c r="H60" s="86">
        <f t="shared" si="7"/>
        <v>1037948072.0000001</v>
      </c>
    </row>
    <row r="61" spans="1:8" ht="18.95" customHeight="1">
      <c r="A61" s="70"/>
    </row>
    <row r="62" spans="1:8" ht="18.95" customHeight="1">
      <c r="A62" s="70">
        <f>A60+1</f>
        <v>35</v>
      </c>
      <c r="C62" s="90" t="s">
        <v>84</v>
      </c>
    </row>
    <row r="63" spans="1:8" ht="18.95" customHeight="1">
      <c r="A63" s="70">
        <f t="shared" si="0"/>
        <v>36</v>
      </c>
      <c r="B63" s="71" t="s">
        <v>1662</v>
      </c>
      <c r="C63" s="78" t="s">
        <v>154</v>
      </c>
      <c r="D63" s="88">
        <f>SUMIFS('PIS B'!$D$11:$D$338,'PIS B'!$B$11:$B$338,'SCH B-2.3 B'!$B63)</f>
        <v>31890109.750000004</v>
      </c>
      <c r="E63" s="88">
        <f>SUMIFS('PIS B'!$F$11:$F$338,'PIS B'!$B$11:$B$338,'SCH B-2.3 B'!$B63)</f>
        <v>137108.73000000001</v>
      </c>
      <c r="F63" s="88">
        <f>SUMIFS('PIS B'!$H$11:$H$338,'PIS B'!$B$11:$B$338,'SCH B-2.3 B'!$B63)</f>
        <v>0</v>
      </c>
      <c r="G63" s="88">
        <f>SUMIFS('PIS B'!$J$11:$J$338,'PIS B'!$B$11:$B$338,'SCH B-2.3 B'!$B63)</f>
        <v>0</v>
      </c>
      <c r="H63" s="88">
        <f t="shared" ref="H63:H71" si="8">SUM(D63:G63)</f>
        <v>32027218.480000004</v>
      </c>
    </row>
    <row r="64" spans="1:8" ht="18.95" customHeight="1">
      <c r="A64" s="70">
        <f t="shared" si="0"/>
        <v>37</v>
      </c>
      <c r="B64" s="71" t="s">
        <v>1663</v>
      </c>
      <c r="C64" s="78" t="s">
        <v>148</v>
      </c>
      <c r="D64" s="88">
        <f>SUMIFS('PIS B'!$D$11:$D$338,'PIS B'!$B$11:$B$338,'SCH B-2.3 B'!$B64)</f>
        <v>29506791.419999998</v>
      </c>
      <c r="E64" s="88">
        <f>SUMIFS('PIS B'!$F$11:$F$338,'PIS B'!$B$11:$B$338,'SCH B-2.3 B'!$B64)</f>
        <v>126038.78000000001</v>
      </c>
      <c r="F64" s="88">
        <f>SUMIFS('PIS B'!$H$11:$H$338,'PIS B'!$B$11:$B$338,'SCH B-2.3 B'!$B64)</f>
        <v>-6735.58</v>
      </c>
      <c r="G64" s="88">
        <f>SUMIFS('PIS B'!$J$11:$J$338,'PIS B'!$B$11:$B$338,'SCH B-2.3 B'!$B64)</f>
        <v>0</v>
      </c>
      <c r="H64" s="88">
        <f t="shared" si="8"/>
        <v>29626094.620000001</v>
      </c>
    </row>
    <row r="65" spans="1:8" ht="18.95" customHeight="1">
      <c r="A65" s="70">
        <f t="shared" si="0"/>
        <v>38</v>
      </c>
      <c r="B65" s="71" t="s">
        <v>1664</v>
      </c>
      <c r="C65" s="78" t="s">
        <v>149</v>
      </c>
      <c r="D65" s="88">
        <f>SUMIFS('PIS B'!$D$11:$D$338,'PIS B'!$B$11:$B$338,'SCH B-2.3 B'!$B65)</f>
        <v>287839871.51999998</v>
      </c>
      <c r="E65" s="88">
        <f>SUMIFS('PIS B'!$F$11:$F$338,'PIS B'!$B$11:$B$338,'SCH B-2.3 B'!$B65)</f>
        <v>65608260.679999992</v>
      </c>
      <c r="F65" s="88">
        <f>SUMIFS('PIS B'!$H$11:$H$338,'PIS B'!$B$11:$B$338,'SCH B-2.3 B'!$B65)</f>
        <v>-1912795.4</v>
      </c>
      <c r="G65" s="88">
        <f>SUMIFS('PIS B'!$J$11:$J$338,'PIS B'!$B$11:$B$338,'SCH B-2.3 B'!$B65)</f>
        <v>0</v>
      </c>
      <c r="H65" s="88">
        <f t="shared" si="8"/>
        <v>351535336.80000001</v>
      </c>
    </row>
    <row r="66" spans="1:8" ht="18.95" customHeight="1">
      <c r="A66" s="70">
        <f t="shared" si="0"/>
        <v>39</v>
      </c>
      <c r="B66" s="71" t="s">
        <v>1665</v>
      </c>
      <c r="C66" s="78" t="s">
        <v>1666</v>
      </c>
      <c r="D66" s="88">
        <f>SUMIFS('PIS B'!$D$11:$D$338,'PIS B'!$B$11:$B$338,'SCH B-2.3 B'!$B66)</f>
        <v>78033094.149999991</v>
      </c>
      <c r="E66" s="88">
        <f>SUMIFS('PIS B'!$F$11:$F$338,'PIS B'!$B$11:$B$338,'SCH B-2.3 B'!$B66)</f>
        <v>0</v>
      </c>
      <c r="F66" s="88">
        <f>SUMIFS('PIS B'!$H$11:$H$338,'PIS B'!$B$11:$B$338,'SCH B-2.3 B'!$B66)</f>
        <v>0</v>
      </c>
      <c r="G66" s="88">
        <f>SUMIFS('PIS B'!$J$11:$J$338,'PIS B'!$B$11:$B$338,'SCH B-2.3 B'!$B66)</f>
        <v>0</v>
      </c>
      <c r="H66" s="88">
        <f t="shared" si="8"/>
        <v>78033094.149999991</v>
      </c>
    </row>
    <row r="67" spans="1:8" ht="18.95" customHeight="1">
      <c r="A67" s="70">
        <f t="shared" si="0"/>
        <v>40</v>
      </c>
      <c r="B67" s="71" t="s">
        <v>1667</v>
      </c>
      <c r="C67" s="78" t="s">
        <v>1668</v>
      </c>
      <c r="D67" s="88">
        <f>SUMIFS('PIS B'!$D$11:$D$338,'PIS B'!$B$11:$B$338,'SCH B-2.3 B'!$B67)</f>
        <v>307006356.60999995</v>
      </c>
      <c r="E67" s="88">
        <f>SUMIFS('PIS B'!$F$11:$F$338,'PIS B'!$B$11:$B$338,'SCH B-2.3 B'!$B67)</f>
        <v>89245468.939999908</v>
      </c>
      <c r="F67" s="88">
        <f>SUMIFS('PIS B'!$H$11:$H$338,'PIS B'!$B$11:$B$338,'SCH B-2.3 B'!$B67)</f>
        <v>-1870536.4499999997</v>
      </c>
      <c r="G67" s="88">
        <f>SUMIFS('PIS B'!$J$11:$J$338,'PIS B'!$B$11:$B$338,'SCH B-2.3 B'!$B67)</f>
        <v>0</v>
      </c>
      <c r="H67" s="88">
        <f t="shared" si="8"/>
        <v>394381289.09999985</v>
      </c>
    </row>
    <row r="68" spans="1:8" ht="18.95" customHeight="1">
      <c r="A68" s="70">
        <f t="shared" si="0"/>
        <v>41</v>
      </c>
      <c r="B68" s="71" t="s">
        <v>1669</v>
      </c>
      <c r="C68" s="78" t="s">
        <v>1670</v>
      </c>
      <c r="D68" s="88">
        <f>SUMIFS('PIS B'!$D$11:$D$338,'PIS B'!$B$11:$B$338,'SCH B-2.3 B'!$B68)</f>
        <v>188110717.31</v>
      </c>
      <c r="E68" s="88">
        <f>SUMIFS('PIS B'!$F$11:$F$338,'PIS B'!$B$11:$B$338,'SCH B-2.3 B'!$B68)</f>
        <v>2869670.62</v>
      </c>
      <c r="F68" s="88">
        <f>SUMIFS('PIS B'!$H$11:$H$338,'PIS B'!$B$11:$B$338,'SCH B-2.3 B'!$B68)</f>
        <v>-1290994.189999999</v>
      </c>
      <c r="G68" s="88">
        <f>SUMIFS('PIS B'!$J$11:$J$338,'PIS B'!$B$11:$B$338,'SCH B-2.3 B'!$B68)</f>
        <v>0</v>
      </c>
      <c r="H68" s="88">
        <f t="shared" si="8"/>
        <v>189689393.74000001</v>
      </c>
    </row>
    <row r="69" spans="1:8" ht="18.95" customHeight="1">
      <c r="A69" s="70">
        <f t="shared" si="0"/>
        <v>42</v>
      </c>
      <c r="B69" s="71" t="s">
        <v>1671</v>
      </c>
      <c r="C69" s="78" t="s">
        <v>1672</v>
      </c>
      <c r="D69" s="88">
        <f>SUMIFS('PIS B'!$D$11:$D$338,'PIS B'!$B$11:$B$338,'SCH B-2.3 B'!$B69)</f>
        <v>448760.26</v>
      </c>
      <c r="E69" s="88">
        <f>SUMIFS('PIS B'!$F$11:$F$338,'PIS B'!$B$11:$B$338,'SCH B-2.3 B'!$B69)</f>
        <v>0</v>
      </c>
      <c r="F69" s="88">
        <f>SUMIFS('PIS B'!$H$11:$H$338,'PIS B'!$B$11:$B$338,'SCH B-2.3 B'!$B69)</f>
        <v>0</v>
      </c>
      <c r="G69" s="88">
        <f>SUMIFS('PIS B'!$J$11:$J$338,'PIS B'!$B$11:$B$338,'SCH B-2.3 B'!$B69)</f>
        <v>0</v>
      </c>
      <c r="H69" s="88">
        <f t="shared" si="8"/>
        <v>448760.26</v>
      </c>
    </row>
    <row r="70" spans="1:8" ht="18.95" customHeight="1">
      <c r="A70" s="70">
        <f t="shared" si="0"/>
        <v>43</v>
      </c>
      <c r="B70" s="71" t="s">
        <v>1673</v>
      </c>
      <c r="C70" s="78" t="s">
        <v>1674</v>
      </c>
      <c r="D70" s="88">
        <f>SUMIFS('PIS B'!$D$11:$D$338,'PIS B'!$B$11:$B$338,'SCH B-2.3 B'!$B70)</f>
        <v>1299094.3999999999</v>
      </c>
      <c r="E70" s="88">
        <f>SUMIFS('PIS B'!$F$11:$F$338,'PIS B'!$B$11:$B$338,'SCH B-2.3 B'!$B70)</f>
        <v>498.15</v>
      </c>
      <c r="F70" s="88">
        <f>SUMIFS('PIS B'!$H$11:$H$338,'PIS B'!$B$11:$B$338,'SCH B-2.3 B'!$B70)</f>
        <v>0</v>
      </c>
      <c r="G70" s="88">
        <f>SUMIFS('PIS B'!$J$11:$J$338,'PIS B'!$B$11:$B$338,'SCH B-2.3 B'!$B70)</f>
        <v>0</v>
      </c>
      <c r="H70" s="88">
        <f t="shared" si="8"/>
        <v>1299592.5499999998</v>
      </c>
    </row>
    <row r="71" spans="1:8" ht="18.95" customHeight="1">
      <c r="A71" s="70">
        <f t="shared" si="0"/>
        <v>44</v>
      </c>
      <c r="B71" s="71" t="s">
        <v>1675</v>
      </c>
      <c r="C71" s="78" t="s">
        <v>152</v>
      </c>
      <c r="D71" s="89">
        <f>SUMIFS('PIS B'!$D$11:$D$338,'PIS B'!$B$11:$B$338,'SCH B-2.3 B'!$B71)</f>
        <v>556857.62</v>
      </c>
      <c r="E71" s="89">
        <f>SUMIFS('PIS B'!$F$11:$F$338,'PIS B'!$B$11:$B$338,'SCH B-2.3 B'!$B71)</f>
        <v>0</v>
      </c>
      <c r="F71" s="89">
        <f>SUMIFS('PIS B'!$H$11:$H$338,'PIS B'!$B$11:$B$338,'SCH B-2.3 B'!$B71)</f>
        <v>-5533.74</v>
      </c>
      <c r="G71" s="89">
        <f>SUMIFS('PIS B'!$J$11:$J$338,'PIS B'!$B$11:$B$338,'SCH B-2.3 B'!$B71)</f>
        <v>0</v>
      </c>
      <c r="H71" s="89">
        <f t="shared" si="8"/>
        <v>551323.88</v>
      </c>
    </row>
    <row r="72" spans="1:8" ht="18.95" customHeight="1">
      <c r="A72" s="70">
        <f t="shared" si="0"/>
        <v>45</v>
      </c>
      <c r="C72" s="78" t="s">
        <v>150</v>
      </c>
      <c r="D72" s="86">
        <f>SUM(D63:D71)</f>
        <v>924691653.03999996</v>
      </c>
      <c r="E72" s="86">
        <f t="shared" ref="E72:H72" si="9">SUM(E63:E71)</f>
        <v>157987045.89999992</v>
      </c>
      <c r="F72" s="86">
        <f t="shared" si="9"/>
        <v>-5086595.3599999994</v>
      </c>
      <c r="G72" s="86">
        <f t="shared" si="9"/>
        <v>0</v>
      </c>
      <c r="H72" s="86">
        <f t="shared" si="9"/>
        <v>1077592103.5799999</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SUMIFS('PIS B'!$D$11:$D$338,'PIS B'!$B$11:$B$338,'SCH B-2.3 B'!$B75)</f>
        <v>7723995.7499999898</v>
      </c>
      <c r="E75" s="88">
        <f>SUMIFS('PIS B'!$F$11:$F$338,'PIS B'!$B$11:$B$338,'SCH B-2.3 B'!$B75)</f>
        <v>2268764.3200000003</v>
      </c>
      <c r="F75" s="88">
        <f>SUMIFS('PIS B'!$H$11:$H$338,'PIS B'!$B$11:$B$338,'SCH B-2.3 B'!$B75)</f>
        <v>0</v>
      </c>
      <c r="G75" s="88">
        <f>SUMIFS('PIS B'!$J$11:$J$338,'PIS B'!$B$11:$B$338,'SCH B-2.3 B'!$B75)</f>
        <v>0</v>
      </c>
      <c r="H75" s="88">
        <f t="shared" ref="H75:H87" si="10">SUM(D75:G75)</f>
        <v>9992760.0699999891</v>
      </c>
    </row>
    <row r="76" spans="1:8" ht="18.95" customHeight="1">
      <c r="A76" s="70">
        <f t="shared" si="0"/>
        <v>48</v>
      </c>
      <c r="B76" s="71" t="s">
        <v>1677</v>
      </c>
      <c r="C76" s="78" t="s">
        <v>148</v>
      </c>
      <c r="D76" s="88">
        <f>SUMIFS('PIS B'!$D$11:$D$338,'PIS B'!$B$11:$B$338,'SCH B-2.3 B'!$B76)</f>
        <v>14411933.720000001</v>
      </c>
      <c r="E76" s="88">
        <f>SUMIFS('PIS B'!$F$11:$F$338,'PIS B'!$B$11:$B$338,'SCH B-2.3 B'!$B76)</f>
        <v>6633649.9499999974</v>
      </c>
      <c r="F76" s="88">
        <f>SUMIFS('PIS B'!$H$11:$H$338,'PIS B'!$B$11:$B$338,'SCH B-2.3 B'!$B76)</f>
        <v>-54514.94</v>
      </c>
      <c r="G76" s="88">
        <f>SUMIFS('PIS B'!$J$11:$J$338,'PIS B'!$B$11:$B$338,'SCH B-2.3 B'!$B76)</f>
        <v>860.21</v>
      </c>
      <c r="H76" s="88">
        <f t="shared" si="10"/>
        <v>20991928.939999998</v>
      </c>
    </row>
    <row r="77" spans="1:8" ht="18.95" customHeight="1">
      <c r="A77" s="70">
        <f t="shared" si="0"/>
        <v>49</v>
      </c>
      <c r="B77" s="71" t="s">
        <v>1678</v>
      </c>
      <c r="C77" s="78" t="s">
        <v>1679</v>
      </c>
      <c r="D77" s="88">
        <f>SUMIFS('PIS B'!$D$11:$D$338,'PIS B'!$B$11:$B$338,'SCH B-2.3 B'!$B77)</f>
        <v>198035492.24000001</v>
      </c>
      <c r="E77" s="88">
        <f>SUMIFS('PIS B'!$F$11:$F$338,'PIS B'!$B$11:$B$338,'SCH B-2.3 B'!$B77)</f>
        <v>43731880.739999987</v>
      </c>
      <c r="F77" s="88">
        <f>SUMIFS('PIS B'!$H$11:$H$338,'PIS B'!$B$11:$B$338,'SCH B-2.3 B'!$B77)</f>
        <v>-1394718.2199999997</v>
      </c>
      <c r="G77" s="88">
        <f>SUMIFS('PIS B'!$J$11:$J$338,'PIS B'!$B$11:$B$338,'SCH B-2.3 B'!$B77)</f>
        <v>0</v>
      </c>
      <c r="H77" s="88">
        <f t="shared" si="10"/>
        <v>240372654.75999999</v>
      </c>
    </row>
    <row r="78" spans="1:8" ht="18.95" customHeight="1">
      <c r="A78" s="70">
        <f t="shared" si="0"/>
        <v>50</v>
      </c>
      <c r="B78" s="71" t="s">
        <v>1680</v>
      </c>
      <c r="C78" s="78" t="s">
        <v>1681</v>
      </c>
      <c r="D78" s="88">
        <f>SUMIFS('PIS B'!$D$11:$D$338,'PIS B'!$B$11:$B$338,'SCH B-2.3 B'!$B78)</f>
        <v>389091936.75000006</v>
      </c>
      <c r="E78" s="88">
        <f>SUMIFS('PIS B'!$F$11:$F$338,'PIS B'!$B$11:$B$338,'SCH B-2.3 B'!$B78)</f>
        <v>25148739.059999991</v>
      </c>
      <c r="F78" s="88">
        <f>SUMIFS('PIS B'!$H$11:$H$338,'PIS B'!$B$11:$B$338,'SCH B-2.3 B'!$B78)</f>
        <v>-1237573.3899999999</v>
      </c>
      <c r="G78" s="88">
        <f>SUMIFS('PIS B'!$J$11:$J$338,'PIS B'!$B$11:$B$338,'SCH B-2.3 B'!$B78)</f>
        <v>0</v>
      </c>
      <c r="H78" s="88">
        <f t="shared" si="10"/>
        <v>413003102.42000008</v>
      </c>
    </row>
    <row r="79" spans="1:8" ht="18.95" customHeight="1">
      <c r="A79" s="70">
        <f t="shared" si="0"/>
        <v>51</v>
      </c>
      <c r="B79" s="71" t="s">
        <v>1682</v>
      </c>
      <c r="C79" s="78" t="s">
        <v>1670</v>
      </c>
      <c r="D79" s="88">
        <f>SUMIFS('PIS B'!$D$11:$D$338,'PIS B'!$B$11:$B$338,'SCH B-2.3 B'!$B79)</f>
        <v>369561367.32000005</v>
      </c>
      <c r="E79" s="88">
        <f>SUMIFS('PIS B'!$F$11:$F$338,'PIS B'!$B$11:$B$338,'SCH B-2.3 B'!$B79)</f>
        <v>45792501.37999998</v>
      </c>
      <c r="F79" s="88">
        <f>SUMIFS('PIS B'!$H$11:$H$338,'PIS B'!$B$11:$B$338,'SCH B-2.3 B'!$B79)</f>
        <v>-5988888.0399999982</v>
      </c>
      <c r="G79" s="88">
        <f>SUMIFS('PIS B'!$J$11:$J$338,'PIS B'!$B$11:$B$338,'SCH B-2.3 B'!$B79)</f>
        <v>0</v>
      </c>
      <c r="H79" s="88">
        <f t="shared" si="10"/>
        <v>409364980.66000003</v>
      </c>
    </row>
    <row r="80" spans="1:8" ht="18.95" customHeight="1">
      <c r="A80" s="70">
        <f t="shared" si="0"/>
        <v>52</v>
      </c>
      <c r="B80" s="71" t="s">
        <v>1683</v>
      </c>
      <c r="C80" s="78" t="s">
        <v>1672</v>
      </c>
      <c r="D80" s="88">
        <f>SUMIFS('PIS B'!$D$11:$D$338,'PIS B'!$B$11:$B$338,'SCH B-2.3 B'!$B80)</f>
        <v>2390171.06</v>
      </c>
      <c r="E80" s="88">
        <f>SUMIFS('PIS B'!$F$11:$F$338,'PIS B'!$B$11:$B$338,'SCH B-2.3 B'!$B80)</f>
        <v>-65.02</v>
      </c>
      <c r="F80" s="88">
        <f>SUMIFS('PIS B'!$H$11:$H$338,'PIS B'!$B$11:$B$338,'SCH B-2.3 B'!$B80)</f>
        <v>0</v>
      </c>
      <c r="G80" s="88">
        <f>SUMIFS('PIS B'!$J$11:$J$338,'PIS B'!$B$11:$B$338,'SCH B-2.3 B'!$B80)</f>
        <v>0</v>
      </c>
      <c r="H80" s="88">
        <f t="shared" si="10"/>
        <v>2390106.04</v>
      </c>
    </row>
    <row r="81" spans="1:8" ht="18.95" customHeight="1">
      <c r="A81" s="70">
        <f t="shared" si="0"/>
        <v>53</v>
      </c>
      <c r="B81" s="71" t="s">
        <v>1684</v>
      </c>
      <c r="C81" s="78" t="s">
        <v>1674</v>
      </c>
      <c r="D81" s="88">
        <f>SUMIFS('PIS B'!$D$11:$D$338,'PIS B'!$B$11:$B$338,'SCH B-2.3 B'!$B81)</f>
        <v>194252350.83000004</v>
      </c>
      <c r="E81" s="88">
        <f>SUMIFS('PIS B'!$F$11:$F$338,'PIS B'!$B$11:$B$338,'SCH B-2.3 B'!$B81)</f>
        <v>14361241.46999998</v>
      </c>
      <c r="F81" s="88">
        <f>SUMIFS('PIS B'!$H$11:$H$338,'PIS B'!$B$11:$B$338,'SCH B-2.3 B'!$B81)</f>
        <v>-466335.94</v>
      </c>
      <c r="G81" s="88">
        <f>SUMIFS('PIS B'!$J$11:$J$338,'PIS B'!$B$11:$B$338,'SCH B-2.3 B'!$B81)</f>
        <v>0</v>
      </c>
      <c r="H81" s="88">
        <f t="shared" si="10"/>
        <v>208147256.36000001</v>
      </c>
    </row>
    <row r="82" spans="1:8" ht="18.95" customHeight="1">
      <c r="A82" s="70">
        <f t="shared" si="0"/>
        <v>54</v>
      </c>
      <c r="B82" s="71" t="s">
        <v>1685</v>
      </c>
      <c r="C82" s="78" t="s">
        <v>1686</v>
      </c>
      <c r="D82" s="88">
        <f>SUMIFS('PIS B'!$D$11:$D$338,'PIS B'!$B$11:$B$338,'SCH B-2.3 B'!$B82)</f>
        <v>313646674.88</v>
      </c>
      <c r="E82" s="88">
        <f>SUMIFS('PIS B'!$F$11:$F$338,'PIS B'!$B$11:$B$338,'SCH B-2.3 B'!$B82)</f>
        <v>8364578.8899999997</v>
      </c>
      <c r="F82" s="88">
        <f>SUMIFS('PIS B'!$H$11:$H$338,'PIS B'!$B$11:$B$338,'SCH B-2.3 B'!$B82)</f>
        <v>-401895.83999999991</v>
      </c>
      <c r="G82" s="88">
        <f>SUMIFS('PIS B'!$J$11:$J$338,'PIS B'!$B$11:$B$338,'SCH B-2.3 B'!$B82)</f>
        <v>0</v>
      </c>
      <c r="H82" s="88">
        <f t="shared" si="10"/>
        <v>321609357.93000001</v>
      </c>
    </row>
    <row r="83" spans="1:8" ht="18.95" customHeight="1">
      <c r="A83" s="70">
        <f t="shared" si="0"/>
        <v>55</v>
      </c>
      <c r="B83" s="71" t="s">
        <v>1687</v>
      </c>
      <c r="C83" s="78" t="s">
        <v>1688</v>
      </c>
      <c r="D83" s="88">
        <f>SUMIFS('PIS B'!$D$11:$D$338,'PIS B'!$B$11:$B$338,'SCH B-2.3 B'!$B83)</f>
        <v>114368256.35000001</v>
      </c>
      <c r="E83" s="88">
        <f>SUMIFS('PIS B'!$F$11:$F$338,'PIS B'!$B$11:$B$338,'SCH B-2.3 B'!$B83)</f>
        <v>135495.57</v>
      </c>
      <c r="F83" s="88">
        <f>SUMIFS('PIS B'!$H$11:$H$338,'PIS B'!$B$11:$B$338,'SCH B-2.3 B'!$B83)</f>
        <v>0</v>
      </c>
      <c r="G83" s="88">
        <f>SUMIFS('PIS B'!$J$11:$J$338,'PIS B'!$B$11:$B$338,'SCH B-2.3 B'!$B83)</f>
        <v>0</v>
      </c>
      <c r="H83" s="88">
        <f t="shared" si="10"/>
        <v>114503751.92</v>
      </c>
    </row>
    <row r="84" spans="1:8" ht="18.95" customHeight="1">
      <c r="A84" s="70">
        <f>A83+1</f>
        <v>56</v>
      </c>
      <c r="B84" s="71" t="s">
        <v>1689</v>
      </c>
      <c r="C84" s="78" t="s">
        <v>1690</v>
      </c>
      <c r="D84" s="88">
        <f>SUMIFS('PIS B'!$D$11:$D$338,'PIS B'!$B$11:$B$338,'SCH B-2.3 B'!$B84)</f>
        <v>78827769.109999999</v>
      </c>
      <c r="E84" s="88">
        <f>SUMIFS('PIS B'!$F$11:$F$338,'PIS B'!$B$11:$B$338,'SCH B-2.3 B'!$B84)</f>
        <v>2334501.8599999994</v>
      </c>
      <c r="F84" s="88">
        <f>SUMIFS('PIS B'!$H$11:$H$338,'PIS B'!$B$11:$B$338,'SCH B-2.3 B'!$B84)</f>
        <v>-130486.76</v>
      </c>
      <c r="G84" s="88">
        <f>SUMIFS('PIS B'!$J$11:$J$338,'PIS B'!$B$11:$B$338,'SCH B-2.3 B'!$B84)</f>
        <v>0</v>
      </c>
      <c r="H84" s="88">
        <f t="shared" si="10"/>
        <v>81031784.209999993</v>
      </c>
    </row>
    <row r="85" spans="1:8" ht="18.95" customHeight="1">
      <c r="A85" s="70">
        <f t="shared" si="0"/>
        <v>57</v>
      </c>
      <c r="B85" s="71" t="s">
        <v>1691</v>
      </c>
      <c r="C85" s="78" t="s">
        <v>1692</v>
      </c>
      <c r="D85" s="88">
        <f>SUMIFS('PIS B'!$D$11:$D$338,'PIS B'!$B$11:$B$338,'SCH B-2.3 B'!$B85)</f>
        <v>6164.11</v>
      </c>
      <c r="E85" s="88">
        <f>SUMIFS('PIS B'!$F$11:$F$338,'PIS B'!$B$11:$B$338,'SCH B-2.3 B'!$B85)</f>
        <v>142654.25999999995</v>
      </c>
      <c r="F85" s="88">
        <f>SUMIFS('PIS B'!$H$11:$H$338,'PIS B'!$B$11:$B$338,'SCH B-2.3 B'!$B85)</f>
        <v>0</v>
      </c>
      <c r="G85" s="88">
        <f>SUMIFS('PIS B'!$J$11:$J$338,'PIS B'!$B$11:$B$338,'SCH B-2.3 B'!$B85)</f>
        <v>0</v>
      </c>
      <c r="H85" s="88">
        <f t="shared" si="10"/>
        <v>148818.36999999994</v>
      </c>
    </row>
    <row r="86" spans="1:8" ht="18.95" customHeight="1">
      <c r="A86" s="70">
        <f t="shared" si="0"/>
        <v>58</v>
      </c>
      <c r="B86" s="71" t="s">
        <v>1693</v>
      </c>
      <c r="C86" s="78" t="s">
        <v>1694</v>
      </c>
      <c r="D86" s="88">
        <f>SUMIFS('PIS B'!$D$11:$D$338,'PIS B'!$B$11:$B$338,'SCH B-2.3 B'!$B86)</f>
        <v>120862948.14999999</v>
      </c>
      <c r="E86" s="88">
        <f>SUMIFS('PIS B'!$F$11:$F$338,'PIS B'!$B$11:$B$338,'SCH B-2.3 B'!$B86)</f>
        <v>6999839.929999996</v>
      </c>
      <c r="F86" s="88">
        <f>SUMIFS('PIS B'!$H$11:$H$338,'PIS B'!$B$11:$B$338,'SCH B-2.3 B'!$B86)</f>
        <v>-102313.40999999989</v>
      </c>
      <c r="G86" s="88">
        <f>SUMIFS('PIS B'!$J$11:$J$338,'PIS B'!$B$11:$B$338,'SCH B-2.3 B'!$B86)</f>
        <v>0</v>
      </c>
      <c r="H86" s="88">
        <f t="shared" si="10"/>
        <v>127760474.66999999</v>
      </c>
    </row>
    <row r="87" spans="1:8" ht="18.95" customHeight="1">
      <c r="A87" s="70">
        <f t="shared" si="0"/>
        <v>59</v>
      </c>
      <c r="B87" s="71" t="s">
        <v>1695</v>
      </c>
      <c r="C87" s="78" t="s">
        <v>151</v>
      </c>
      <c r="D87" s="89">
        <f>SUMIFS('PIS B'!$D$11:$D$338,'PIS B'!$B$11:$B$338,'SCH B-2.3 B'!$B87)</f>
        <v>670190.36999999906</v>
      </c>
      <c r="E87" s="89">
        <f>SUMIFS('PIS B'!$F$11:$F$338,'PIS B'!$B$11:$B$338,'SCH B-2.3 B'!$B87)</f>
        <v>0</v>
      </c>
      <c r="F87" s="89">
        <f>SUMIFS('PIS B'!$H$11:$H$338,'PIS B'!$B$11:$B$338,'SCH B-2.3 B'!$B87)</f>
        <v>-11903.18</v>
      </c>
      <c r="G87" s="89">
        <f>SUMIFS('PIS B'!$J$11:$J$338,'PIS B'!$B$11:$B$338,'SCH B-2.3 B'!$B87)</f>
        <v>0</v>
      </c>
      <c r="H87" s="89">
        <f t="shared" si="10"/>
        <v>658287.18999999901</v>
      </c>
    </row>
    <row r="88" spans="1:8" ht="18.95" customHeight="1">
      <c r="A88" s="70">
        <f t="shared" si="0"/>
        <v>60</v>
      </c>
      <c r="B88" s="71"/>
      <c r="C88" s="78" t="s">
        <v>153</v>
      </c>
      <c r="D88" s="86">
        <f>SUM(D75:D87)</f>
        <v>1803849250.6399999</v>
      </c>
      <c r="E88" s="86">
        <f t="shared" ref="E88:H88" si="11">SUM(E75:E87)</f>
        <v>155913782.40999991</v>
      </c>
      <c r="F88" s="86">
        <f t="shared" si="11"/>
        <v>-9788629.7199999969</v>
      </c>
      <c r="G88" s="86">
        <f t="shared" si="11"/>
        <v>860.21</v>
      </c>
      <c r="H88" s="86">
        <f t="shared" si="11"/>
        <v>1949975263.5400002</v>
      </c>
    </row>
    <row r="89" spans="1:8" s="68" customFormat="1" ht="20.100000000000001" customHeight="1">
      <c r="A89" s="767" t="str">
        <f>$A$1</f>
        <v>KENTUCKY UTILITIES COMPANY</v>
      </c>
      <c r="B89" s="767"/>
      <c r="C89" s="767"/>
      <c r="D89" s="767"/>
      <c r="E89" s="767"/>
      <c r="F89" s="767"/>
      <c r="G89" s="767"/>
      <c r="H89" s="767"/>
    </row>
    <row r="90" spans="1:8" s="68" customFormat="1" ht="20.100000000000001" customHeight="1">
      <c r="A90" s="767" t="str">
        <f>$A$2</f>
        <v>CASE NO. 2018-00294</v>
      </c>
      <c r="B90" s="767"/>
      <c r="C90" s="767"/>
      <c r="D90" s="767"/>
      <c r="E90" s="767"/>
      <c r="F90" s="767"/>
      <c r="G90" s="767"/>
      <c r="H90" s="767"/>
    </row>
    <row r="91" spans="1:8" s="68" customFormat="1" ht="20.100000000000001" customHeight="1">
      <c r="A91" s="767" t="str">
        <f>$A$3</f>
        <v>GROSS ADDITIONS, RETIREMENTS, AND TRANSFERS</v>
      </c>
      <c r="B91" s="767"/>
      <c r="C91" s="767"/>
      <c r="D91" s="767"/>
      <c r="E91" s="767"/>
      <c r="F91" s="767"/>
      <c r="G91" s="767"/>
      <c r="H91" s="767"/>
    </row>
    <row r="92" spans="1:8" s="68" customFormat="1" ht="20.100000000000001" customHeight="1">
      <c r="A92" s="766" t="str">
        <f>$A$4</f>
        <v>FROM JANUARY 1, 2018 TO DECEMBER 31, 2018</v>
      </c>
      <c r="B92" s="767"/>
      <c r="C92" s="767"/>
      <c r="D92" s="767"/>
      <c r="E92" s="767"/>
      <c r="F92" s="767"/>
      <c r="G92" s="767"/>
      <c r="H92" s="767"/>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5" t="str">
        <f>$H$6</f>
        <v>SCHEDULE B-2.3</v>
      </c>
    </row>
    <row r="95" spans="1:8" s="68" customFormat="1" ht="20.100000000000001" customHeight="1">
      <c r="A95" s="67" t="str">
        <f>$A$7</f>
        <v>TYPE OF FILING: __X__ ORIGINAL  _____ UPDATED  _____ REVISED</v>
      </c>
      <c r="G95" s="74"/>
      <c r="H95" s="74" t="s">
        <v>171</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58.5" customHeight="1">
      <c r="A98" s="76" t="s">
        <v>131</v>
      </c>
      <c r="B98" s="76" t="s">
        <v>134</v>
      </c>
      <c r="C98" s="79" t="s">
        <v>135</v>
      </c>
      <c r="D98" s="76" t="s">
        <v>136</v>
      </c>
      <c r="E98" s="76" t="s">
        <v>137</v>
      </c>
      <c r="F98" s="76" t="s">
        <v>138</v>
      </c>
      <c r="G98" s="76" t="s">
        <v>140</v>
      </c>
      <c r="H98" s="76" t="s">
        <v>141</v>
      </c>
    </row>
    <row r="99" spans="1:8" ht="23.1" customHeight="1">
      <c r="A99" s="80"/>
      <c r="B99" s="80"/>
      <c r="C99" s="81"/>
      <c r="D99" s="82" t="s">
        <v>142</v>
      </c>
      <c r="E99" s="82" t="s">
        <v>142</v>
      </c>
      <c r="F99" s="82" t="s">
        <v>142</v>
      </c>
      <c r="G99" s="82" t="s">
        <v>142</v>
      </c>
      <c r="H99" s="82" t="s">
        <v>142</v>
      </c>
    </row>
    <row r="100" spans="1:8" ht="18.95" customHeight="1">
      <c r="A100" s="70">
        <f>A88+1</f>
        <v>61</v>
      </c>
      <c r="C100" s="90" t="s">
        <v>32</v>
      </c>
    </row>
    <row r="101" spans="1:8" ht="18.95" customHeight="1">
      <c r="A101" s="70">
        <f t="shared" ref="A101:A111" si="12">A100+1</f>
        <v>62</v>
      </c>
      <c r="B101" s="71" t="s">
        <v>1697</v>
      </c>
      <c r="C101" s="78" t="s">
        <v>154</v>
      </c>
      <c r="D101" s="88">
        <f>SUMIFS('PIS B'!$D$11:$D$338,'PIS B'!$B$11:$B$338,'SCH B-2.3 B'!$B101)</f>
        <v>3397712.1999999997</v>
      </c>
      <c r="E101" s="88">
        <f>SUMIFS('PIS B'!$F$11:$F$338,'PIS B'!$B$11:$B$338,'SCH B-2.3 B'!$B101)</f>
        <v>723462.19</v>
      </c>
      <c r="F101" s="88">
        <f>SUMIFS('PIS B'!$H$11:$H$338,'PIS B'!$B$11:$B$338,'SCH B-2.3 B'!$B101)</f>
        <v>0</v>
      </c>
      <c r="G101" s="88">
        <f>SUMIFS('PIS B'!$J$11:$J$338,'PIS B'!$B$11:$B$338,'SCH B-2.3 B'!$B101)</f>
        <v>0</v>
      </c>
      <c r="H101" s="88">
        <f t="shared" ref="H101:H110" si="13">SUM(D101:G101)</f>
        <v>4121174.3899999997</v>
      </c>
    </row>
    <row r="102" spans="1:8" ht="18.95" customHeight="1">
      <c r="A102" s="70">
        <f t="shared" si="12"/>
        <v>63</v>
      </c>
      <c r="B102" s="71" t="s">
        <v>1698</v>
      </c>
      <c r="C102" s="78" t="s">
        <v>148</v>
      </c>
      <c r="D102" s="88">
        <f>SUMIFS('PIS B'!$D$11:$D$338,'PIS B'!$B$11:$B$338,'SCH B-2.3 B'!$B102)</f>
        <v>63009328.00999999</v>
      </c>
      <c r="E102" s="88">
        <f>SUMIFS('PIS B'!$F$11:$F$338,'PIS B'!$B$11:$B$338,'SCH B-2.3 B'!$B102)</f>
        <v>6901428.4999999981</v>
      </c>
      <c r="F102" s="88">
        <f>SUMIFS('PIS B'!$H$11:$H$338,'PIS B'!$B$11:$B$338,'SCH B-2.3 B'!$B102)</f>
        <v>-289182.42</v>
      </c>
      <c r="G102" s="88">
        <f>SUMIFS('PIS B'!$J$11:$J$338,'PIS B'!$B$11:$B$338,'SCH B-2.3 B'!$B102)</f>
        <v>-860.21</v>
      </c>
      <c r="H102" s="88">
        <f t="shared" si="13"/>
        <v>69620713.879999995</v>
      </c>
    </row>
    <row r="103" spans="1:8" ht="18.95" customHeight="1">
      <c r="A103" s="70">
        <f t="shared" si="12"/>
        <v>64</v>
      </c>
      <c r="B103" s="71" t="s">
        <v>1699</v>
      </c>
      <c r="C103" s="78" t="s">
        <v>156</v>
      </c>
      <c r="D103" s="88">
        <f>SUMIFS('PIS B'!$D$11:$D$338,'PIS B'!$B$11:$B$338,'SCH B-2.3 B'!$B103)</f>
        <v>38262138.25</v>
      </c>
      <c r="E103" s="88">
        <f>SUMIFS('PIS B'!$F$11:$F$338,'PIS B'!$B$11:$B$338,'SCH B-2.3 B'!$B103)</f>
        <v>12649667.129999999</v>
      </c>
      <c r="F103" s="88">
        <f>SUMIFS('PIS B'!$H$11:$H$338,'PIS B'!$B$11:$B$338,'SCH B-2.3 B'!$B103)</f>
        <v>-4605502.8399999989</v>
      </c>
      <c r="G103" s="88">
        <f>SUMIFS('PIS B'!$J$11:$J$338,'PIS B'!$B$11:$B$338,'SCH B-2.3 B'!$B103)</f>
        <v>0</v>
      </c>
      <c r="H103" s="88">
        <f t="shared" si="13"/>
        <v>46306302.539999999</v>
      </c>
    </row>
    <row r="104" spans="1:8" ht="18.95" customHeight="1">
      <c r="A104" s="70">
        <f t="shared" si="12"/>
        <v>65</v>
      </c>
      <c r="B104" s="71" t="s">
        <v>1700</v>
      </c>
      <c r="C104" s="78" t="s">
        <v>155</v>
      </c>
      <c r="D104" s="88">
        <f>SUMIFS('PIS B'!$D$11:$D$338,'PIS B'!$B$11:$B$338,'SCH B-2.3 B'!$B104)</f>
        <v>7247022.6799999997</v>
      </c>
      <c r="E104" s="88">
        <f>SUMIFS('PIS B'!$F$11:$F$338,'PIS B'!$B$11:$B$338,'SCH B-2.3 B'!$B104)</f>
        <v>506030.67000000004</v>
      </c>
      <c r="F104" s="88">
        <f>SUMIFS('PIS B'!$H$11:$H$338,'PIS B'!$B$11:$B$338,'SCH B-2.3 B'!$B104)</f>
        <v>-214781.65000000002</v>
      </c>
      <c r="G104" s="88">
        <f>SUMIFS('PIS B'!$J$11:$J$338,'PIS B'!$B$11:$B$338,'SCH B-2.3 B'!$B104)</f>
        <v>0</v>
      </c>
      <c r="H104" s="88">
        <f t="shared" si="13"/>
        <v>7538271.6999999993</v>
      </c>
    </row>
    <row r="105" spans="1:8" ht="18.95" customHeight="1">
      <c r="A105" s="70">
        <f t="shared" si="12"/>
        <v>66</v>
      </c>
      <c r="B105" s="71" t="s">
        <v>1701</v>
      </c>
      <c r="C105" s="78" t="s">
        <v>1702</v>
      </c>
      <c r="D105" s="88">
        <f>SUMIFS('PIS B'!$D$11:$D$338,'PIS B'!$B$11:$B$338,'SCH B-2.3 B'!$B105)</f>
        <v>910970.78999999992</v>
      </c>
      <c r="E105" s="88">
        <f>SUMIFS('PIS B'!$F$11:$F$338,'PIS B'!$B$11:$B$338,'SCH B-2.3 B'!$B105)</f>
        <v>51064.5</v>
      </c>
      <c r="F105" s="88">
        <f>SUMIFS('PIS B'!$H$11:$H$338,'PIS B'!$B$11:$B$338,'SCH B-2.3 B'!$B105)</f>
        <v>-10498.11</v>
      </c>
      <c r="G105" s="88">
        <f>SUMIFS('PIS B'!$J$11:$J$338,'PIS B'!$B$11:$B$338,'SCH B-2.3 B'!$B105)</f>
        <v>0</v>
      </c>
      <c r="H105" s="88">
        <f t="shared" si="13"/>
        <v>951537.17999999993</v>
      </c>
    </row>
    <row r="106" spans="1:8" ht="18.95" customHeight="1">
      <c r="A106" s="70">
        <f t="shared" si="12"/>
        <v>67</v>
      </c>
      <c r="B106" s="71" t="s">
        <v>1703</v>
      </c>
      <c r="C106" s="78" t="s">
        <v>1704</v>
      </c>
      <c r="D106" s="88">
        <f>SUMIFS('PIS B'!$D$11:$D$338,'PIS B'!$B$11:$B$338,'SCH B-2.3 B'!$B106)</f>
        <v>13303566.550000001</v>
      </c>
      <c r="E106" s="88">
        <f>SUMIFS('PIS B'!$F$11:$F$338,'PIS B'!$B$11:$B$338,'SCH B-2.3 B'!$B106)</f>
        <v>2157669.3000000003</v>
      </c>
      <c r="F106" s="88">
        <f>SUMIFS('PIS B'!$H$11:$H$338,'PIS B'!$B$11:$B$338,'SCH B-2.3 B'!$B106)</f>
        <v>-61108.549999999988</v>
      </c>
      <c r="G106" s="88">
        <f>SUMIFS('PIS B'!$J$11:$J$338,'PIS B'!$B$11:$B$338,'SCH B-2.3 B'!$B106)</f>
        <v>0</v>
      </c>
      <c r="H106" s="88">
        <f t="shared" si="13"/>
        <v>15400127.300000001</v>
      </c>
    </row>
    <row r="107" spans="1:8" ht="18.95" customHeight="1">
      <c r="A107" s="70">
        <f t="shared" si="12"/>
        <v>68</v>
      </c>
      <c r="B107" s="71" t="s">
        <v>1705</v>
      </c>
      <c r="C107" s="78" t="s">
        <v>1706</v>
      </c>
      <c r="D107" s="88">
        <f>SUMIFS('PIS B'!$D$11:$D$338,'PIS B'!$B$11:$B$338,'SCH B-2.3 B'!$B107)</f>
        <v>0</v>
      </c>
      <c r="E107" s="88">
        <f>SUMIFS('PIS B'!$F$11:$F$338,'PIS B'!$B$11:$B$338,'SCH B-2.3 B'!$B107)</f>
        <v>0</v>
      </c>
      <c r="F107" s="88">
        <f>SUMIFS('PIS B'!$H$11:$H$338,'PIS B'!$B$11:$B$338,'SCH B-2.3 B'!$B107)</f>
        <v>0</v>
      </c>
      <c r="G107" s="88">
        <f>SUMIFS('PIS B'!$J$11:$J$338,'PIS B'!$B$11:$B$338,'SCH B-2.3 B'!$B107)</f>
        <v>0</v>
      </c>
      <c r="H107" s="88">
        <f t="shared" si="13"/>
        <v>0</v>
      </c>
    </row>
    <row r="108" spans="1:8" ht="18.95" customHeight="1">
      <c r="A108" s="70">
        <f t="shared" si="12"/>
        <v>69</v>
      </c>
      <c r="B108" s="71" t="s">
        <v>1707</v>
      </c>
      <c r="C108" s="78" t="s">
        <v>1708</v>
      </c>
      <c r="D108" s="88">
        <f>SUMIFS('PIS B'!$D$11:$D$338,'PIS B'!$B$11:$B$338,'SCH B-2.3 B'!$B108)</f>
        <v>3458015.8199999994</v>
      </c>
      <c r="E108" s="88">
        <f>SUMIFS('PIS B'!$F$11:$F$338,'PIS B'!$B$11:$B$338,'SCH B-2.3 B'!$B108)</f>
        <v>679891.58</v>
      </c>
      <c r="F108" s="88">
        <f>SUMIFS('PIS B'!$H$11:$H$338,'PIS B'!$B$11:$B$338,'SCH B-2.3 B'!$B108)</f>
        <v>0</v>
      </c>
      <c r="G108" s="88">
        <f>SUMIFS('PIS B'!$J$11:$J$338,'PIS B'!$B$11:$B$338,'SCH B-2.3 B'!$B108)</f>
        <v>0</v>
      </c>
      <c r="H108" s="88">
        <f t="shared" si="13"/>
        <v>4137907.3999999994</v>
      </c>
    </row>
    <row r="109" spans="1:8" ht="18.95" customHeight="1">
      <c r="A109" s="70">
        <f t="shared" si="12"/>
        <v>70</v>
      </c>
      <c r="B109" s="71" t="s">
        <v>1709</v>
      </c>
      <c r="C109" s="78" t="s">
        <v>157</v>
      </c>
      <c r="D109" s="88">
        <f>SUMIFS('PIS B'!$D$11:$D$338,'PIS B'!$B$11:$B$338,'SCH B-2.3 B'!$B109)</f>
        <v>56854164.019999996</v>
      </c>
      <c r="E109" s="88">
        <f>SUMIFS('PIS B'!$F$11:$F$338,'PIS B'!$B$11:$B$338,'SCH B-2.3 B'!$B109)</f>
        <v>9194679.8000000007</v>
      </c>
      <c r="F109" s="88">
        <f>SUMIFS('PIS B'!$H$11:$H$338,'PIS B'!$B$11:$B$338,'SCH B-2.3 B'!$B109)</f>
        <v>0</v>
      </c>
      <c r="G109" s="88">
        <f>SUMIFS('PIS B'!$J$11:$J$338,'PIS B'!$B$11:$B$338,'SCH B-2.3 B'!$B109)</f>
        <v>0</v>
      </c>
      <c r="H109" s="88">
        <f t="shared" si="13"/>
        <v>66048843.819999993</v>
      </c>
    </row>
    <row r="110" spans="1:8" ht="18.95" customHeight="1">
      <c r="A110" s="70">
        <f t="shared" si="12"/>
        <v>71</v>
      </c>
      <c r="B110" s="71" t="s">
        <v>1710</v>
      </c>
      <c r="C110" s="78" t="s">
        <v>1711</v>
      </c>
      <c r="D110" s="89">
        <f>SUMIFS('PIS B'!$D$11:$D$338,'PIS B'!$B$11:$B$338,'SCH B-2.3 B'!$B110)</f>
        <v>0</v>
      </c>
      <c r="E110" s="89">
        <f>SUMIFS('PIS B'!$F$11:$F$338,'PIS B'!$B$11:$B$338,'SCH B-2.3 B'!$B110)</f>
        <v>0</v>
      </c>
      <c r="F110" s="89">
        <f>SUMIFS('PIS B'!$H$11:$H$338,'PIS B'!$B$11:$B$338,'SCH B-2.3 B'!$B110)</f>
        <v>0</v>
      </c>
      <c r="G110" s="89">
        <f>SUMIFS('PIS B'!$J$11:$J$338,'PIS B'!$B$11:$B$338,'SCH B-2.3 B'!$B110)</f>
        <v>0</v>
      </c>
      <c r="H110" s="89">
        <f t="shared" si="13"/>
        <v>0</v>
      </c>
    </row>
    <row r="111" spans="1:8" ht="18.95" customHeight="1">
      <c r="A111" s="70">
        <f t="shared" si="12"/>
        <v>72</v>
      </c>
      <c r="B111" s="71"/>
      <c r="C111" s="78" t="s">
        <v>158</v>
      </c>
      <c r="D111" s="86">
        <f>SUM(D101:D110)</f>
        <v>186442918.31999999</v>
      </c>
      <c r="E111" s="86">
        <f t="shared" ref="E111:H111" si="14">SUM(E101:E110)</f>
        <v>32863893.669999998</v>
      </c>
      <c r="F111" s="86">
        <f t="shared" si="14"/>
        <v>-5181073.5699999994</v>
      </c>
      <c r="G111" s="86">
        <f t="shared" si="14"/>
        <v>-860.21</v>
      </c>
      <c r="H111" s="86">
        <f t="shared" si="14"/>
        <v>214124878.21000001</v>
      </c>
    </row>
    <row r="112" spans="1:8" ht="18.95" customHeight="1">
      <c r="A112" s="70"/>
      <c r="B112" s="71"/>
    </row>
    <row r="113" spans="1:8" ht="18.95" customHeight="1" thickBot="1">
      <c r="A113" s="70">
        <f>A111+1</f>
        <v>73</v>
      </c>
      <c r="B113" s="71"/>
      <c r="C113" s="68" t="s">
        <v>159</v>
      </c>
      <c r="D113" s="94">
        <f>SUM(D16,D27,D38,D60,D72,D88,D111)</f>
        <v>9275270973.7199898</v>
      </c>
      <c r="E113" s="94">
        <f>SUM(E16,E27,E38,E60,E72,E88,E111)</f>
        <v>561050659.0299896</v>
      </c>
      <c r="F113" s="94">
        <f>SUM(F16,F27,F38,F60,F72,F88,F111)</f>
        <v>-50198097.569999978</v>
      </c>
      <c r="G113" s="94">
        <f>SUM(G16,G27,G38,G60,G72,G88,G111)</f>
        <v>-4624832.9699999914</v>
      </c>
      <c r="H113" s="94">
        <f>SUM(H16,H27,H38,H60,H72,H88,H111)</f>
        <v>9781498702.2099781</v>
      </c>
    </row>
    <row r="114" spans="1:8" ht="18.95" customHeight="1" thickTop="1">
      <c r="B114" s="71"/>
    </row>
    <row r="115" spans="1:8" ht="18.95" customHeight="1">
      <c r="B115" s="71"/>
      <c r="D115" s="86"/>
    </row>
    <row r="116" spans="1:8" ht="18.95" customHeight="1">
      <c r="B116" s="71"/>
      <c r="C116" s="431" t="s">
        <v>2181</v>
      </c>
      <c r="D116" s="88">
        <f>'PIS B'!D115+'PIS B'!D248+'PIS B'!D314</f>
        <v>9275270973.7199898</v>
      </c>
      <c r="H116" s="88">
        <f>'PIS B'!N115+'PIS B'!N248+'PIS B'!N314</f>
        <v>9781498702.20998</v>
      </c>
    </row>
    <row r="117" spans="1:8" ht="18.95" customHeight="1">
      <c r="B117" s="71"/>
      <c r="D117" s="88">
        <f>D113-D116</f>
        <v>0</v>
      </c>
      <c r="H117" s="88">
        <f>H113-H116</f>
        <v>0</v>
      </c>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1:H1"/>
    <mergeCell ref="A2:H2"/>
    <mergeCell ref="A3:H3"/>
    <mergeCell ref="A4:H4"/>
    <mergeCell ref="A89:H89"/>
    <mergeCell ref="A90:H90"/>
    <mergeCell ref="A91:H91"/>
    <mergeCell ref="A92:H92"/>
    <mergeCell ref="A45:H45"/>
    <mergeCell ref="A46:H46"/>
    <mergeCell ref="A47:H47"/>
    <mergeCell ref="A48:H48"/>
  </mergeCells>
  <pageMargins left="0.95" right="0.5" top="0.75" bottom="0.75" header="0.3" footer="0.3"/>
  <pageSetup scale="73" fitToHeight="0" orientation="portrait" r:id="rId1"/>
  <rowBreaks count="2" manualBreakCount="2">
    <brk id="44" max="16383" man="1"/>
    <brk id="8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32"/>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77734375" style="69" customWidth="1"/>
    <col min="6" max="6" width="14.77734375" style="69" customWidth="1"/>
    <col min="7" max="7" width="13.77734375" style="69" customWidth="1"/>
    <col min="8" max="9" width="14.77734375" style="69" customWidth="1"/>
    <col min="10" max="10" width="1.6640625" style="69" customWidth="1"/>
    <col min="11" max="16384" width="9" style="69"/>
  </cols>
  <sheetData>
    <row r="1" spans="1:9" s="68" customFormat="1" ht="20.100000000000001" customHeight="1">
      <c r="A1" s="767" t="str">
        <f>'Rate Case Constants'!C9</f>
        <v>KENTUCKY UTILITIES COMPANY</v>
      </c>
      <c r="B1" s="767"/>
      <c r="C1" s="767"/>
      <c r="D1" s="767"/>
      <c r="E1" s="767"/>
      <c r="F1" s="767"/>
      <c r="G1" s="767"/>
      <c r="H1" s="767"/>
      <c r="I1" s="767"/>
    </row>
    <row r="2" spans="1:9" s="68" customFormat="1" ht="20.100000000000001" customHeight="1">
      <c r="A2" s="767" t="str">
        <f>'Rate Case Constants'!C10</f>
        <v>CASE NO. 2018-00294</v>
      </c>
      <c r="B2" s="767"/>
      <c r="C2" s="767"/>
      <c r="D2" s="767"/>
      <c r="E2" s="767"/>
      <c r="F2" s="767"/>
      <c r="G2" s="767"/>
      <c r="H2" s="767"/>
      <c r="I2" s="767"/>
    </row>
    <row r="3" spans="1:9" s="68" customFormat="1" ht="20.100000000000001" customHeight="1">
      <c r="A3" s="767" t="s">
        <v>132</v>
      </c>
      <c r="B3" s="767"/>
      <c r="C3" s="767"/>
      <c r="D3" s="767"/>
      <c r="E3" s="767"/>
      <c r="F3" s="767"/>
      <c r="G3" s="767"/>
      <c r="H3" s="767"/>
      <c r="I3" s="767"/>
    </row>
    <row r="4" spans="1:9" s="68" customFormat="1" ht="20.100000000000001" customHeight="1">
      <c r="A4" s="767" t="str">
        <f>'Rate Case Constants'!C20</f>
        <v>FROM MAY 1, 2019 TO APRIL 30, 2020</v>
      </c>
      <c r="B4" s="767"/>
      <c r="C4" s="767"/>
      <c r="D4" s="767"/>
      <c r="E4" s="767"/>
      <c r="F4" s="767"/>
      <c r="G4" s="767"/>
      <c r="H4" s="767"/>
      <c r="I4" s="767"/>
    </row>
    <row r="5" spans="1:9" s="68" customFormat="1" ht="20.100000000000001" customHeight="1">
      <c r="A5" s="84"/>
      <c r="B5" s="84"/>
      <c r="C5" s="84"/>
      <c r="D5" s="84"/>
      <c r="E5" s="84"/>
      <c r="F5" s="84"/>
      <c r="G5" s="84"/>
      <c r="H5" s="84"/>
      <c r="I5" s="84"/>
    </row>
    <row r="6" spans="1:9" s="68" customFormat="1" ht="20.100000000000001" customHeight="1">
      <c r="A6" s="67" t="s">
        <v>161</v>
      </c>
      <c r="B6" s="67"/>
      <c r="G6" s="74"/>
      <c r="H6" s="74"/>
      <c r="I6" s="74" t="s">
        <v>139</v>
      </c>
    </row>
    <row r="7" spans="1:9" s="68" customFormat="1" ht="20.100000000000001" customHeight="1">
      <c r="A7" s="68" t="str">
        <f>'Rate Case Constants'!C29</f>
        <v>TYPE OF FILING: __X__ ORIGINAL  _____ UPDATED  _____ REVISED</v>
      </c>
      <c r="G7" s="74"/>
      <c r="H7" s="74"/>
      <c r="I7" s="74" t="s">
        <v>168</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65.099999999999994" customHeight="1">
      <c r="A10" s="76" t="s">
        <v>131</v>
      </c>
      <c r="B10" s="76" t="s">
        <v>134</v>
      </c>
      <c r="C10" s="79" t="s">
        <v>135</v>
      </c>
      <c r="D10" s="76" t="s">
        <v>162</v>
      </c>
      <c r="E10" s="76" t="s">
        <v>137</v>
      </c>
      <c r="F10" s="76" t="s">
        <v>138</v>
      </c>
      <c r="G10" s="76" t="s">
        <v>140</v>
      </c>
      <c r="H10" s="76" t="s">
        <v>163</v>
      </c>
      <c r="I10" s="76" t="s">
        <v>164</v>
      </c>
    </row>
    <row r="11" spans="1:9" ht="23.1" customHeight="1">
      <c r="A11" s="80"/>
      <c r="B11" s="80"/>
      <c r="C11" s="81"/>
      <c r="D11" s="82" t="s">
        <v>142</v>
      </c>
      <c r="E11" s="82" t="s">
        <v>142</v>
      </c>
      <c r="F11" s="82" t="s">
        <v>142</v>
      </c>
      <c r="G11" s="82" t="s">
        <v>142</v>
      </c>
      <c r="H11" s="82" t="s">
        <v>142</v>
      </c>
      <c r="I11" s="82" t="s">
        <v>142</v>
      </c>
    </row>
    <row r="12" spans="1:9" ht="23.1" customHeight="1">
      <c r="A12" s="73">
        <v>1</v>
      </c>
      <c r="B12" s="73"/>
      <c r="C12" s="85" t="s">
        <v>56</v>
      </c>
      <c r="D12" s="77"/>
      <c r="E12" s="77"/>
      <c r="F12" s="77"/>
      <c r="G12" s="77"/>
      <c r="H12" s="77"/>
      <c r="I12" s="77"/>
    </row>
    <row r="13" spans="1:9" ht="18.95" customHeight="1">
      <c r="A13" s="70">
        <f>A12+1</f>
        <v>2</v>
      </c>
      <c r="B13" s="71" t="s">
        <v>1620</v>
      </c>
      <c r="C13" s="78" t="s">
        <v>1621</v>
      </c>
      <c r="D13" s="86">
        <f>SUMIFS('PIS F'!$D$11:$D$344,'PIS F'!$B$11:$B$344,'SCH B-2.3 F'!$B13)</f>
        <v>44455.58</v>
      </c>
      <c r="E13" s="86">
        <f>SUMIFS('PIS F'!$F$11:$F$344,'PIS F'!$B$11:$B$344,'SCH B-2.3 F'!$B13)</f>
        <v>0</v>
      </c>
      <c r="F13" s="86">
        <f>SUMIFS('PIS F'!$H$11:$H$344,'PIS F'!$B$11:$B$344,'SCH B-2.3 F'!$B13)</f>
        <v>0</v>
      </c>
      <c r="G13" s="86">
        <f>SUMIFS('PIS F'!$J$11:$J$344,'PIS F'!$B$11:$B$344,'SCH B-2.3 F'!$B13)</f>
        <v>0</v>
      </c>
      <c r="H13" s="86">
        <f>SUM(D13:G13)</f>
        <v>44455.58</v>
      </c>
      <c r="I13" s="86">
        <f>SUMIFS('PIS F'!$P$11:$P$344,'PIS F'!$B$11:$B$344,'SCH B-2.3 F'!$B13)</f>
        <v>44455.580000000009</v>
      </c>
    </row>
    <row r="14" spans="1:9" ht="18.95" customHeight="1">
      <c r="A14" s="70">
        <f t="shared" ref="A14:A77" si="0">A13+1</f>
        <v>3</v>
      </c>
      <c r="B14" s="71" t="s">
        <v>1622</v>
      </c>
      <c r="C14" s="78" t="s">
        <v>1623</v>
      </c>
      <c r="D14" s="86">
        <f>SUMIFS('PIS F'!$D$11:$D$344,'PIS F'!$B$11:$B$344,'SCH B-2.3 F'!$B14)</f>
        <v>55918.83</v>
      </c>
      <c r="E14" s="86">
        <f>SUMIFS('PIS F'!$F$11:$F$344,'PIS F'!$B$11:$B$344,'SCH B-2.3 F'!$B14)</f>
        <v>0</v>
      </c>
      <c r="F14" s="87">
        <f>SUMIFS('PIS F'!$H$11:$H$344,'PIS F'!$B$11:$B$344,'SCH B-2.3 F'!$B14)</f>
        <v>0</v>
      </c>
      <c r="G14" s="87">
        <f>SUMIFS('PIS F'!$J$11:$J$344,'PIS F'!$B$11:$B$344,'SCH B-2.3 F'!$B14)</f>
        <v>0</v>
      </c>
      <c r="H14" s="87">
        <f t="shared" ref="H14:H15" si="1">SUM(D14:G14)</f>
        <v>55918.83</v>
      </c>
      <c r="I14" s="86">
        <f>SUMIFS('PIS F'!$P$11:$P$344,'PIS F'!$B$11:$B$344,'SCH B-2.3 F'!$B14)</f>
        <v>55918.829999999994</v>
      </c>
    </row>
    <row r="15" spans="1:9" ht="18.95" customHeight="1">
      <c r="A15" s="70">
        <f t="shared" si="0"/>
        <v>4</v>
      </c>
      <c r="B15" s="71" t="s">
        <v>1624</v>
      </c>
      <c r="C15" s="78" t="s">
        <v>1625</v>
      </c>
      <c r="D15" s="89">
        <f>SUMIFS('PIS F'!$D$11:$D$344,'PIS F'!$B$11:$B$344,'SCH B-2.3 F'!$B15)</f>
        <v>92482244.189999998</v>
      </c>
      <c r="E15" s="89">
        <f>SUMIFS('PIS F'!$F$11:$F$344,'PIS F'!$B$11:$B$344,'SCH B-2.3 F'!$B15)</f>
        <v>23409368.479999997</v>
      </c>
      <c r="F15" s="89">
        <f>SUMIFS('PIS F'!$H$11:$H$344,'PIS F'!$B$11:$B$344,'SCH B-2.3 F'!$B15)</f>
        <v>-11987927.70999999</v>
      </c>
      <c r="G15" s="89">
        <f>SUMIFS('PIS F'!$J$11:$J$344,'PIS F'!$B$11:$B$344,'SCH B-2.3 F'!$B15)</f>
        <v>0</v>
      </c>
      <c r="H15" s="89">
        <f t="shared" si="1"/>
        <v>103903684.95999999</v>
      </c>
      <c r="I15" s="89">
        <f>SUMIFS('PIS F'!$P$11:$P$344,'PIS F'!$B$11:$B$344,'SCH B-2.3 F'!$B15)</f>
        <v>97903191.244615391</v>
      </c>
    </row>
    <row r="16" spans="1:9" ht="18.95" customHeight="1">
      <c r="A16" s="70">
        <f t="shared" si="0"/>
        <v>5</v>
      </c>
      <c r="B16" s="70"/>
      <c r="C16" s="78" t="s">
        <v>143</v>
      </c>
      <c r="D16" s="86">
        <f t="shared" ref="D16:H16" si="2">SUM(D13:D15)</f>
        <v>92582618.599999994</v>
      </c>
      <c r="E16" s="86">
        <f t="shared" si="2"/>
        <v>23409368.479999997</v>
      </c>
      <c r="F16" s="86">
        <f t="shared" si="2"/>
        <v>-11987927.70999999</v>
      </c>
      <c r="G16" s="86">
        <f t="shared" si="2"/>
        <v>0</v>
      </c>
      <c r="H16" s="86">
        <f t="shared" si="2"/>
        <v>104004059.36999999</v>
      </c>
      <c r="I16" s="86">
        <f t="shared" ref="I16" si="3">SUM(I13:I15)</f>
        <v>98003565.654615387</v>
      </c>
    </row>
    <row r="17" spans="1:9" ht="18.95" customHeight="1">
      <c r="A17" s="70"/>
      <c r="B17" s="70"/>
      <c r="D17" s="72"/>
      <c r="E17" s="72"/>
      <c r="F17" s="72"/>
      <c r="G17" s="72"/>
      <c r="H17" s="72"/>
      <c r="I17" s="72"/>
    </row>
    <row r="18" spans="1:9" ht="18.95" customHeight="1">
      <c r="A18" s="70">
        <f>A16+1</f>
        <v>6</v>
      </c>
      <c r="B18" s="70"/>
      <c r="C18" s="90" t="s">
        <v>72</v>
      </c>
      <c r="D18" s="72"/>
      <c r="E18" s="72"/>
      <c r="F18" s="72"/>
      <c r="G18" s="72"/>
      <c r="H18" s="72"/>
      <c r="I18" s="72"/>
    </row>
    <row r="19" spans="1:9" ht="18.95" customHeight="1">
      <c r="A19" s="70">
        <f t="shared" si="0"/>
        <v>7</v>
      </c>
      <c r="B19" s="71" t="s">
        <v>1626</v>
      </c>
      <c r="C19" s="78" t="s">
        <v>154</v>
      </c>
      <c r="D19" s="88">
        <f>SUMIFS('PIS F'!$D$11:$D$344,'PIS F'!$B$11:$B$344,'SCH B-2.3 F'!$B19)</f>
        <v>24447347.889999904</v>
      </c>
      <c r="E19" s="88">
        <f>SUMIFS('PIS F'!$F$11:$F$344,'PIS F'!$B$11:$B$344,'SCH B-2.3 F'!$B19)</f>
        <v>0</v>
      </c>
      <c r="F19" s="88">
        <f>SUMIFS('PIS F'!$H$11:$H$344,'PIS F'!$B$11:$B$344,'SCH B-2.3 F'!$B19)</f>
        <v>0</v>
      </c>
      <c r="G19" s="88">
        <f>SUMIFS('PIS F'!$J$11:$J$344,'PIS F'!$B$11:$B$344,'SCH B-2.3 F'!$B19)</f>
        <v>0</v>
      </c>
      <c r="H19" s="88">
        <f t="shared" ref="H19:H26" si="4">SUM(D19:G19)</f>
        <v>24447347.889999904</v>
      </c>
      <c r="I19" s="88">
        <f>SUMIFS('PIS F'!$P$11:$P$344,'PIS F'!$B$11:$B$344,'SCH B-2.3 F'!$B19)</f>
        <v>24447347.8899999</v>
      </c>
    </row>
    <row r="20" spans="1:9" ht="18" customHeight="1">
      <c r="A20" s="70">
        <f t="shared" si="0"/>
        <v>8</v>
      </c>
      <c r="B20" s="71" t="s">
        <v>1627</v>
      </c>
      <c r="C20" s="78" t="s">
        <v>148</v>
      </c>
      <c r="D20" s="88">
        <f>SUMIFS('PIS F'!$D$11:$D$344,'PIS F'!$B$11:$B$344,'SCH B-2.3 F'!$B20)</f>
        <v>358184752.669999</v>
      </c>
      <c r="E20" s="88">
        <f>SUMIFS('PIS F'!$F$11:$F$344,'PIS F'!$B$11:$B$344,'SCH B-2.3 F'!$B20)</f>
        <v>3371692.8500000006</v>
      </c>
      <c r="F20" s="88">
        <f>SUMIFS('PIS F'!$H$11:$H$344,'PIS F'!$B$11:$B$344,'SCH B-2.3 F'!$B20)</f>
        <v>-10675505.010000002</v>
      </c>
      <c r="G20" s="88">
        <f>SUMIFS('PIS F'!$J$11:$J$344,'PIS F'!$B$11:$B$344,'SCH B-2.3 F'!$B20)</f>
        <v>0</v>
      </c>
      <c r="H20" s="88">
        <f t="shared" si="4"/>
        <v>350880940.50999904</v>
      </c>
      <c r="I20" s="88">
        <f>SUMIFS('PIS F'!$P$11:$P$344,'PIS F'!$B$11:$B$344,'SCH B-2.3 F'!$B20)</f>
        <v>356416650.27999979</v>
      </c>
    </row>
    <row r="21" spans="1:9" ht="18.95" customHeight="1">
      <c r="A21" s="70">
        <f t="shared" si="0"/>
        <v>9</v>
      </c>
      <c r="B21" s="71" t="s">
        <v>1628</v>
      </c>
      <c r="C21" s="78" t="s">
        <v>1629</v>
      </c>
      <c r="D21" s="88">
        <f>SUMIFS('PIS F'!$D$11:$D$344,'PIS F'!$B$11:$B$344,'SCH B-2.3 F'!$B21)</f>
        <v>4067527423.1499901</v>
      </c>
      <c r="E21" s="88">
        <f>SUMIFS('PIS F'!$F$11:$F$344,'PIS F'!$B$11:$B$344,'SCH B-2.3 F'!$B21)</f>
        <v>317585036.13999975</v>
      </c>
      <c r="F21" s="88">
        <f>SUMIFS('PIS F'!$H$11:$H$344,'PIS F'!$B$11:$B$344,'SCH B-2.3 F'!$B21)</f>
        <v>-16499907.68</v>
      </c>
      <c r="G21" s="88">
        <f>SUMIFS('PIS F'!$J$11:$J$344,'PIS F'!$B$11:$B$344,'SCH B-2.3 F'!$B21)</f>
        <v>0</v>
      </c>
      <c r="H21" s="88">
        <f t="shared" si="4"/>
        <v>4368612551.6099892</v>
      </c>
      <c r="I21" s="88">
        <f>SUMIFS('PIS F'!$P$11:$P$344,'PIS F'!$B$11:$B$344,'SCH B-2.3 F'!$B21)</f>
        <v>4270987467.3684545</v>
      </c>
    </row>
    <row r="22" spans="1:9" ht="18.95" customHeight="1">
      <c r="A22" s="70">
        <f>A20+1</f>
        <v>9</v>
      </c>
      <c r="B22" s="71">
        <v>313</v>
      </c>
      <c r="C22" s="78" t="s">
        <v>144</v>
      </c>
      <c r="D22" s="88">
        <f>SUMIFS('PIS F'!$D$11:$D$344,'PIS F'!$B$11:$B$344,'SCH B-2.3 F'!$B22)</f>
        <v>0</v>
      </c>
      <c r="E22" s="88">
        <f>SUMIFS('PIS F'!$F$11:$F$344,'PIS F'!$B$11:$B$344,'SCH B-2.3 F'!$B22)</f>
        <v>0</v>
      </c>
      <c r="F22" s="88">
        <f>SUMIFS('PIS F'!$H$11:$H$344,'PIS F'!$B$11:$B$344,'SCH B-2.3 F'!$B22)</f>
        <v>0</v>
      </c>
      <c r="G22" s="88">
        <f>SUMIFS('PIS F'!$J$11:$J$344,'PIS F'!$B$11:$B$344,'SCH B-2.3 F'!$B22)</f>
        <v>0</v>
      </c>
      <c r="H22" s="88">
        <f t="shared" si="4"/>
        <v>0</v>
      </c>
      <c r="I22" s="88">
        <f>SUMIFS('PIS F'!$P$11:$P$344,'PIS F'!$B$11:$B$344,'SCH B-2.3 F'!$B22)</f>
        <v>0</v>
      </c>
    </row>
    <row r="23" spans="1:9" ht="18.95" customHeight="1">
      <c r="A23" s="70">
        <f>A21+1</f>
        <v>10</v>
      </c>
      <c r="B23" s="71" t="s">
        <v>1630</v>
      </c>
      <c r="C23" s="78" t="s">
        <v>1631</v>
      </c>
      <c r="D23" s="88">
        <f>SUMIFS('PIS F'!$D$11:$D$344,'PIS F'!$B$11:$B$344,'SCH B-2.3 F'!$B23)</f>
        <v>330679341.14999998</v>
      </c>
      <c r="E23" s="88">
        <f>SUMIFS('PIS F'!$F$11:$F$344,'PIS F'!$B$11:$B$344,'SCH B-2.3 F'!$B23)</f>
        <v>10619231.029999988</v>
      </c>
      <c r="F23" s="88">
        <f>SUMIFS('PIS F'!$H$11:$H$344,'PIS F'!$B$11:$B$344,'SCH B-2.3 F'!$B23)</f>
        <v>-7294506.6399999997</v>
      </c>
      <c r="G23" s="88">
        <f>SUMIFS('PIS F'!$J$11:$J$344,'PIS F'!$B$11:$B$344,'SCH B-2.3 F'!$B23)</f>
        <v>0</v>
      </c>
      <c r="H23" s="88">
        <f t="shared" si="4"/>
        <v>334004065.53999996</v>
      </c>
      <c r="I23" s="88">
        <f>SUMIFS('PIS F'!$P$11:$P$344,'PIS F'!$B$11:$B$344,'SCH B-2.3 F'!$B23)</f>
        <v>335160961.10923022</v>
      </c>
    </row>
    <row r="24" spans="1:9" ht="18.95" customHeight="1">
      <c r="A24" s="70">
        <f t="shared" si="0"/>
        <v>11</v>
      </c>
      <c r="B24" s="71" t="s">
        <v>1632</v>
      </c>
      <c r="C24" s="78" t="s">
        <v>1633</v>
      </c>
      <c r="D24" s="88">
        <f>SUMIFS('PIS F'!$D$11:$D$344,'PIS F'!$B$11:$B$344,'SCH B-2.3 F'!$B24)</f>
        <v>250340853.139999</v>
      </c>
      <c r="E24" s="88">
        <f>SUMIFS('PIS F'!$F$11:$F$344,'PIS F'!$B$11:$B$344,'SCH B-2.3 F'!$B24)</f>
        <v>8207799.9399999985</v>
      </c>
      <c r="F24" s="88">
        <f>SUMIFS('PIS F'!$H$11:$H$344,'PIS F'!$B$11:$B$344,'SCH B-2.3 F'!$B24)</f>
        <v>-1058983.8</v>
      </c>
      <c r="G24" s="88">
        <f>SUMIFS('PIS F'!$J$11:$J$344,'PIS F'!$B$11:$B$344,'SCH B-2.3 F'!$B24)</f>
        <v>0</v>
      </c>
      <c r="H24" s="88">
        <f t="shared" si="4"/>
        <v>257489669.27999899</v>
      </c>
      <c r="I24" s="88">
        <f>SUMIFS('PIS F'!$P$11:$P$344,'PIS F'!$B$11:$B$344,'SCH B-2.3 F'!$B24)</f>
        <v>253792341.09615284</v>
      </c>
    </row>
    <row r="25" spans="1:9" ht="18.95" customHeight="1">
      <c r="A25" s="70">
        <f t="shared" si="0"/>
        <v>12</v>
      </c>
      <c r="B25" s="71" t="s">
        <v>1634</v>
      </c>
      <c r="C25" s="78" t="s">
        <v>1635</v>
      </c>
      <c r="D25" s="88">
        <f>SUMIFS('PIS F'!$D$11:$D$344,'PIS F'!$B$11:$B$344,'SCH B-2.3 F'!$B25)</f>
        <v>39803670.879999906</v>
      </c>
      <c r="E25" s="88">
        <f>SUMIFS('PIS F'!$F$11:$F$344,'PIS F'!$B$11:$B$344,'SCH B-2.3 F'!$B25)</f>
        <v>7435215.4099999992</v>
      </c>
      <c r="F25" s="88">
        <f>SUMIFS('PIS F'!$H$11:$H$344,'PIS F'!$B$11:$B$344,'SCH B-2.3 F'!$B25)</f>
        <v>-536312.27</v>
      </c>
      <c r="G25" s="88">
        <f>SUMIFS('PIS F'!$J$11:$J$344,'PIS F'!$B$11:$B$344,'SCH B-2.3 F'!$B25)</f>
        <v>0</v>
      </c>
      <c r="H25" s="88">
        <f t="shared" si="4"/>
        <v>46702574.019999899</v>
      </c>
      <c r="I25" s="88">
        <f>SUMIFS('PIS F'!$P$11:$P$344,'PIS F'!$B$11:$B$344,'SCH B-2.3 F'!$B25)</f>
        <v>43646023.0499999</v>
      </c>
    </row>
    <row r="26" spans="1:9" ht="18.95" customHeight="1">
      <c r="A26" s="70">
        <f t="shared" si="0"/>
        <v>13</v>
      </c>
      <c r="B26" s="71" t="s">
        <v>1636</v>
      </c>
      <c r="C26" s="78" t="s">
        <v>1655</v>
      </c>
      <c r="D26" s="89">
        <f>SUMIFS('PIS F'!$D$11:$D$344,'PIS F'!$B$11:$B$344,'SCH B-2.3 F'!$B26)</f>
        <v>197376730.81</v>
      </c>
      <c r="E26" s="89">
        <f>SUMIFS('PIS F'!$F$11:$F$344,'PIS F'!$B$11:$B$344,'SCH B-2.3 F'!$B26)</f>
        <v>0</v>
      </c>
      <c r="F26" s="89">
        <f>SUMIFS('PIS F'!$H$11:$H$344,'PIS F'!$B$11:$B$344,'SCH B-2.3 F'!$B26)</f>
        <v>-61964754.82</v>
      </c>
      <c r="G26" s="89">
        <f>SUMIFS('PIS F'!$J$11:$J$344,'PIS F'!$B$11:$B$344,'SCH B-2.3 F'!$B26)</f>
        <v>0</v>
      </c>
      <c r="H26" s="89">
        <f t="shared" si="4"/>
        <v>135411975.99000001</v>
      </c>
      <c r="I26" s="89">
        <f>SUMIFS('PIS F'!$P$11:$P$344,'PIS F'!$B$11:$B$344,'SCH B-2.3 F'!$B26)</f>
        <v>178310652.40384617</v>
      </c>
    </row>
    <row r="27" spans="1:9" ht="18.95" customHeight="1">
      <c r="A27" s="70">
        <f t="shared" si="0"/>
        <v>14</v>
      </c>
      <c r="C27" s="78" t="s">
        <v>146</v>
      </c>
      <c r="D27" s="86">
        <f t="shared" ref="D27:H27" si="5">SUM(D19:D26)</f>
        <v>5268360119.6899881</v>
      </c>
      <c r="E27" s="86">
        <f t="shared" si="5"/>
        <v>347218975.36999977</v>
      </c>
      <c r="F27" s="86">
        <f t="shared" si="5"/>
        <v>-98029970.219999999</v>
      </c>
      <c r="G27" s="86">
        <f t="shared" si="5"/>
        <v>0</v>
      </c>
      <c r="H27" s="86">
        <f t="shared" si="5"/>
        <v>5517549124.8399858</v>
      </c>
      <c r="I27" s="86">
        <f t="shared" ref="I27" si="6">SUM(I19:I26)</f>
        <v>5462761443.1976833</v>
      </c>
    </row>
    <row r="28" spans="1:9" ht="18.95" customHeight="1">
      <c r="A28" s="70"/>
      <c r="C28" s="78"/>
    </row>
    <row r="29" spans="1:9" ht="18.95" customHeight="1">
      <c r="A29" s="70">
        <f>A27+1</f>
        <v>15</v>
      </c>
      <c r="C29" s="90" t="s">
        <v>47</v>
      </c>
    </row>
    <row r="30" spans="1:9" ht="18.95" customHeight="1">
      <c r="A30" s="70">
        <f t="shared" si="0"/>
        <v>16</v>
      </c>
      <c r="B30" s="71" t="s">
        <v>1637</v>
      </c>
      <c r="C30" s="78" t="s">
        <v>154</v>
      </c>
      <c r="D30" s="88">
        <f>SUMIFS('PIS F'!$D$11:$D$344,'PIS F'!$B$11:$B$344,'SCH B-2.3 F'!$B30)</f>
        <v>855636.47000000009</v>
      </c>
      <c r="E30" s="88">
        <f>SUMIFS('PIS F'!$F$11:$F$344,'PIS F'!$B$11:$B$344,'SCH B-2.3 F'!$B30)</f>
        <v>0</v>
      </c>
      <c r="F30" s="88">
        <f>SUMIFS('PIS F'!$H$11:$H$344,'PIS F'!$B$11:$B$344,'SCH B-2.3 F'!$B30)</f>
        <v>0</v>
      </c>
      <c r="G30" s="88">
        <f>SUMIFS('PIS F'!$J$11:$J$344,'PIS F'!$B$11:$B$344,'SCH B-2.3 F'!$B30)</f>
        <v>0</v>
      </c>
      <c r="H30" s="88">
        <f t="shared" ref="H30:H37" si="7">SUM(D30:G30)</f>
        <v>855636.47000000009</v>
      </c>
      <c r="I30" s="88">
        <f>SUMIFS('PIS F'!$P$11:$P$344,'PIS F'!$B$11:$B$344,'SCH B-2.3 F'!$B30)</f>
        <v>855636.47000000009</v>
      </c>
    </row>
    <row r="31" spans="1:9" ht="18.95" customHeight="1">
      <c r="A31" s="70">
        <f t="shared" si="0"/>
        <v>17</v>
      </c>
      <c r="B31" s="71" t="s">
        <v>1638</v>
      </c>
      <c r="C31" s="78" t="s">
        <v>148</v>
      </c>
      <c r="D31" s="88">
        <f>SUMIFS('PIS F'!$D$11:$D$344,'PIS F'!$B$11:$B$344,'SCH B-2.3 F'!$B31)</f>
        <v>4409838.34</v>
      </c>
      <c r="E31" s="88">
        <f>SUMIFS('PIS F'!$F$11:$F$344,'PIS F'!$B$11:$B$344,'SCH B-2.3 F'!$B31)</f>
        <v>97374</v>
      </c>
      <c r="F31" s="88">
        <f>SUMIFS('PIS F'!$H$11:$H$344,'PIS F'!$B$11:$B$344,'SCH B-2.3 F'!$B31)</f>
        <v>0</v>
      </c>
      <c r="G31" s="88">
        <f>SUMIFS('PIS F'!$J$11:$J$344,'PIS F'!$B$11:$B$344,'SCH B-2.3 F'!$B31)</f>
        <v>0</v>
      </c>
      <c r="H31" s="88">
        <f t="shared" si="7"/>
        <v>4507212.34</v>
      </c>
      <c r="I31" s="88">
        <f>SUMIFS('PIS F'!$P$11:$P$344,'PIS F'!$B$11:$B$344,'SCH B-2.3 F'!$B31)</f>
        <v>4492231.7246153839</v>
      </c>
    </row>
    <row r="32" spans="1:9" ht="18.95" customHeight="1">
      <c r="A32" s="70">
        <f t="shared" si="0"/>
        <v>18</v>
      </c>
      <c r="B32" s="71" t="s">
        <v>1639</v>
      </c>
      <c r="C32" s="78" t="s">
        <v>1640</v>
      </c>
      <c r="D32" s="88">
        <f>SUMIFS('PIS F'!$D$11:$D$344,'PIS F'!$B$11:$B$344,'SCH B-2.3 F'!$B32)</f>
        <v>21885646.369999997</v>
      </c>
      <c r="E32" s="88">
        <f>SUMIFS('PIS F'!$F$11:$F$344,'PIS F'!$B$11:$B$344,'SCH B-2.3 F'!$B32)</f>
        <v>0</v>
      </c>
      <c r="F32" s="88">
        <f>SUMIFS('PIS F'!$H$11:$H$344,'PIS F'!$B$11:$B$344,'SCH B-2.3 F'!$B32)</f>
        <v>0</v>
      </c>
      <c r="G32" s="88">
        <f>SUMIFS('PIS F'!$J$11:$J$344,'PIS F'!$B$11:$B$344,'SCH B-2.3 F'!$B32)</f>
        <v>0</v>
      </c>
      <c r="H32" s="88">
        <f t="shared" si="7"/>
        <v>21885646.369999997</v>
      </c>
      <c r="I32" s="88">
        <f>SUMIFS('PIS F'!$P$11:$P$344,'PIS F'!$B$11:$B$344,'SCH B-2.3 F'!$B32)</f>
        <v>21885646.369999994</v>
      </c>
    </row>
    <row r="33" spans="1:9" ht="18.95" customHeight="1">
      <c r="A33" s="70">
        <f t="shared" si="0"/>
        <v>19</v>
      </c>
      <c r="B33" s="71" t="s">
        <v>1641</v>
      </c>
      <c r="C33" s="78" t="s">
        <v>1642</v>
      </c>
      <c r="D33" s="88">
        <f>SUMIFS('PIS F'!$D$11:$D$344,'PIS F'!$B$11:$B$344,'SCH B-2.3 F'!$B33)</f>
        <v>14046741.58</v>
      </c>
      <c r="E33" s="88">
        <f>SUMIFS('PIS F'!$F$11:$F$344,'PIS F'!$B$11:$B$344,'SCH B-2.3 F'!$B33)</f>
        <v>0</v>
      </c>
      <c r="F33" s="88">
        <f>SUMIFS('PIS F'!$H$11:$H$344,'PIS F'!$B$11:$B$344,'SCH B-2.3 F'!$B33)</f>
        <v>0</v>
      </c>
      <c r="G33" s="88">
        <f>SUMIFS('PIS F'!$J$11:$J$344,'PIS F'!$B$11:$B$344,'SCH B-2.3 F'!$B33)</f>
        <v>0</v>
      </c>
      <c r="H33" s="88">
        <f t="shared" si="7"/>
        <v>14046741.58</v>
      </c>
      <c r="I33" s="88">
        <f>SUMIFS('PIS F'!$P$11:$P$344,'PIS F'!$B$11:$B$344,'SCH B-2.3 F'!$B33)</f>
        <v>14046741.58</v>
      </c>
    </row>
    <row r="34" spans="1:9" ht="18.95" customHeight="1">
      <c r="A34" s="70">
        <f t="shared" si="0"/>
        <v>20</v>
      </c>
      <c r="B34" s="71" t="s">
        <v>1643</v>
      </c>
      <c r="C34" s="78" t="s">
        <v>1633</v>
      </c>
      <c r="D34" s="88">
        <f>SUMIFS('PIS F'!$D$11:$D$344,'PIS F'!$B$11:$B$344,'SCH B-2.3 F'!$B34)</f>
        <v>1381870.67</v>
      </c>
      <c r="E34" s="88">
        <f>SUMIFS('PIS F'!$F$11:$F$344,'PIS F'!$B$11:$B$344,'SCH B-2.3 F'!$B34)</f>
        <v>0</v>
      </c>
      <c r="F34" s="88">
        <f>SUMIFS('PIS F'!$H$11:$H$344,'PIS F'!$B$11:$B$344,'SCH B-2.3 F'!$B34)</f>
        <v>0</v>
      </c>
      <c r="G34" s="88">
        <f>SUMIFS('PIS F'!$J$11:$J$344,'PIS F'!$B$11:$B$344,'SCH B-2.3 F'!$B34)</f>
        <v>0</v>
      </c>
      <c r="H34" s="88">
        <f t="shared" si="7"/>
        <v>1381870.67</v>
      </c>
      <c r="I34" s="88">
        <f>SUMIFS('PIS F'!$P$11:$P$344,'PIS F'!$B$11:$B$344,'SCH B-2.3 F'!$B34)</f>
        <v>1381870.67</v>
      </c>
    </row>
    <row r="35" spans="1:9" ht="18.95" customHeight="1">
      <c r="A35" s="70">
        <f t="shared" si="0"/>
        <v>21</v>
      </c>
      <c r="B35" s="71" t="s">
        <v>1644</v>
      </c>
      <c r="C35" s="78" t="s">
        <v>1645</v>
      </c>
      <c r="D35" s="88">
        <f>SUMIFS('PIS F'!$D$11:$D$344,'PIS F'!$B$11:$B$344,'SCH B-2.3 F'!$B35)</f>
        <v>329374.18000000005</v>
      </c>
      <c r="E35" s="88">
        <f>SUMIFS('PIS F'!$F$11:$F$344,'PIS F'!$B$11:$B$344,'SCH B-2.3 F'!$B35)</f>
        <v>0</v>
      </c>
      <c r="F35" s="88">
        <f>SUMIFS('PIS F'!$H$11:$H$344,'PIS F'!$B$11:$B$344,'SCH B-2.3 F'!$B35)</f>
        <v>0</v>
      </c>
      <c r="G35" s="88">
        <f>SUMIFS('PIS F'!$J$11:$J$344,'PIS F'!$B$11:$B$344,'SCH B-2.3 F'!$B35)</f>
        <v>0</v>
      </c>
      <c r="H35" s="88">
        <f t="shared" si="7"/>
        <v>329374.18000000005</v>
      </c>
      <c r="I35" s="88">
        <f>SUMIFS('PIS F'!$P$11:$P$344,'PIS F'!$B$11:$B$344,'SCH B-2.3 F'!$B35)</f>
        <v>329374.17999999993</v>
      </c>
    </row>
    <row r="36" spans="1:9" ht="18.95" customHeight="1">
      <c r="A36" s="70">
        <f t="shared" si="0"/>
        <v>22</v>
      </c>
      <c r="B36" s="71" t="s">
        <v>1646</v>
      </c>
      <c r="C36" s="78" t="s">
        <v>1647</v>
      </c>
      <c r="D36" s="88">
        <f>SUMIFS('PIS F'!$D$11:$D$344,'PIS F'!$B$11:$B$344,'SCH B-2.3 F'!$B36)</f>
        <v>234509.13</v>
      </c>
      <c r="E36" s="88">
        <f>SUMIFS('PIS F'!$F$11:$F$344,'PIS F'!$B$11:$B$344,'SCH B-2.3 F'!$B36)</f>
        <v>0</v>
      </c>
      <c r="F36" s="88">
        <f>SUMIFS('PIS F'!$H$11:$H$344,'PIS F'!$B$11:$B$344,'SCH B-2.3 F'!$B36)</f>
        <v>0</v>
      </c>
      <c r="G36" s="88">
        <f>SUMIFS('PIS F'!$J$11:$J$344,'PIS F'!$B$11:$B$344,'SCH B-2.3 F'!$B36)</f>
        <v>0</v>
      </c>
      <c r="H36" s="88">
        <f t="shared" si="7"/>
        <v>234509.13</v>
      </c>
      <c r="I36" s="88">
        <f>SUMIFS('PIS F'!$P$11:$P$344,'PIS F'!$B$11:$B$344,'SCH B-2.3 F'!$B36)</f>
        <v>234509.12999999995</v>
      </c>
    </row>
    <row r="37" spans="1:9" ht="18.95" customHeight="1">
      <c r="A37" s="70">
        <f t="shared" si="0"/>
        <v>23</v>
      </c>
      <c r="B37" s="71" t="s">
        <v>1648</v>
      </c>
      <c r="C37" s="78" t="s">
        <v>1656</v>
      </c>
      <c r="D37" s="89">
        <f>SUMIFS('PIS F'!$D$11:$D$344,'PIS F'!$B$11:$B$344,'SCH B-2.3 F'!$B37)</f>
        <v>645787.99</v>
      </c>
      <c r="E37" s="89">
        <f>SUMIFS('PIS F'!$F$11:$F$344,'PIS F'!$B$11:$B$344,'SCH B-2.3 F'!$B37)</f>
        <v>0</v>
      </c>
      <c r="F37" s="89">
        <f>SUMIFS('PIS F'!$H$11:$H$344,'PIS F'!$B$11:$B$344,'SCH B-2.3 F'!$B37)</f>
        <v>0</v>
      </c>
      <c r="G37" s="89">
        <f>SUMIFS('PIS F'!$J$11:$J$344,'PIS F'!$B$11:$B$344,'SCH B-2.3 F'!$B37)</f>
        <v>0</v>
      </c>
      <c r="H37" s="89">
        <f t="shared" si="7"/>
        <v>645787.99</v>
      </c>
      <c r="I37" s="89">
        <f>SUMIFS('PIS F'!$P$11:$P$344,'PIS F'!$B$11:$B$344,'SCH B-2.3 F'!$B37)</f>
        <v>645787.98999999987</v>
      </c>
    </row>
    <row r="38" spans="1:9" ht="18.95" customHeight="1">
      <c r="A38" s="70">
        <f t="shared" si="0"/>
        <v>24</v>
      </c>
      <c r="B38" s="71" t="s">
        <v>251</v>
      </c>
      <c r="C38" s="78" t="s">
        <v>147</v>
      </c>
      <c r="D38" s="86">
        <f>SUM(D30:D37)</f>
        <v>43789404.730000004</v>
      </c>
      <c r="E38" s="86">
        <f t="shared" ref="E38:H38" si="8">SUM(E30:E37)</f>
        <v>97374</v>
      </c>
      <c r="F38" s="86">
        <f t="shared" si="8"/>
        <v>0</v>
      </c>
      <c r="G38" s="86">
        <f t="shared" si="8"/>
        <v>0</v>
      </c>
      <c r="H38" s="86">
        <f t="shared" si="8"/>
        <v>43886778.730000004</v>
      </c>
      <c r="I38" s="86">
        <f>SUM(I30:I37)</f>
        <v>43871798.114615381</v>
      </c>
    </row>
    <row r="39" spans="1:9" ht="18.95" customHeight="1">
      <c r="A39" s="70"/>
      <c r="B39" s="71"/>
      <c r="C39" s="78"/>
      <c r="D39" s="86"/>
      <c r="E39" s="86"/>
      <c r="F39" s="86"/>
      <c r="G39" s="86"/>
      <c r="H39" s="86"/>
      <c r="I39" s="86"/>
    </row>
    <row r="40" spans="1:9" ht="18.95" customHeight="1">
      <c r="A40" s="70">
        <f>A38+1</f>
        <v>25</v>
      </c>
      <c r="C40" s="90" t="s">
        <v>61</v>
      </c>
    </row>
    <row r="41" spans="1:9" ht="18.95" customHeight="1">
      <c r="A41" s="70">
        <f t="shared" si="0"/>
        <v>26</v>
      </c>
      <c r="B41" s="71" t="s">
        <v>1649</v>
      </c>
      <c r="C41" s="78" t="s">
        <v>154</v>
      </c>
      <c r="D41" s="88">
        <f>SUMIFS('PIS F'!$D$11:$D$344,'PIS F'!$B$11:$B$344,'SCH B-2.3 F'!$B41)</f>
        <v>903501.16999999981</v>
      </c>
      <c r="E41" s="88">
        <f>SUMIFS('PIS F'!$F$11:$F$344,'PIS F'!$B$11:$B$344,'SCH B-2.3 F'!$B41)</f>
        <v>0</v>
      </c>
      <c r="F41" s="88">
        <f>SUMIFS('PIS F'!$H$11:$H$344,'PIS F'!$B$11:$B$344,'SCH B-2.3 F'!$B41)</f>
        <v>0</v>
      </c>
      <c r="G41" s="88">
        <f>SUMIFS('PIS F'!$J$11:$J$344,'PIS F'!$B$11:$B$344,'SCH B-2.3 F'!$B41)</f>
        <v>0</v>
      </c>
      <c r="H41" s="88">
        <f t="shared" ref="H41:H48" si="9">SUM(D41:G41)</f>
        <v>903501.16999999981</v>
      </c>
      <c r="I41" s="88">
        <f>SUMIFS('PIS F'!$P$11:$P$344,'PIS F'!$B$11:$B$344,'SCH B-2.3 F'!$B41)</f>
        <v>903501.17</v>
      </c>
    </row>
    <row r="42" spans="1:9" ht="18.95" customHeight="1">
      <c r="A42" s="70">
        <f t="shared" si="0"/>
        <v>27</v>
      </c>
      <c r="B42" s="71" t="s">
        <v>1650</v>
      </c>
      <c r="C42" s="78" t="s">
        <v>148</v>
      </c>
      <c r="D42" s="88">
        <f>SUMIFS('PIS F'!$D$11:$D$344,'PIS F'!$B$11:$B$344,'SCH B-2.3 F'!$B42)</f>
        <v>87151599.009999901</v>
      </c>
      <c r="E42" s="88">
        <f>SUMIFS('PIS F'!$F$11:$F$344,'PIS F'!$B$11:$B$344,'SCH B-2.3 F'!$B42)</f>
        <v>0</v>
      </c>
      <c r="F42" s="88">
        <f>SUMIFS('PIS F'!$H$11:$H$344,'PIS F'!$B$11:$B$344,'SCH B-2.3 F'!$B42)</f>
        <v>0</v>
      </c>
      <c r="G42" s="88">
        <f>SUMIFS('PIS F'!$J$11:$J$344,'PIS F'!$B$11:$B$344,'SCH B-2.3 F'!$B42)</f>
        <v>0</v>
      </c>
      <c r="H42" s="88">
        <f t="shared" si="9"/>
        <v>87151599.009999901</v>
      </c>
      <c r="I42" s="88">
        <f>SUMIFS('PIS F'!$P$11:$P$344,'PIS F'!$B$11:$B$344,'SCH B-2.3 F'!$B42)</f>
        <v>87151599.009999886</v>
      </c>
    </row>
    <row r="43" spans="1:9" ht="18.95" customHeight="1">
      <c r="A43" s="70">
        <f t="shared" si="0"/>
        <v>28</v>
      </c>
      <c r="B43" s="71" t="s">
        <v>1651</v>
      </c>
      <c r="C43" s="78" t="s">
        <v>1652</v>
      </c>
      <c r="D43" s="88">
        <f>SUMIFS('PIS F'!$D$11:$D$344,'PIS F'!$B$11:$B$344,'SCH B-2.3 F'!$B43)</f>
        <v>63105948.209999986</v>
      </c>
      <c r="E43" s="88">
        <f>SUMIFS('PIS F'!$F$11:$F$344,'PIS F'!$B$11:$B$344,'SCH B-2.3 F'!$B43)</f>
        <v>20751356.779999997</v>
      </c>
      <c r="F43" s="88">
        <f>SUMIFS('PIS F'!$H$11:$H$344,'PIS F'!$B$11:$B$344,'SCH B-2.3 F'!$B43)</f>
        <v>0</v>
      </c>
      <c r="G43" s="88">
        <f>SUMIFS('PIS F'!$J$11:$J$344,'PIS F'!$B$11:$B$344,'SCH B-2.3 F'!$B43)</f>
        <v>0</v>
      </c>
      <c r="H43" s="88">
        <f t="shared" si="9"/>
        <v>83857304.98999998</v>
      </c>
      <c r="I43" s="88">
        <f>SUMIFS('PIS F'!$P$11:$P$344,'PIS F'!$B$11:$B$344,'SCH B-2.3 F'!$B43)</f>
        <v>75757936.997692272</v>
      </c>
    </row>
    <row r="44" spans="1:9" ht="18.95" customHeight="1">
      <c r="A44" s="70">
        <f t="shared" si="0"/>
        <v>29</v>
      </c>
      <c r="B44" s="71" t="s">
        <v>1653</v>
      </c>
      <c r="C44" s="78" t="s">
        <v>1654</v>
      </c>
      <c r="D44" s="88">
        <f>SUMIFS('PIS F'!$D$11:$D$344,'PIS F'!$B$11:$B$344,'SCH B-2.3 F'!$B44)</f>
        <v>666119375.05999911</v>
      </c>
      <c r="E44" s="88">
        <f>SUMIFS('PIS F'!$F$11:$F$344,'PIS F'!$B$11:$B$344,'SCH B-2.3 F'!$B44)</f>
        <v>33445036.34</v>
      </c>
      <c r="F44" s="88">
        <f>SUMIFS('PIS F'!$H$11:$H$344,'PIS F'!$B$11:$B$344,'SCH B-2.3 F'!$B44)</f>
        <v>-4093363.1999999997</v>
      </c>
      <c r="G44" s="88">
        <f>SUMIFS('PIS F'!$J$11:$J$344,'PIS F'!$B$11:$B$344,'SCH B-2.3 F'!$B44)</f>
        <v>0</v>
      </c>
      <c r="H44" s="88">
        <f t="shared" si="9"/>
        <v>695471048.19999909</v>
      </c>
      <c r="I44" s="88">
        <f>SUMIFS('PIS F'!$P$11:$P$344,'PIS F'!$B$11:$B$344,'SCH B-2.3 F'!$B44)</f>
        <v>680587629.55307591</v>
      </c>
    </row>
    <row r="45" spans="1:9" ht="18.95" customHeight="1">
      <c r="A45" s="70">
        <f>A44+1</f>
        <v>30</v>
      </c>
      <c r="B45" s="71" t="s">
        <v>1657</v>
      </c>
      <c r="C45" s="78" t="s">
        <v>1658</v>
      </c>
      <c r="D45" s="88">
        <f>SUMIFS('PIS F'!$D$11:$D$344,'PIS F'!$B$11:$B$344,'SCH B-2.3 F'!$B45)</f>
        <v>132379837.31</v>
      </c>
      <c r="E45" s="88">
        <f>SUMIFS('PIS F'!$F$11:$F$344,'PIS F'!$B$11:$B$344,'SCH B-2.3 F'!$B45)</f>
        <v>828280.23</v>
      </c>
      <c r="F45" s="88">
        <f>SUMIFS('PIS F'!$H$11:$H$344,'PIS F'!$B$11:$B$344,'SCH B-2.3 F'!$B45)</f>
        <v>0</v>
      </c>
      <c r="G45" s="88">
        <f>SUMIFS('PIS F'!$J$11:$J$344,'PIS F'!$B$11:$B$344,'SCH B-2.3 F'!$B45)</f>
        <v>0</v>
      </c>
      <c r="H45" s="88">
        <f t="shared" si="9"/>
        <v>133208117.54000001</v>
      </c>
      <c r="I45" s="88">
        <f>SUMIFS('PIS F'!$P$11:$P$344,'PIS F'!$B$11:$B$344,'SCH B-2.3 F'!$B45)</f>
        <v>132443551.17384613</v>
      </c>
    </row>
    <row r="46" spans="1:9" ht="18.95" customHeight="1">
      <c r="A46" s="70">
        <f t="shared" si="0"/>
        <v>31</v>
      </c>
      <c r="B46" s="71" t="s">
        <v>1659</v>
      </c>
      <c r="C46" s="78" t="s">
        <v>1633</v>
      </c>
      <c r="D46" s="88">
        <f>SUMIFS('PIS F'!$D$11:$D$344,'PIS F'!$B$11:$B$344,'SCH B-2.3 F'!$B46)</f>
        <v>78899983.009999797</v>
      </c>
      <c r="E46" s="88">
        <f>SUMIFS('PIS F'!$F$11:$F$344,'PIS F'!$B$11:$B$344,'SCH B-2.3 F'!$B46)</f>
        <v>1538852.1500000001</v>
      </c>
      <c r="F46" s="88">
        <f>SUMIFS('PIS F'!$H$11:$H$344,'PIS F'!$B$11:$B$344,'SCH B-2.3 F'!$B46)</f>
        <v>0</v>
      </c>
      <c r="G46" s="88">
        <f>SUMIFS('PIS F'!$J$11:$J$344,'PIS F'!$B$11:$B$344,'SCH B-2.3 F'!$B46)</f>
        <v>0</v>
      </c>
      <c r="H46" s="88">
        <f t="shared" si="9"/>
        <v>80438835.159999803</v>
      </c>
      <c r="I46" s="88">
        <f>SUMIFS('PIS F'!$P$11:$P$344,'PIS F'!$B$11:$B$344,'SCH B-2.3 F'!$B46)</f>
        <v>79368046.113845944</v>
      </c>
    </row>
    <row r="47" spans="1:9" ht="18.95" customHeight="1">
      <c r="A47" s="70">
        <f t="shared" si="0"/>
        <v>32</v>
      </c>
      <c r="B47" s="71" t="s">
        <v>1660</v>
      </c>
      <c r="C47" s="78" t="s">
        <v>1645</v>
      </c>
      <c r="D47" s="88">
        <f>SUMIFS('PIS F'!$D$11:$D$344,'PIS F'!$B$11:$B$344,'SCH B-2.3 F'!$B47)</f>
        <v>10325460.34999999</v>
      </c>
      <c r="E47" s="88">
        <f>SUMIFS('PIS F'!$F$11:$F$344,'PIS F'!$B$11:$B$344,'SCH B-2.3 F'!$B47)</f>
        <v>4836077.9999999888</v>
      </c>
      <c r="F47" s="88">
        <f>SUMIFS('PIS F'!$H$11:$H$344,'PIS F'!$B$11:$B$344,'SCH B-2.3 F'!$B47)</f>
        <v>0</v>
      </c>
      <c r="G47" s="88">
        <f>SUMIFS('PIS F'!$J$11:$J$344,'PIS F'!$B$11:$B$344,'SCH B-2.3 F'!$B47)</f>
        <v>0</v>
      </c>
      <c r="H47" s="88">
        <f t="shared" si="9"/>
        <v>15161538.349999979</v>
      </c>
      <c r="I47" s="88">
        <f>SUMIFS('PIS F'!$P$11:$P$344,'PIS F'!$B$11:$B$344,'SCH B-2.3 F'!$B47)</f>
        <v>12736378.143846152</v>
      </c>
    </row>
    <row r="48" spans="1:9" ht="18.95" customHeight="1">
      <c r="A48" s="70">
        <f t="shared" si="0"/>
        <v>33</v>
      </c>
      <c r="B48" s="71" t="s">
        <v>1661</v>
      </c>
      <c r="C48" s="78" t="s">
        <v>1696</v>
      </c>
      <c r="D48" s="89">
        <f>SUMIFS('PIS F'!$D$11:$D$344,'PIS F'!$B$11:$B$344,'SCH B-2.3 F'!$B48)</f>
        <v>406991.12</v>
      </c>
      <c r="E48" s="89">
        <f>SUMIFS('PIS F'!$F$11:$F$344,'PIS F'!$B$11:$B$344,'SCH B-2.3 F'!$B48)</f>
        <v>0</v>
      </c>
      <c r="F48" s="89">
        <f>SUMIFS('PIS F'!$H$11:$H$344,'PIS F'!$B$11:$B$344,'SCH B-2.3 F'!$B48)</f>
        <v>0</v>
      </c>
      <c r="G48" s="89">
        <f>SUMIFS('PIS F'!$J$11:$J$344,'PIS F'!$B$11:$B$344,'SCH B-2.3 F'!$B48)</f>
        <v>0</v>
      </c>
      <c r="H48" s="89">
        <f t="shared" si="9"/>
        <v>406991.12</v>
      </c>
      <c r="I48" s="89">
        <f>SUMIFS('PIS F'!$P$11:$P$344,'PIS F'!$B$11:$B$344,'SCH B-2.3 F'!$B48)</f>
        <v>406991.12</v>
      </c>
    </row>
    <row r="49" spans="1:9" ht="18.95" customHeight="1">
      <c r="A49" s="70">
        <f t="shared" si="0"/>
        <v>34</v>
      </c>
      <c r="C49" s="78" t="s">
        <v>145</v>
      </c>
      <c r="D49" s="86">
        <f t="shared" ref="D49:H49" si="10">SUM(D41:D44,D45:D48)</f>
        <v>1039292695.2399988</v>
      </c>
      <c r="E49" s="86">
        <f t="shared" si="10"/>
        <v>61399603.499999985</v>
      </c>
      <c r="F49" s="86">
        <f t="shared" si="10"/>
        <v>-4093363.1999999997</v>
      </c>
      <c r="G49" s="86">
        <f t="shared" si="10"/>
        <v>0</v>
      </c>
      <c r="H49" s="86">
        <f t="shared" si="10"/>
        <v>1096598935.5399985</v>
      </c>
      <c r="I49" s="86">
        <f t="shared" ref="I49" si="11">SUM(I41:I44,I45:I48)</f>
        <v>1069355633.2823063</v>
      </c>
    </row>
    <row r="50" spans="1:9" ht="18.95" customHeight="1">
      <c r="A50" s="70"/>
    </row>
    <row r="51" spans="1:9" s="68" customFormat="1" ht="20.100000000000001" customHeight="1">
      <c r="A51" s="767" t="str">
        <f>$A$1</f>
        <v>KENTUCKY UTILITIES COMPANY</v>
      </c>
      <c r="B51" s="767"/>
      <c r="C51" s="767"/>
      <c r="D51" s="767"/>
      <c r="E51" s="767"/>
      <c r="F51" s="767"/>
      <c r="G51" s="767"/>
      <c r="H51" s="767"/>
      <c r="I51" s="767"/>
    </row>
    <row r="52" spans="1:9" s="68" customFormat="1" ht="20.100000000000001" customHeight="1">
      <c r="A52" s="767" t="str">
        <f>$A$2</f>
        <v>CASE NO. 2018-00294</v>
      </c>
      <c r="B52" s="767"/>
      <c r="C52" s="767"/>
      <c r="D52" s="767"/>
      <c r="E52" s="767"/>
      <c r="F52" s="767"/>
      <c r="G52" s="767"/>
      <c r="H52" s="767"/>
      <c r="I52" s="767"/>
    </row>
    <row r="53" spans="1:9" s="68" customFormat="1" ht="20.100000000000001" customHeight="1">
      <c r="A53" s="767" t="str">
        <f>$A$3</f>
        <v>GROSS ADDITIONS, RETIREMENTS, AND TRANSFERS</v>
      </c>
      <c r="B53" s="767"/>
      <c r="C53" s="767"/>
      <c r="D53" s="767"/>
      <c r="E53" s="767"/>
      <c r="F53" s="767"/>
      <c r="G53" s="767"/>
      <c r="H53" s="767"/>
      <c r="I53" s="767"/>
    </row>
    <row r="54" spans="1:9" s="68" customFormat="1" ht="20.100000000000001" customHeight="1">
      <c r="A54" s="766" t="str">
        <f>$A$4</f>
        <v>FROM MAY 1, 2019 TO APRIL 30, 2020</v>
      </c>
      <c r="B54" s="766"/>
      <c r="C54" s="766"/>
      <c r="D54" s="766"/>
      <c r="E54" s="766"/>
      <c r="F54" s="766"/>
      <c r="G54" s="766"/>
      <c r="H54" s="766"/>
      <c r="I54" s="766"/>
    </row>
    <row r="55" spans="1:9" s="68" customFormat="1" ht="20.100000000000001" customHeight="1">
      <c r="A55" s="84"/>
      <c r="B55" s="84"/>
      <c r="C55" s="84"/>
      <c r="D55" s="84"/>
      <c r="E55" s="84"/>
      <c r="F55" s="84"/>
      <c r="G55" s="84"/>
      <c r="H55" s="84"/>
      <c r="I55" s="84"/>
    </row>
    <row r="56" spans="1:9" s="68" customFormat="1" ht="20.100000000000001" customHeight="1">
      <c r="A56" s="67" t="str">
        <f>$A$6</f>
        <v>DATA:____BASE  PERIOD__X__FORECASTED  PERIOD</v>
      </c>
      <c r="B56" s="67"/>
      <c r="G56" s="74"/>
      <c r="H56" s="74"/>
      <c r="I56" s="75" t="str">
        <f>$I$6</f>
        <v>SCHEDULE B-2.3</v>
      </c>
    </row>
    <row r="57" spans="1:9" s="68" customFormat="1" ht="20.100000000000001" customHeight="1">
      <c r="A57" s="67" t="str">
        <f>$A$7</f>
        <v>TYPE OF FILING: __X__ ORIGINAL  _____ UPDATED  _____ REVISED</v>
      </c>
      <c r="G57" s="74"/>
      <c r="H57" s="74"/>
      <c r="I57" s="74" t="s">
        <v>169</v>
      </c>
    </row>
    <row r="58" spans="1:9" s="68" customFormat="1" ht="20.100000000000001" customHeight="1">
      <c r="A58" s="67" t="str">
        <f>$A$8</f>
        <v>WORKPAPER REFERENCE NO(S).:</v>
      </c>
      <c r="B58" s="67"/>
      <c r="F58" s="67"/>
      <c r="G58" s="75"/>
      <c r="H58" s="75"/>
      <c r="I58" s="75" t="str">
        <f>$I$8</f>
        <v>WITNESS:   C. M. GARRETT</v>
      </c>
    </row>
    <row r="59" spans="1:9" s="68" customFormat="1" ht="20.100000000000001" customHeight="1"/>
    <row r="60" spans="1:9" ht="65.099999999999994" customHeight="1">
      <c r="A60" s="76" t="s">
        <v>131</v>
      </c>
      <c r="B60" s="76" t="s">
        <v>134</v>
      </c>
      <c r="C60" s="79" t="s">
        <v>135</v>
      </c>
      <c r="D60" s="76" t="s">
        <v>162</v>
      </c>
      <c r="E60" s="76" t="s">
        <v>137</v>
      </c>
      <c r="F60" s="76" t="s">
        <v>138</v>
      </c>
      <c r="G60" s="76" t="s">
        <v>140</v>
      </c>
      <c r="H60" s="76" t="s">
        <v>163</v>
      </c>
      <c r="I60" s="76" t="s">
        <v>164</v>
      </c>
    </row>
    <row r="61" spans="1:9" ht="23.1" customHeight="1">
      <c r="A61" s="80"/>
      <c r="B61" s="80"/>
      <c r="C61" s="81"/>
      <c r="D61" s="82" t="s">
        <v>142</v>
      </c>
      <c r="E61" s="82" t="s">
        <v>142</v>
      </c>
      <c r="F61" s="82" t="s">
        <v>142</v>
      </c>
      <c r="G61" s="82" t="s">
        <v>142</v>
      </c>
      <c r="H61" s="82" t="s">
        <v>142</v>
      </c>
      <c r="I61" s="82" t="s">
        <v>142</v>
      </c>
    </row>
    <row r="62" spans="1:9" ht="18.95" customHeight="1">
      <c r="A62" s="70">
        <f>A49+1</f>
        <v>35</v>
      </c>
      <c r="C62" s="90" t="s">
        <v>84</v>
      </c>
    </row>
    <row r="63" spans="1:9" ht="18.95" customHeight="1">
      <c r="A63" s="70">
        <f t="shared" si="0"/>
        <v>36</v>
      </c>
      <c r="B63" s="71" t="s">
        <v>1662</v>
      </c>
      <c r="C63" s="78" t="s">
        <v>154</v>
      </c>
      <c r="D63" s="88">
        <f>SUMIFS('PIS F'!$D$11:$D$344,'PIS F'!$B$11:$B$344,'SCH B-2.3 F'!$B63)</f>
        <v>32027218.48</v>
      </c>
      <c r="E63" s="88">
        <f>SUMIFS('PIS F'!$F$11:$F$344,'PIS F'!$B$11:$B$344,'SCH B-2.3 F'!$B63)</f>
        <v>315870.86</v>
      </c>
      <c r="F63" s="88">
        <f>SUMIFS('PIS F'!$H$11:$H$344,'PIS F'!$B$11:$B$344,'SCH B-2.3 F'!$B63)</f>
        <v>0</v>
      </c>
      <c r="G63" s="88">
        <f>SUMIFS('PIS F'!$J$11:$J$344,'PIS F'!$B$11:$B$344,'SCH B-2.3 F'!$B63)</f>
        <v>0</v>
      </c>
      <c r="H63" s="88">
        <f t="shared" ref="H63:H71" si="12">SUM(D63:G63)</f>
        <v>32343089.34</v>
      </c>
      <c r="I63" s="88">
        <f>SUMIFS('PIS F'!$P$11:$P$344,'PIS F'!$B$11:$B$344,'SCH B-2.3 F'!$B63)</f>
        <v>32148707.272307698</v>
      </c>
    </row>
    <row r="64" spans="1:9" ht="18.95" customHeight="1">
      <c r="A64" s="70">
        <f t="shared" si="0"/>
        <v>37</v>
      </c>
      <c r="B64" s="71" t="s">
        <v>1663</v>
      </c>
      <c r="C64" s="78" t="s">
        <v>148</v>
      </c>
      <c r="D64" s="88">
        <f>SUMIFS('PIS F'!$D$11:$D$344,'PIS F'!$B$11:$B$344,'SCH B-2.3 F'!$B64)</f>
        <v>29626094.619999997</v>
      </c>
      <c r="E64" s="88">
        <f>SUMIFS('PIS F'!$F$11:$F$344,'PIS F'!$B$11:$B$344,'SCH B-2.3 F'!$B64)</f>
        <v>81007.92</v>
      </c>
      <c r="F64" s="88">
        <f>SUMIFS('PIS F'!$H$11:$H$344,'PIS F'!$B$11:$B$344,'SCH B-2.3 F'!$B64)</f>
        <v>0</v>
      </c>
      <c r="G64" s="88">
        <f>SUMIFS('PIS F'!$J$11:$J$344,'PIS F'!$B$11:$B$344,'SCH B-2.3 F'!$B64)</f>
        <v>0</v>
      </c>
      <c r="H64" s="88">
        <f t="shared" si="12"/>
        <v>29707102.539999999</v>
      </c>
      <c r="I64" s="88">
        <f>SUMIFS('PIS F'!$P$11:$P$344,'PIS F'!$B$11:$B$344,'SCH B-2.3 F'!$B64)</f>
        <v>29669714.269230776</v>
      </c>
    </row>
    <row r="65" spans="1:9" ht="18.95" customHeight="1">
      <c r="A65" s="70">
        <f t="shared" si="0"/>
        <v>38</v>
      </c>
      <c r="B65" s="71" t="s">
        <v>1664</v>
      </c>
      <c r="C65" s="78" t="s">
        <v>149</v>
      </c>
      <c r="D65" s="88">
        <f>SUMIFS('PIS F'!$D$11:$D$344,'PIS F'!$B$11:$B$344,'SCH B-2.3 F'!$B65)</f>
        <v>357769769.59000003</v>
      </c>
      <c r="E65" s="88">
        <f>SUMIFS('PIS F'!$F$11:$F$344,'PIS F'!$B$11:$B$344,'SCH B-2.3 F'!$B65)</f>
        <v>30581908.129999898</v>
      </c>
      <c r="F65" s="88">
        <f>SUMIFS('PIS F'!$H$11:$H$344,'PIS F'!$B$11:$B$344,'SCH B-2.3 F'!$B65)</f>
        <v>-1544773.4200000002</v>
      </c>
      <c r="G65" s="88">
        <f>SUMIFS('PIS F'!$J$11:$J$344,'PIS F'!$B$11:$B$344,'SCH B-2.3 F'!$B65)</f>
        <v>0</v>
      </c>
      <c r="H65" s="88">
        <f t="shared" si="12"/>
        <v>386806904.29999989</v>
      </c>
      <c r="I65" s="88">
        <f>SUMIFS('PIS F'!$P$11:$P$344,'PIS F'!$B$11:$B$344,'SCH B-2.3 F'!$B65)</f>
        <v>370268775.83461535</v>
      </c>
    </row>
    <row r="66" spans="1:9" ht="18.95" customHeight="1">
      <c r="A66" s="70">
        <f t="shared" si="0"/>
        <v>39</v>
      </c>
      <c r="B66" s="71" t="s">
        <v>1665</v>
      </c>
      <c r="C66" s="78" t="s">
        <v>1666</v>
      </c>
      <c r="D66" s="88">
        <f>SUMIFS('PIS F'!$D$11:$D$344,'PIS F'!$B$11:$B$344,'SCH B-2.3 F'!$B66)</f>
        <v>78033094.149999991</v>
      </c>
      <c r="E66" s="88">
        <f>SUMIFS('PIS F'!$F$11:$F$344,'PIS F'!$B$11:$B$344,'SCH B-2.3 F'!$B66)</f>
        <v>0</v>
      </c>
      <c r="F66" s="88">
        <f>SUMIFS('PIS F'!$H$11:$H$344,'PIS F'!$B$11:$B$344,'SCH B-2.3 F'!$B66)</f>
        <v>0</v>
      </c>
      <c r="G66" s="88">
        <f>SUMIFS('PIS F'!$J$11:$J$344,'PIS F'!$B$11:$B$344,'SCH B-2.3 F'!$B66)</f>
        <v>0</v>
      </c>
      <c r="H66" s="88">
        <f t="shared" si="12"/>
        <v>78033094.149999991</v>
      </c>
      <c r="I66" s="88">
        <f>SUMIFS('PIS F'!$P$11:$P$344,'PIS F'!$B$11:$B$344,'SCH B-2.3 F'!$B66)</f>
        <v>78033094.150000021</v>
      </c>
    </row>
    <row r="67" spans="1:9" ht="18.95" customHeight="1">
      <c r="A67" s="70">
        <f t="shared" si="0"/>
        <v>40</v>
      </c>
      <c r="B67" s="71" t="s">
        <v>1667</v>
      </c>
      <c r="C67" s="78" t="s">
        <v>1668</v>
      </c>
      <c r="D67" s="88">
        <f>SUMIFS('PIS F'!$D$11:$D$344,'PIS F'!$B$11:$B$344,'SCH B-2.3 F'!$B67)</f>
        <v>405618020.13999993</v>
      </c>
      <c r="E67" s="88">
        <f>SUMIFS('PIS F'!$F$11:$F$344,'PIS F'!$B$11:$B$344,'SCH B-2.3 F'!$B67)</f>
        <v>63673759.179999895</v>
      </c>
      <c r="F67" s="88">
        <f>SUMIFS('PIS F'!$H$11:$H$344,'PIS F'!$B$11:$B$344,'SCH B-2.3 F'!$B67)</f>
        <v>-2202126.2999999989</v>
      </c>
      <c r="G67" s="88">
        <f>SUMIFS('PIS F'!$J$11:$J$344,'PIS F'!$B$11:$B$344,'SCH B-2.3 F'!$B67)</f>
        <v>0</v>
      </c>
      <c r="H67" s="88">
        <f t="shared" si="12"/>
        <v>467089653.0199998</v>
      </c>
      <c r="I67" s="88">
        <f>SUMIFS('PIS F'!$P$11:$P$344,'PIS F'!$B$11:$B$344,'SCH B-2.3 F'!$B67)</f>
        <v>436061819.62692302</v>
      </c>
    </row>
    <row r="68" spans="1:9" ht="18.95" customHeight="1">
      <c r="A68" s="70">
        <f t="shared" si="0"/>
        <v>41</v>
      </c>
      <c r="B68" s="71" t="s">
        <v>1669</v>
      </c>
      <c r="C68" s="78" t="s">
        <v>1670</v>
      </c>
      <c r="D68" s="88">
        <f>SUMIFS('PIS F'!$D$11:$D$344,'PIS F'!$B$11:$B$344,'SCH B-2.3 F'!$B68)</f>
        <v>189640455.57999998</v>
      </c>
      <c r="E68" s="88">
        <f>SUMIFS('PIS F'!$F$11:$F$344,'PIS F'!$B$11:$B$344,'SCH B-2.3 F'!$B68)</f>
        <v>5538950.9699999997</v>
      </c>
      <c r="F68" s="88">
        <f>SUMIFS('PIS F'!$H$11:$H$344,'PIS F'!$B$11:$B$344,'SCH B-2.3 F'!$B68)</f>
        <v>-1253759.97</v>
      </c>
      <c r="G68" s="88">
        <f>SUMIFS('PIS F'!$J$11:$J$344,'PIS F'!$B$11:$B$344,'SCH B-2.3 F'!$B68)</f>
        <v>0</v>
      </c>
      <c r="H68" s="88">
        <f t="shared" si="12"/>
        <v>193925646.57999998</v>
      </c>
      <c r="I68" s="88">
        <f>SUMIFS('PIS F'!$P$11:$P$344,'PIS F'!$B$11:$B$344,'SCH B-2.3 F'!$B68)</f>
        <v>189735216.64846069</v>
      </c>
    </row>
    <row r="69" spans="1:9" ht="18.95" customHeight="1">
      <c r="A69" s="70">
        <f t="shared" si="0"/>
        <v>42</v>
      </c>
      <c r="B69" s="71" t="s">
        <v>1671</v>
      </c>
      <c r="C69" s="78" t="s">
        <v>1672</v>
      </c>
      <c r="D69" s="88">
        <f>SUMIFS('PIS F'!$D$11:$D$344,'PIS F'!$B$11:$B$344,'SCH B-2.3 F'!$B69)</f>
        <v>448760.26</v>
      </c>
      <c r="E69" s="88">
        <f>SUMIFS('PIS F'!$F$11:$F$344,'PIS F'!$B$11:$B$344,'SCH B-2.3 F'!$B69)</f>
        <v>0</v>
      </c>
      <c r="F69" s="88">
        <f>SUMIFS('PIS F'!$H$11:$H$344,'PIS F'!$B$11:$B$344,'SCH B-2.3 F'!$B69)</f>
        <v>0</v>
      </c>
      <c r="G69" s="88">
        <f>SUMIFS('PIS F'!$J$11:$J$344,'PIS F'!$B$11:$B$344,'SCH B-2.3 F'!$B69)</f>
        <v>0</v>
      </c>
      <c r="H69" s="88">
        <f t="shared" si="12"/>
        <v>448760.26</v>
      </c>
      <c r="I69" s="88">
        <f>SUMIFS('PIS F'!$P$11:$P$344,'PIS F'!$B$11:$B$344,'SCH B-2.3 F'!$B69)</f>
        <v>448760.26</v>
      </c>
    </row>
    <row r="70" spans="1:9" ht="18.95" customHeight="1">
      <c r="A70" s="70">
        <f t="shared" si="0"/>
        <v>43</v>
      </c>
      <c r="B70" s="71" t="s">
        <v>1673</v>
      </c>
      <c r="C70" s="78" t="s">
        <v>1674</v>
      </c>
      <c r="D70" s="88">
        <f>SUMIFS('PIS F'!$D$11:$D$344,'PIS F'!$B$11:$B$344,'SCH B-2.3 F'!$B70)</f>
        <v>1299592.55</v>
      </c>
      <c r="E70" s="88">
        <f>SUMIFS('PIS F'!$F$11:$F$344,'PIS F'!$B$11:$B$344,'SCH B-2.3 F'!$B70)</f>
        <v>9902499.8099999893</v>
      </c>
      <c r="F70" s="88">
        <f>SUMIFS('PIS F'!$H$11:$H$344,'PIS F'!$B$11:$B$344,'SCH B-2.3 F'!$B70)</f>
        <v>0</v>
      </c>
      <c r="G70" s="88">
        <f>SUMIFS('PIS F'!$J$11:$J$344,'PIS F'!$B$11:$B$344,'SCH B-2.3 F'!$B70)</f>
        <v>0</v>
      </c>
      <c r="H70" s="88">
        <f t="shared" si="12"/>
        <v>11202092.35999999</v>
      </c>
      <c r="I70" s="88">
        <f>SUMIFS('PIS F'!$P$11:$P$344,'PIS F'!$B$11:$B$344,'SCH B-2.3 F'!$B70)</f>
        <v>4991165.9476922695</v>
      </c>
    </row>
    <row r="71" spans="1:9" ht="18.95" customHeight="1">
      <c r="A71" s="70">
        <f t="shared" si="0"/>
        <v>44</v>
      </c>
      <c r="B71" s="71" t="s">
        <v>1675</v>
      </c>
      <c r="C71" s="78" t="s">
        <v>152</v>
      </c>
      <c r="D71" s="89">
        <f>SUMIFS('PIS F'!$D$11:$D$344,'PIS F'!$B$11:$B$344,'SCH B-2.3 F'!$B71)</f>
        <v>551323.88</v>
      </c>
      <c r="E71" s="89">
        <f>SUMIFS('PIS F'!$F$11:$F$344,'PIS F'!$B$11:$B$344,'SCH B-2.3 F'!$B71)</f>
        <v>0</v>
      </c>
      <c r="F71" s="89">
        <f>SUMIFS('PIS F'!$H$11:$H$344,'PIS F'!$B$11:$B$344,'SCH B-2.3 F'!$B71)</f>
        <v>0</v>
      </c>
      <c r="G71" s="89">
        <f>SUMIFS('PIS F'!$J$11:$J$344,'PIS F'!$B$11:$B$344,'SCH B-2.3 F'!$B71)</f>
        <v>0</v>
      </c>
      <c r="H71" s="89">
        <f t="shared" si="12"/>
        <v>551323.88</v>
      </c>
      <c r="I71" s="89">
        <f>SUMIFS('PIS F'!$P$11:$P$344,'PIS F'!$B$11:$B$344,'SCH B-2.3 F'!$B71)</f>
        <v>551323.88</v>
      </c>
    </row>
    <row r="72" spans="1:9" ht="18.95" customHeight="1">
      <c r="A72" s="70">
        <f t="shared" si="0"/>
        <v>45</v>
      </c>
      <c r="C72" s="78" t="s">
        <v>150</v>
      </c>
      <c r="D72" s="86">
        <f>SUM(D63:D71)</f>
        <v>1095014329.25</v>
      </c>
      <c r="E72" s="86">
        <f t="shared" ref="E72:I72" si="13">SUM(E63:E71)</f>
        <v>110093996.86999978</v>
      </c>
      <c r="F72" s="86">
        <f t="shared" si="13"/>
        <v>-5000659.6899999985</v>
      </c>
      <c r="G72" s="86">
        <f t="shared" si="13"/>
        <v>0</v>
      </c>
      <c r="H72" s="86">
        <f t="shared" si="13"/>
        <v>1200107666.4299996</v>
      </c>
      <c r="I72" s="86">
        <f t="shared" si="13"/>
        <v>1141908577.8892298</v>
      </c>
    </row>
    <row r="73" spans="1:9" ht="18.95" customHeight="1">
      <c r="A73" s="70"/>
      <c r="B73" s="71"/>
    </row>
    <row r="74" spans="1:9" ht="18.95" customHeight="1">
      <c r="A74" s="70">
        <f>A72+1</f>
        <v>46</v>
      </c>
      <c r="B74" s="71" t="s">
        <v>251</v>
      </c>
      <c r="C74" s="90" t="s">
        <v>16</v>
      </c>
    </row>
    <row r="75" spans="1:9" ht="18.95" customHeight="1">
      <c r="A75" s="70">
        <f t="shared" si="0"/>
        <v>47</v>
      </c>
      <c r="B75" s="71" t="s">
        <v>1676</v>
      </c>
      <c r="C75" s="78" t="s">
        <v>154</v>
      </c>
      <c r="D75" s="88">
        <f>SUMIFS('PIS F'!$D$11:$D$344,'PIS F'!$B$11:$B$344,'SCH B-2.3 F'!$B75)</f>
        <v>9992760.069999991</v>
      </c>
      <c r="E75" s="88">
        <f>SUMIFS('PIS F'!$F$11:$F$344,'PIS F'!$B$11:$B$344,'SCH B-2.3 F'!$B75)</f>
        <v>300000.61</v>
      </c>
      <c r="F75" s="88">
        <f>SUMIFS('PIS F'!$H$11:$H$344,'PIS F'!$B$11:$B$344,'SCH B-2.3 F'!$B75)</f>
        <v>0</v>
      </c>
      <c r="G75" s="88">
        <f>SUMIFS('PIS F'!$J$11:$J$344,'PIS F'!$B$11:$B$344,'SCH B-2.3 F'!$B75)</f>
        <v>0</v>
      </c>
      <c r="H75" s="88">
        <f t="shared" ref="H75:H87" si="14">SUM(D75:G75)</f>
        <v>10292760.67999999</v>
      </c>
      <c r="I75" s="88">
        <f>SUMIFS('PIS F'!$P$11:$P$344,'PIS F'!$B$11:$B$344,'SCH B-2.3 F'!$B75)</f>
        <v>10108144.919999989</v>
      </c>
    </row>
    <row r="76" spans="1:9" ht="18.95" customHeight="1">
      <c r="A76" s="70">
        <f t="shared" si="0"/>
        <v>48</v>
      </c>
      <c r="B76" s="71" t="s">
        <v>1677</v>
      </c>
      <c r="C76" s="78" t="s">
        <v>148</v>
      </c>
      <c r="D76" s="88">
        <f>SUMIFS('PIS F'!$D$11:$D$344,'PIS F'!$B$11:$B$344,'SCH B-2.3 F'!$B76)</f>
        <v>24169569.460000001</v>
      </c>
      <c r="E76" s="88">
        <f>SUMIFS('PIS F'!$F$11:$F$344,'PIS F'!$B$11:$B$344,'SCH B-2.3 F'!$B76)</f>
        <v>9926654.2400000002</v>
      </c>
      <c r="F76" s="88">
        <f>SUMIFS('PIS F'!$H$11:$H$344,'PIS F'!$B$11:$B$344,'SCH B-2.3 F'!$B76)</f>
        <v>0</v>
      </c>
      <c r="G76" s="88">
        <f>SUMIFS('PIS F'!$J$11:$J$344,'PIS F'!$B$11:$B$344,'SCH B-2.3 F'!$B76)</f>
        <v>0</v>
      </c>
      <c r="H76" s="88">
        <f t="shared" si="14"/>
        <v>34096223.700000003</v>
      </c>
      <c r="I76" s="88">
        <f>SUMIFS('PIS F'!$P$11:$P$344,'PIS F'!$B$11:$B$344,'SCH B-2.3 F'!$B76)</f>
        <v>29137689.625384614</v>
      </c>
    </row>
    <row r="77" spans="1:9" ht="18.95" customHeight="1">
      <c r="A77" s="70">
        <f t="shared" si="0"/>
        <v>49</v>
      </c>
      <c r="B77" s="71" t="s">
        <v>1678</v>
      </c>
      <c r="C77" s="78" t="s">
        <v>1679</v>
      </c>
      <c r="D77" s="88">
        <f>SUMIFS('PIS F'!$D$11:$D$344,'PIS F'!$B$11:$B$344,'SCH B-2.3 F'!$B77)</f>
        <v>242538677.46999902</v>
      </c>
      <c r="E77" s="88">
        <f>SUMIFS('PIS F'!$F$11:$F$344,'PIS F'!$B$11:$B$344,'SCH B-2.3 F'!$B77)</f>
        <v>27753613.669999901</v>
      </c>
      <c r="F77" s="88">
        <f>SUMIFS('PIS F'!$H$11:$H$344,'PIS F'!$B$11:$B$344,'SCH B-2.3 F'!$B77)</f>
        <v>-1069852.3600000001</v>
      </c>
      <c r="G77" s="88">
        <f>SUMIFS('PIS F'!$J$11:$J$344,'PIS F'!$B$11:$B$344,'SCH B-2.3 F'!$B77)</f>
        <v>0</v>
      </c>
      <c r="H77" s="88">
        <f t="shared" si="14"/>
        <v>269222438.7799989</v>
      </c>
      <c r="I77" s="88">
        <f>SUMIFS('PIS F'!$P$11:$P$344,'PIS F'!$B$11:$B$344,'SCH B-2.3 F'!$B77)</f>
        <v>254851744.37076876</v>
      </c>
    </row>
    <row r="78" spans="1:9" ht="18.95" customHeight="1">
      <c r="A78" s="70">
        <f t="shared" ref="A78:A88" si="15">A77+1</f>
        <v>50</v>
      </c>
      <c r="B78" s="71" t="s">
        <v>1680</v>
      </c>
      <c r="C78" s="78" t="s">
        <v>1681</v>
      </c>
      <c r="D78" s="88">
        <f>SUMIFS('PIS F'!$D$11:$D$344,'PIS F'!$B$11:$B$344,'SCH B-2.3 F'!$B78)</f>
        <v>418986968.69999897</v>
      </c>
      <c r="E78" s="88">
        <f>SUMIFS('PIS F'!$F$11:$F$344,'PIS F'!$B$11:$B$344,'SCH B-2.3 F'!$B78)</f>
        <v>21492602.909999982</v>
      </c>
      <c r="F78" s="88">
        <f>SUMIFS('PIS F'!$H$11:$H$344,'PIS F'!$B$11:$B$344,'SCH B-2.3 F'!$B78)</f>
        <v>-1844796.7899999989</v>
      </c>
      <c r="G78" s="88">
        <f>SUMIFS('PIS F'!$J$11:$J$344,'PIS F'!$B$11:$B$344,'SCH B-2.3 F'!$B78)</f>
        <v>0</v>
      </c>
      <c r="H78" s="88">
        <f t="shared" si="14"/>
        <v>438634774.81999892</v>
      </c>
      <c r="I78" s="88">
        <f>SUMIFS('PIS F'!$P$11:$P$344,'PIS F'!$B$11:$B$344,'SCH B-2.3 F'!$B78)</f>
        <v>429179041.73538393</v>
      </c>
    </row>
    <row r="79" spans="1:9" ht="18.95" customHeight="1">
      <c r="A79" s="70">
        <f t="shared" si="15"/>
        <v>51</v>
      </c>
      <c r="B79" s="71" t="s">
        <v>1682</v>
      </c>
      <c r="C79" s="78" t="s">
        <v>1670</v>
      </c>
      <c r="D79" s="88">
        <f>SUMIFS('PIS F'!$D$11:$D$344,'PIS F'!$B$11:$B$344,'SCH B-2.3 F'!$B79)</f>
        <v>416423380.67999995</v>
      </c>
      <c r="E79" s="88">
        <f>SUMIFS('PIS F'!$F$11:$F$344,'PIS F'!$B$11:$B$344,'SCH B-2.3 F'!$B79)</f>
        <v>32735522.19999994</v>
      </c>
      <c r="F79" s="88">
        <f>SUMIFS('PIS F'!$H$11:$H$344,'PIS F'!$B$11:$B$344,'SCH B-2.3 F'!$B79)</f>
        <v>-6656519.5300000003</v>
      </c>
      <c r="G79" s="88">
        <f>SUMIFS('PIS F'!$J$11:$J$344,'PIS F'!$B$11:$B$344,'SCH B-2.3 F'!$B79)</f>
        <v>0</v>
      </c>
      <c r="H79" s="88">
        <f t="shared" si="14"/>
        <v>442502383.3499999</v>
      </c>
      <c r="I79" s="88">
        <f>SUMIFS('PIS F'!$P$11:$P$344,'PIS F'!$B$11:$B$344,'SCH B-2.3 F'!$B79)</f>
        <v>429932996.28999996</v>
      </c>
    </row>
    <row r="80" spans="1:9" ht="18.95" customHeight="1">
      <c r="A80" s="70">
        <f t="shared" si="15"/>
        <v>52</v>
      </c>
      <c r="B80" s="71" t="s">
        <v>1683</v>
      </c>
      <c r="C80" s="78" t="s">
        <v>1672</v>
      </c>
      <c r="D80" s="88">
        <f>SUMIFS('PIS F'!$D$11:$D$344,'PIS F'!$B$11:$B$344,'SCH B-2.3 F'!$B80)</f>
        <v>2390106.04</v>
      </c>
      <c r="E80" s="88">
        <f>SUMIFS('PIS F'!$F$11:$F$344,'PIS F'!$B$11:$B$344,'SCH B-2.3 F'!$B80)</f>
        <v>0</v>
      </c>
      <c r="F80" s="88">
        <f>SUMIFS('PIS F'!$H$11:$H$344,'PIS F'!$B$11:$B$344,'SCH B-2.3 F'!$B80)</f>
        <v>0</v>
      </c>
      <c r="G80" s="88">
        <f>SUMIFS('PIS F'!$J$11:$J$344,'PIS F'!$B$11:$B$344,'SCH B-2.3 F'!$B80)</f>
        <v>0</v>
      </c>
      <c r="H80" s="88">
        <f t="shared" si="14"/>
        <v>2390106.04</v>
      </c>
      <c r="I80" s="88">
        <f>SUMIFS('PIS F'!$P$11:$P$344,'PIS F'!$B$11:$B$344,'SCH B-2.3 F'!$B80)</f>
        <v>2390106.04</v>
      </c>
    </row>
    <row r="81" spans="1:9" ht="18.95" customHeight="1">
      <c r="A81" s="70">
        <f t="shared" si="15"/>
        <v>53</v>
      </c>
      <c r="B81" s="71" t="s">
        <v>1684</v>
      </c>
      <c r="C81" s="78" t="s">
        <v>1674</v>
      </c>
      <c r="D81" s="88">
        <f>SUMIFS('PIS F'!$D$11:$D$344,'PIS F'!$B$11:$B$344,'SCH B-2.3 F'!$B81)</f>
        <v>213281193.63000003</v>
      </c>
      <c r="E81" s="88">
        <f>SUMIFS('PIS F'!$F$11:$F$344,'PIS F'!$B$11:$B$344,'SCH B-2.3 F'!$B81)</f>
        <v>18380848.969999935</v>
      </c>
      <c r="F81" s="88">
        <f>SUMIFS('PIS F'!$H$11:$H$344,'PIS F'!$B$11:$B$344,'SCH B-2.3 F'!$B81)</f>
        <v>0</v>
      </c>
      <c r="G81" s="88">
        <f>SUMIFS('PIS F'!$J$11:$J$344,'PIS F'!$B$11:$B$344,'SCH B-2.3 F'!$B81)</f>
        <v>0</v>
      </c>
      <c r="H81" s="88">
        <f t="shared" si="14"/>
        <v>231662042.59999996</v>
      </c>
      <c r="I81" s="88">
        <f>SUMIFS('PIS F'!$P$11:$P$344,'PIS F'!$B$11:$B$344,'SCH B-2.3 F'!$B81)</f>
        <v>222552805.08615378</v>
      </c>
    </row>
    <row r="82" spans="1:9" ht="18.95" customHeight="1">
      <c r="A82" s="70">
        <f t="shared" si="15"/>
        <v>54</v>
      </c>
      <c r="B82" s="71" t="s">
        <v>1685</v>
      </c>
      <c r="C82" s="78" t="s">
        <v>1686</v>
      </c>
      <c r="D82" s="88">
        <f>SUMIFS('PIS F'!$D$11:$D$344,'PIS F'!$B$11:$B$344,'SCH B-2.3 F'!$B82)</f>
        <v>323661398.38999999</v>
      </c>
      <c r="E82" s="88">
        <f>SUMIFS('PIS F'!$F$11:$F$344,'PIS F'!$B$11:$B$344,'SCH B-2.3 F'!$B82)</f>
        <v>10637971.4</v>
      </c>
      <c r="F82" s="88">
        <f>SUMIFS('PIS F'!$H$11:$H$344,'PIS F'!$B$11:$B$344,'SCH B-2.3 F'!$B82)</f>
        <v>-3488019.6499999971</v>
      </c>
      <c r="G82" s="88">
        <f>SUMIFS('PIS F'!$J$11:$J$344,'PIS F'!$B$11:$B$344,'SCH B-2.3 F'!$B82)</f>
        <v>0</v>
      </c>
      <c r="H82" s="88">
        <f t="shared" si="14"/>
        <v>330811350.13999999</v>
      </c>
      <c r="I82" s="88">
        <f>SUMIFS('PIS F'!$P$11:$P$344,'PIS F'!$B$11:$B$344,'SCH B-2.3 F'!$B82)</f>
        <v>327156550.64999998</v>
      </c>
    </row>
    <row r="83" spans="1:9" ht="18.95" customHeight="1">
      <c r="A83" s="70">
        <f t="shared" si="15"/>
        <v>55</v>
      </c>
      <c r="B83" s="71" t="s">
        <v>1687</v>
      </c>
      <c r="C83" s="78" t="s">
        <v>1688</v>
      </c>
      <c r="D83" s="88">
        <f>SUMIFS('PIS F'!$D$11:$D$344,'PIS F'!$B$11:$B$344,'SCH B-2.3 F'!$B83)</f>
        <v>114503751.85000001</v>
      </c>
      <c r="E83" s="88">
        <f>SUMIFS('PIS F'!$F$11:$F$344,'PIS F'!$B$11:$B$344,'SCH B-2.3 F'!$B83)</f>
        <v>56000</v>
      </c>
      <c r="F83" s="88">
        <f>SUMIFS('PIS F'!$H$11:$H$344,'PIS F'!$B$11:$B$344,'SCH B-2.3 F'!$B83)</f>
        <v>0</v>
      </c>
      <c r="G83" s="88">
        <f>SUMIFS('PIS F'!$J$11:$J$344,'PIS F'!$B$11:$B$344,'SCH B-2.3 F'!$B83)</f>
        <v>0</v>
      </c>
      <c r="H83" s="88">
        <f t="shared" si="14"/>
        <v>114559751.85000001</v>
      </c>
      <c r="I83" s="88">
        <f>SUMIFS('PIS F'!$P$11:$P$344,'PIS F'!$B$11:$B$344,'SCH B-2.3 F'!$B83)</f>
        <v>114525290.31153849</v>
      </c>
    </row>
    <row r="84" spans="1:9" ht="18.95" customHeight="1">
      <c r="A84" s="70">
        <f>A83+1</f>
        <v>56</v>
      </c>
      <c r="B84" s="71" t="s">
        <v>1689</v>
      </c>
      <c r="C84" s="78" t="s">
        <v>1690</v>
      </c>
      <c r="D84" s="88">
        <f>SUMIFS('PIS F'!$D$11:$D$344,'PIS F'!$B$11:$B$344,'SCH B-2.3 F'!$B84)</f>
        <v>81562321.279999897</v>
      </c>
      <c r="E84" s="88">
        <f>SUMIFS('PIS F'!$F$11:$F$344,'PIS F'!$B$11:$B$344,'SCH B-2.3 F'!$B84)</f>
        <v>2379407.2399999979</v>
      </c>
      <c r="F84" s="88">
        <f>SUMIFS('PIS F'!$H$11:$H$344,'PIS F'!$B$11:$B$344,'SCH B-2.3 F'!$B84)</f>
        <v>0</v>
      </c>
      <c r="G84" s="88">
        <f>SUMIFS('PIS F'!$J$11:$J$344,'PIS F'!$B$11:$B$344,'SCH B-2.3 F'!$B84)</f>
        <v>0</v>
      </c>
      <c r="H84" s="88">
        <f t="shared" si="14"/>
        <v>83941728.519999892</v>
      </c>
      <c r="I84" s="88">
        <f>SUMIFS('PIS F'!$P$11:$P$344,'PIS F'!$B$11:$B$344,'SCH B-2.3 F'!$B84)</f>
        <v>82667373.238461435</v>
      </c>
    </row>
    <row r="85" spans="1:9" ht="18.95" customHeight="1">
      <c r="A85" s="70">
        <f t="shared" si="15"/>
        <v>57</v>
      </c>
      <c r="B85" s="71" t="s">
        <v>1691</v>
      </c>
      <c r="C85" s="78" t="s">
        <v>1692</v>
      </c>
      <c r="D85" s="88">
        <f>SUMIFS('PIS F'!$D$11:$D$344,'PIS F'!$B$11:$B$344,'SCH B-2.3 F'!$B85)</f>
        <v>148818.36999999901</v>
      </c>
      <c r="E85" s="88">
        <f>SUMIFS('PIS F'!$F$11:$F$344,'PIS F'!$B$11:$B$344,'SCH B-2.3 F'!$B85)</f>
        <v>0</v>
      </c>
      <c r="F85" s="88">
        <f>SUMIFS('PIS F'!$H$11:$H$344,'PIS F'!$B$11:$B$344,'SCH B-2.3 F'!$B85)</f>
        <v>0</v>
      </c>
      <c r="G85" s="88">
        <f>SUMIFS('PIS F'!$J$11:$J$344,'PIS F'!$B$11:$B$344,'SCH B-2.3 F'!$B85)</f>
        <v>0</v>
      </c>
      <c r="H85" s="88">
        <f t="shared" si="14"/>
        <v>148818.36999999901</v>
      </c>
      <c r="I85" s="88">
        <f>SUMIFS('PIS F'!$P$11:$P$344,'PIS F'!$B$11:$B$344,'SCH B-2.3 F'!$B85)</f>
        <v>148818.36999999903</v>
      </c>
    </row>
    <row r="86" spans="1:9" ht="18.95" customHeight="1">
      <c r="A86" s="70">
        <f t="shared" si="15"/>
        <v>58</v>
      </c>
      <c r="B86" s="71" t="s">
        <v>1693</v>
      </c>
      <c r="C86" s="78" t="s">
        <v>1694</v>
      </c>
      <c r="D86" s="88">
        <f>SUMIFS('PIS F'!$D$11:$D$344,'PIS F'!$B$11:$B$344,'SCH B-2.3 F'!$B86)</f>
        <v>129460515.36</v>
      </c>
      <c r="E86" s="88">
        <f>SUMIFS('PIS F'!$F$11:$F$344,'PIS F'!$B$11:$B$344,'SCH B-2.3 F'!$B86)</f>
        <v>7785319.0699999975</v>
      </c>
      <c r="F86" s="88">
        <f>SUMIFS('PIS F'!$H$11:$H$344,'PIS F'!$B$11:$B$344,'SCH B-2.3 F'!$B86)</f>
        <v>-3697027.82</v>
      </c>
      <c r="G86" s="88">
        <f>SUMIFS('PIS F'!$J$11:$J$344,'PIS F'!$B$11:$B$344,'SCH B-2.3 F'!$B86)</f>
        <v>0</v>
      </c>
      <c r="H86" s="88">
        <f t="shared" si="14"/>
        <v>133548806.61000001</v>
      </c>
      <c r="I86" s="88">
        <f>SUMIFS('PIS F'!$P$11:$P$344,'PIS F'!$B$11:$B$344,'SCH B-2.3 F'!$B86)</f>
        <v>131245001.32461539</v>
      </c>
    </row>
    <row r="87" spans="1:9" ht="18.95" customHeight="1">
      <c r="A87" s="70">
        <f t="shared" si="15"/>
        <v>59</v>
      </c>
      <c r="B87" s="71" t="s">
        <v>1695</v>
      </c>
      <c r="C87" s="78" t="s">
        <v>151</v>
      </c>
      <c r="D87" s="89">
        <f>SUMIFS('PIS F'!$D$11:$D$344,'PIS F'!$B$11:$B$344,'SCH B-2.3 F'!$B87)</f>
        <v>658287.19000000006</v>
      </c>
      <c r="E87" s="89">
        <f>SUMIFS('PIS F'!$F$11:$F$344,'PIS F'!$B$11:$B$344,'SCH B-2.3 F'!$B87)</f>
        <v>0</v>
      </c>
      <c r="F87" s="89">
        <f>SUMIFS('PIS F'!$H$11:$H$344,'PIS F'!$B$11:$B$344,'SCH B-2.3 F'!$B87)</f>
        <v>0</v>
      </c>
      <c r="G87" s="89">
        <f>SUMIFS('PIS F'!$J$11:$J$344,'PIS F'!$B$11:$B$344,'SCH B-2.3 F'!$B87)</f>
        <v>0</v>
      </c>
      <c r="H87" s="89">
        <f t="shared" si="14"/>
        <v>658287.19000000006</v>
      </c>
      <c r="I87" s="89">
        <f>SUMIFS('PIS F'!$P$11:$P$344,'PIS F'!$B$11:$B$344,'SCH B-2.3 F'!$B87)</f>
        <v>658287.18999999994</v>
      </c>
    </row>
    <row r="88" spans="1:9" ht="18.95" customHeight="1">
      <c r="A88" s="70">
        <f t="shared" si="15"/>
        <v>60</v>
      </c>
      <c r="B88" s="71"/>
      <c r="C88" s="78" t="s">
        <v>153</v>
      </c>
      <c r="D88" s="86">
        <f>SUM(D75:D87)</f>
        <v>1977777748.4899974</v>
      </c>
      <c r="E88" s="86">
        <f t="shared" ref="E88:I88" si="16">SUM(E75:E87)</f>
        <v>131447940.30999975</v>
      </c>
      <c r="F88" s="86">
        <f t="shared" si="16"/>
        <v>-16756216.149999997</v>
      </c>
      <c r="G88" s="86">
        <f t="shared" si="16"/>
        <v>0</v>
      </c>
      <c r="H88" s="86">
        <f t="shared" si="16"/>
        <v>2092469472.6499977</v>
      </c>
      <c r="I88" s="86">
        <f t="shared" si="16"/>
        <v>2034553849.1523063</v>
      </c>
    </row>
    <row r="89" spans="1:9" ht="18.95" customHeight="1">
      <c r="A89" s="70"/>
      <c r="B89" s="71"/>
      <c r="C89" s="78"/>
      <c r="D89" s="86"/>
      <c r="E89" s="86"/>
      <c r="F89" s="86"/>
      <c r="G89" s="86"/>
      <c r="H89" s="86"/>
      <c r="I89" s="86"/>
    </row>
    <row r="90" spans="1:9" ht="18.95" customHeight="1">
      <c r="A90" s="70">
        <f>A88+1</f>
        <v>61</v>
      </c>
      <c r="C90" s="90" t="s">
        <v>32</v>
      </c>
    </row>
    <row r="91" spans="1:9" ht="18.95" customHeight="1">
      <c r="A91" s="70">
        <f t="shared" ref="A91:A112" si="17">A90+1</f>
        <v>62</v>
      </c>
      <c r="B91" s="71" t="s">
        <v>1697</v>
      </c>
      <c r="C91" s="78" t="s">
        <v>154</v>
      </c>
      <c r="D91" s="88">
        <f>SUMIFS('PIS F'!$D$11:$D$344,'PIS F'!$B$11:$B$344,'SCH B-2.3 F'!$B91)</f>
        <v>4121174.3899999904</v>
      </c>
      <c r="E91" s="88">
        <f>SUMIFS('PIS F'!$F$11:$F$344,'PIS F'!$B$11:$B$344,'SCH B-2.3 F'!$B91)</f>
        <v>663161.47</v>
      </c>
      <c r="F91" s="88">
        <f>SUMIFS('PIS F'!$H$11:$H$344,'PIS F'!$B$11:$B$344,'SCH B-2.3 F'!$B91)</f>
        <v>0</v>
      </c>
      <c r="G91" s="88">
        <f>SUMIFS('PIS F'!$J$11:$J$344,'PIS F'!$B$11:$B$344,'SCH B-2.3 F'!$B91)</f>
        <v>0</v>
      </c>
      <c r="H91" s="88">
        <f t="shared" ref="H91:H111" si="18">SUM(D91:G91)</f>
        <v>4784335.8599999901</v>
      </c>
      <c r="I91" s="88">
        <f>SUMIFS('PIS F'!$P$11:$P$344,'PIS F'!$B$11:$B$344,'SCH B-2.3 F'!$B91)</f>
        <v>4425710.411538451</v>
      </c>
    </row>
    <row r="92" spans="1:9" ht="18.95" customHeight="1">
      <c r="A92" s="70">
        <f t="shared" si="17"/>
        <v>63</v>
      </c>
      <c r="B92" s="71" t="s">
        <v>1698</v>
      </c>
      <c r="C92" s="78" t="s">
        <v>148</v>
      </c>
      <c r="D92" s="88">
        <f>SUMIFS('PIS F'!$D$11:$D$344,'PIS F'!$B$11:$B$344,'SCH B-2.3 F'!$B92)</f>
        <v>70394608.729999989</v>
      </c>
      <c r="E92" s="88">
        <f>SUMIFS('PIS F'!$F$11:$F$344,'PIS F'!$B$11:$B$344,'SCH B-2.3 F'!$B92)</f>
        <v>17550708.159999989</v>
      </c>
      <c r="F92" s="88">
        <f>SUMIFS('PIS F'!$H$11:$H$344,'PIS F'!$B$11:$B$344,'SCH B-2.3 F'!$B92)</f>
        <v>0</v>
      </c>
      <c r="G92" s="88">
        <f>SUMIFS('PIS F'!$J$11:$J$344,'PIS F'!$B$11:$B$344,'SCH B-2.3 F'!$B92)</f>
        <v>0</v>
      </c>
      <c r="H92" s="88">
        <f t="shared" si="18"/>
        <v>87945316.889999986</v>
      </c>
      <c r="I92" s="88">
        <f>SUMIFS('PIS F'!$P$11:$P$344,'PIS F'!$B$11:$B$344,'SCH B-2.3 F'!$B92)</f>
        <v>82988551.647692308</v>
      </c>
    </row>
    <row r="93" spans="1:9" ht="18.95" customHeight="1">
      <c r="A93" s="70">
        <f t="shared" si="17"/>
        <v>64</v>
      </c>
      <c r="B93" s="71" t="s">
        <v>1699</v>
      </c>
      <c r="C93" s="78" t="s">
        <v>156</v>
      </c>
      <c r="D93" s="88">
        <f>SUMIFS('PIS F'!$D$11:$D$344,'PIS F'!$B$11:$B$344,'SCH B-2.3 F'!$B93)</f>
        <v>45542459.199999899</v>
      </c>
      <c r="E93" s="88">
        <f>SUMIFS('PIS F'!$F$11:$F$344,'PIS F'!$B$11:$B$344,'SCH B-2.3 F'!$B93)</f>
        <v>5422542.1599999992</v>
      </c>
      <c r="F93" s="88">
        <f>SUMIFS('PIS F'!$H$11:$H$344,'PIS F'!$B$11:$B$344,'SCH B-2.3 F'!$B93)</f>
        <v>-8155519.4099999974</v>
      </c>
      <c r="G93" s="88">
        <f>SUMIFS('PIS F'!$J$11:$J$344,'PIS F'!$B$11:$B$344,'SCH B-2.3 F'!$B93)</f>
        <v>0</v>
      </c>
      <c r="H93" s="88">
        <f t="shared" si="18"/>
        <v>42809481.949999899</v>
      </c>
      <c r="I93" s="88">
        <f>SUMIFS('PIS F'!$P$11:$P$344,'PIS F'!$B$11:$B$344,'SCH B-2.3 F'!$B93)</f>
        <v>43733664.389230751</v>
      </c>
    </row>
    <row r="94" spans="1:9" ht="18.95" customHeight="1">
      <c r="A94" s="70">
        <f t="shared" si="17"/>
        <v>65</v>
      </c>
      <c r="B94" s="71" t="s">
        <v>1700</v>
      </c>
      <c r="C94" s="78" t="s">
        <v>155</v>
      </c>
      <c r="D94" s="88">
        <f>SUMIFS('PIS F'!$D$11:$D$344,'PIS F'!$B$11:$B$344,'SCH B-2.3 F'!$B94)</f>
        <v>7538271.7000000011</v>
      </c>
      <c r="E94" s="88">
        <f>SUMIFS('PIS F'!$F$11:$F$344,'PIS F'!$B$11:$B$344,'SCH B-2.3 F'!$B94)</f>
        <v>0</v>
      </c>
      <c r="F94" s="88">
        <f>SUMIFS('PIS F'!$H$11:$H$344,'PIS F'!$B$11:$B$344,'SCH B-2.3 F'!$B94)</f>
        <v>0</v>
      </c>
      <c r="G94" s="88">
        <f>SUMIFS('PIS F'!$J$11:$J$344,'PIS F'!$B$11:$B$344,'SCH B-2.3 F'!$B94)</f>
        <v>0</v>
      </c>
      <c r="H94" s="88">
        <f t="shared" si="18"/>
        <v>7538271.7000000011</v>
      </c>
      <c r="I94" s="88">
        <f>SUMIFS('PIS F'!$P$11:$P$344,'PIS F'!$B$11:$B$344,'SCH B-2.3 F'!$B94)</f>
        <v>7538271.700000002</v>
      </c>
    </row>
    <row r="95" spans="1:9" ht="18.95" customHeight="1">
      <c r="A95" s="70">
        <f t="shared" si="17"/>
        <v>66</v>
      </c>
      <c r="B95" s="71" t="s">
        <v>1701</v>
      </c>
      <c r="C95" s="78" t="s">
        <v>1702</v>
      </c>
      <c r="D95" s="88">
        <f>SUMIFS('PIS F'!$D$11:$D$344,'PIS F'!$B$11:$B$344,'SCH B-2.3 F'!$B95)</f>
        <v>933001.99000000011</v>
      </c>
      <c r="E95" s="88">
        <f>SUMIFS('PIS F'!$F$11:$F$344,'PIS F'!$B$11:$B$344,'SCH B-2.3 F'!$B95)</f>
        <v>0</v>
      </c>
      <c r="F95" s="88">
        <f>SUMIFS('PIS F'!$H$11:$H$344,'PIS F'!$B$11:$B$344,'SCH B-2.3 F'!$B95)</f>
        <v>-31840.82</v>
      </c>
      <c r="G95" s="88">
        <f>SUMIFS('PIS F'!$J$11:$J$344,'PIS F'!$B$11:$B$344,'SCH B-2.3 F'!$B95)</f>
        <v>0</v>
      </c>
      <c r="H95" s="88">
        <f t="shared" si="18"/>
        <v>901161.17000000016</v>
      </c>
      <c r="I95" s="88">
        <f>SUMIFS('PIS F'!$P$11:$P$344,'PIS F'!$B$11:$B$344,'SCH B-2.3 F'!$B95)</f>
        <v>910091.12307692331</v>
      </c>
    </row>
    <row r="96" spans="1:9" ht="18.95" customHeight="1">
      <c r="A96" s="70">
        <f t="shared" si="17"/>
        <v>67</v>
      </c>
      <c r="B96" s="71" t="s">
        <v>1703</v>
      </c>
      <c r="C96" s="78" t="s">
        <v>1704</v>
      </c>
      <c r="D96" s="88">
        <f>SUMIFS('PIS F'!$D$11:$D$344,'PIS F'!$B$11:$B$344,'SCH B-2.3 F'!$B96)</f>
        <v>15698083.300000001</v>
      </c>
      <c r="E96" s="88">
        <f>SUMIFS('PIS F'!$F$11:$F$344,'PIS F'!$B$11:$B$344,'SCH B-2.3 F'!$B96)</f>
        <v>2464253.2399999998</v>
      </c>
      <c r="F96" s="88">
        <f>SUMIFS('PIS F'!$H$11:$H$344,'PIS F'!$B$11:$B$344,'SCH B-2.3 F'!$B96)</f>
        <v>-106014.96999999988</v>
      </c>
      <c r="G96" s="88">
        <f>SUMIFS('PIS F'!$J$11:$J$344,'PIS F'!$B$11:$B$344,'SCH B-2.3 F'!$B96)</f>
        <v>0</v>
      </c>
      <c r="H96" s="88">
        <f t="shared" si="18"/>
        <v>18056321.57</v>
      </c>
      <c r="I96" s="88">
        <f>SUMIFS('PIS F'!$P$11:$P$344,'PIS F'!$B$11:$B$344,'SCH B-2.3 F'!$B96)</f>
        <v>17031591.320769228</v>
      </c>
    </row>
    <row r="97" spans="1:9" ht="18.95" customHeight="1">
      <c r="A97" s="70">
        <f t="shared" si="17"/>
        <v>68</v>
      </c>
      <c r="B97" s="71" t="s">
        <v>1705</v>
      </c>
      <c r="C97" s="78" t="s">
        <v>1706</v>
      </c>
      <c r="D97" s="88">
        <f>SUMIFS('PIS F'!$D$11:$D$344,'PIS F'!$B$11:$B$344,'SCH B-2.3 F'!$B97)</f>
        <v>0</v>
      </c>
      <c r="E97" s="88">
        <f>SUMIFS('PIS F'!$F$11:$F$344,'PIS F'!$B$11:$B$344,'SCH B-2.3 F'!$B97)</f>
        <v>0</v>
      </c>
      <c r="F97" s="88">
        <f>SUMIFS('PIS F'!$H$11:$H$344,'PIS F'!$B$11:$B$344,'SCH B-2.3 F'!$B97)</f>
        <v>0</v>
      </c>
      <c r="G97" s="88">
        <f>SUMIFS('PIS F'!$J$11:$J$344,'PIS F'!$B$11:$B$344,'SCH B-2.3 F'!$B97)</f>
        <v>0</v>
      </c>
      <c r="H97" s="88">
        <f t="shared" si="18"/>
        <v>0</v>
      </c>
      <c r="I97" s="88">
        <f>SUMIFS('PIS F'!$P$11:$P$344,'PIS F'!$B$11:$B$344,'SCH B-2.3 F'!$B97)</f>
        <v>0</v>
      </c>
    </row>
    <row r="98" spans="1:9" ht="18.95" customHeight="1">
      <c r="A98" s="70">
        <f>A97+1</f>
        <v>69</v>
      </c>
      <c r="B98" s="71" t="s">
        <v>1707</v>
      </c>
      <c r="C98" s="78" t="s">
        <v>1708</v>
      </c>
      <c r="D98" s="88">
        <f>SUMIFS('PIS F'!$D$11:$D$344,'PIS F'!$B$11:$B$344,'SCH B-2.3 F'!$B98)</f>
        <v>4137907.4000000004</v>
      </c>
      <c r="E98" s="88">
        <f>SUMIFS('PIS F'!$F$11:$F$344,'PIS F'!$B$11:$B$344,'SCH B-2.3 F'!$B98)</f>
        <v>0</v>
      </c>
      <c r="F98" s="88">
        <f>SUMIFS('PIS F'!$H$11:$H$344,'PIS F'!$B$11:$B$344,'SCH B-2.3 F'!$B98)</f>
        <v>0</v>
      </c>
      <c r="G98" s="88">
        <f>SUMIFS('PIS F'!$J$11:$J$344,'PIS F'!$B$11:$B$344,'SCH B-2.3 F'!$B98)</f>
        <v>0</v>
      </c>
      <c r="H98" s="88">
        <f t="shared" si="18"/>
        <v>4137907.4000000004</v>
      </c>
      <c r="I98" s="88">
        <f>SUMIFS('PIS F'!$P$11:$P$344,'PIS F'!$B$11:$B$344,'SCH B-2.3 F'!$B98)</f>
        <v>4137907.4</v>
      </c>
    </row>
    <row r="99" spans="1:9" ht="18.95" customHeight="1">
      <c r="A99" s="70">
        <f t="shared" si="17"/>
        <v>70</v>
      </c>
      <c r="B99" s="71" t="s">
        <v>1709</v>
      </c>
      <c r="C99" s="78" t="s">
        <v>157</v>
      </c>
      <c r="D99" s="88">
        <f>SUMIFS('PIS F'!$D$11:$D$344,'PIS F'!$B$11:$B$344,'SCH B-2.3 F'!$B99)</f>
        <v>66132177.139999896</v>
      </c>
      <c r="E99" s="88">
        <f>SUMIFS('PIS F'!$F$11:$F$344,'PIS F'!$B$11:$B$344,'SCH B-2.3 F'!$B99)</f>
        <v>3035058.9599999902</v>
      </c>
      <c r="F99" s="88">
        <f>SUMIFS('PIS F'!$H$11:$H$344,'PIS F'!$B$11:$B$344,'SCH B-2.3 F'!$B99)</f>
        <v>0</v>
      </c>
      <c r="G99" s="88">
        <f>SUMIFS('PIS F'!$J$11:$J$344,'PIS F'!$B$11:$B$344,'SCH B-2.3 F'!$B99)</f>
        <v>0</v>
      </c>
      <c r="H99" s="88">
        <f t="shared" si="18"/>
        <v>69167236.09999989</v>
      </c>
      <c r="I99" s="88">
        <f>SUMIFS('PIS F'!$P$11:$P$344,'PIS F'!$B$11:$B$344,'SCH B-2.3 F'!$B99)</f>
        <v>67561471.884615272</v>
      </c>
    </row>
    <row r="100" spans="1:9" s="68" customFormat="1" ht="20.100000000000001" customHeight="1">
      <c r="A100" s="767" t="str">
        <f>$A$1</f>
        <v>KENTUCKY UTILITIES COMPANY</v>
      </c>
      <c r="B100" s="767"/>
      <c r="C100" s="767"/>
      <c r="D100" s="767"/>
      <c r="E100" s="767"/>
      <c r="F100" s="767"/>
      <c r="G100" s="767"/>
      <c r="H100" s="767"/>
      <c r="I100" s="767"/>
    </row>
    <row r="101" spans="1:9" s="68" customFormat="1" ht="20.100000000000001" customHeight="1">
      <c r="A101" s="767" t="str">
        <f>$A$2</f>
        <v>CASE NO. 2018-00294</v>
      </c>
      <c r="B101" s="767"/>
      <c r="C101" s="767"/>
      <c r="D101" s="767"/>
      <c r="E101" s="767"/>
      <c r="F101" s="767"/>
      <c r="G101" s="767"/>
      <c r="H101" s="767"/>
      <c r="I101" s="767"/>
    </row>
    <row r="102" spans="1:9" s="68" customFormat="1" ht="20.100000000000001" customHeight="1">
      <c r="A102" s="767" t="str">
        <f>$A$3</f>
        <v>GROSS ADDITIONS, RETIREMENTS, AND TRANSFERS</v>
      </c>
      <c r="B102" s="767"/>
      <c r="C102" s="767"/>
      <c r="D102" s="767"/>
      <c r="E102" s="767"/>
      <c r="F102" s="767"/>
      <c r="G102" s="767"/>
      <c r="H102" s="767"/>
      <c r="I102" s="767"/>
    </row>
    <row r="103" spans="1:9" s="68" customFormat="1" ht="20.100000000000001" customHeight="1">
      <c r="A103" s="766" t="str">
        <f>$A$4</f>
        <v>FROM MAY 1, 2019 TO APRIL 30, 2020</v>
      </c>
      <c r="B103" s="766"/>
      <c r="C103" s="766"/>
      <c r="D103" s="766"/>
      <c r="E103" s="766"/>
      <c r="F103" s="766"/>
      <c r="G103" s="766"/>
      <c r="H103" s="766"/>
      <c r="I103" s="766"/>
    </row>
    <row r="104" spans="1:9" s="68" customFormat="1" ht="20.100000000000001" customHeight="1">
      <c r="A104" s="84"/>
      <c r="B104" s="84"/>
      <c r="C104" s="84"/>
      <c r="D104" s="84"/>
      <c r="E104" s="84"/>
      <c r="F104" s="84"/>
      <c r="G104" s="84"/>
      <c r="H104" s="84"/>
      <c r="I104" s="84"/>
    </row>
    <row r="105" spans="1:9" s="68" customFormat="1" ht="20.100000000000001" customHeight="1">
      <c r="A105" s="67" t="str">
        <f>$A$6</f>
        <v>DATA:____BASE  PERIOD__X__FORECASTED  PERIOD</v>
      </c>
      <c r="B105" s="67"/>
      <c r="G105" s="74"/>
      <c r="H105" s="74"/>
      <c r="I105" s="75" t="str">
        <f>$I$6</f>
        <v>SCHEDULE B-2.3</v>
      </c>
    </row>
    <row r="106" spans="1:9" s="68" customFormat="1" ht="20.100000000000001" customHeight="1">
      <c r="A106" s="67" t="str">
        <f>$A$7</f>
        <v>TYPE OF FILING: __X__ ORIGINAL  _____ UPDATED  _____ REVISED</v>
      </c>
      <c r="G106" s="74"/>
      <c r="H106" s="74"/>
      <c r="I106" s="74" t="s">
        <v>170</v>
      </c>
    </row>
    <row r="107" spans="1:9" s="68" customFormat="1" ht="20.100000000000001" customHeight="1">
      <c r="A107" s="67" t="str">
        <f>$A$8</f>
        <v>WORKPAPER REFERENCE NO(S).:</v>
      </c>
      <c r="B107" s="67"/>
      <c r="F107" s="67"/>
      <c r="G107" s="75"/>
      <c r="H107" s="75"/>
      <c r="I107" s="75" t="str">
        <f>$I$8</f>
        <v>WITNESS:   C. M. GARRETT</v>
      </c>
    </row>
    <row r="108" spans="1:9" s="68" customFormat="1" ht="20.100000000000001" customHeight="1"/>
    <row r="109" spans="1:9" ht="65.099999999999994" customHeight="1">
      <c r="A109" s="76" t="s">
        <v>131</v>
      </c>
      <c r="B109" s="76" t="s">
        <v>134</v>
      </c>
      <c r="C109" s="79" t="s">
        <v>135</v>
      </c>
      <c r="D109" s="76" t="s">
        <v>162</v>
      </c>
      <c r="E109" s="76" t="s">
        <v>137</v>
      </c>
      <c r="F109" s="76" t="s">
        <v>138</v>
      </c>
      <c r="G109" s="76" t="s">
        <v>140</v>
      </c>
      <c r="H109" s="76" t="s">
        <v>163</v>
      </c>
      <c r="I109" s="76" t="s">
        <v>164</v>
      </c>
    </row>
    <row r="110" spans="1:9" ht="23.1" customHeight="1">
      <c r="A110" s="80"/>
      <c r="B110" s="80"/>
      <c r="C110" s="81"/>
      <c r="D110" s="82" t="s">
        <v>142</v>
      </c>
      <c r="E110" s="82" t="s">
        <v>142</v>
      </c>
      <c r="F110" s="82" t="s">
        <v>142</v>
      </c>
      <c r="G110" s="82" t="s">
        <v>142</v>
      </c>
      <c r="H110" s="82" t="s">
        <v>142</v>
      </c>
      <c r="I110" s="82" t="s">
        <v>142</v>
      </c>
    </row>
    <row r="111" spans="1:9" ht="18.95" customHeight="1">
      <c r="A111" s="70">
        <f>A99+1</f>
        <v>71</v>
      </c>
      <c r="B111" s="71" t="s">
        <v>1710</v>
      </c>
      <c r="C111" s="78" t="s">
        <v>1711</v>
      </c>
      <c r="D111" s="89">
        <f>SUMIFS('PIS F'!$D$11:$D$344,'PIS F'!$B$11:$B$344,'SCH B-2.3 F'!$B111)</f>
        <v>0</v>
      </c>
      <c r="E111" s="89">
        <f>SUMIFS('PIS F'!$F$11:$F$344,'PIS F'!$B$11:$B$344,'SCH B-2.3 F'!$B111)</f>
        <v>0</v>
      </c>
      <c r="F111" s="89">
        <f>SUMIFS('PIS F'!$H$11:$H$344,'PIS F'!$B$11:$B$344,'SCH B-2.3 F'!$B111)</f>
        <v>0</v>
      </c>
      <c r="G111" s="89">
        <f>SUMIFS('PIS F'!$J$11:$J$344,'PIS F'!$B$11:$B$344,'SCH B-2.3 F'!$B111)</f>
        <v>0</v>
      </c>
      <c r="H111" s="89">
        <f t="shared" si="18"/>
        <v>0</v>
      </c>
      <c r="I111" s="89">
        <f>SUMIFS('PIS F'!$P$11:$P$344,'PIS F'!$B$11:$B$344,'SCH B-2.3 F'!$B111)</f>
        <v>0</v>
      </c>
    </row>
    <row r="112" spans="1:9" ht="18.95" customHeight="1">
      <c r="A112" s="70">
        <f t="shared" si="17"/>
        <v>72</v>
      </c>
      <c r="B112" s="71"/>
      <c r="C112" s="78" t="s">
        <v>158</v>
      </c>
      <c r="D112" s="86">
        <f>SUM(D91:D99,D111)</f>
        <v>214497683.84999979</v>
      </c>
      <c r="E112" s="86">
        <f t="shared" ref="E112:I112" si="19">SUM(E91:E99,E111)</f>
        <v>29135723.989999976</v>
      </c>
      <c r="F112" s="86">
        <f t="shared" si="19"/>
        <v>-8293375.1999999974</v>
      </c>
      <c r="G112" s="86">
        <f t="shared" si="19"/>
        <v>0</v>
      </c>
      <c r="H112" s="86">
        <f t="shared" si="19"/>
        <v>235340032.63999975</v>
      </c>
      <c r="I112" s="86">
        <f t="shared" si="19"/>
        <v>228327259.87692291</v>
      </c>
    </row>
    <row r="113" spans="1:9" ht="18.95" customHeight="1">
      <c r="A113" s="70"/>
      <c r="B113" s="71"/>
    </row>
    <row r="114" spans="1:9" ht="18.95" customHeight="1" thickBot="1">
      <c r="A114" s="70">
        <f>A112+1</f>
        <v>73</v>
      </c>
      <c r="B114" s="71"/>
      <c r="C114" s="68" t="s">
        <v>159</v>
      </c>
      <c r="D114" s="94">
        <f t="shared" ref="D114:I114" si="20">SUM(D16,D27,D38,D49,D72,D88,D112)</f>
        <v>9731314599.8499851</v>
      </c>
      <c r="E114" s="94">
        <f t="shared" si="20"/>
        <v>702802982.51999927</v>
      </c>
      <c r="F114" s="94">
        <f t="shared" si="20"/>
        <v>-144161512.16999999</v>
      </c>
      <c r="G114" s="94">
        <f t="shared" si="20"/>
        <v>0</v>
      </c>
      <c r="H114" s="94">
        <f t="shared" si="20"/>
        <v>10289956070.199982</v>
      </c>
      <c r="I114" s="94">
        <f t="shared" si="20"/>
        <v>10078782127.167679</v>
      </c>
    </row>
    <row r="115" spans="1:9" ht="18.95" customHeight="1" thickTop="1">
      <c r="B115" s="71"/>
    </row>
    <row r="116" spans="1:9" ht="18.95" customHeight="1">
      <c r="B116" s="71"/>
      <c r="C116" s="74" t="s">
        <v>2181</v>
      </c>
      <c r="D116" s="86">
        <f>'PIS F'!D115+'PIS F'!D248+'PIS F'!D314</f>
        <v>9731314599.8499851</v>
      </c>
      <c r="H116" s="86">
        <f>'PIS F'!N115+'PIS F'!N248+'PIS F'!N314</f>
        <v>10289956070.199982</v>
      </c>
      <c r="I116" s="86">
        <f>'PIS F'!P115+'PIS F'!P248+'PIS F'!P314</f>
        <v>10078782127.167683</v>
      </c>
    </row>
    <row r="117" spans="1:9" ht="18.95" customHeight="1">
      <c r="B117" s="71"/>
      <c r="C117" s="78"/>
      <c r="D117" s="86">
        <f>D114-D116</f>
        <v>0</v>
      </c>
      <c r="H117" s="86">
        <f t="shared" ref="H117:I117" si="21">H114-H116</f>
        <v>0</v>
      </c>
      <c r="I117" s="86">
        <f t="shared" si="21"/>
        <v>0</v>
      </c>
    </row>
    <row r="118" spans="1:9" ht="18.95" customHeight="1">
      <c r="B118" s="71"/>
    </row>
    <row r="119" spans="1:9" ht="18.95" customHeight="1">
      <c r="B119" s="71"/>
    </row>
    <row r="120" spans="1:9" ht="18.95" customHeight="1">
      <c r="D120" s="69" t="s">
        <v>160</v>
      </c>
    </row>
    <row r="121" spans="1:9" ht="18.95" customHeight="1"/>
    <row r="122" spans="1:9" ht="18.95" customHeight="1"/>
    <row r="123" spans="1:9" ht="18.95" customHeight="1"/>
    <row r="124" spans="1:9" ht="18.95" customHeight="1"/>
    <row r="125" spans="1:9" ht="18.95" customHeight="1"/>
    <row r="126" spans="1:9" ht="18.95" customHeight="1"/>
    <row r="127" spans="1:9" ht="18.95" customHeight="1"/>
    <row r="128" spans="1:9" ht="18.95" customHeight="1"/>
    <row r="129" ht="18.95" customHeight="1"/>
    <row r="130" ht="18.95" customHeight="1"/>
    <row r="131" ht="18.95" customHeight="1"/>
    <row r="132" ht="18.95" customHeight="1"/>
  </sheetData>
  <mergeCells count="12">
    <mergeCell ref="A101:I101"/>
    <mergeCell ref="A102:I102"/>
    <mergeCell ref="A103:I103"/>
    <mergeCell ref="A1:I1"/>
    <mergeCell ref="A2:I2"/>
    <mergeCell ref="A3:I3"/>
    <mergeCell ref="A4:I4"/>
    <mergeCell ref="A51:I51"/>
    <mergeCell ref="A52:I52"/>
    <mergeCell ref="A53:I53"/>
    <mergeCell ref="A54:I54"/>
    <mergeCell ref="A100:I100"/>
  </mergeCells>
  <pageMargins left="0.95" right="0.5" top="0.75" bottom="0.75" header="0.3" footer="0.3"/>
  <pageSetup scale="65" fitToHeight="0" orientation="portrait" r:id="rId1"/>
  <rowBreaks count="2" manualBreakCount="2">
    <brk id="50" max="16383" man="1"/>
    <brk id="99"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40"/>
  <sheetViews>
    <sheetView zoomScaleNormal="100" workbookViewId="0">
      <selection sqref="A1:I1"/>
    </sheetView>
  </sheetViews>
  <sheetFormatPr defaultColWidth="9" defaultRowHeight="12.75"/>
  <cols>
    <col min="1" max="1" width="6" style="69" customWidth="1"/>
    <col min="2" max="2" width="7.6640625" style="69" customWidth="1"/>
    <col min="3" max="3" width="31.33203125" style="69" customWidth="1"/>
    <col min="4" max="4" width="12.6640625" style="69" customWidth="1"/>
    <col min="5" max="5" width="9.44140625" style="69" customWidth="1"/>
    <col min="6" max="6" width="13.6640625" style="69" customWidth="1"/>
    <col min="7" max="7" width="16.77734375" style="69" customWidth="1"/>
    <col min="8" max="8" width="13.6640625" style="69" customWidth="1"/>
    <col min="9" max="9" width="13.77734375" style="69" customWidth="1"/>
    <col min="10" max="10" width="1.6640625" style="69" customWidth="1"/>
    <col min="11" max="16384" width="9" style="69"/>
  </cols>
  <sheetData>
    <row r="1" spans="1:9" s="68" customFormat="1" ht="20.100000000000001" customHeight="1">
      <c r="A1" s="767" t="str">
        <f>'Rate Case Constants'!C9</f>
        <v>KENTUCKY UTILITIES COMPANY</v>
      </c>
      <c r="B1" s="767"/>
      <c r="C1" s="767"/>
      <c r="D1" s="767"/>
      <c r="E1" s="767"/>
      <c r="F1" s="767"/>
      <c r="G1" s="767"/>
      <c r="H1" s="767"/>
      <c r="I1" s="767"/>
    </row>
    <row r="2" spans="1:9" s="68" customFormat="1" ht="20.100000000000001" customHeight="1">
      <c r="A2" s="767" t="str">
        <f>'Rate Case Constants'!C10</f>
        <v>CASE NO. 2018-00294</v>
      </c>
      <c r="B2" s="767"/>
      <c r="C2" s="767"/>
      <c r="D2" s="767"/>
      <c r="E2" s="767"/>
      <c r="F2" s="767"/>
      <c r="G2" s="767"/>
      <c r="H2" s="767"/>
      <c r="I2" s="767"/>
    </row>
    <row r="3" spans="1:9" s="68" customFormat="1" ht="20.100000000000001" customHeight="1">
      <c r="A3" s="767" t="s">
        <v>179</v>
      </c>
      <c r="B3" s="767"/>
      <c r="C3" s="767"/>
      <c r="D3" s="767"/>
      <c r="E3" s="767"/>
      <c r="F3" s="767"/>
      <c r="G3" s="767"/>
      <c r="H3" s="767"/>
      <c r="I3" s="767"/>
    </row>
    <row r="4" spans="1:9" s="68" customFormat="1" ht="20.100000000000001" customHeight="1">
      <c r="A4" s="767" t="str">
        <f>'Rate Case Constants'!C12</f>
        <v>AS OF DECEMBER 31, 2018</v>
      </c>
      <c r="B4" s="767"/>
      <c r="C4" s="767"/>
      <c r="D4" s="767"/>
      <c r="E4" s="767"/>
      <c r="F4" s="767"/>
      <c r="G4" s="767"/>
      <c r="H4" s="767"/>
      <c r="I4" s="767"/>
    </row>
    <row r="5" spans="1:9" s="68" customFormat="1" ht="20.100000000000001" customHeight="1">
      <c r="A5" s="84"/>
      <c r="B5" s="84"/>
      <c r="C5" s="84"/>
      <c r="D5" s="84"/>
      <c r="E5" s="84"/>
      <c r="F5" s="84"/>
      <c r="G5" s="84"/>
      <c r="H5" s="84"/>
      <c r="I5" s="84"/>
    </row>
    <row r="6" spans="1:9" s="68" customFormat="1" ht="20.100000000000001" customHeight="1">
      <c r="A6" s="67" t="s">
        <v>133</v>
      </c>
      <c r="B6" s="67"/>
      <c r="G6" s="74"/>
      <c r="H6" s="74"/>
      <c r="I6" s="74" t="s">
        <v>175</v>
      </c>
    </row>
    <row r="7" spans="1:9" s="68" customFormat="1" ht="20.100000000000001" customHeight="1">
      <c r="A7" s="68" t="str">
        <f>'Rate Case Constants'!C29</f>
        <v>TYPE OF FILING: __X__ ORIGINAL  _____ UPDATED  _____ REVISED</v>
      </c>
      <c r="G7" s="74"/>
      <c r="H7" s="74"/>
      <c r="I7" s="74" t="s">
        <v>177</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58.5" customHeight="1">
      <c r="A10" s="76" t="s">
        <v>131</v>
      </c>
      <c r="B10" s="76" t="s">
        <v>134</v>
      </c>
      <c r="C10" s="79" t="s">
        <v>178</v>
      </c>
      <c r="D10" s="76" t="s">
        <v>1577</v>
      </c>
      <c r="E10" s="76" t="s">
        <v>180</v>
      </c>
      <c r="F10" s="76" t="s">
        <v>181</v>
      </c>
      <c r="G10" s="76" t="s">
        <v>182</v>
      </c>
      <c r="H10" s="76" t="s">
        <v>183</v>
      </c>
      <c r="I10" s="76" t="s">
        <v>184</v>
      </c>
    </row>
    <row r="11" spans="1:9" ht="23.1" customHeight="1">
      <c r="A11" s="80"/>
      <c r="B11" s="80"/>
      <c r="C11" s="81"/>
      <c r="D11" s="82"/>
      <c r="E11" s="82"/>
      <c r="F11" s="82"/>
      <c r="G11" s="82"/>
      <c r="H11" s="82"/>
      <c r="I11" s="82"/>
    </row>
    <row r="12" spans="1:9" ht="18.95" customHeight="1">
      <c r="A12" s="768" t="s">
        <v>1582</v>
      </c>
      <c r="B12" s="768"/>
      <c r="C12" s="768"/>
      <c r="D12" s="768"/>
      <c r="E12" s="768"/>
      <c r="F12" s="768"/>
      <c r="G12" s="768"/>
      <c r="H12" s="768"/>
      <c r="I12" s="768"/>
    </row>
    <row r="13" spans="1:9" ht="18.95" customHeight="1">
      <c r="B13" s="71"/>
      <c r="D13" s="86"/>
    </row>
    <row r="14" spans="1:9" s="68" customFormat="1" ht="20.100000000000001" customHeight="1">
      <c r="A14" s="767" t="str">
        <f>$A$1</f>
        <v>KENTUCKY UTILITIES COMPANY</v>
      </c>
      <c r="B14" s="767"/>
      <c r="C14" s="767"/>
      <c r="D14" s="767"/>
      <c r="E14" s="767"/>
      <c r="F14" s="767"/>
      <c r="G14" s="767"/>
      <c r="H14" s="767"/>
      <c r="I14" s="767"/>
    </row>
    <row r="15" spans="1:9" s="68" customFormat="1" ht="20.100000000000001" customHeight="1">
      <c r="A15" s="767" t="str">
        <f>$A$2</f>
        <v>CASE NO. 2018-00294</v>
      </c>
      <c r="B15" s="767"/>
      <c r="C15" s="767"/>
      <c r="D15" s="767"/>
      <c r="E15" s="767"/>
      <c r="F15" s="767"/>
      <c r="G15" s="767"/>
      <c r="H15" s="767"/>
      <c r="I15" s="767"/>
    </row>
    <row r="16" spans="1:9" s="68" customFormat="1" ht="20.100000000000001" customHeight="1">
      <c r="A16" s="767" t="str">
        <f>$A$3</f>
        <v>PROPERTY MERGED OR ACQUIRED</v>
      </c>
      <c r="B16" s="767"/>
      <c r="C16" s="767"/>
      <c r="D16" s="767"/>
      <c r="E16" s="767"/>
      <c r="F16" s="767"/>
      <c r="G16" s="767"/>
      <c r="H16" s="767"/>
      <c r="I16" s="767"/>
    </row>
    <row r="17" spans="1:9" s="68" customFormat="1" ht="20.100000000000001" customHeight="1">
      <c r="A17" s="767" t="str">
        <f>'Rate Case Constants'!C18</f>
        <v>AS OF APRIL 30, 2020</v>
      </c>
      <c r="B17" s="767"/>
      <c r="C17" s="767"/>
      <c r="D17" s="767"/>
      <c r="E17" s="767"/>
      <c r="F17" s="767"/>
      <c r="G17" s="767"/>
      <c r="H17" s="767"/>
      <c r="I17" s="767"/>
    </row>
    <row r="18" spans="1:9" s="68" customFormat="1" ht="20.100000000000001" customHeight="1">
      <c r="A18" s="84"/>
      <c r="B18" s="84"/>
      <c r="C18" s="84"/>
      <c r="D18" s="84"/>
      <c r="E18" s="84"/>
      <c r="F18" s="84"/>
      <c r="G18" s="84"/>
      <c r="H18" s="84"/>
      <c r="I18" s="84"/>
    </row>
    <row r="19" spans="1:9" s="68" customFormat="1" ht="20.100000000000001" customHeight="1">
      <c r="A19" s="67" t="s">
        <v>161</v>
      </c>
      <c r="B19" s="67"/>
      <c r="G19" s="74"/>
      <c r="H19" s="74"/>
      <c r="I19" s="74" t="s">
        <v>175</v>
      </c>
    </row>
    <row r="20" spans="1:9" s="68" customFormat="1" ht="20.100000000000001" customHeight="1">
      <c r="A20" s="67" t="str">
        <f>$A$7</f>
        <v>TYPE OF FILING: __X__ ORIGINAL  _____ UPDATED  _____ REVISED</v>
      </c>
      <c r="G20" s="74"/>
      <c r="H20" s="74"/>
      <c r="I20" s="74" t="s">
        <v>185</v>
      </c>
    </row>
    <row r="21" spans="1:9" s="68" customFormat="1" ht="20.100000000000001" customHeight="1">
      <c r="A21" s="67" t="str">
        <f>$A$8</f>
        <v>WORKPAPER REFERENCE NO(S).:</v>
      </c>
      <c r="B21" s="67"/>
      <c r="F21" s="67"/>
      <c r="G21" s="75"/>
      <c r="H21" s="75"/>
      <c r="I21" s="75" t="str">
        <f>$I$8</f>
        <v>WITNESS:   C. M. GARRETT</v>
      </c>
    </row>
    <row r="22" spans="1:9" s="68" customFormat="1" ht="20.100000000000001" customHeight="1"/>
    <row r="23" spans="1:9" ht="58.5" customHeight="1">
      <c r="A23" s="76" t="s">
        <v>131</v>
      </c>
      <c r="B23" s="76" t="s">
        <v>134</v>
      </c>
      <c r="C23" s="79" t="s">
        <v>178</v>
      </c>
      <c r="D23" s="76" t="s">
        <v>1577</v>
      </c>
      <c r="E23" s="76" t="s">
        <v>180</v>
      </c>
      <c r="F23" s="76" t="s">
        <v>181</v>
      </c>
      <c r="G23" s="76" t="s">
        <v>182</v>
      </c>
      <c r="H23" s="76" t="s">
        <v>183</v>
      </c>
      <c r="I23" s="76" t="s">
        <v>184</v>
      </c>
    </row>
    <row r="24" spans="1:9" ht="23.1" customHeight="1">
      <c r="A24" s="80"/>
      <c r="B24" s="80"/>
      <c r="C24" s="81"/>
      <c r="D24" s="82"/>
      <c r="E24" s="82"/>
      <c r="F24" s="82"/>
      <c r="G24" s="82"/>
      <c r="H24" s="82"/>
      <c r="I24" s="82"/>
    </row>
    <row r="25" spans="1:9" ht="18.95" customHeight="1">
      <c r="A25" s="768" t="s">
        <v>1582</v>
      </c>
      <c r="B25" s="768"/>
      <c r="C25" s="768"/>
      <c r="D25" s="768"/>
      <c r="E25" s="768"/>
      <c r="F25" s="768"/>
      <c r="G25" s="768"/>
      <c r="H25" s="768"/>
      <c r="I25" s="768"/>
    </row>
    <row r="26" spans="1:9" ht="18.95" customHeight="1">
      <c r="B26" s="71"/>
    </row>
    <row r="27" spans="1:9" ht="18.95" customHeight="1">
      <c r="B27" s="71"/>
    </row>
    <row r="28" spans="1:9" ht="18.95" customHeight="1">
      <c r="D28" s="69" t="s">
        <v>160</v>
      </c>
    </row>
    <row r="29" spans="1:9" ht="18.95" customHeight="1"/>
    <row r="30" spans="1:9" ht="18.95" customHeight="1"/>
    <row r="31" spans="1:9" ht="18.95" customHeight="1"/>
    <row r="32" spans="1:9"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I25"/>
    <mergeCell ref="A14:I14"/>
    <mergeCell ref="A15:I15"/>
    <mergeCell ref="A16:I16"/>
    <mergeCell ref="A17:I17"/>
    <mergeCell ref="A1:I1"/>
    <mergeCell ref="A2:I2"/>
    <mergeCell ref="A3:I3"/>
    <mergeCell ref="A4:I4"/>
    <mergeCell ref="A12:I12"/>
  </mergeCells>
  <pageMargins left="0.95" right="0.5" top="0.75" bottom="0.75" header="0.3" footer="0.3"/>
  <pageSetup scale="72" fitToHeight="0" orientation="portrait" r:id="rId1"/>
  <rowBreaks count="1" manualBreakCount="1">
    <brk id="1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40"/>
  <sheetViews>
    <sheetView zoomScaleNormal="100" workbookViewId="0">
      <selection sqref="A1:H1"/>
    </sheetView>
  </sheetViews>
  <sheetFormatPr defaultColWidth="9" defaultRowHeight="12.75"/>
  <cols>
    <col min="1" max="1" width="6" style="69" customWidth="1"/>
    <col min="2" max="2" width="16.77734375" style="69" customWidth="1"/>
    <col min="3" max="3" width="27.77734375" style="69" customWidth="1"/>
    <col min="4" max="4" width="14.21875" style="69" customWidth="1"/>
    <col min="5" max="5" width="13.109375" style="69" customWidth="1"/>
    <col min="6" max="6" width="13.6640625" style="69" customWidth="1"/>
    <col min="7" max="7" width="15.33203125" style="69" customWidth="1"/>
    <col min="8" max="8" width="22.6640625" style="69" customWidth="1"/>
    <col min="9" max="9" width="1.6640625" style="69" customWidth="1"/>
    <col min="10" max="16384" width="9" style="69"/>
  </cols>
  <sheetData>
    <row r="1" spans="1:8" s="68" customFormat="1" ht="20.100000000000001" customHeight="1">
      <c r="A1" s="767" t="str">
        <f>'Rate Case Constants'!C9</f>
        <v>KENTUCKY UTILITIES COMPANY</v>
      </c>
      <c r="B1" s="767"/>
      <c r="C1" s="767"/>
      <c r="D1" s="767"/>
      <c r="E1" s="767"/>
      <c r="F1" s="767"/>
      <c r="G1" s="767"/>
      <c r="H1" s="767"/>
    </row>
    <row r="2" spans="1:8" s="68" customFormat="1" ht="20.100000000000001" customHeight="1">
      <c r="A2" s="767" t="str">
        <f>'Rate Case Constants'!C10</f>
        <v>CASE NO. 2018-00294</v>
      </c>
      <c r="B2" s="767"/>
      <c r="C2" s="767"/>
      <c r="D2" s="767"/>
      <c r="E2" s="767"/>
      <c r="F2" s="767"/>
      <c r="G2" s="767"/>
      <c r="H2" s="767"/>
    </row>
    <row r="3" spans="1:8" s="68" customFormat="1" ht="20.100000000000001" customHeight="1">
      <c r="A3" s="767" t="s">
        <v>186</v>
      </c>
      <c r="B3" s="767"/>
      <c r="C3" s="767"/>
      <c r="D3" s="767"/>
      <c r="E3" s="767"/>
      <c r="F3" s="767"/>
      <c r="G3" s="767"/>
      <c r="H3" s="767"/>
    </row>
    <row r="4" spans="1:8" s="68" customFormat="1" ht="20.100000000000001" customHeight="1">
      <c r="A4" s="767" t="str">
        <f>'Rate Case Constants'!C12</f>
        <v>AS OF DECEMBER 31, 2018</v>
      </c>
      <c r="B4" s="767"/>
      <c r="C4" s="767"/>
      <c r="D4" s="767"/>
      <c r="E4" s="767"/>
      <c r="F4" s="767"/>
      <c r="G4" s="767"/>
      <c r="H4" s="767"/>
    </row>
    <row r="5" spans="1:8" s="68" customFormat="1" ht="20.100000000000001" customHeight="1">
      <c r="A5" s="84"/>
      <c r="B5" s="84"/>
      <c r="C5" s="84"/>
      <c r="D5" s="84"/>
      <c r="E5" s="84"/>
      <c r="F5" s="84"/>
      <c r="G5" s="84"/>
      <c r="H5" s="84"/>
    </row>
    <row r="6" spans="1:8" s="68" customFormat="1" ht="20.100000000000001" customHeight="1">
      <c r="A6" s="67" t="s">
        <v>133</v>
      </c>
      <c r="B6" s="67"/>
      <c r="G6" s="74"/>
      <c r="H6" s="74" t="s">
        <v>187</v>
      </c>
    </row>
    <row r="7" spans="1:8" s="68" customFormat="1" ht="20.100000000000001" customHeight="1">
      <c r="A7" s="68" t="str">
        <f>'Rate Case Constants'!C29</f>
        <v>TYPE OF FILING: __X__ ORIGINAL  _____ UPDATED  _____ REVISED</v>
      </c>
      <c r="G7" s="74"/>
      <c r="H7" s="74" t="s">
        <v>177</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188</v>
      </c>
      <c r="C10" s="79" t="s">
        <v>189</v>
      </c>
      <c r="D10" s="76" t="s">
        <v>190</v>
      </c>
      <c r="E10" s="76" t="s">
        <v>191</v>
      </c>
      <c r="F10" s="76" t="s">
        <v>192</v>
      </c>
      <c r="G10" s="76" t="s">
        <v>193</v>
      </c>
      <c r="H10" s="76" t="s">
        <v>194</v>
      </c>
    </row>
    <row r="11" spans="1:8" ht="23.1" customHeight="1">
      <c r="A11" s="80"/>
      <c r="B11" s="80"/>
      <c r="C11" s="81"/>
      <c r="D11" s="82"/>
      <c r="E11" s="82"/>
      <c r="F11" s="82"/>
      <c r="G11" s="82"/>
      <c r="H11" s="82"/>
    </row>
    <row r="12" spans="1:8" ht="18.95" customHeight="1">
      <c r="A12" s="767" t="s">
        <v>1581</v>
      </c>
      <c r="B12" s="767"/>
      <c r="C12" s="767"/>
      <c r="D12" s="767"/>
      <c r="E12" s="767"/>
      <c r="F12" s="767"/>
      <c r="G12" s="767"/>
      <c r="H12" s="767"/>
    </row>
    <row r="13" spans="1:8" ht="18.95" customHeight="1">
      <c r="B13" s="71"/>
      <c r="D13" s="86"/>
    </row>
    <row r="14" spans="1:8" s="68" customFormat="1" ht="20.100000000000001" customHeight="1">
      <c r="A14" s="767" t="str">
        <f>$A$1</f>
        <v>KENTUCKY UTILITIES COMPANY</v>
      </c>
      <c r="B14" s="767"/>
      <c r="C14" s="767"/>
      <c r="D14" s="767"/>
      <c r="E14" s="767"/>
      <c r="F14" s="767"/>
      <c r="G14" s="767"/>
      <c r="H14" s="767"/>
    </row>
    <row r="15" spans="1:8" s="68" customFormat="1" ht="20.100000000000001" customHeight="1">
      <c r="A15" s="767" t="str">
        <f>$A$2</f>
        <v>CASE NO. 2018-00294</v>
      </c>
      <c r="B15" s="767"/>
      <c r="C15" s="767"/>
      <c r="D15" s="767"/>
      <c r="E15" s="767"/>
      <c r="F15" s="767"/>
      <c r="G15" s="767"/>
      <c r="H15" s="767"/>
    </row>
    <row r="16" spans="1:8" s="68" customFormat="1" ht="20.100000000000001" customHeight="1">
      <c r="A16" s="767" t="str">
        <f>$A$3</f>
        <v>LEASED PROPERTY</v>
      </c>
      <c r="B16" s="767"/>
      <c r="C16" s="767"/>
      <c r="D16" s="767"/>
      <c r="E16" s="767"/>
      <c r="F16" s="767"/>
      <c r="G16" s="767"/>
      <c r="H16" s="767"/>
    </row>
    <row r="17" spans="1:8" s="68" customFormat="1" ht="20.100000000000001" customHeight="1">
      <c r="A17" s="767" t="str">
        <f>'Rate Case Constants'!C18</f>
        <v>AS OF APRIL 30, 2020</v>
      </c>
      <c r="B17" s="767"/>
      <c r="C17" s="767"/>
      <c r="D17" s="767"/>
      <c r="E17" s="767"/>
      <c r="F17" s="767"/>
      <c r="G17" s="767"/>
      <c r="H17" s="767"/>
    </row>
    <row r="18" spans="1:8" s="68" customFormat="1" ht="20.100000000000001" customHeight="1">
      <c r="A18" s="84"/>
      <c r="B18" s="84"/>
      <c r="C18" s="84"/>
      <c r="D18" s="84"/>
      <c r="E18" s="84"/>
      <c r="F18" s="84"/>
      <c r="G18" s="84"/>
      <c r="H18" s="84"/>
    </row>
    <row r="19" spans="1:8" s="68" customFormat="1" ht="20.100000000000001" customHeight="1">
      <c r="A19" s="67" t="s">
        <v>161</v>
      </c>
      <c r="B19" s="67"/>
      <c r="G19" s="74"/>
      <c r="H19" s="74" t="s">
        <v>187</v>
      </c>
    </row>
    <row r="20" spans="1:8" s="68" customFormat="1" ht="20.100000000000001" customHeight="1">
      <c r="A20" s="67" t="str">
        <f>$A$7</f>
        <v>TYPE OF FILING: __X__ ORIGINAL  _____ UPDATED  _____ REVISED</v>
      </c>
      <c r="G20" s="74"/>
      <c r="H20" s="74" t="s">
        <v>185</v>
      </c>
    </row>
    <row r="21" spans="1:8" s="68" customFormat="1" ht="20.100000000000001" customHeight="1">
      <c r="A21" s="67" t="str">
        <f>$A$8</f>
        <v>WORKPAPER REFERENCE NO(S).:</v>
      </c>
      <c r="B21" s="67"/>
      <c r="F21" s="67"/>
      <c r="G21" s="75"/>
      <c r="H21" s="75" t="str">
        <f>$H$8</f>
        <v>WITNESS:   C. M. GARRETT</v>
      </c>
    </row>
    <row r="22" spans="1:8" s="68" customFormat="1" ht="20.100000000000001" customHeight="1"/>
    <row r="23" spans="1:8" ht="58.5" customHeight="1">
      <c r="A23" s="76" t="s">
        <v>131</v>
      </c>
      <c r="B23" s="76" t="s">
        <v>188</v>
      </c>
      <c r="C23" s="79" t="s">
        <v>189</v>
      </c>
      <c r="D23" s="76" t="s">
        <v>190</v>
      </c>
      <c r="E23" s="76" t="s">
        <v>191</v>
      </c>
      <c r="F23" s="76" t="s">
        <v>192</v>
      </c>
      <c r="G23" s="76" t="s">
        <v>193</v>
      </c>
      <c r="H23" s="76" t="s">
        <v>194</v>
      </c>
    </row>
    <row r="24" spans="1:8" ht="23.1" customHeight="1">
      <c r="A24" s="80"/>
      <c r="B24" s="80"/>
      <c r="C24" s="81"/>
      <c r="D24" s="82"/>
      <c r="E24" s="82"/>
      <c r="F24" s="82"/>
      <c r="G24" s="82"/>
      <c r="H24" s="82"/>
    </row>
    <row r="25" spans="1:8" ht="18.95" customHeight="1">
      <c r="A25" s="767" t="s">
        <v>1581</v>
      </c>
      <c r="B25" s="767"/>
      <c r="C25" s="767"/>
      <c r="D25" s="767"/>
      <c r="E25" s="767"/>
      <c r="F25" s="767"/>
      <c r="G25" s="767"/>
      <c r="H25" s="767"/>
    </row>
    <row r="26" spans="1:8" ht="18.95" customHeight="1">
      <c r="B26" s="71"/>
    </row>
    <row r="27" spans="1:8" ht="18.95" customHeight="1">
      <c r="B27" s="71"/>
    </row>
    <row r="28" spans="1:8" ht="18.95" customHeight="1">
      <c r="D28" s="69" t="s">
        <v>160</v>
      </c>
    </row>
    <row r="29" spans="1:8" ht="18.95" customHeight="1"/>
    <row r="30" spans="1:8" ht="18.95" customHeight="1"/>
    <row r="31" spans="1:8" ht="18.95" customHeight="1"/>
    <row r="32" spans="1:8"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H25"/>
    <mergeCell ref="A16:H16"/>
    <mergeCell ref="A17:H17"/>
    <mergeCell ref="A1:H1"/>
    <mergeCell ref="A2:H2"/>
    <mergeCell ref="A3:H3"/>
    <mergeCell ref="A4:H4"/>
    <mergeCell ref="A14:H14"/>
    <mergeCell ref="A15:H15"/>
    <mergeCell ref="A12:H12"/>
  </mergeCells>
  <pageMargins left="0.95" right="0.5" top="0.75" bottom="0.75" header="0.3" footer="0.3"/>
  <pageSetup scale="69" fitToHeight="0" orientation="portrait" r:id="rId1"/>
  <rowBreaks count="1" manualBreakCount="1">
    <brk id="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56"/>
  <sheetViews>
    <sheetView zoomScaleNormal="100" workbookViewId="0">
      <selection sqref="A1:N1"/>
    </sheetView>
  </sheetViews>
  <sheetFormatPr defaultColWidth="9" defaultRowHeight="12.75"/>
  <cols>
    <col min="1" max="1" width="6" style="69" customWidth="1"/>
    <col min="2" max="2" width="35.77734375" style="69" customWidth="1"/>
    <col min="3" max="3" width="12.33203125" style="69" customWidth="1"/>
    <col min="4" max="4" width="13.77734375" style="69" customWidth="1"/>
    <col min="5" max="5" width="15.77734375" style="69" customWidth="1"/>
    <col min="6" max="6" width="11.109375" style="69" customWidth="1"/>
    <col min="7" max="7" width="12.77734375" style="69" customWidth="1"/>
    <col min="8" max="8" width="11.6640625" style="69" customWidth="1"/>
    <col min="9" max="9" width="7.77734375" style="69" customWidth="1"/>
    <col min="10" max="10" width="15.77734375" style="69" customWidth="1"/>
    <col min="11" max="11" width="2.21875" style="69" customWidth="1"/>
    <col min="12" max="12" width="11.6640625" style="69" customWidth="1"/>
    <col min="13" max="13" width="7.77734375" style="69" customWidth="1"/>
    <col min="14" max="14" width="15.77734375" style="69" customWidth="1"/>
    <col min="15" max="15" width="1.6640625" style="69" customWidth="1"/>
    <col min="16" max="16384" width="9" style="69"/>
  </cols>
  <sheetData>
    <row r="1" spans="1:14" s="68" customFormat="1" ht="20.100000000000001" customHeight="1">
      <c r="A1" s="767" t="str">
        <f>'Rate Case Constants'!C9</f>
        <v>KENTUCKY UTILITIES COMPANY</v>
      </c>
      <c r="B1" s="767"/>
      <c r="C1" s="767"/>
      <c r="D1" s="767"/>
      <c r="E1" s="767"/>
      <c r="F1" s="767"/>
      <c r="G1" s="767"/>
      <c r="H1" s="767"/>
      <c r="I1" s="767"/>
      <c r="J1" s="767"/>
      <c r="K1" s="767"/>
      <c r="L1" s="767"/>
      <c r="M1" s="767"/>
      <c r="N1" s="767"/>
    </row>
    <row r="2" spans="1:14" s="68" customFormat="1" ht="20.100000000000001" customHeight="1">
      <c r="A2" s="767" t="str">
        <f>'Rate Case Constants'!C10</f>
        <v>CASE NO. 2018-00294</v>
      </c>
      <c r="B2" s="767"/>
      <c r="C2" s="767"/>
      <c r="D2" s="767"/>
      <c r="E2" s="767"/>
      <c r="F2" s="767"/>
      <c r="G2" s="767"/>
      <c r="H2" s="767"/>
      <c r="I2" s="767"/>
      <c r="J2" s="767"/>
      <c r="K2" s="767"/>
      <c r="L2" s="767"/>
      <c r="M2" s="767"/>
      <c r="N2" s="767"/>
    </row>
    <row r="3" spans="1:14" s="68" customFormat="1" ht="20.100000000000001" customHeight="1">
      <c r="A3" s="767" t="s">
        <v>195</v>
      </c>
      <c r="B3" s="767"/>
      <c r="C3" s="767"/>
      <c r="D3" s="767"/>
      <c r="E3" s="767"/>
      <c r="F3" s="767"/>
      <c r="G3" s="767"/>
      <c r="H3" s="767"/>
      <c r="I3" s="767"/>
      <c r="J3" s="767"/>
      <c r="K3" s="767"/>
      <c r="L3" s="767"/>
      <c r="M3" s="767"/>
      <c r="N3" s="767"/>
    </row>
    <row r="4" spans="1:14" s="68" customFormat="1" ht="20.100000000000001" customHeight="1">
      <c r="A4" s="767" t="str">
        <f>'Rate Case Constants'!C12</f>
        <v>AS OF DECEMBER 31, 2018</v>
      </c>
      <c r="B4" s="767"/>
      <c r="C4" s="767"/>
      <c r="D4" s="767"/>
      <c r="E4" s="767"/>
      <c r="F4" s="767"/>
      <c r="G4" s="767"/>
      <c r="H4" s="767"/>
      <c r="I4" s="767"/>
      <c r="J4" s="767"/>
      <c r="K4" s="767"/>
      <c r="L4" s="767"/>
      <c r="M4" s="767"/>
      <c r="N4" s="767"/>
    </row>
    <row r="5" spans="1:14" s="68" customFormat="1" ht="20.100000000000001" customHeight="1">
      <c r="A5" s="84"/>
      <c r="B5" s="84"/>
      <c r="C5" s="84"/>
      <c r="D5" s="84"/>
      <c r="E5" s="84"/>
      <c r="F5" s="422"/>
      <c r="G5" s="84"/>
      <c r="H5" s="84"/>
      <c r="I5" s="84"/>
      <c r="J5" s="84"/>
      <c r="K5" s="84"/>
      <c r="L5" s="84"/>
      <c r="M5" s="84"/>
      <c r="N5" s="84"/>
    </row>
    <row r="6" spans="1:14" s="68" customFormat="1" ht="20.100000000000001" customHeight="1">
      <c r="A6" s="67" t="s">
        <v>133</v>
      </c>
      <c r="B6" s="67"/>
      <c r="H6" s="74"/>
      <c r="I6" s="74"/>
      <c r="J6" s="74"/>
      <c r="K6" s="74"/>
      <c r="L6" s="74"/>
      <c r="M6" s="74"/>
      <c r="N6" s="74" t="s">
        <v>196</v>
      </c>
    </row>
    <row r="7" spans="1:14" s="68" customFormat="1" ht="20.100000000000001" customHeight="1">
      <c r="A7" s="68" t="str">
        <f>'Rate Case Constants'!C29</f>
        <v>TYPE OF FILING: __X__ ORIGINAL  _____ UPDATED  _____ REVISED</v>
      </c>
      <c r="H7" s="74"/>
      <c r="I7" s="74"/>
      <c r="J7" s="74"/>
      <c r="K7" s="74"/>
      <c r="L7" s="74"/>
      <c r="M7" s="74"/>
      <c r="N7" s="74" t="s">
        <v>177</v>
      </c>
    </row>
    <row r="8" spans="1:14" s="68" customFormat="1" ht="20.100000000000001" customHeight="1">
      <c r="A8" s="67" t="s">
        <v>1198</v>
      </c>
      <c r="B8" s="67"/>
      <c r="G8" s="67"/>
      <c r="H8" s="75"/>
      <c r="I8" s="75"/>
      <c r="J8" s="75"/>
      <c r="K8" s="75"/>
      <c r="L8" s="75"/>
      <c r="M8" s="75"/>
      <c r="N8" s="75" t="str">
        <f>'Rate Case Constants'!C36</f>
        <v>WITNESS:   C. M. GARRETT</v>
      </c>
    </row>
    <row r="9" spans="1:14" s="68" customFormat="1" ht="20.100000000000001" customHeight="1"/>
    <row r="10" spans="1:14" s="68" customFormat="1" ht="20.100000000000001" customHeight="1">
      <c r="A10" s="96"/>
      <c r="B10" s="96"/>
      <c r="C10" s="96"/>
      <c r="D10" s="96"/>
      <c r="E10" s="96"/>
      <c r="F10" s="96"/>
      <c r="G10" s="96"/>
      <c r="H10" s="769" t="s">
        <v>204</v>
      </c>
      <c r="I10" s="769"/>
      <c r="J10" s="769"/>
      <c r="K10" s="97"/>
      <c r="L10" s="769" t="s">
        <v>206</v>
      </c>
      <c r="M10" s="769"/>
      <c r="N10" s="769"/>
    </row>
    <row r="11" spans="1:14" ht="43.5" customHeight="1">
      <c r="A11" s="71" t="s">
        <v>131</v>
      </c>
      <c r="B11" s="71" t="s">
        <v>197</v>
      </c>
      <c r="C11" s="71" t="s">
        <v>198</v>
      </c>
      <c r="D11" s="71" t="s">
        <v>199</v>
      </c>
      <c r="E11" s="71" t="s">
        <v>200</v>
      </c>
      <c r="F11" s="71" t="s">
        <v>2231</v>
      </c>
      <c r="G11" s="71" t="s">
        <v>201</v>
      </c>
      <c r="H11" s="71" t="s">
        <v>202</v>
      </c>
      <c r="I11" s="71" t="s">
        <v>203</v>
      </c>
      <c r="J11" s="71" t="s">
        <v>205</v>
      </c>
      <c r="K11" s="71"/>
      <c r="L11" s="71" t="s">
        <v>202</v>
      </c>
      <c r="M11" s="71" t="s">
        <v>203</v>
      </c>
      <c r="N11" s="71" t="s">
        <v>205</v>
      </c>
    </row>
    <row r="12" spans="1:14" ht="23.1" customHeight="1">
      <c r="A12" s="80"/>
      <c r="B12" s="80"/>
      <c r="C12" s="81"/>
      <c r="D12" s="82" t="s">
        <v>142</v>
      </c>
      <c r="E12" s="82" t="s">
        <v>142</v>
      </c>
      <c r="F12" s="82"/>
      <c r="G12" s="82" t="s">
        <v>142</v>
      </c>
      <c r="H12" s="82" t="s">
        <v>142</v>
      </c>
      <c r="I12" s="82"/>
      <c r="J12" s="82"/>
      <c r="K12" s="82"/>
      <c r="L12" s="82" t="s">
        <v>142</v>
      </c>
      <c r="M12" s="82"/>
      <c r="N12" s="82"/>
    </row>
    <row r="13" spans="1:14" ht="34.5" customHeight="1">
      <c r="A13" s="99">
        <v>1</v>
      </c>
      <c r="B13" s="78" t="s">
        <v>2232</v>
      </c>
      <c r="C13" s="226">
        <v>41821</v>
      </c>
      <c r="D13" s="392">
        <v>309540.84999999998</v>
      </c>
      <c r="E13" s="392">
        <v>0</v>
      </c>
      <c r="F13" s="134">
        <f>G13/D13</f>
        <v>0.87673530496058716</v>
      </c>
      <c r="G13" s="392">
        <f>'JURISSEP B'!G$229</f>
        <v>271385.39152250934</v>
      </c>
      <c r="H13" s="392">
        <v>0</v>
      </c>
      <c r="L13" s="392">
        <v>0</v>
      </c>
    </row>
    <row r="14" spans="1:14" ht="34.5" customHeight="1">
      <c r="A14" s="99">
        <v>2</v>
      </c>
      <c r="B14" s="78" t="s">
        <v>2233</v>
      </c>
      <c r="C14" s="226">
        <v>40756</v>
      </c>
      <c r="D14" s="392">
        <v>113882.25</v>
      </c>
      <c r="E14" s="392">
        <v>0</v>
      </c>
      <c r="F14" s="134">
        <f>G14/D14</f>
        <v>1</v>
      </c>
      <c r="G14" s="392">
        <f>D14</f>
        <v>113882.25</v>
      </c>
      <c r="H14" s="392">
        <v>0</v>
      </c>
      <c r="L14" s="392">
        <v>0</v>
      </c>
    </row>
    <row r="15" spans="1:14" ht="34.5" customHeight="1">
      <c r="A15" s="99">
        <v>3</v>
      </c>
      <c r="B15" s="78" t="s">
        <v>1619</v>
      </c>
      <c r="C15" s="226">
        <v>40905</v>
      </c>
      <c r="D15" s="392">
        <v>324087.84000000003</v>
      </c>
      <c r="E15" s="392">
        <v>0</v>
      </c>
      <c r="F15" s="134">
        <f>G15/D15</f>
        <v>0</v>
      </c>
      <c r="G15" s="392">
        <v>0</v>
      </c>
      <c r="H15" s="392">
        <v>0</v>
      </c>
      <c r="L15" s="392">
        <v>0</v>
      </c>
    </row>
    <row r="16" spans="1:14" ht="34.5" customHeight="1">
      <c r="A16" s="99">
        <v>4</v>
      </c>
      <c r="B16" s="78" t="s">
        <v>2570</v>
      </c>
      <c r="C16" s="226">
        <v>42360</v>
      </c>
      <c r="D16" s="392">
        <v>131956.31</v>
      </c>
      <c r="E16" s="392">
        <v>0</v>
      </c>
      <c r="F16" s="134">
        <f t="shared" ref="F16:F20" si="0">G16/D16</f>
        <v>0.90503374622094968</v>
      </c>
      <c r="G16" s="392">
        <f>'JURISSEP B'!G$232</f>
        <v>119424.91357679295</v>
      </c>
      <c r="H16" s="392">
        <v>0</v>
      </c>
      <c r="L16" s="392">
        <v>0</v>
      </c>
    </row>
    <row r="17" spans="1:14" ht="34.5" customHeight="1">
      <c r="A17" s="99">
        <v>5</v>
      </c>
      <c r="B17" s="78" t="s">
        <v>2571</v>
      </c>
      <c r="C17" s="226">
        <v>42767</v>
      </c>
      <c r="D17" s="392">
        <v>240853.29</v>
      </c>
      <c r="E17" s="392">
        <v>0</v>
      </c>
      <c r="F17" s="134">
        <f t="shared" si="0"/>
        <v>1</v>
      </c>
      <c r="G17" s="392">
        <f t="shared" ref="G17:G18" si="1">D17</f>
        <v>240853.29</v>
      </c>
      <c r="H17" s="392">
        <v>0</v>
      </c>
      <c r="L17" s="392">
        <v>0</v>
      </c>
    </row>
    <row r="18" spans="1:14" ht="34.5" customHeight="1">
      <c r="A18" s="99">
        <v>6</v>
      </c>
      <c r="B18" s="78" t="s">
        <v>2572</v>
      </c>
      <c r="C18" s="226">
        <v>40237</v>
      </c>
      <c r="D18" s="393">
        <v>792599.21</v>
      </c>
      <c r="E18" s="393">
        <v>0</v>
      </c>
      <c r="F18" s="704">
        <f t="shared" si="0"/>
        <v>1</v>
      </c>
      <c r="G18" s="393">
        <f t="shared" si="1"/>
        <v>792599.21</v>
      </c>
      <c r="H18" s="393">
        <v>0</v>
      </c>
      <c r="L18" s="393">
        <v>0</v>
      </c>
    </row>
    <row r="19" spans="1:14" s="68" customFormat="1" ht="20.100000000000001" customHeight="1">
      <c r="A19" s="703"/>
      <c r="B19" s="703"/>
      <c r="C19" s="703"/>
      <c r="D19" s="703"/>
      <c r="E19" s="703"/>
      <c r="F19" s="703"/>
      <c r="G19" s="703"/>
      <c r="H19" s="703"/>
      <c r="I19" s="703"/>
      <c r="J19" s="703"/>
      <c r="K19" s="703"/>
      <c r="L19" s="703"/>
      <c r="M19" s="703"/>
      <c r="N19" s="703"/>
    </row>
    <row r="20" spans="1:14" ht="18.95" customHeight="1" thickBot="1">
      <c r="A20" s="99">
        <v>7</v>
      </c>
      <c r="B20" s="78" t="s">
        <v>3417</v>
      </c>
      <c r="C20" s="226"/>
      <c r="D20" s="705">
        <f>SUM(D13:D18)</f>
        <v>1912919.75</v>
      </c>
      <c r="E20" s="705">
        <v>0</v>
      </c>
      <c r="F20" s="706">
        <f t="shared" si="0"/>
        <v>0.80408237465230958</v>
      </c>
      <c r="G20" s="705">
        <f>SUM(G13:G18)</f>
        <v>1538145.0550993024</v>
      </c>
      <c r="H20" s="705">
        <v>0</v>
      </c>
      <c r="L20" s="705">
        <v>0</v>
      </c>
    </row>
    <row r="21" spans="1:14" ht="18.95" customHeight="1" thickTop="1">
      <c r="B21" s="71"/>
      <c r="D21" s="86"/>
    </row>
    <row r="22" spans="1:14" s="68" customFormat="1" ht="20.100000000000001" customHeight="1">
      <c r="A22" s="767" t="str">
        <f>$A$1</f>
        <v>KENTUCKY UTILITIES COMPANY</v>
      </c>
      <c r="B22" s="767"/>
      <c r="C22" s="767"/>
      <c r="D22" s="767"/>
      <c r="E22" s="767"/>
      <c r="F22" s="767"/>
      <c r="G22" s="767"/>
      <c r="H22" s="767"/>
      <c r="I22" s="767"/>
      <c r="J22" s="767"/>
      <c r="K22" s="767"/>
      <c r="L22" s="767"/>
      <c r="M22" s="767"/>
      <c r="N22" s="767"/>
    </row>
    <row r="23" spans="1:14" s="68" customFormat="1" ht="20.100000000000001" customHeight="1">
      <c r="A23" s="767" t="str">
        <f>$A$2</f>
        <v>CASE NO. 2018-00294</v>
      </c>
      <c r="B23" s="767"/>
      <c r="C23" s="767"/>
      <c r="D23" s="767"/>
      <c r="E23" s="767"/>
      <c r="F23" s="767"/>
      <c r="G23" s="767"/>
      <c r="H23" s="767"/>
      <c r="I23" s="767"/>
      <c r="J23" s="767"/>
      <c r="K23" s="767"/>
      <c r="L23" s="767"/>
      <c r="M23" s="767"/>
      <c r="N23" s="767"/>
    </row>
    <row r="24" spans="1:14" s="68" customFormat="1" ht="20.100000000000001" customHeight="1">
      <c r="A24" s="767" t="str">
        <f>$A$3</f>
        <v>PROPERTY HELD FOR FUTURE USE INCLUDED IN RATE BASE</v>
      </c>
      <c r="B24" s="767"/>
      <c r="C24" s="767"/>
      <c r="D24" s="767"/>
      <c r="E24" s="767"/>
      <c r="F24" s="767"/>
      <c r="G24" s="767"/>
      <c r="H24" s="767"/>
      <c r="I24" s="767"/>
      <c r="J24" s="767"/>
      <c r="K24" s="767"/>
      <c r="L24" s="767"/>
      <c r="M24" s="767"/>
      <c r="N24" s="767"/>
    </row>
    <row r="25" spans="1:14" s="68" customFormat="1" ht="20.100000000000001" customHeight="1">
      <c r="A25" s="767" t="str">
        <f>'Rate Case Constants'!C18</f>
        <v>AS OF APRIL 30, 2020</v>
      </c>
      <c r="B25" s="767"/>
      <c r="C25" s="767"/>
      <c r="D25" s="767"/>
      <c r="E25" s="767"/>
      <c r="F25" s="767"/>
      <c r="G25" s="767"/>
      <c r="H25" s="767"/>
      <c r="I25" s="767"/>
      <c r="J25" s="767"/>
      <c r="K25" s="767"/>
      <c r="L25" s="767"/>
      <c r="M25" s="767"/>
      <c r="N25" s="767"/>
    </row>
    <row r="26" spans="1:14" s="68" customFormat="1" ht="20.100000000000001" customHeight="1">
      <c r="A26" s="84"/>
      <c r="B26" s="84"/>
      <c r="C26" s="84"/>
      <c r="D26" s="84"/>
      <c r="E26" s="84"/>
      <c r="F26" s="422"/>
      <c r="G26" s="84"/>
      <c r="H26" s="84"/>
      <c r="I26" s="84"/>
      <c r="J26" s="84"/>
      <c r="K26" s="84"/>
      <c r="L26" s="84"/>
      <c r="M26" s="84"/>
      <c r="N26" s="84"/>
    </row>
    <row r="27" spans="1:14" s="68" customFormat="1" ht="20.100000000000001" customHeight="1">
      <c r="A27" s="67" t="s">
        <v>161</v>
      </c>
      <c r="B27" s="67"/>
      <c r="H27" s="74"/>
      <c r="I27" s="74"/>
      <c r="J27" s="74"/>
      <c r="K27" s="74"/>
      <c r="L27" s="74"/>
      <c r="M27" s="74"/>
      <c r="N27" s="74" t="s">
        <v>196</v>
      </c>
    </row>
    <row r="28" spans="1:14" s="68" customFormat="1" ht="20.100000000000001" customHeight="1">
      <c r="A28" s="67" t="str">
        <f>$A$7</f>
        <v>TYPE OF FILING: __X__ ORIGINAL  _____ UPDATED  _____ REVISED</v>
      </c>
      <c r="H28" s="74"/>
      <c r="I28" s="74"/>
      <c r="J28" s="74"/>
      <c r="K28" s="74"/>
      <c r="L28" s="74"/>
      <c r="M28" s="74"/>
      <c r="N28" s="74" t="s">
        <v>185</v>
      </c>
    </row>
    <row r="29" spans="1:14" s="68" customFormat="1" ht="20.100000000000001" customHeight="1">
      <c r="A29" s="67" t="str">
        <f>$A$8</f>
        <v>WORKPAPER REFERENCE NO(S).:</v>
      </c>
      <c r="B29" s="67"/>
      <c r="G29" s="67"/>
      <c r="H29" s="75"/>
      <c r="I29" s="75"/>
      <c r="J29" s="75"/>
      <c r="K29" s="75"/>
      <c r="L29" s="75"/>
      <c r="M29" s="75"/>
      <c r="N29" s="75" t="str">
        <f>$N$8</f>
        <v>WITNESS:   C. M. GARRETT</v>
      </c>
    </row>
    <row r="30" spans="1:14" s="68" customFormat="1" ht="20.100000000000001" customHeight="1"/>
    <row r="31" spans="1:14" s="68" customFormat="1" ht="20.100000000000001" customHeight="1">
      <c r="A31" s="96"/>
      <c r="B31" s="96"/>
      <c r="C31" s="96"/>
      <c r="D31" s="96"/>
      <c r="E31" s="96"/>
      <c r="F31" s="96"/>
      <c r="G31" s="96"/>
      <c r="H31" s="769" t="s">
        <v>204</v>
      </c>
      <c r="I31" s="769"/>
      <c r="J31" s="769"/>
      <c r="K31" s="97"/>
      <c r="L31" s="769" t="s">
        <v>206</v>
      </c>
      <c r="M31" s="769"/>
      <c r="N31" s="769"/>
    </row>
    <row r="32" spans="1:14" ht="43.5" customHeight="1">
      <c r="A32" s="71" t="s">
        <v>131</v>
      </c>
      <c r="B32" s="71" t="s">
        <v>197</v>
      </c>
      <c r="C32" s="71" t="s">
        <v>198</v>
      </c>
      <c r="D32" s="71" t="s">
        <v>199</v>
      </c>
      <c r="E32" s="71" t="s">
        <v>200</v>
      </c>
      <c r="F32" s="71" t="s">
        <v>2231</v>
      </c>
      <c r="G32" s="71" t="s">
        <v>201</v>
      </c>
      <c r="H32" s="71" t="s">
        <v>202</v>
      </c>
      <c r="I32" s="71" t="s">
        <v>203</v>
      </c>
      <c r="J32" s="71" t="s">
        <v>205</v>
      </c>
      <c r="K32" s="71"/>
      <c r="L32" s="71" t="s">
        <v>202</v>
      </c>
      <c r="M32" s="71" t="s">
        <v>203</v>
      </c>
      <c r="N32" s="71" t="s">
        <v>205</v>
      </c>
    </row>
    <row r="33" spans="1:14" ht="23.1" customHeight="1">
      <c r="A33" s="80"/>
      <c r="B33" s="80"/>
      <c r="C33" s="81"/>
      <c r="D33" s="82" t="s">
        <v>142</v>
      </c>
      <c r="E33" s="82" t="s">
        <v>142</v>
      </c>
      <c r="F33" s="82"/>
      <c r="G33" s="82" t="s">
        <v>142</v>
      </c>
      <c r="H33" s="82" t="s">
        <v>142</v>
      </c>
      <c r="I33" s="82"/>
      <c r="J33" s="82"/>
      <c r="K33" s="82"/>
      <c r="L33" s="82" t="s">
        <v>142</v>
      </c>
      <c r="M33" s="82"/>
      <c r="N33" s="82"/>
    </row>
    <row r="34" spans="1:14" ht="34.5" customHeight="1">
      <c r="A34" s="99">
        <v>1</v>
      </c>
      <c r="B34" s="78" t="s">
        <v>2232</v>
      </c>
      <c r="C34" s="226">
        <v>41821</v>
      </c>
      <c r="D34" s="392">
        <v>309540.84999999998</v>
      </c>
      <c r="E34" s="392">
        <v>0</v>
      </c>
      <c r="F34" s="134">
        <f>G34/D34</f>
        <v>0.93741603079505254</v>
      </c>
      <c r="G34" s="392">
        <f>'JURISSEP F'!G$229</f>
        <v>290168.5549759267</v>
      </c>
      <c r="H34" s="392">
        <v>0</v>
      </c>
      <c r="L34" s="392">
        <v>0</v>
      </c>
    </row>
    <row r="35" spans="1:14" ht="34.5" customHeight="1">
      <c r="A35" s="99">
        <v>2</v>
      </c>
      <c r="B35" s="78" t="s">
        <v>2233</v>
      </c>
      <c r="C35" s="226">
        <v>40756</v>
      </c>
      <c r="D35" s="392">
        <v>113882.25</v>
      </c>
      <c r="E35" s="392">
        <v>0</v>
      </c>
      <c r="F35" s="134">
        <f>G35/D35</f>
        <v>1</v>
      </c>
      <c r="G35" s="392">
        <f>D35</f>
        <v>113882.25</v>
      </c>
      <c r="H35" s="392">
        <v>0</v>
      </c>
      <c r="L35" s="392">
        <v>0</v>
      </c>
    </row>
    <row r="36" spans="1:14" ht="34.5" customHeight="1">
      <c r="A36" s="99">
        <v>3</v>
      </c>
      <c r="B36" s="78" t="s">
        <v>1619</v>
      </c>
      <c r="C36" s="226">
        <v>40905</v>
      </c>
      <c r="D36" s="392">
        <v>324087.84000000003</v>
      </c>
      <c r="E36" s="392">
        <v>0</v>
      </c>
      <c r="F36" s="134">
        <f>G36/D36</f>
        <v>0</v>
      </c>
      <c r="G36" s="392">
        <v>0</v>
      </c>
      <c r="H36" s="392">
        <v>0</v>
      </c>
      <c r="L36" s="392">
        <v>0</v>
      </c>
    </row>
    <row r="37" spans="1:14" ht="34.5" customHeight="1">
      <c r="A37" s="99">
        <v>4</v>
      </c>
      <c r="B37" s="78" t="s">
        <v>2570</v>
      </c>
      <c r="C37" s="226">
        <v>42360</v>
      </c>
      <c r="D37" s="392">
        <v>131956.31</v>
      </c>
      <c r="E37" s="392">
        <v>0</v>
      </c>
      <c r="F37" s="134">
        <f t="shared" ref="F37:F39" si="2">G37/D37</f>
        <v>0.94069865484010706</v>
      </c>
      <c r="G37" s="392">
        <f>'JURISSEP F'!G$232</f>
        <v>124131.12331466416</v>
      </c>
      <c r="H37" s="392">
        <v>0</v>
      </c>
      <c r="L37" s="392">
        <v>0</v>
      </c>
    </row>
    <row r="38" spans="1:14" ht="34.5" customHeight="1">
      <c r="A38" s="99">
        <v>5</v>
      </c>
      <c r="B38" s="78" t="s">
        <v>2571</v>
      </c>
      <c r="C38" s="226">
        <v>42767</v>
      </c>
      <c r="D38" s="392">
        <v>240853.29</v>
      </c>
      <c r="E38" s="392">
        <v>0</v>
      </c>
      <c r="F38" s="134">
        <f t="shared" si="2"/>
        <v>1</v>
      </c>
      <c r="G38" s="392">
        <f t="shared" ref="G38:G39" si="3">D38</f>
        <v>240853.29</v>
      </c>
      <c r="H38" s="392">
        <v>0</v>
      </c>
      <c r="L38" s="392">
        <v>0</v>
      </c>
    </row>
    <row r="39" spans="1:14" ht="34.5" customHeight="1">
      <c r="A39" s="99">
        <v>6</v>
      </c>
      <c r="B39" s="78" t="s">
        <v>2572</v>
      </c>
      <c r="C39" s="226">
        <v>40237</v>
      </c>
      <c r="D39" s="393">
        <v>792599.21</v>
      </c>
      <c r="E39" s="393">
        <v>0</v>
      </c>
      <c r="F39" s="704">
        <f t="shared" si="2"/>
        <v>1</v>
      </c>
      <c r="G39" s="393">
        <f t="shared" si="3"/>
        <v>792599.21</v>
      </c>
      <c r="H39" s="393">
        <v>0</v>
      </c>
      <c r="L39" s="393">
        <v>0</v>
      </c>
    </row>
    <row r="40" spans="1:14" s="68" customFormat="1" ht="20.100000000000001" customHeight="1">
      <c r="A40" s="703"/>
      <c r="B40" s="703"/>
      <c r="C40" s="703"/>
      <c r="D40" s="703"/>
      <c r="E40" s="703"/>
      <c r="F40" s="703"/>
      <c r="G40" s="703"/>
      <c r="H40" s="703"/>
      <c r="I40" s="703"/>
      <c r="J40" s="703"/>
      <c r="K40" s="703"/>
      <c r="L40" s="703"/>
      <c r="M40" s="703"/>
      <c r="N40" s="703"/>
    </row>
    <row r="41" spans="1:14" ht="18.95" customHeight="1" thickBot="1">
      <c r="A41" s="99">
        <v>7</v>
      </c>
      <c r="B41" s="78" t="s">
        <v>3417</v>
      </c>
      <c r="C41" s="226"/>
      <c r="D41" s="705">
        <f>SUM(D34:D39)</f>
        <v>1912919.75</v>
      </c>
      <c r="E41" s="705">
        <v>0</v>
      </c>
      <c r="F41" s="706">
        <f t="shared" ref="F41" si="4">G41/D41</f>
        <v>0.81636170481829717</v>
      </c>
      <c r="G41" s="705">
        <f>SUM(G34:G39)</f>
        <v>1561634.4282905909</v>
      </c>
      <c r="H41" s="705">
        <v>0</v>
      </c>
      <c r="L41" s="705">
        <v>0</v>
      </c>
    </row>
    <row r="42" spans="1:14" ht="18.95" customHeight="1" thickTop="1">
      <c r="B42" s="71"/>
    </row>
    <row r="43" spans="1:14" ht="18.95" customHeight="1">
      <c r="B43" s="71"/>
      <c r="D43" s="93"/>
      <c r="G43" s="93"/>
      <c r="H43" s="93"/>
    </row>
    <row r="44" spans="1:14" ht="18.95" customHeight="1">
      <c r="D44" s="69" t="s">
        <v>160</v>
      </c>
    </row>
    <row r="45" spans="1:14" ht="18.95" customHeight="1"/>
    <row r="46" spans="1:14" ht="18.95" customHeight="1"/>
    <row r="47" spans="1:14" ht="18.95" customHeight="1"/>
    <row r="48" spans="1:14" ht="18.95" customHeight="1"/>
    <row r="49" ht="18.95" customHeight="1"/>
    <row r="50" ht="18.95" customHeight="1"/>
    <row r="51" ht="18.95" customHeight="1"/>
    <row r="52" ht="18.95" customHeight="1"/>
    <row r="53" ht="18.95" customHeight="1"/>
    <row r="54" ht="18.95" customHeight="1"/>
    <row r="55" ht="18.95" customHeight="1"/>
    <row r="56" ht="18.95" customHeight="1"/>
  </sheetData>
  <mergeCells count="12">
    <mergeCell ref="A1:N1"/>
    <mergeCell ref="A2:N2"/>
    <mergeCell ref="A3:N3"/>
    <mergeCell ref="A4:N4"/>
    <mergeCell ref="A22:N22"/>
    <mergeCell ref="A24:N24"/>
    <mergeCell ref="A25:N25"/>
    <mergeCell ref="H10:J10"/>
    <mergeCell ref="L10:N10"/>
    <mergeCell ref="H31:J31"/>
    <mergeCell ref="L31:N31"/>
    <mergeCell ref="A23:N23"/>
  </mergeCells>
  <pageMargins left="0.95" right="0.5" top="0.75" bottom="0.75" header="0.3" footer="0.3"/>
  <pageSetup scale="50" fitToHeight="0" orientation="portrait" r:id="rId1"/>
  <rowBreaks count="1" manualBreakCount="1">
    <brk id="2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96"/>
  <sheetViews>
    <sheetView zoomScaleNormal="100" workbookViewId="0">
      <selection sqref="A1:K1"/>
    </sheetView>
  </sheetViews>
  <sheetFormatPr defaultColWidth="9" defaultRowHeight="12.75"/>
  <cols>
    <col min="1" max="1" width="6" style="69" customWidth="1"/>
    <col min="2" max="2" width="7.109375" style="69" customWidth="1"/>
    <col min="3" max="3" width="33.5546875" style="69" customWidth="1"/>
    <col min="4" max="4" width="11.44140625" style="69" customWidth="1"/>
    <col min="5" max="5" width="12.33203125" style="69" customWidth="1"/>
    <col min="6" max="6" width="15.77734375" style="69" customWidth="1"/>
    <col min="7" max="7" width="10.77734375" style="69" customWidth="1"/>
    <col min="8" max="8" width="11.6640625" style="69" customWidth="1"/>
    <col min="9" max="9" width="7.77734375" style="69" customWidth="1"/>
    <col min="10" max="10" width="14.77734375" style="69" customWidth="1"/>
    <col min="11" max="11" width="40.77734375" style="69" customWidth="1"/>
    <col min="12" max="12" width="1.6640625" style="69" customWidth="1"/>
    <col min="13" max="16384" width="9" style="69"/>
  </cols>
  <sheetData>
    <row r="1" spans="1:11" s="68" customFormat="1" ht="20.100000000000001" customHeight="1">
      <c r="A1" s="767" t="str">
        <f>'Rate Case Constants'!C9</f>
        <v>KENTUCKY UTILITIES COMPANY</v>
      </c>
      <c r="B1" s="767"/>
      <c r="C1" s="767"/>
      <c r="D1" s="767"/>
      <c r="E1" s="767"/>
      <c r="F1" s="767"/>
      <c r="G1" s="767"/>
      <c r="H1" s="767"/>
      <c r="I1" s="767"/>
      <c r="J1" s="767"/>
      <c r="K1" s="767"/>
    </row>
    <row r="2" spans="1:11" s="68" customFormat="1" ht="20.100000000000001" customHeight="1">
      <c r="A2" s="767" t="str">
        <f>'Rate Case Constants'!C10</f>
        <v>CASE NO. 2018-00294</v>
      </c>
      <c r="B2" s="767"/>
      <c r="C2" s="767"/>
      <c r="D2" s="767"/>
      <c r="E2" s="767"/>
      <c r="F2" s="767"/>
      <c r="G2" s="767"/>
      <c r="H2" s="767"/>
      <c r="I2" s="767"/>
      <c r="J2" s="767"/>
      <c r="K2" s="767"/>
    </row>
    <row r="3" spans="1:11" s="68" customFormat="1" ht="20.100000000000001" customHeight="1">
      <c r="A3" s="767" t="s">
        <v>208</v>
      </c>
      <c r="B3" s="767"/>
      <c r="C3" s="767"/>
      <c r="D3" s="767"/>
      <c r="E3" s="767"/>
      <c r="F3" s="767"/>
      <c r="G3" s="767"/>
      <c r="H3" s="767"/>
      <c r="I3" s="767"/>
      <c r="J3" s="767"/>
      <c r="K3" s="767"/>
    </row>
    <row r="4" spans="1:11" s="68" customFormat="1" ht="20.100000000000001" customHeight="1">
      <c r="A4" s="767" t="s">
        <v>209</v>
      </c>
      <c r="B4" s="767"/>
      <c r="C4" s="767"/>
      <c r="D4" s="767"/>
      <c r="E4" s="767"/>
      <c r="F4" s="767"/>
      <c r="G4" s="767"/>
      <c r="H4" s="767"/>
      <c r="I4" s="767"/>
      <c r="J4" s="767"/>
      <c r="K4" s="767"/>
    </row>
    <row r="5" spans="1:11" s="68" customFormat="1" ht="20.100000000000001" customHeight="1">
      <c r="A5" s="767" t="str">
        <f>'Rate Case Constants'!C12</f>
        <v>AS OF DECEMBER 31, 2018</v>
      </c>
      <c r="B5" s="767"/>
      <c r="C5" s="767"/>
      <c r="D5" s="767"/>
      <c r="E5" s="767"/>
      <c r="F5" s="767"/>
      <c r="G5" s="767"/>
      <c r="H5" s="767"/>
      <c r="I5" s="767"/>
      <c r="J5" s="767"/>
      <c r="K5" s="767"/>
    </row>
    <row r="6" spans="1:11" s="68" customFormat="1" ht="20.100000000000001" customHeight="1">
      <c r="A6" s="84"/>
      <c r="B6" s="84"/>
      <c r="C6" s="84"/>
      <c r="D6" s="84"/>
      <c r="E6" s="84"/>
      <c r="F6" s="84"/>
      <c r="G6" s="84"/>
      <c r="H6" s="84"/>
      <c r="I6" s="84"/>
      <c r="J6" s="84"/>
      <c r="K6" s="84"/>
    </row>
    <row r="7" spans="1:11" s="68" customFormat="1" ht="20.100000000000001" customHeight="1">
      <c r="A7" s="67" t="s">
        <v>133</v>
      </c>
      <c r="B7" s="67"/>
      <c r="H7" s="74"/>
      <c r="I7" s="74"/>
      <c r="J7" s="74"/>
      <c r="K7" s="74" t="s">
        <v>207</v>
      </c>
    </row>
    <row r="8" spans="1:11" s="68" customFormat="1" ht="20.100000000000001" customHeight="1">
      <c r="A8" s="68" t="str">
        <f>'Rate Case Constants'!C29</f>
        <v>TYPE OF FILING: __X__ ORIGINAL  _____ UPDATED  _____ REVISED</v>
      </c>
      <c r="H8" s="74"/>
      <c r="I8" s="74"/>
      <c r="J8" s="74"/>
      <c r="K8" s="74" t="s">
        <v>177</v>
      </c>
    </row>
    <row r="9" spans="1:11" s="68" customFormat="1" ht="20.100000000000001" customHeight="1">
      <c r="A9" s="67" t="s">
        <v>1198</v>
      </c>
      <c r="B9" s="67"/>
      <c r="G9" s="67"/>
      <c r="H9" s="75"/>
      <c r="I9" s="75"/>
      <c r="J9" s="75"/>
      <c r="K9" s="75" t="str">
        <f>'Rate Case Constants'!C36</f>
        <v>WITNESS:   C. M. GARRETT</v>
      </c>
    </row>
    <row r="10" spans="1:11" s="68" customFormat="1" ht="20.100000000000001" customHeight="1"/>
    <row r="11" spans="1:11" s="68" customFormat="1" ht="20.100000000000001" customHeight="1">
      <c r="A11" s="96"/>
      <c r="B11" s="96"/>
      <c r="C11" s="96"/>
      <c r="D11" s="96"/>
      <c r="E11" s="96"/>
      <c r="F11" s="96"/>
      <c r="G11" s="96"/>
      <c r="H11" s="769" t="s">
        <v>211</v>
      </c>
      <c r="I11" s="769"/>
      <c r="J11" s="769"/>
      <c r="K11" s="97"/>
    </row>
    <row r="12" spans="1:11" ht="43.5" customHeight="1">
      <c r="A12" s="71" t="s">
        <v>131</v>
      </c>
      <c r="B12" s="71" t="s">
        <v>134</v>
      </c>
      <c r="C12" s="71" t="s">
        <v>213</v>
      </c>
      <c r="D12" s="71" t="s">
        <v>210</v>
      </c>
      <c r="E12" s="71" t="s">
        <v>199</v>
      </c>
      <c r="F12" s="71" t="s">
        <v>200</v>
      </c>
      <c r="G12" s="71" t="s">
        <v>201</v>
      </c>
      <c r="H12" s="71" t="s">
        <v>202</v>
      </c>
      <c r="I12" s="71" t="s">
        <v>203</v>
      </c>
      <c r="J12" s="71" t="s">
        <v>205</v>
      </c>
      <c r="K12" s="98" t="s">
        <v>212</v>
      </c>
    </row>
    <row r="13" spans="1:11" ht="23.1" customHeight="1">
      <c r="A13" s="80"/>
      <c r="B13" s="80"/>
      <c r="C13" s="81"/>
      <c r="D13" s="82"/>
      <c r="E13" s="82" t="s">
        <v>142</v>
      </c>
      <c r="F13" s="82" t="s">
        <v>142</v>
      </c>
      <c r="G13" s="82" t="s">
        <v>142</v>
      </c>
      <c r="H13" s="82" t="s">
        <v>142</v>
      </c>
      <c r="I13" s="82"/>
      <c r="J13" s="82"/>
      <c r="K13" s="82"/>
    </row>
    <row r="14" spans="1:11" ht="23.1" customHeight="1">
      <c r="A14" s="221">
        <v>1</v>
      </c>
      <c r="B14" s="73"/>
      <c r="C14" s="225" t="s">
        <v>1618</v>
      </c>
      <c r="D14" s="95"/>
      <c r="E14" s="95"/>
      <c r="F14" s="95"/>
      <c r="G14" s="95"/>
      <c r="H14" s="95"/>
      <c r="I14" s="95"/>
      <c r="J14" s="95"/>
      <c r="K14" s="95"/>
    </row>
    <row r="15" spans="1:11" ht="18.95" customHeight="1">
      <c r="A15" s="221">
        <f>A14+1</f>
        <v>2</v>
      </c>
      <c r="B15" s="389">
        <v>121</v>
      </c>
      <c r="C15" s="68" t="s">
        <v>1593</v>
      </c>
      <c r="D15" s="226">
        <v>26876</v>
      </c>
      <c r="E15" s="392">
        <v>7073.06</v>
      </c>
      <c r="F15" s="392">
        <v>0</v>
      </c>
      <c r="G15" s="392">
        <f>E15-F15</f>
        <v>7073.06</v>
      </c>
      <c r="K15" s="147" t="s">
        <v>1580</v>
      </c>
    </row>
    <row r="16" spans="1:11" ht="18.95" customHeight="1">
      <c r="A16" s="221">
        <f t="shared" ref="A16:A40" si="0">A15+1</f>
        <v>3</v>
      </c>
      <c r="B16" s="389">
        <v>121</v>
      </c>
      <c r="C16" s="68" t="s">
        <v>1594</v>
      </c>
      <c r="D16" s="226">
        <v>21915</v>
      </c>
      <c r="E16" s="392">
        <v>2210.35</v>
      </c>
      <c r="F16" s="392">
        <v>0</v>
      </c>
      <c r="G16" s="392">
        <f t="shared" ref="G16:G39" si="1">E16-F16</f>
        <v>2210.35</v>
      </c>
      <c r="K16" s="147" t="s">
        <v>1580</v>
      </c>
    </row>
    <row r="17" spans="1:11" ht="18.95" customHeight="1">
      <c r="A17" s="221">
        <f t="shared" si="0"/>
        <v>4</v>
      </c>
      <c r="B17" s="389">
        <v>121</v>
      </c>
      <c r="C17" s="68" t="s">
        <v>1595</v>
      </c>
      <c r="D17" s="226">
        <v>33450</v>
      </c>
      <c r="E17" s="392">
        <v>29788.73</v>
      </c>
      <c r="F17" s="392">
        <v>0</v>
      </c>
      <c r="G17" s="392">
        <f t="shared" si="1"/>
        <v>29788.73</v>
      </c>
      <c r="K17" s="147" t="s">
        <v>1580</v>
      </c>
    </row>
    <row r="18" spans="1:11" ht="18.95" customHeight="1">
      <c r="A18" s="221">
        <f t="shared" si="0"/>
        <v>5</v>
      </c>
      <c r="B18" s="389">
        <v>121</v>
      </c>
      <c r="C18" s="68" t="s">
        <v>1596</v>
      </c>
      <c r="D18" s="226">
        <v>15341</v>
      </c>
      <c r="E18" s="392">
        <v>75</v>
      </c>
      <c r="F18" s="392">
        <v>0</v>
      </c>
      <c r="G18" s="392">
        <f t="shared" si="1"/>
        <v>75</v>
      </c>
      <c r="K18" s="147" t="s">
        <v>1580</v>
      </c>
    </row>
    <row r="19" spans="1:11" ht="18.95" customHeight="1">
      <c r="A19" s="221">
        <f t="shared" si="0"/>
        <v>6</v>
      </c>
      <c r="B19" s="389">
        <v>121</v>
      </c>
      <c r="C19" s="68" t="s">
        <v>1597</v>
      </c>
      <c r="D19" s="226">
        <v>15219</v>
      </c>
      <c r="E19" s="392">
        <v>500</v>
      </c>
      <c r="F19" s="392">
        <v>0</v>
      </c>
      <c r="G19" s="392">
        <f t="shared" si="1"/>
        <v>500</v>
      </c>
      <c r="K19" s="147" t="s">
        <v>1580</v>
      </c>
    </row>
    <row r="20" spans="1:11" ht="18.95" customHeight="1">
      <c r="A20" s="221">
        <f t="shared" si="0"/>
        <v>7</v>
      </c>
      <c r="B20" s="389">
        <v>121</v>
      </c>
      <c r="C20" s="68" t="s">
        <v>1598</v>
      </c>
      <c r="D20" s="226">
        <v>15035</v>
      </c>
      <c r="E20" s="392">
        <v>961.5</v>
      </c>
      <c r="F20" s="392">
        <v>0</v>
      </c>
      <c r="G20" s="392">
        <f t="shared" si="1"/>
        <v>961.5</v>
      </c>
      <c r="K20" s="147" t="s">
        <v>1580</v>
      </c>
    </row>
    <row r="21" spans="1:11" ht="18.95" customHeight="1">
      <c r="A21" s="221">
        <f t="shared" si="0"/>
        <v>8</v>
      </c>
      <c r="B21" s="389">
        <v>121</v>
      </c>
      <c r="C21" s="68" t="s">
        <v>1599</v>
      </c>
      <c r="D21" s="226">
        <v>19663</v>
      </c>
      <c r="E21" s="392">
        <v>212.25</v>
      </c>
      <c r="F21" s="392">
        <v>0</v>
      </c>
      <c r="G21" s="392">
        <f t="shared" si="1"/>
        <v>212.25</v>
      </c>
      <c r="K21" s="147" t="s">
        <v>1580</v>
      </c>
    </row>
    <row r="22" spans="1:11" ht="18.95" customHeight="1">
      <c r="A22" s="221">
        <f t="shared" si="0"/>
        <v>9</v>
      </c>
      <c r="B22" s="389">
        <v>121</v>
      </c>
      <c r="C22" s="68" t="s">
        <v>1600</v>
      </c>
      <c r="D22" s="226">
        <v>14884</v>
      </c>
      <c r="E22" s="392">
        <v>12950</v>
      </c>
      <c r="F22" s="392">
        <v>0</v>
      </c>
      <c r="G22" s="392">
        <f t="shared" si="1"/>
        <v>12950</v>
      </c>
      <c r="K22" s="147" t="s">
        <v>1580</v>
      </c>
    </row>
    <row r="23" spans="1:11" ht="18.95" customHeight="1">
      <c r="A23" s="221">
        <f t="shared" si="0"/>
        <v>10</v>
      </c>
      <c r="B23" s="389">
        <v>121</v>
      </c>
      <c r="C23" s="68" t="s">
        <v>1601</v>
      </c>
      <c r="D23" s="226">
        <v>24776</v>
      </c>
      <c r="E23" s="392">
        <v>79501.5</v>
      </c>
      <c r="F23" s="392">
        <v>0</v>
      </c>
      <c r="G23" s="392">
        <f t="shared" si="1"/>
        <v>79501.5</v>
      </c>
      <c r="K23" s="147" t="s">
        <v>1580</v>
      </c>
    </row>
    <row r="24" spans="1:11" ht="18.95" customHeight="1">
      <c r="A24" s="221">
        <f t="shared" si="0"/>
        <v>11</v>
      </c>
      <c r="B24" s="389">
        <v>121</v>
      </c>
      <c r="C24" s="68" t="s">
        <v>1602</v>
      </c>
      <c r="D24" s="226">
        <v>15341</v>
      </c>
      <c r="E24" s="392">
        <v>250</v>
      </c>
      <c r="F24" s="392">
        <v>0</v>
      </c>
      <c r="G24" s="392">
        <f t="shared" si="1"/>
        <v>250</v>
      </c>
      <c r="K24" s="147" t="s">
        <v>1580</v>
      </c>
    </row>
    <row r="25" spans="1:11" ht="18.95" customHeight="1">
      <c r="A25" s="221">
        <f t="shared" si="0"/>
        <v>12</v>
      </c>
      <c r="B25" s="389">
        <v>121</v>
      </c>
      <c r="C25" s="68" t="s">
        <v>1603</v>
      </c>
      <c r="D25" s="226">
        <v>18506</v>
      </c>
      <c r="E25" s="392">
        <v>429</v>
      </c>
      <c r="F25" s="392">
        <v>0</v>
      </c>
      <c r="G25" s="392">
        <f t="shared" si="1"/>
        <v>429</v>
      </c>
      <c r="K25" s="147" t="s">
        <v>1580</v>
      </c>
    </row>
    <row r="26" spans="1:11" ht="18.95" customHeight="1">
      <c r="A26" s="501">
        <f t="shared" si="0"/>
        <v>13</v>
      </c>
      <c r="B26" s="389">
        <v>121</v>
      </c>
      <c r="C26" s="68" t="s">
        <v>1604</v>
      </c>
      <c r="D26" s="226">
        <v>15341</v>
      </c>
      <c r="E26" s="392">
        <v>149.88999999999999</v>
      </c>
      <c r="F26" s="392">
        <v>0</v>
      </c>
      <c r="G26" s="392">
        <f t="shared" si="1"/>
        <v>149.88999999999999</v>
      </c>
      <c r="K26" s="147" t="s">
        <v>1580</v>
      </c>
    </row>
    <row r="27" spans="1:11" ht="18.95" customHeight="1">
      <c r="A27" s="501">
        <f t="shared" si="0"/>
        <v>14</v>
      </c>
      <c r="B27" s="389">
        <v>121</v>
      </c>
      <c r="C27" s="68" t="s">
        <v>1605</v>
      </c>
      <c r="D27" s="226">
        <v>15341</v>
      </c>
      <c r="E27" s="392">
        <v>850</v>
      </c>
      <c r="F27" s="392">
        <v>0</v>
      </c>
      <c r="G27" s="392">
        <f t="shared" si="1"/>
        <v>850</v>
      </c>
      <c r="K27" s="147" t="s">
        <v>1580</v>
      </c>
    </row>
    <row r="28" spans="1:11" ht="18.95" customHeight="1">
      <c r="A28" s="501">
        <f t="shared" si="0"/>
        <v>15</v>
      </c>
      <c r="B28" s="389">
        <v>121</v>
      </c>
      <c r="C28" s="68" t="s">
        <v>1606</v>
      </c>
      <c r="D28" s="226">
        <v>18171</v>
      </c>
      <c r="E28" s="392">
        <v>145.62</v>
      </c>
      <c r="F28" s="392">
        <v>0</v>
      </c>
      <c r="G28" s="392">
        <f t="shared" si="1"/>
        <v>145.62</v>
      </c>
      <c r="K28" s="147" t="s">
        <v>1580</v>
      </c>
    </row>
    <row r="29" spans="1:11" ht="18.95" customHeight="1">
      <c r="A29" s="501">
        <f t="shared" si="0"/>
        <v>16</v>
      </c>
      <c r="B29" s="389">
        <v>121</v>
      </c>
      <c r="C29" s="68" t="s">
        <v>1607</v>
      </c>
      <c r="D29" s="226">
        <v>15249</v>
      </c>
      <c r="E29" s="392">
        <v>3590.58</v>
      </c>
      <c r="F29" s="392">
        <v>0</v>
      </c>
      <c r="G29" s="392">
        <f t="shared" si="1"/>
        <v>3590.58</v>
      </c>
      <c r="K29" s="147" t="s">
        <v>1580</v>
      </c>
    </row>
    <row r="30" spans="1:11" ht="18.95" customHeight="1">
      <c r="A30" s="501">
        <f t="shared" si="0"/>
        <v>17</v>
      </c>
      <c r="B30" s="389">
        <v>121</v>
      </c>
      <c r="C30" s="68" t="s">
        <v>1608</v>
      </c>
      <c r="D30" s="226">
        <v>33116</v>
      </c>
      <c r="E30" s="392">
        <v>192.5</v>
      </c>
      <c r="F30" s="392">
        <v>0</v>
      </c>
      <c r="G30" s="392">
        <f t="shared" si="1"/>
        <v>192.5</v>
      </c>
      <c r="K30" s="147" t="s">
        <v>1580</v>
      </c>
    </row>
    <row r="31" spans="1:11" ht="18.95" customHeight="1">
      <c r="A31" s="501">
        <f t="shared" si="0"/>
        <v>18</v>
      </c>
      <c r="B31" s="389">
        <v>121</v>
      </c>
      <c r="C31" s="68" t="s">
        <v>1609</v>
      </c>
      <c r="D31" s="226">
        <v>36191</v>
      </c>
      <c r="E31" s="392">
        <v>3402.5</v>
      </c>
      <c r="F31" s="392">
        <v>0</v>
      </c>
      <c r="G31" s="392">
        <f t="shared" si="1"/>
        <v>3402.5</v>
      </c>
      <c r="K31" s="147" t="s">
        <v>1580</v>
      </c>
    </row>
    <row r="32" spans="1:11" ht="18.95" customHeight="1">
      <c r="A32" s="501">
        <f t="shared" si="0"/>
        <v>19</v>
      </c>
      <c r="B32" s="389">
        <v>121</v>
      </c>
      <c r="C32" s="68" t="s">
        <v>1610</v>
      </c>
      <c r="D32" s="226">
        <v>21397</v>
      </c>
      <c r="E32" s="392">
        <v>160</v>
      </c>
      <c r="F32" s="392">
        <v>0</v>
      </c>
      <c r="G32" s="392">
        <f t="shared" si="1"/>
        <v>160</v>
      </c>
      <c r="K32" s="147" t="s">
        <v>1580</v>
      </c>
    </row>
    <row r="33" spans="1:11" ht="18.95" customHeight="1">
      <c r="A33" s="501">
        <f t="shared" si="0"/>
        <v>20</v>
      </c>
      <c r="B33" s="389">
        <v>121</v>
      </c>
      <c r="C33" s="68" t="s">
        <v>1611</v>
      </c>
      <c r="D33" s="226">
        <v>15341</v>
      </c>
      <c r="E33" s="392">
        <v>73</v>
      </c>
      <c r="F33" s="392">
        <v>0</v>
      </c>
      <c r="G33" s="392">
        <f t="shared" si="1"/>
        <v>73</v>
      </c>
      <c r="K33" s="147" t="s">
        <v>1580</v>
      </c>
    </row>
    <row r="34" spans="1:11" ht="18.95" customHeight="1">
      <c r="A34" s="501">
        <f t="shared" si="0"/>
        <v>21</v>
      </c>
      <c r="B34" s="389">
        <v>121</v>
      </c>
      <c r="C34" s="68" t="s">
        <v>1612</v>
      </c>
      <c r="D34" s="226">
        <v>15341</v>
      </c>
      <c r="E34" s="392">
        <v>59.8</v>
      </c>
      <c r="F34" s="392">
        <v>0</v>
      </c>
      <c r="G34" s="392">
        <f t="shared" si="1"/>
        <v>59.8</v>
      </c>
      <c r="K34" s="147" t="s">
        <v>1580</v>
      </c>
    </row>
    <row r="35" spans="1:11" ht="18.95" customHeight="1">
      <c r="A35" s="501">
        <f t="shared" si="0"/>
        <v>22</v>
      </c>
      <c r="B35" s="389">
        <v>121</v>
      </c>
      <c r="C35" s="68" t="s">
        <v>1613</v>
      </c>
      <c r="D35" s="226">
        <v>31351</v>
      </c>
      <c r="E35" s="392">
        <v>28294.17</v>
      </c>
      <c r="F35" s="392">
        <v>0</v>
      </c>
      <c r="G35" s="392">
        <f t="shared" si="1"/>
        <v>28294.17</v>
      </c>
      <c r="K35" s="147" t="s">
        <v>1580</v>
      </c>
    </row>
    <row r="36" spans="1:11" ht="18.95" customHeight="1">
      <c r="A36" s="501">
        <f t="shared" si="0"/>
        <v>23</v>
      </c>
      <c r="B36" s="389">
        <v>121</v>
      </c>
      <c r="C36" s="68" t="s">
        <v>1614</v>
      </c>
      <c r="D36" s="226">
        <v>15035</v>
      </c>
      <c r="E36" s="392">
        <v>800</v>
      </c>
      <c r="F36" s="392">
        <v>0</v>
      </c>
      <c r="G36" s="392">
        <f t="shared" si="1"/>
        <v>800</v>
      </c>
      <c r="K36" s="147" t="s">
        <v>1580</v>
      </c>
    </row>
    <row r="37" spans="1:11" ht="18.95" customHeight="1">
      <c r="A37" s="501">
        <f t="shared" si="0"/>
        <v>24</v>
      </c>
      <c r="B37" s="389">
        <v>121</v>
      </c>
      <c r="C37" s="68" t="s">
        <v>1615</v>
      </c>
      <c r="D37" s="226">
        <v>15096</v>
      </c>
      <c r="E37" s="392">
        <v>86.96</v>
      </c>
      <c r="F37" s="392">
        <v>0</v>
      </c>
      <c r="G37" s="392">
        <f t="shared" si="1"/>
        <v>86.96</v>
      </c>
      <c r="K37" s="147" t="s">
        <v>1580</v>
      </c>
    </row>
    <row r="38" spans="1:11" ht="18.95" customHeight="1">
      <c r="A38" s="501">
        <f t="shared" si="0"/>
        <v>25</v>
      </c>
      <c r="B38" s="389">
        <v>121</v>
      </c>
      <c r="C38" s="68" t="s">
        <v>1616</v>
      </c>
      <c r="D38" s="226">
        <v>18506</v>
      </c>
      <c r="E38" s="392">
        <v>2857.48</v>
      </c>
      <c r="F38" s="392">
        <v>0</v>
      </c>
      <c r="G38" s="392">
        <f t="shared" si="1"/>
        <v>2857.48</v>
      </c>
      <c r="K38" s="147" t="s">
        <v>1580</v>
      </c>
    </row>
    <row r="39" spans="1:11" ht="18.95" customHeight="1">
      <c r="A39" s="501">
        <f t="shared" si="0"/>
        <v>26</v>
      </c>
      <c r="B39" s="389">
        <v>121</v>
      </c>
      <c r="C39" s="68" t="s">
        <v>1617</v>
      </c>
      <c r="D39" s="226">
        <v>21915</v>
      </c>
      <c r="E39" s="393">
        <v>4100</v>
      </c>
      <c r="F39" s="393">
        <v>0</v>
      </c>
      <c r="G39" s="393">
        <f t="shared" si="1"/>
        <v>4100</v>
      </c>
      <c r="H39" s="227"/>
      <c r="K39" s="147" t="s">
        <v>1580</v>
      </c>
    </row>
    <row r="40" spans="1:11" ht="18.95" customHeight="1" thickBot="1">
      <c r="A40" s="501">
        <f t="shared" si="0"/>
        <v>27</v>
      </c>
      <c r="B40" s="71"/>
      <c r="C40" s="68" t="s">
        <v>234</v>
      </c>
      <c r="D40" s="226"/>
      <c r="E40" s="391">
        <f>SUM(E15:E39)</f>
        <v>178713.89</v>
      </c>
      <c r="F40" s="391">
        <v>0</v>
      </c>
      <c r="G40" s="391">
        <f t="shared" ref="G40" si="2">E40-F40</f>
        <v>178713.89</v>
      </c>
      <c r="H40" s="391">
        <f>SUM(H15:H39)</f>
        <v>0</v>
      </c>
      <c r="K40" s="147" t="s">
        <v>1580</v>
      </c>
    </row>
    <row r="41" spans="1:11" ht="18.95" customHeight="1" thickTop="1">
      <c r="B41" s="71"/>
      <c r="C41" s="68"/>
      <c r="E41" s="86"/>
      <c r="K41" s="147"/>
    </row>
    <row r="42" spans="1:11" s="68" customFormat="1" ht="20.100000000000001" customHeight="1">
      <c r="A42" s="767" t="str">
        <f>$A$1</f>
        <v>KENTUCKY UTILITIES COMPANY</v>
      </c>
      <c r="B42" s="767"/>
      <c r="C42" s="767"/>
      <c r="D42" s="767"/>
      <c r="E42" s="767"/>
      <c r="F42" s="767"/>
      <c r="G42" s="767"/>
      <c r="H42" s="767"/>
      <c r="I42" s="767"/>
      <c r="J42" s="767"/>
      <c r="K42" s="767"/>
    </row>
    <row r="43" spans="1:11" s="68" customFormat="1" ht="20.100000000000001" customHeight="1">
      <c r="A43" s="767" t="str">
        <f>$A$2</f>
        <v>CASE NO. 2018-00294</v>
      </c>
      <c r="B43" s="767"/>
      <c r="C43" s="767"/>
      <c r="D43" s="767"/>
      <c r="E43" s="767"/>
      <c r="F43" s="767"/>
      <c r="G43" s="767"/>
      <c r="H43" s="767"/>
      <c r="I43" s="767"/>
      <c r="J43" s="767"/>
      <c r="K43" s="767"/>
    </row>
    <row r="44" spans="1:11" s="68" customFormat="1" ht="20.100000000000001" customHeight="1">
      <c r="A44" s="767" t="str">
        <f>$A$3</f>
        <v>PROPERTY EXCLUDED FROM RATE BASE</v>
      </c>
      <c r="B44" s="767"/>
      <c r="C44" s="767"/>
      <c r="D44" s="767"/>
      <c r="E44" s="767"/>
      <c r="F44" s="767"/>
      <c r="G44" s="767"/>
      <c r="H44" s="767"/>
      <c r="I44" s="767"/>
      <c r="J44" s="767"/>
      <c r="K44" s="767"/>
    </row>
    <row r="45" spans="1:11" s="68" customFormat="1" ht="20.100000000000001" customHeight="1">
      <c r="A45" s="767" t="str">
        <f>$A$4</f>
        <v>(FOR REASONS OTHER THAN JURISDICTIONAL ALLOCATION)</v>
      </c>
      <c r="B45" s="767"/>
      <c r="C45" s="767"/>
      <c r="D45" s="767"/>
      <c r="E45" s="767"/>
      <c r="F45" s="767"/>
      <c r="G45" s="767"/>
      <c r="H45" s="767"/>
      <c r="I45" s="767"/>
      <c r="J45" s="767"/>
      <c r="K45" s="767"/>
    </row>
    <row r="46" spans="1:11" s="68" customFormat="1" ht="20.100000000000001" customHeight="1">
      <c r="A46" s="767" t="str">
        <f>'Rate Case Constants'!C18</f>
        <v>AS OF APRIL 30, 2020</v>
      </c>
      <c r="B46" s="767"/>
      <c r="C46" s="767"/>
      <c r="D46" s="767"/>
      <c r="E46" s="767"/>
      <c r="F46" s="767"/>
      <c r="G46" s="767"/>
      <c r="H46" s="767"/>
      <c r="I46" s="767"/>
      <c r="J46" s="767"/>
      <c r="K46" s="767"/>
    </row>
    <row r="47" spans="1:11" s="68" customFormat="1" ht="20.100000000000001" customHeight="1">
      <c r="A47" s="84"/>
      <c r="B47" s="84"/>
      <c r="C47" s="84"/>
      <c r="D47" s="84"/>
      <c r="E47" s="84"/>
      <c r="F47" s="84"/>
      <c r="G47" s="84"/>
      <c r="H47" s="84"/>
      <c r="I47" s="84"/>
      <c r="J47" s="84"/>
      <c r="K47" s="84"/>
    </row>
    <row r="48" spans="1:11" s="68" customFormat="1" ht="20.100000000000001" customHeight="1">
      <c r="A48" s="67" t="s">
        <v>161</v>
      </c>
      <c r="B48" s="67"/>
      <c r="H48" s="74"/>
      <c r="I48" s="74"/>
      <c r="J48" s="74"/>
      <c r="K48" s="74" t="s">
        <v>207</v>
      </c>
    </row>
    <row r="49" spans="1:11" s="68" customFormat="1" ht="20.100000000000001" customHeight="1">
      <c r="A49" s="67" t="str">
        <f>$A$8</f>
        <v>TYPE OF FILING: __X__ ORIGINAL  _____ UPDATED  _____ REVISED</v>
      </c>
      <c r="H49" s="74"/>
      <c r="I49" s="74"/>
      <c r="J49" s="74"/>
      <c r="K49" s="74" t="s">
        <v>185</v>
      </c>
    </row>
    <row r="50" spans="1:11" s="68" customFormat="1" ht="20.100000000000001" customHeight="1">
      <c r="A50" s="67" t="str">
        <f>$A$9</f>
        <v>WORKPAPER REFERENCE NO(S).:</v>
      </c>
      <c r="B50" s="67"/>
      <c r="G50" s="67"/>
      <c r="H50" s="75"/>
      <c r="I50" s="75"/>
      <c r="J50" s="75"/>
      <c r="K50" s="75" t="str">
        <f>$K$9</f>
        <v>WITNESS:   C. M. GARRETT</v>
      </c>
    </row>
    <row r="51" spans="1:11" s="68" customFormat="1" ht="20.100000000000001" customHeight="1"/>
    <row r="52" spans="1:11" s="68" customFormat="1" ht="20.100000000000001" customHeight="1">
      <c r="A52" s="96"/>
      <c r="B52" s="96"/>
      <c r="C52" s="96"/>
      <c r="D52" s="96"/>
      <c r="E52" s="96"/>
      <c r="F52" s="96"/>
      <c r="G52" s="96"/>
      <c r="H52" s="769" t="s">
        <v>211</v>
      </c>
      <c r="I52" s="769"/>
      <c r="J52" s="769"/>
      <c r="K52" s="97"/>
    </row>
    <row r="53" spans="1:11" ht="43.5" customHeight="1">
      <c r="A53" s="71" t="s">
        <v>131</v>
      </c>
      <c r="B53" s="71" t="s">
        <v>134</v>
      </c>
      <c r="C53" s="71" t="s">
        <v>213</v>
      </c>
      <c r="D53" s="71" t="s">
        <v>210</v>
      </c>
      <c r="E53" s="71" t="s">
        <v>199</v>
      </c>
      <c r="F53" s="71" t="s">
        <v>200</v>
      </c>
      <c r="G53" s="71" t="s">
        <v>201</v>
      </c>
      <c r="H53" s="71" t="s">
        <v>202</v>
      </c>
      <c r="I53" s="71" t="s">
        <v>203</v>
      </c>
      <c r="J53" s="71" t="s">
        <v>205</v>
      </c>
      <c r="K53" s="98" t="s">
        <v>212</v>
      </c>
    </row>
    <row r="54" spans="1:11" ht="23.1" customHeight="1">
      <c r="A54" s="80"/>
      <c r="B54" s="80"/>
      <c r="C54" s="81"/>
      <c r="D54" s="82"/>
      <c r="E54" s="82" t="s">
        <v>142</v>
      </c>
      <c r="F54" s="82" t="s">
        <v>142</v>
      </c>
      <c r="G54" s="82" t="s">
        <v>142</v>
      </c>
      <c r="H54" s="82" t="s">
        <v>142</v>
      </c>
      <c r="I54" s="82"/>
      <c r="J54" s="82"/>
      <c r="K54" s="82"/>
    </row>
    <row r="55" spans="1:11" ht="23.1" customHeight="1">
      <c r="A55" s="221">
        <v>1</v>
      </c>
      <c r="B55" s="73"/>
      <c r="C55" s="225" t="s">
        <v>1618</v>
      </c>
      <c r="D55" s="95"/>
      <c r="E55" s="95"/>
      <c r="F55" s="95"/>
      <c r="G55" s="95"/>
      <c r="H55" s="95"/>
      <c r="I55" s="95"/>
      <c r="J55" s="95"/>
      <c r="K55" s="95"/>
    </row>
    <row r="56" spans="1:11" ht="18.95" customHeight="1">
      <c r="A56" s="221">
        <f>A55+1</f>
        <v>2</v>
      </c>
      <c r="B56" s="389">
        <v>121</v>
      </c>
      <c r="C56" s="68" t="s">
        <v>1593</v>
      </c>
      <c r="D56" s="226">
        <v>26876</v>
      </c>
      <c r="E56" s="392">
        <v>7073.06</v>
      </c>
      <c r="F56" s="392">
        <v>0</v>
      </c>
      <c r="G56" s="392">
        <f>E56-F56</f>
        <v>7073.06</v>
      </c>
      <c r="K56" s="147" t="s">
        <v>1580</v>
      </c>
    </row>
    <row r="57" spans="1:11" ht="18.95" customHeight="1">
      <c r="A57" s="221">
        <f t="shared" ref="A57:A81" si="3">A56+1</f>
        <v>3</v>
      </c>
      <c r="B57" s="389">
        <v>121</v>
      </c>
      <c r="C57" s="68" t="s">
        <v>1594</v>
      </c>
      <c r="D57" s="226">
        <v>21915</v>
      </c>
      <c r="E57" s="392">
        <v>2210.35</v>
      </c>
      <c r="F57" s="392">
        <v>0</v>
      </c>
      <c r="G57" s="392">
        <f t="shared" ref="G57:G81" si="4">E57-F57</f>
        <v>2210.35</v>
      </c>
      <c r="K57" s="147" t="s">
        <v>1580</v>
      </c>
    </row>
    <row r="58" spans="1:11" ht="18.95" customHeight="1">
      <c r="A58" s="221">
        <f t="shared" si="3"/>
        <v>4</v>
      </c>
      <c r="B58" s="389">
        <v>121</v>
      </c>
      <c r="C58" s="68" t="s">
        <v>1595</v>
      </c>
      <c r="D58" s="226">
        <v>33450</v>
      </c>
      <c r="E58" s="392">
        <v>29788.73</v>
      </c>
      <c r="F58" s="392">
        <v>0</v>
      </c>
      <c r="G58" s="392">
        <f t="shared" si="4"/>
        <v>29788.73</v>
      </c>
      <c r="K58" s="147" t="s">
        <v>1580</v>
      </c>
    </row>
    <row r="59" spans="1:11" ht="18.95" customHeight="1">
      <c r="A59" s="221">
        <f t="shared" si="3"/>
        <v>5</v>
      </c>
      <c r="B59" s="389">
        <v>121</v>
      </c>
      <c r="C59" s="68" t="s">
        <v>1596</v>
      </c>
      <c r="D59" s="226">
        <v>15341</v>
      </c>
      <c r="E59" s="392">
        <v>75</v>
      </c>
      <c r="F59" s="392">
        <v>0</v>
      </c>
      <c r="G59" s="392">
        <f t="shared" si="4"/>
        <v>75</v>
      </c>
      <c r="K59" s="147" t="s">
        <v>1580</v>
      </c>
    </row>
    <row r="60" spans="1:11" ht="18.95" customHeight="1">
      <c r="A60" s="221">
        <f t="shared" si="3"/>
        <v>6</v>
      </c>
      <c r="B60" s="389">
        <v>121</v>
      </c>
      <c r="C60" s="68" t="s">
        <v>1597</v>
      </c>
      <c r="D60" s="226">
        <v>15219</v>
      </c>
      <c r="E60" s="392">
        <v>500</v>
      </c>
      <c r="F60" s="392">
        <v>0</v>
      </c>
      <c r="G60" s="392">
        <f t="shared" si="4"/>
        <v>500</v>
      </c>
      <c r="K60" s="147" t="s">
        <v>1580</v>
      </c>
    </row>
    <row r="61" spans="1:11" ht="18.95" customHeight="1">
      <c r="A61" s="221">
        <f t="shared" si="3"/>
        <v>7</v>
      </c>
      <c r="B61" s="389">
        <v>121</v>
      </c>
      <c r="C61" s="68" t="s">
        <v>1598</v>
      </c>
      <c r="D61" s="226">
        <v>15035</v>
      </c>
      <c r="E61" s="392">
        <v>961.5</v>
      </c>
      <c r="F61" s="392">
        <v>0</v>
      </c>
      <c r="G61" s="392">
        <f t="shared" si="4"/>
        <v>961.5</v>
      </c>
      <c r="K61" s="147" t="s">
        <v>1580</v>
      </c>
    </row>
    <row r="62" spans="1:11" ht="18.95" customHeight="1">
      <c r="A62" s="221">
        <f t="shared" si="3"/>
        <v>8</v>
      </c>
      <c r="B62" s="389">
        <v>121</v>
      </c>
      <c r="C62" s="68" t="s">
        <v>1599</v>
      </c>
      <c r="D62" s="226">
        <v>19663</v>
      </c>
      <c r="E62" s="392">
        <v>212.25</v>
      </c>
      <c r="F62" s="392">
        <v>0</v>
      </c>
      <c r="G62" s="392">
        <f t="shared" si="4"/>
        <v>212.25</v>
      </c>
      <c r="K62" s="147" t="s">
        <v>1580</v>
      </c>
    </row>
    <row r="63" spans="1:11" ht="18.95" customHeight="1">
      <c r="A63" s="221">
        <f t="shared" si="3"/>
        <v>9</v>
      </c>
      <c r="B63" s="389">
        <v>121</v>
      </c>
      <c r="C63" s="68" t="s">
        <v>1600</v>
      </c>
      <c r="D63" s="226">
        <v>14884</v>
      </c>
      <c r="E63" s="392">
        <v>12950</v>
      </c>
      <c r="F63" s="392">
        <v>0</v>
      </c>
      <c r="G63" s="392">
        <f t="shared" si="4"/>
        <v>12950</v>
      </c>
      <c r="K63" s="147" t="s">
        <v>1580</v>
      </c>
    </row>
    <row r="64" spans="1:11" ht="18.95" customHeight="1">
      <c r="A64" s="221">
        <f t="shared" si="3"/>
        <v>10</v>
      </c>
      <c r="B64" s="389">
        <v>121</v>
      </c>
      <c r="C64" s="68" t="s">
        <v>1601</v>
      </c>
      <c r="D64" s="226">
        <v>24776</v>
      </c>
      <c r="E64" s="392">
        <v>79501.5</v>
      </c>
      <c r="F64" s="392">
        <v>0</v>
      </c>
      <c r="G64" s="392">
        <f t="shared" si="4"/>
        <v>79501.5</v>
      </c>
      <c r="K64" s="147" t="s">
        <v>1580</v>
      </c>
    </row>
    <row r="65" spans="1:11" ht="18.95" customHeight="1">
      <c r="A65" s="221">
        <f t="shared" si="3"/>
        <v>11</v>
      </c>
      <c r="B65" s="389">
        <v>121</v>
      </c>
      <c r="C65" s="68" t="s">
        <v>1602</v>
      </c>
      <c r="D65" s="226">
        <v>15341</v>
      </c>
      <c r="E65" s="392">
        <v>250</v>
      </c>
      <c r="F65" s="392">
        <v>0</v>
      </c>
      <c r="G65" s="392">
        <f t="shared" si="4"/>
        <v>250</v>
      </c>
      <c r="K65" s="147" t="s">
        <v>1580</v>
      </c>
    </row>
    <row r="66" spans="1:11" ht="18.95" customHeight="1">
      <c r="A66" s="501">
        <f t="shared" si="3"/>
        <v>12</v>
      </c>
      <c r="B66" s="389">
        <v>121</v>
      </c>
      <c r="C66" s="68" t="s">
        <v>1603</v>
      </c>
      <c r="D66" s="226">
        <v>18506</v>
      </c>
      <c r="E66" s="392">
        <v>429</v>
      </c>
      <c r="F66" s="392">
        <v>0</v>
      </c>
      <c r="G66" s="392">
        <f t="shared" si="4"/>
        <v>429</v>
      </c>
      <c r="K66" s="147" t="s">
        <v>1580</v>
      </c>
    </row>
    <row r="67" spans="1:11" ht="18.95" customHeight="1">
      <c r="A67" s="501">
        <f t="shared" si="3"/>
        <v>13</v>
      </c>
      <c r="B67" s="389">
        <v>121</v>
      </c>
      <c r="C67" s="68" t="s">
        <v>1604</v>
      </c>
      <c r="D67" s="226">
        <v>15341</v>
      </c>
      <c r="E67" s="392">
        <v>149.88999999999999</v>
      </c>
      <c r="F67" s="392">
        <v>0</v>
      </c>
      <c r="G67" s="392">
        <f t="shared" si="4"/>
        <v>149.88999999999999</v>
      </c>
      <c r="K67" s="147" t="s">
        <v>1580</v>
      </c>
    </row>
    <row r="68" spans="1:11" ht="18.95" customHeight="1">
      <c r="A68" s="501">
        <f t="shared" si="3"/>
        <v>14</v>
      </c>
      <c r="B68" s="389">
        <v>121</v>
      </c>
      <c r="C68" s="68" t="s">
        <v>1605</v>
      </c>
      <c r="D68" s="226">
        <v>15341</v>
      </c>
      <c r="E68" s="392">
        <v>850</v>
      </c>
      <c r="F68" s="392">
        <v>0</v>
      </c>
      <c r="G68" s="392">
        <f t="shared" si="4"/>
        <v>850</v>
      </c>
      <c r="K68" s="147" t="s">
        <v>1580</v>
      </c>
    </row>
    <row r="69" spans="1:11" ht="18.95" customHeight="1">
      <c r="A69" s="501">
        <f t="shared" si="3"/>
        <v>15</v>
      </c>
      <c r="B69" s="389">
        <v>121</v>
      </c>
      <c r="C69" s="68" t="s">
        <v>1606</v>
      </c>
      <c r="D69" s="226">
        <v>18171</v>
      </c>
      <c r="E69" s="392">
        <v>145.62</v>
      </c>
      <c r="F69" s="392">
        <v>0</v>
      </c>
      <c r="G69" s="392">
        <f t="shared" si="4"/>
        <v>145.62</v>
      </c>
      <c r="K69" s="147" t="s">
        <v>1580</v>
      </c>
    </row>
    <row r="70" spans="1:11" ht="18.95" customHeight="1">
      <c r="A70" s="501">
        <f t="shared" si="3"/>
        <v>16</v>
      </c>
      <c r="B70" s="389">
        <v>121</v>
      </c>
      <c r="C70" s="68" t="s">
        <v>1607</v>
      </c>
      <c r="D70" s="226">
        <v>15249</v>
      </c>
      <c r="E70" s="392">
        <v>3590.58</v>
      </c>
      <c r="F70" s="392">
        <v>0</v>
      </c>
      <c r="G70" s="392">
        <f t="shared" si="4"/>
        <v>3590.58</v>
      </c>
      <c r="K70" s="147" t="s">
        <v>1580</v>
      </c>
    </row>
    <row r="71" spans="1:11" ht="18.95" customHeight="1">
      <c r="A71" s="501">
        <f t="shared" si="3"/>
        <v>17</v>
      </c>
      <c r="B71" s="389">
        <v>121</v>
      </c>
      <c r="C71" s="68" t="s">
        <v>1608</v>
      </c>
      <c r="D71" s="226">
        <v>33116</v>
      </c>
      <c r="E71" s="392">
        <v>192.5</v>
      </c>
      <c r="F71" s="392">
        <v>0</v>
      </c>
      <c r="G71" s="392">
        <f t="shared" si="4"/>
        <v>192.5</v>
      </c>
      <c r="K71" s="147" t="s">
        <v>1580</v>
      </c>
    </row>
    <row r="72" spans="1:11" ht="18.95" customHeight="1">
      <c r="A72" s="221">
        <f t="shared" si="3"/>
        <v>18</v>
      </c>
      <c r="B72" s="389">
        <v>121</v>
      </c>
      <c r="C72" s="68" t="s">
        <v>1609</v>
      </c>
      <c r="D72" s="226">
        <v>36191</v>
      </c>
      <c r="E72" s="392">
        <v>3402.5</v>
      </c>
      <c r="F72" s="392">
        <v>0</v>
      </c>
      <c r="G72" s="392">
        <f t="shared" si="4"/>
        <v>3402.5</v>
      </c>
      <c r="K72" s="147" t="s">
        <v>1580</v>
      </c>
    </row>
    <row r="73" spans="1:11" ht="18.95" customHeight="1">
      <c r="A73" s="221">
        <f t="shared" si="3"/>
        <v>19</v>
      </c>
      <c r="B73" s="389">
        <v>121</v>
      </c>
      <c r="C73" s="68" t="s">
        <v>1610</v>
      </c>
      <c r="D73" s="226">
        <v>21397</v>
      </c>
      <c r="E73" s="392">
        <v>160</v>
      </c>
      <c r="F73" s="392">
        <v>0</v>
      </c>
      <c r="G73" s="392">
        <f t="shared" si="4"/>
        <v>160</v>
      </c>
      <c r="K73" s="147" t="s">
        <v>1580</v>
      </c>
    </row>
    <row r="74" spans="1:11" ht="18.95" customHeight="1">
      <c r="A74" s="221">
        <f t="shared" si="3"/>
        <v>20</v>
      </c>
      <c r="B74" s="389">
        <v>121</v>
      </c>
      <c r="C74" s="68" t="s">
        <v>1611</v>
      </c>
      <c r="D74" s="226">
        <v>15341</v>
      </c>
      <c r="E74" s="392">
        <v>73</v>
      </c>
      <c r="F74" s="392">
        <v>0</v>
      </c>
      <c r="G74" s="392">
        <f t="shared" si="4"/>
        <v>73</v>
      </c>
      <c r="K74" s="147" t="s">
        <v>1580</v>
      </c>
    </row>
    <row r="75" spans="1:11" ht="18.95" customHeight="1">
      <c r="A75" s="221">
        <f t="shared" si="3"/>
        <v>21</v>
      </c>
      <c r="B75" s="389">
        <v>121</v>
      </c>
      <c r="C75" s="68" t="s">
        <v>1612</v>
      </c>
      <c r="D75" s="226">
        <v>15341</v>
      </c>
      <c r="E75" s="392">
        <v>59.8</v>
      </c>
      <c r="F75" s="392">
        <v>0</v>
      </c>
      <c r="G75" s="392">
        <f t="shared" si="4"/>
        <v>59.8</v>
      </c>
      <c r="K75" s="147" t="s">
        <v>1580</v>
      </c>
    </row>
    <row r="76" spans="1:11" ht="18.95" customHeight="1">
      <c r="A76" s="221">
        <f t="shared" si="3"/>
        <v>22</v>
      </c>
      <c r="B76" s="389">
        <v>121</v>
      </c>
      <c r="C76" s="68" t="s">
        <v>1613</v>
      </c>
      <c r="D76" s="226">
        <v>31351</v>
      </c>
      <c r="E76" s="392">
        <v>28294.17</v>
      </c>
      <c r="F76" s="392">
        <v>0</v>
      </c>
      <c r="G76" s="392">
        <f t="shared" si="4"/>
        <v>28294.17</v>
      </c>
      <c r="K76" s="147" t="s">
        <v>1580</v>
      </c>
    </row>
    <row r="77" spans="1:11" ht="18.95" customHeight="1">
      <c r="A77" s="221">
        <f t="shared" si="3"/>
        <v>23</v>
      </c>
      <c r="B77" s="389">
        <v>121</v>
      </c>
      <c r="C77" s="68" t="s">
        <v>1614</v>
      </c>
      <c r="D77" s="226">
        <v>15035</v>
      </c>
      <c r="E77" s="392">
        <v>800</v>
      </c>
      <c r="F77" s="392">
        <v>0</v>
      </c>
      <c r="G77" s="392">
        <f t="shared" si="4"/>
        <v>800</v>
      </c>
      <c r="K77" s="147" t="s">
        <v>1580</v>
      </c>
    </row>
    <row r="78" spans="1:11" ht="18.95" customHeight="1">
      <c r="A78" s="221">
        <f t="shared" si="3"/>
        <v>24</v>
      </c>
      <c r="B78" s="389">
        <v>121</v>
      </c>
      <c r="C78" s="68" t="s">
        <v>1615</v>
      </c>
      <c r="D78" s="226">
        <v>15096</v>
      </c>
      <c r="E78" s="392">
        <v>86.96</v>
      </c>
      <c r="F78" s="392">
        <v>0</v>
      </c>
      <c r="G78" s="392">
        <f t="shared" si="4"/>
        <v>86.96</v>
      </c>
      <c r="K78" s="147" t="s">
        <v>1580</v>
      </c>
    </row>
    <row r="79" spans="1:11" ht="18.95" customHeight="1">
      <c r="A79" s="221">
        <f t="shared" si="3"/>
        <v>25</v>
      </c>
      <c r="B79" s="389">
        <v>121</v>
      </c>
      <c r="C79" s="68" t="s">
        <v>1616</v>
      </c>
      <c r="D79" s="226">
        <v>18506</v>
      </c>
      <c r="E79" s="392">
        <v>2857.48</v>
      </c>
      <c r="F79" s="392">
        <v>0</v>
      </c>
      <c r="G79" s="392">
        <f t="shared" si="4"/>
        <v>2857.48</v>
      </c>
      <c r="K79" s="147" t="s">
        <v>1580</v>
      </c>
    </row>
    <row r="80" spans="1:11" ht="18.95" customHeight="1">
      <c r="A80" s="221">
        <f t="shared" si="3"/>
        <v>26</v>
      </c>
      <c r="B80" s="389">
        <v>121</v>
      </c>
      <c r="C80" s="68" t="s">
        <v>1617</v>
      </c>
      <c r="D80" s="226">
        <v>21915</v>
      </c>
      <c r="E80" s="393">
        <v>4100</v>
      </c>
      <c r="F80" s="393">
        <v>0</v>
      </c>
      <c r="G80" s="393">
        <f t="shared" si="4"/>
        <v>4100</v>
      </c>
      <c r="H80" s="227"/>
      <c r="K80" s="147" t="s">
        <v>1580</v>
      </c>
    </row>
    <row r="81" spans="1:11" ht="18.95" customHeight="1" thickBot="1">
      <c r="A81" s="221">
        <f t="shared" si="3"/>
        <v>27</v>
      </c>
      <c r="B81" s="71"/>
      <c r="C81" s="68" t="s">
        <v>234</v>
      </c>
      <c r="D81" s="226"/>
      <c r="E81" s="391">
        <f>SUM(E56:E80)</f>
        <v>178713.89</v>
      </c>
      <c r="F81" s="391">
        <v>0</v>
      </c>
      <c r="G81" s="391">
        <f t="shared" si="4"/>
        <v>178713.89</v>
      </c>
      <c r="H81" s="391">
        <f>SUM(H56:H80)</f>
        <v>0</v>
      </c>
      <c r="K81" s="147" t="s">
        <v>1580</v>
      </c>
    </row>
    <row r="82" spans="1:11" ht="18.95" customHeight="1" thickTop="1">
      <c r="B82" s="71"/>
      <c r="C82" s="78"/>
    </row>
    <row r="83" spans="1:11" ht="18.95" customHeight="1">
      <c r="B83" s="71"/>
    </row>
    <row r="84" spans="1:11" ht="18.95" customHeight="1">
      <c r="D84" s="69" t="s">
        <v>160</v>
      </c>
      <c r="E84" s="69" t="s">
        <v>160</v>
      </c>
    </row>
    <row r="85" spans="1:11" ht="18.95" customHeight="1"/>
    <row r="86" spans="1:11" ht="18.95" customHeight="1"/>
    <row r="87" spans="1:11" ht="18.95" customHeight="1"/>
    <row r="88" spans="1:11" ht="18.95" customHeight="1"/>
    <row r="89" spans="1:11" ht="18.95" customHeight="1"/>
    <row r="90" spans="1:11" ht="18.95" customHeight="1"/>
    <row r="91" spans="1:11" ht="18.95" customHeight="1"/>
    <row r="92" spans="1:11" ht="18.95" customHeight="1"/>
    <row r="93" spans="1:11" ht="18.95" customHeight="1"/>
    <row r="94" spans="1:11" ht="18.95" customHeight="1"/>
    <row r="95" spans="1:11" ht="18.95" customHeight="1"/>
    <row r="96" spans="1:11" ht="18.95" customHeight="1"/>
  </sheetData>
  <mergeCells count="12">
    <mergeCell ref="A1:K1"/>
    <mergeCell ref="A2:K2"/>
    <mergeCell ref="A3:K3"/>
    <mergeCell ref="A5:K5"/>
    <mergeCell ref="H11:J11"/>
    <mergeCell ref="A4:K4"/>
    <mergeCell ref="A42:K42"/>
    <mergeCell ref="A43:K43"/>
    <mergeCell ref="A44:K44"/>
    <mergeCell ref="A46:K46"/>
    <mergeCell ref="H52:J52"/>
    <mergeCell ref="A45:K45"/>
  </mergeCells>
  <pageMargins left="0.95" right="0.5" top="0.75" bottom="0.75" header="0.3" footer="0.3"/>
  <pageSetup scale="52" fitToHeight="0" orientation="portrait" r:id="rId1"/>
  <rowBreaks count="1" manualBreakCount="1">
    <brk id="4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134"/>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9.88671875" style="69" customWidth="1"/>
    <col min="7" max="9" width="15.77734375" style="69" customWidth="1"/>
    <col min="10" max="10" width="1.6640625" style="69" customWidth="1"/>
    <col min="11" max="11" width="9" style="69"/>
    <col min="12" max="12" width="13.109375" style="69" customWidth="1"/>
    <col min="13" max="13" width="11.77734375" style="69" customWidth="1"/>
    <col min="14" max="14" width="12.6640625" style="69" customWidth="1"/>
    <col min="15" max="15" width="12.88671875" style="69" customWidth="1"/>
    <col min="16" max="16384" width="9" style="69"/>
  </cols>
  <sheetData>
    <row r="1" spans="1:16" s="68" customFormat="1" ht="20.100000000000001" customHeight="1">
      <c r="A1" s="767" t="str">
        <f>'Rate Case Constants'!C9</f>
        <v>KENTUCKY UTILITIES COMPANY</v>
      </c>
      <c r="B1" s="767"/>
      <c r="C1" s="767"/>
      <c r="D1" s="767"/>
      <c r="E1" s="767"/>
      <c r="F1" s="767"/>
      <c r="G1" s="767"/>
      <c r="H1" s="767"/>
      <c r="I1" s="767"/>
    </row>
    <row r="2" spans="1:16" s="68" customFormat="1" ht="20.100000000000001" customHeight="1">
      <c r="A2" s="767" t="str">
        <f>'Rate Case Constants'!C10</f>
        <v>CASE NO. 2018-00294</v>
      </c>
      <c r="B2" s="767"/>
      <c r="C2" s="767"/>
      <c r="D2" s="767"/>
      <c r="E2" s="767"/>
      <c r="F2" s="767"/>
      <c r="G2" s="767"/>
      <c r="H2" s="767"/>
      <c r="I2" s="767"/>
    </row>
    <row r="3" spans="1:16" s="68" customFormat="1" ht="20.100000000000001" customHeight="1">
      <c r="A3" s="767" t="s">
        <v>1200</v>
      </c>
      <c r="B3" s="767"/>
      <c r="C3" s="767"/>
      <c r="D3" s="767"/>
      <c r="E3" s="767"/>
      <c r="F3" s="767"/>
      <c r="G3" s="767"/>
      <c r="H3" s="767"/>
      <c r="I3" s="767"/>
    </row>
    <row r="4" spans="1:16" s="68" customFormat="1" ht="20.100000000000001" customHeight="1">
      <c r="A4" s="766" t="str">
        <f>'Rate Case Constants'!C12</f>
        <v>AS OF DECEMBER 31, 2018</v>
      </c>
      <c r="B4" s="767"/>
      <c r="C4" s="767"/>
      <c r="D4" s="767"/>
      <c r="E4" s="767"/>
      <c r="F4" s="767"/>
      <c r="G4" s="767"/>
      <c r="H4" s="767"/>
      <c r="I4" s="767"/>
    </row>
    <row r="5" spans="1:16" s="68" customFormat="1" ht="20.100000000000001" customHeight="1">
      <c r="A5" s="84"/>
      <c r="B5" s="84"/>
      <c r="C5" s="84"/>
      <c r="D5" s="84"/>
      <c r="E5" s="84"/>
      <c r="F5" s="84"/>
      <c r="G5" s="84"/>
      <c r="H5" s="84"/>
      <c r="I5" s="84"/>
    </row>
    <row r="6" spans="1:16" s="68" customFormat="1" ht="20.100000000000001" customHeight="1">
      <c r="A6" s="67" t="s">
        <v>133</v>
      </c>
      <c r="B6" s="67"/>
      <c r="H6" s="74"/>
      <c r="I6" s="74" t="s">
        <v>1199</v>
      </c>
    </row>
    <row r="7" spans="1:16" s="68" customFormat="1" ht="20.100000000000001" customHeight="1">
      <c r="A7" s="68" t="str">
        <f>'Rate Case Constants'!C29</f>
        <v>TYPE OF FILING: __X__ ORIGINAL  _____ UPDATED  _____ REVISED</v>
      </c>
      <c r="H7" s="74"/>
      <c r="I7" s="74" t="s">
        <v>173</v>
      </c>
    </row>
    <row r="8" spans="1:16" s="68" customFormat="1" ht="20.100000000000001" customHeight="1">
      <c r="A8" s="67" t="s">
        <v>1198</v>
      </c>
      <c r="B8" s="67"/>
      <c r="F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69" t="s">
        <v>1203</v>
      </c>
      <c r="F10" s="769"/>
      <c r="G10" s="769"/>
      <c r="H10" s="769"/>
      <c r="I10" s="769"/>
      <c r="L10" s="399" t="s">
        <v>2182</v>
      </c>
      <c r="M10" s="399"/>
      <c r="N10" s="399"/>
      <c r="O10" s="399"/>
      <c r="P10" s="399"/>
    </row>
    <row r="11" spans="1:16" ht="65.099999999999994" customHeight="1">
      <c r="A11" s="71" t="s">
        <v>131</v>
      </c>
      <c r="B11" s="71" t="s">
        <v>134</v>
      </c>
      <c r="C11" s="78" t="s">
        <v>135</v>
      </c>
      <c r="D11" s="71" t="s">
        <v>1201</v>
      </c>
      <c r="E11" s="71" t="s">
        <v>1202</v>
      </c>
      <c r="F11" s="71" t="s">
        <v>224</v>
      </c>
      <c r="G11" s="71" t="s">
        <v>225</v>
      </c>
      <c r="H11" s="71" t="s">
        <v>226</v>
      </c>
      <c r="I11" s="71" t="s">
        <v>227</v>
      </c>
    </row>
    <row r="12" spans="1:16" ht="23.1" customHeight="1">
      <c r="A12" s="80"/>
      <c r="B12" s="80"/>
      <c r="C12" s="81"/>
      <c r="D12" s="82" t="s">
        <v>142</v>
      </c>
      <c r="E12" s="82" t="s">
        <v>142</v>
      </c>
      <c r="F12" s="82"/>
      <c r="G12" s="82" t="s">
        <v>142</v>
      </c>
      <c r="H12" s="82" t="s">
        <v>142</v>
      </c>
      <c r="I12" s="82" t="s">
        <v>142</v>
      </c>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B'!D13</f>
        <v>44455.58</v>
      </c>
      <c r="E14" s="86">
        <f>SUMIFS('PIS B'!$V$11:$V$338,'PIS B'!$B$11:$B$338,'SCH B-3 B'!$B14)</f>
        <v>0</v>
      </c>
      <c r="F14" s="130">
        <f>$P$17</f>
        <v>0.89020970434593893</v>
      </c>
      <c r="G14" s="86">
        <f>E14*F14</f>
        <v>0</v>
      </c>
      <c r="H14" s="86">
        <f>SUMIFS('SCH B-3.1'!$F$12:$F$27,'SCH B-3.1'!$B$12:$B$27,'SCH B-3 B'!$B14)</f>
        <v>0</v>
      </c>
      <c r="I14" s="86">
        <f t="shared" ref="I14:I15" si="0">SUM(G14:H14)</f>
        <v>0</v>
      </c>
    </row>
    <row r="15" spans="1:16" ht="18.95" customHeight="1">
      <c r="A15" s="70">
        <f t="shared" ref="A15:A79" si="1">A14+1</f>
        <v>3</v>
      </c>
      <c r="B15" s="71" t="s">
        <v>1622</v>
      </c>
      <c r="C15" s="78" t="s">
        <v>1623</v>
      </c>
      <c r="D15" s="86">
        <f>'SCH B-2.1 B'!D14</f>
        <v>55918.83</v>
      </c>
      <c r="E15" s="86">
        <f>SUMIFS('PIS B'!$V$11:$V$338,'PIS B'!$B$11:$B$338,'SCH B-3 B'!$B15)</f>
        <v>-71375.296764800005</v>
      </c>
      <c r="F15" s="134">
        <f>'SCH B-2.1 B'!E14</f>
        <v>1</v>
      </c>
      <c r="G15" s="88">
        <f t="shared" ref="G15:G16" si="2">E15*F15</f>
        <v>-71375.296764800005</v>
      </c>
      <c r="H15" s="87">
        <f>SUMIFS('SCH B-3.1'!$F$12:$F$27,'SCH B-3.1'!$B$12:$B$27,'SCH B-3 B'!$B15)</f>
        <v>0</v>
      </c>
      <c r="I15" s="88">
        <f t="shared" si="0"/>
        <v>-71375.296764800005</v>
      </c>
    </row>
    <row r="16" spans="1:16" ht="18.95" customHeight="1">
      <c r="A16" s="70">
        <f t="shared" si="1"/>
        <v>4</v>
      </c>
      <c r="B16" s="71" t="s">
        <v>1624</v>
      </c>
      <c r="C16" s="78" t="s">
        <v>1625</v>
      </c>
      <c r="D16" s="89">
        <f>'SCH B-2.1 B'!D15</f>
        <v>131748885.55000001</v>
      </c>
      <c r="E16" s="89">
        <f>SUMIFS('PIS B'!$V$11:$V$338,'PIS B'!$B$11:$B$338,'SCH B-3 B'!$B16)</f>
        <v>-70604854.324599907</v>
      </c>
      <c r="F16" s="130">
        <f>$P$17</f>
        <v>0.89020970434593893</v>
      </c>
      <c r="G16" s="89">
        <f t="shared" si="2"/>
        <v>-62853126.49369017</v>
      </c>
      <c r="H16" s="89">
        <f>SUMIFS('SCH B-3.1'!$F$12:$F$27,'SCH B-3.1'!$B$12:$B$27,'SCH B-3 B'!$B16)</f>
        <v>0</v>
      </c>
      <c r="I16" s="89">
        <f>SUM(G16:H16)</f>
        <v>-62853126.49369017</v>
      </c>
    </row>
    <row r="17" spans="1:16" ht="18.95" customHeight="1">
      <c r="A17" s="70">
        <f t="shared" si="1"/>
        <v>5</v>
      </c>
      <c r="B17" s="70"/>
      <c r="C17" s="78" t="s">
        <v>143</v>
      </c>
      <c r="D17" s="86">
        <f>SUM(D14:D16)</f>
        <v>131849259.96000001</v>
      </c>
      <c r="E17" s="86">
        <f>SUM(E14:E16)</f>
        <v>-70676229.621364713</v>
      </c>
      <c r="F17" s="130"/>
      <c r="G17" s="86">
        <f>SUM(G14:G16)</f>
        <v>-62924501.790454969</v>
      </c>
      <c r="H17" s="86">
        <f>SUM(H14:H16)</f>
        <v>0</v>
      </c>
      <c r="I17" s="86">
        <f>SUM(I14:I16)</f>
        <v>-62924501.790454969</v>
      </c>
      <c r="L17" s="136">
        <f>'JURISSEP B'!G275+'JURISSEP B'!G276</f>
        <v>62924501.790454969</v>
      </c>
      <c r="M17" s="136">
        <f>G15</f>
        <v>-71375.296764800005</v>
      </c>
      <c r="N17" s="136">
        <f>SUM(L17:M17)</f>
        <v>62853126.49369017</v>
      </c>
      <c r="O17" s="136">
        <f>-E17+M17</f>
        <v>70604854.324599907</v>
      </c>
      <c r="P17" s="137">
        <f>N17/O17</f>
        <v>0.89020970434593893</v>
      </c>
    </row>
    <row r="18" spans="1:16" ht="18.95" customHeight="1">
      <c r="A18" s="70"/>
      <c r="B18" s="70"/>
      <c r="D18" s="72"/>
      <c r="E18" s="72"/>
      <c r="F18" s="133"/>
      <c r="G18" s="72"/>
      <c r="H18" s="72"/>
      <c r="I18" s="72"/>
    </row>
    <row r="19" spans="1:16" ht="18.95" customHeight="1">
      <c r="A19" s="70">
        <f>A17+1</f>
        <v>6</v>
      </c>
      <c r="B19" s="70"/>
      <c r="C19" s="90" t="s">
        <v>72</v>
      </c>
      <c r="D19" s="72"/>
      <c r="E19" s="72"/>
      <c r="F19" s="133"/>
      <c r="G19" s="72"/>
      <c r="H19" s="72"/>
      <c r="I19" s="72"/>
    </row>
    <row r="20" spans="1:16" ht="18.95" customHeight="1">
      <c r="A20" s="70">
        <f t="shared" si="1"/>
        <v>7</v>
      </c>
      <c r="B20" s="71" t="s">
        <v>1626</v>
      </c>
      <c r="C20" s="78" t="s">
        <v>154</v>
      </c>
      <c r="D20" s="88">
        <f>'SCH B-2.1 B'!D19</f>
        <v>24447347.8899999</v>
      </c>
      <c r="E20" s="88">
        <f>SUMIFS('PIS B'!$V$11:$V$338,'PIS B'!$B$11:$B$338,'SCH B-3 B'!$B20)</f>
        <v>0</v>
      </c>
      <c r="F20" s="134">
        <f>$P$28</f>
        <v>0.86542053748247261</v>
      </c>
      <c r="G20" s="88">
        <f t="shared" ref="G20:G27" si="3">E20*F20</f>
        <v>0</v>
      </c>
      <c r="H20" s="88">
        <f>SUMIFS('SCH B-3.1'!$F$12:$F$27,'SCH B-3.1'!$B$12:$B$27,'SCH B-3 B'!$B20)</f>
        <v>0</v>
      </c>
      <c r="I20" s="88">
        <f t="shared" ref="I20:I27" si="4">SUM(G20:H20)</f>
        <v>0</v>
      </c>
    </row>
    <row r="21" spans="1:16" ht="18" customHeight="1">
      <c r="A21" s="70">
        <f t="shared" si="1"/>
        <v>8</v>
      </c>
      <c r="B21" s="71" t="s">
        <v>1627</v>
      </c>
      <c r="C21" s="78" t="s">
        <v>148</v>
      </c>
      <c r="D21" s="88">
        <f>'SCH B-2.1 B'!D20</f>
        <v>357469338.29999995</v>
      </c>
      <c r="E21" s="88">
        <f>SUMIFS('PIS B'!$V$11:$V$338,'PIS B'!$B$11:$B$338,'SCH B-3 B'!$B21)</f>
        <v>-191952639.18848708</v>
      </c>
      <c r="F21" s="134">
        <f t="shared" ref="F21:F27" si="5">$P$28</f>
        <v>0.86542053748247261</v>
      </c>
      <c r="G21" s="88">
        <f t="shared" si="3"/>
        <v>-166119756.17767963</v>
      </c>
      <c r="H21" s="88">
        <f>SUMIFS('SCH B-3.1'!$F$12:$F$27,'SCH B-3.1'!$B$12:$B$27,'SCH B-3 B'!$B21)</f>
        <v>983504.60676118045</v>
      </c>
      <c r="I21" s="88">
        <f t="shared" si="4"/>
        <v>-165136251.57091844</v>
      </c>
    </row>
    <row r="22" spans="1:16" ht="18.95" customHeight="1">
      <c r="A22" s="70">
        <f t="shared" si="1"/>
        <v>9</v>
      </c>
      <c r="B22" s="71" t="s">
        <v>1628</v>
      </c>
      <c r="C22" s="78" t="s">
        <v>1629</v>
      </c>
      <c r="D22" s="88">
        <f>'SCH B-2.1 B'!D21</f>
        <v>4100320139.6699796</v>
      </c>
      <c r="E22" s="88">
        <f>SUMIFS('PIS B'!$V$11:$V$338,'PIS B'!$B$11:$B$338,'SCH B-3 B'!$B22)</f>
        <v>-1277738864.6078193</v>
      </c>
      <c r="F22" s="134">
        <f t="shared" si="5"/>
        <v>0.86542053748247261</v>
      </c>
      <c r="G22" s="88">
        <f t="shared" si="3"/>
        <v>-1105781454.9711432</v>
      </c>
      <c r="H22" s="88">
        <f>SUMIFS('SCH B-3.1'!$F$12:$F$27,'SCH B-3.1'!$B$12:$B$27,'SCH B-3 B'!$B22)</f>
        <v>99849082.773433179</v>
      </c>
      <c r="I22" s="88">
        <f t="shared" si="4"/>
        <v>-1005932372.19771</v>
      </c>
    </row>
    <row r="23" spans="1:16" ht="18.95" customHeight="1">
      <c r="A23" s="70">
        <f>A21+1</f>
        <v>9</v>
      </c>
      <c r="B23" s="71">
        <v>313</v>
      </c>
      <c r="C23" s="78" t="s">
        <v>144</v>
      </c>
      <c r="D23" s="88">
        <f>'SCH B-2.1 B'!D22</f>
        <v>0</v>
      </c>
      <c r="E23" s="88">
        <f>SUMIFS('PIS B'!$V$11:$V$338,'PIS B'!$B$11:$B$338,'SCH B-3 B'!$B23)</f>
        <v>0</v>
      </c>
      <c r="F23" s="134">
        <f t="shared" si="5"/>
        <v>0.86542053748247261</v>
      </c>
      <c r="G23" s="88">
        <f t="shared" si="3"/>
        <v>0</v>
      </c>
      <c r="H23" s="88">
        <f>SUMIFS('SCH B-3.1'!$F$12:$F$27,'SCH B-3.1'!$B$12:$B$27,'SCH B-3 B'!$B23)</f>
        <v>0</v>
      </c>
      <c r="I23" s="88">
        <f t="shared" si="4"/>
        <v>0</v>
      </c>
    </row>
    <row r="24" spans="1:16" ht="18.95" customHeight="1">
      <c r="A24" s="70">
        <f>A22+1</f>
        <v>10</v>
      </c>
      <c r="B24" s="71" t="s">
        <v>1630</v>
      </c>
      <c r="C24" s="78" t="s">
        <v>1631</v>
      </c>
      <c r="D24" s="88">
        <f>'SCH B-2.1 B'!D23</f>
        <v>354730547.36000001</v>
      </c>
      <c r="E24" s="88">
        <f>SUMIFS('PIS B'!$V$11:$V$338,'PIS B'!$B$11:$B$338,'SCH B-3 B'!$B24)</f>
        <v>-164489608.22500896</v>
      </c>
      <c r="F24" s="134">
        <f t="shared" si="5"/>
        <v>0.86542053748247261</v>
      </c>
      <c r="G24" s="88">
        <f t="shared" si="3"/>
        <v>-142352685.16036859</v>
      </c>
      <c r="H24" s="88">
        <f>SUMIFS('SCH B-3.1'!$F$12:$F$27,'SCH B-3.1'!$B$12:$B$27,'SCH B-3 B'!$B24)</f>
        <v>0</v>
      </c>
      <c r="I24" s="88">
        <f t="shared" si="4"/>
        <v>-142352685.16036859</v>
      </c>
    </row>
    <row r="25" spans="1:16" ht="18.95" customHeight="1">
      <c r="A25" s="70">
        <f t="shared" si="1"/>
        <v>11</v>
      </c>
      <c r="B25" s="71" t="s">
        <v>1632</v>
      </c>
      <c r="C25" s="78" t="s">
        <v>1633</v>
      </c>
      <c r="D25" s="88">
        <f>'SCH B-2.1 B'!D24</f>
        <v>253604406.09999999</v>
      </c>
      <c r="E25" s="88">
        <f>SUMIFS('PIS B'!$V$11:$V$338,'PIS B'!$B$11:$B$338,'SCH B-3 B'!$B25)</f>
        <v>-114758291.68598373</v>
      </c>
      <c r="F25" s="134">
        <f t="shared" si="5"/>
        <v>0.86542053748247261</v>
      </c>
      <c r="G25" s="88">
        <f t="shared" si="3"/>
        <v>-99314182.471454412</v>
      </c>
      <c r="H25" s="88">
        <f>SUMIFS('SCH B-3.1'!$F$12:$F$27,'SCH B-3.1'!$B$12:$B$27,'SCH B-3 B'!$B25)</f>
        <v>859846.07684386964</v>
      </c>
      <c r="I25" s="88">
        <f t="shared" si="4"/>
        <v>-98454336.394610539</v>
      </c>
    </row>
    <row r="26" spans="1:16" ht="18.95" customHeight="1">
      <c r="A26" s="70">
        <f t="shared" si="1"/>
        <v>12</v>
      </c>
      <c r="B26" s="71" t="s">
        <v>1634</v>
      </c>
      <c r="C26" s="78" t="s">
        <v>1635</v>
      </c>
      <c r="D26" s="88">
        <f>'SCH B-2.1 B'!D25</f>
        <v>38271210.120000012</v>
      </c>
      <c r="E26" s="88">
        <f>SUMIFS('PIS B'!$V$11:$V$338,'PIS B'!$B$11:$B$338,'SCH B-3 B'!$B26)</f>
        <v>-16969617.072945874</v>
      </c>
      <c r="F26" s="134">
        <f t="shared" si="5"/>
        <v>0.86542053748247261</v>
      </c>
      <c r="G26" s="88">
        <f t="shared" si="3"/>
        <v>-14685855.128140561</v>
      </c>
      <c r="H26" s="88">
        <f>SUMIFS('SCH B-3.1'!$F$12:$F$27,'SCH B-3.1'!$B$12:$B$27,'SCH B-3 B'!$B26)</f>
        <v>30353.310155298499</v>
      </c>
      <c r="I26" s="88">
        <f t="shared" si="4"/>
        <v>-14655501.817985263</v>
      </c>
    </row>
    <row r="27" spans="1:16" ht="18.95" customHeight="1">
      <c r="A27" s="70">
        <f t="shared" si="1"/>
        <v>13</v>
      </c>
      <c r="B27" s="71" t="s">
        <v>1636</v>
      </c>
      <c r="C27" s="78" t="s">
        <v>1655</v>
      </c>
      <c r="D27" s="89">
        <f>'SCH B-2.1 B'!D26</f>
        <v>197376730.74999991</v>
      </c>
      <c r="E27" s="89">
        <f>SUMIFS('PIS B'!$V$11:$V$338,'PIS B'!$B$11:$B$338,'SCH B-3 B'!$B27)</f>
        <v>-134179168.45999999</v>
      </c>
      <c r="F27" s="134">
        <f t="shared" si="5"/>
        <v>0.86542053748247261</v>
      </c>
      <c r="G27" s="89">
        <f t="shared" si="3"/>
        <v>-116121408.08760443</v>
      </c>
      <c r="H27" s="89">
        <f>SUMIFS('SCH B-3.1'!$F$12:$F$27,'SCH B-3.1'!$B$12:$B$27,'SCH B-3 B'!$B27)</f>
        <v>116121408.08760443</v>
      </c>
      <c r="I27" s="89">
        <f t="shared" si="4"/>
        <v>0</v>
      </c>
    </row>
    <row r="28" spans="1:16" ht="18.95" customHeight="1">
      <c r="A28" s="70">
        <f t="shared" si="1"/>
        <v>14</v>
      </c>
      <c r="C28" s="78" t="s">
        <v>146</v>
      </c>
      <c r="D28" s="86">
        <f>SUM(D20:D27)</f>
        <v>5326219720.1899796</v>
      </c>
      <c r="E28" s="86">
        <f>SUM(E20:E27)</f>
        <v>-1900088189.2402449</v>
      </c>
      <c r="F28" s="130"/>
      <c r="G28" s="86">
        <f>SUM(G20:G27)</f>
        <v>-1644375341.9963908</v>
      </c>
      <c r="H28" s="86">
        <f>SUM(H20:H27)</f>
        <v>217844194.85479796</v>
      </c>
      <c r="I28" s="86">
        <f>SUM(I20:I27)</f>
        <v>-1426531147.1415932</v>
      </c>
      <c r="L28" s="136">
        <f>'JURISSEP B'!G246</f>
        <v>1644375341.9963908</v>
      </c>
      <c r="M28" s="136"/>
      <c r="N28" s="136">
        <f>SUM(L28:M28)</f>
        <v>1644375341.9963908</v>
      </c>
      <c r="O28" s="136">
        <f>-E28+M28</f>
        <v>1900088189.2402449</v>
      </c>
      <c r="P28" s="137">
        <f>N28/O28</f>
        <v>0.86542053748247261</v>
      </c>
    </row>
    <row r="29" spans="1:16" ht="18.95" customHeight="1">
      <c r="A29" s="70"/>
      <c r="C29" s="78"/>
      <c r="F29" s="135"/>
    </row>
    <row r="30" spans="1:16" ht="18.95" customHeight="1">
      <c r="A30" s="70">
        <f>A28+1</f>
        <v>15</v>
      </c>
      <c r="C30" s="90" t="s">
        <v>47</v>
      </c>
      <c r="F30" s="135"/>
    </row>
    <row r="31" spans="1:16" ht="18.95" customHeight="1">
      <c r="A31" s="70">
        <f t="shared" si="1"/>
        <v>16</v>
      </c>
      <c r="B31" s="71" t="s">
        <v>1637</v>
      </c>
      <c r="C31" s="78" t="s">
        <v>154</v>
      </c>
      <c r="D31" s="88">
        <f>'SCH B-2.1 B'!D30</f>
        <v>855636.47000000009</v>
      </c>
      <c r="E31" s="88">
        <f>SUMIFS('PIS B'!$V$11:$V$338,'PIS B'!$B$11:$B$338,'SCH B-3 B'!$B31)</f>
        <v>-912332.6</v>
      </c>
      <c r="F31" s="134">
        <f>$P$39</f>
        <v>0.87536614509867261</v>
      </c>
      <c r="G31" s="88">
        <f t="shared" ref="G31:G38" si="6">E31*F31</f>
        <v>-798625.07110984926</v>
      </c>
      <c r="H31" s="88">
        <f>SUMIFS('SCH B-3.1'!$F$12:$F$27,'SCH B-3.1'!$B$12:$B$27,'SCH B-3 B'!$B31)</f>
        <v>0</v>
      </c>
      <c r="I31" s="88">
        <f t="shared" ref="I31:I38" si="7">SUM(G31:H31)</f>
        <v>-798625.07110984926</v>
      </c>
    </row>
    <row r="32" spans="1:16" ht="18.95" customHeight="1">
      <c r="A32" s="70">
        <f t="shared" si="1"/>
        <v>17</v>
      </c>
      <c r="B32" s="71" t="s">
        <v>1638</v>
      </c>
      <c r="C32" s="78" t="s">
        <v>148</v>
      </c>
      <c r="D32" s="88">
        <f>'SCH B-2.1 B'!D31</f>
        <v>4409838.34</v>
      </c>
      <c r="E32" s="88">
        <f>SUMIFS('PIS B'!$V$11:$V$338,'PIS B'!$B$11:$B$338,'SCH B-3 B'!$B32)</f>
        <v>-325403.647236499</v>
      </c>
      <c r="F32" s="134">
        <f t="shared" ref="F32:F38" si="8">$P$39</f>
        <v>0.87536614509867261</v>
      </c>
      <c r="G32" s="88">
        <f t="shared" si="6"/>
        <v>-284847.33628246246</v>
      </c>
      <c r="H32" s="88">
        <f>SUMIFS('SCH B-3.1'!$F$12:$F$27,'SCH B-3.1'!$B$12:$B$27,'SCH B-3 B'!$B32)</f>
        <v>0</v>
      </c>
      <c r="I32" s="88">
        <f t="shared" si="7"/>
        <v>-284847.33628246246</v>
      </c>
    </row>
    <row r="33" spans="1:16" ht="18.95" customHeight="1">
      <c r="A33" s="70">
        <f t="shared" si="1"/>
        <v>18</v>
      </c>
      <c r="B33" s="71" t="s">
        <v>1639</v>
      </c>
      <c r="C33" s="78" t="s">
        <v>1640</v>
      </c>
      <c r="D33" s="88">
        <f>'SCH B-2.1 B'!D32</f>
        <v>21885646.369999997</v>
      </c>
      <c r="E33" s="88">
        <f>SUMIFS('PIS B'!$V$11:$V$338,'PIS B'!$B$11:$B$338,'SCH B-3 B'!$B33)</f>
        <v>-9887589.4151059892</v>
      </c>
      <c r="F33" s="134">
        <f t="shared" si="8"/>
        <v>0.87536614509867261</v>
      </c>
      <c r="G33" s="88">
        <f t="shared" si="6"/>
        <v>-8655261.0306197684</v>
      </c>
      <c r="H33" s="88">
        <f>SUMIFS('SCH B-3.1'!$F$12:$F$27,'SCH B-3.1'!$B$12:$B$27,'SCH B-3 B'!$B33)</f>
        <v>0</v>
      </c>
      <c r="I33" s="88">
        <f t="shared" si="7"/>
        <v>-8655261.0306197684</v>
      </c>
    </row>
    <row r="34" spans="1:16" ht="18.95" customHeight="1">
      <c r="A34" s="70">
        <f t="shared" si="1"/>
        <v>19</v>
      </c>
      <c r="B34" s="71" t="s">
        <v>1641</v>
      </c>
      <c r="C34" s="78" t="s">
        <v>1642</v>
      </c>
      <c r="D34" s="88">
        <f>'SCH B-2.1 B'!D33</f>
        <v>14046741.58</v>
      </c>
      <c r="E34" s="88">
        <f>SUMIFS('PIS B'!$V$11:$V$338,'PIS B'!$B$11:$B$338,'SCH B-3 B'!$B34)</f>
        <v>-2389412.4025121899</v>
      </c>
      <c r="F34" s="134">
        <f t="shared" si="8"/>
        <v>0.87536614509867261</v>
      </c>
      <c r="G34" s="88">
        <f t="shared" si="6"/>
        <v>-2091610.7238380536</v>
      </c>
      <c r="H34" s="88">
        <f>SUMIFS('SCH B-3.1'!$F$12:$F$27,'SCH B-3.1'!$B$12:$B$27,'SCH B-3 B'!$B34)</f>
        <v>0</v>
      </c>
      <c r="I34" s="88">
        <f t="shared" si="7"/>
        <v>-2091610.7238380536</v>
      </c>
    </row>
    <row r="35" spans="1:16" ht="18.95" customHeight="1">
      <c r="A35" s="70">
        <f t="shared" si="1"/>
        <v>20</v>
      </c>
      <c r="B35" s="71" t="s">
        <v>1643</v>
      </c>
      <c r="C35" s="78" t="s">
        <v>1633</v>
      </c>
      <c r="D35" s="88">
        <f>'SCH B-2.1 B'!D34</f>
        <v>1381870.67</v>
      </c>
      <c r="E35" s="88">
        <f>SUMIFS('PIS B'!$V$11:$V$338,'PIS B'!$B$11:$B$338,'SCH B-3 B'!$B35)</f>
        <v>-370958.606262599</v>
      </c>
      <c r="F35" s="134">
        <f t="shared" si="8"/>
        <v>0.87536614509867261</v>
      </c>
      <c r="G35" s="88">
        <f t="shared" si="6"/>
        <v>-324724.60515526758</v>
      </c>
      <c r="H35" s="88">
        <f>SUMIFS('SCH B-3.1'!$F$12:$F$27,'SCH B-3.1'!$B$12:$B$27,'SCH B-3 B'!$B35)</f>
        <v>0</v>
      </c>
      <c r="I35" s="88">
        <f t="shared" si="7"/>
        <v>-324724.60515526758</v>
      </c>
    </row>
    <row r="36" spans="1:16" ht="18.95" customHeight="1">
      <c r="A36" s="70">
        <f t="shared" si="1"/>
        <v>21</v>
      </c>
      <c r="B36" s="71" t="s">
        <v>1644</v>
      </c>
      <c r="C36" s="78" t="s">
        <v>1645</v>
      </c>
      <c r="D36" s="88">
        <f>'SCH B-2.1 B'!D35</f>
        <v>329374.18000000005</v>
      </c>
      <c r="E36" s="88">
        <f>SUMIFS('PIS B'!$V$11:$V$338,'PIS B'!$B$11:$B$338,'SCH B-3 B'!$B36)</f>
        <v>-155938.28458301999</v>
      </c>
      <c r="F36" s="134">
        <f t="shared" si="8"/>
        <v>0.87536614509867261</v>
      </c>
      <c r="G36" s="88">
        <f t="shared" si="6"/>
        <v>-136503.09504873797</v>
      </c>
      <c r="H36" s="88">
        <f>SUMIFS('SCH B-3.1'!$F$12:$F$27,'SCH B-3.1'!$B$12:$B$27,'SCH B-3 B'!$B36)</f>
        <v>0</v>
      </c>
      <c r="I36" s="88">
        <f t="shared" si="7"/>
        <v>-136503.09504873797</v>
      </c>
    </row>
    <row r="37" spans="1:16" ht="18.95" customHeight="1">
      <c r="A37" s="70">
        <f t="shared" si="1"/>
        <v>22</v>
      </c>
      <c r="B37" s="71" t="s">
        <v>1646</v>
      </c>
      <c r="C37" s="78" t="s">
        <v>1647</v>
      </c>
      <c r="D37" s="88">
        <f>'SCH B-2.1 B'!D36</f>
        <v>234509.13</v>
      </c>
      <c r="E37" s="88">
        <f>SUMIFS('PIS B'!$V$11:$V$338,'PIS B'!$B$11:$B$338,'SCH B-3 B'!$B37)</f>
        <v>-95823.9370147999</v>
      </c>
      <c r="F37" s="134">
        <f t="shared" si="8"/>
        <v>0.87536614509867261</v>
      </c>
      <c r="G37" s="88">
        <f t="shared" si="6"/>
        <v>-83881.030352823393</v>
      </c>
      <c r="H37" s="88">
        <f>SUMIFS('SCH B-3.1'!$F$12:$F$27,'SCH B-3.1'!$B$12:$B$27,'SCH B-3 B'!$B37)</f>
        <v>0</v>
      </c>
      <c r="I37" s="88">
        <f t="shared" si="7"/>
        <v>-83881.030352823393</v>
      </c>
    </row>
    <row r="38" spans="1:16" ht="18.95" customHeight="1">
      <c r="A38" s="70">
        <f t="shared" si="1"/>
        <v>23</v>
      </c>
      <c r="B38" s="71" t="s">
        <v>1648</v>
      </c>
      <c r="C38" s="78" t="s">
        <v>1656</v>
      </c>
      <c r="D38" s="89">
        <f>'SCH B-2.1 B'!D37</f>
        <v>645787.99</v>
      </c>
      <c r="E38" s="89">
        <f>SUMIFS('PIS B'!$V$11:$V$338,'PIS B'!$B$11:$B$338,'SCH B-3 B'!$B38)</f>
        <v>-55478.109999999899</v>
      </c>
      <c r="F38" s="134">
        <f t="shared" si="8"/>
        <v>0.87536614509867261</v>
      </c>
      <c r="G38" s="89">
        <f t="shared" si="6"/>
        <v>-48563.659288060029</v>
      </c>
      <c r="H38" s="89">
        <f>SUMIFS('SCH B-3.1'!$F$12:$F$27,'SCH B-3.1'!$B$12:$B$27,'SCH B-3 B'!$B38)</f>
        <v>48563.659288060029</v>
      </c>
      <c r="I38" s="89">
        <f t="shared" si="7"/>
        <v>0</v>
      </c>
    </row>
    <row r="39" spans="1:16" ht="18.95" customHeight="1">
      <c r="A39" s="70">
        <f t="shared" si="1"/>
        <v>24</v>
      </c>
      <c r="B39" s="71" t="s">
        <v>251</v>
      </c>
      <c r="C39" s="78" t="s">
        <v>147</v>
      </c>
      <c r="D39" s="86">
        <f>SUM(D31:D38)</f>
        <v>43789404.730000004</v>
      </c>
      <c r="E39" s="86">
        <f t="shared" ref="E39:I39" si="9">SUM(E31:E38)</f>
        <v>-14192937.002715094</v>
      </c>
      <c r="F39" s="130"/>
      <c r="G39" s="86">
        <f t="shared" si="9"/>
        <v>-12424016.551695023</v>
      </c>
      <c r="H39" s="86">
        <f t="shared" si="9"/>
        <v>48563.659288060029</v>
      </c>
      <c r="I39" s="86">
        <f t="shared" si="9"/>
        <v>-12375452.892406963</v>
      </c>
      <c r="L39" s="136">
        <f>'JURISSEP B'!G252</f>
        <v>12424016.551695021</v>
      </c>
      <c r="M39" s="136"/>
      <c r="N39" s="136">
        <f>SUM(L39:M39)</f>
        <v>12424016.551695021</v>
      </c>
      <c r="O39" s="136">
        <f>-E39+M39</f>
        <v>14192937.002715094</v>
      </c>
      <c r="P39" s="137">
        <f>N39/O39</f>
        <v>0.87536614509867261</v>
      </c>
    </row>
    <row r="40" spans="1:16" ht="18.95" customHeight="1">
      <c r="A40" s="70"/>
      <c r="B40" s="71"/>
      <c r="C40" s="78"/>
      <c r="D40" s="86"/>
      <c r="E40" s="86"/>
      <c r="F40" s="130"/>
      <c r="G40" s="86"/>
      <c r="H40" s="86"/>
      <c r="I40" s="86"/>
    </row>
    <row r="41" spans="1:16" ht="18.95" customHeight="1">
      <c r="A41" s="70">
        <f>A39+1</f>
        <v>25</v>
      </c>
      <c r="C41" s="90" t="s">
        <v>61</v>
      </c>
      <c r="F41" s="135"/>
    </row>
    <row r="42" spans="1:16" ht="18.95" customHeight="1">
      <c r="A42" s="70">
        <f t="shared" si="1"/>
        <v>26</v>
      </c>
      <c r="B42" s="71" t="s">
        <v>1649</v>
      </c>
      <c r="C42" s="78" t="s">
        <v>154</v>
      </c>
      <c r="D42" s="88">
        <f>'SCH B-2.1 B'!D41</f>
        <v>903501.17</v>
      </c>
      <c r="E42" s="88">
        <f>SUMIFS('PIS B'!$V$11:$V$338,'PIS B'!$B$11:$B$338,'SCH B-3 B'!$B42)</f>
        <v>-128860.370543899</v>
      </c>
      <c r="F42" s="134">
        <f t="shared" ref="F42:F45" si="10">$P$62</f>
        <v>0.87240660746154175</v>
      </c>
      <c r="G42" s="88">
        <f t="shared" ref="G42:G45" si="11">E42*F42</f>
        <v>-112418.63870244012</v>
      </c>
      <c r="H42" s="88">
        <f>SUMIFS('SCH B-3.1'!$F$12:$F$27,'SCH B-3.1'!$B$12:$B$27,'SCH B-3 B'!$B42)</f>
        <v>0</v>
      </c>
      <c r="I42" s="88">
        <f t="shared" ref="I42:I45" si="12">SUM(G42:H42)</f>
        <v>-112418.63870244012</v>
      </c>
    </row>
    <row r="43" spans="1:16" ht="18.95" customHeight="1">
      <c r="A43" s="70">
        <f t="shared" si="1"/>
        <v>27</v>
      </c>
      <c r="B43" s="71" t="s">
        <v>1650</v>
      </c>
      <c r="C43" s="78" t="s">
        <v>148</v>
      </c>
      <c r="D43" s="88">
        <f>'SCH B-2.1 B'!D42</f>
        <v>87151599.00999999</v>
      </c>
      <c r="E43" s="88">
        <f>SUMIFS('PIS B'!$V$11:$V$338,'PIS B'!$B$11:$B$338,'SCH B-3 B'!$B43)</f>
        <v>-26609799.760221101</v>
      </c>
      <c r="F43" s="134">
        <f t="shared" si="10"/>
        <v>0.87240660746154175</v>
      </c>
      <c r="G43" s="88">
        <f t="shared" si="11"/>
        <v>-23214565.134045437</v>
      </c>
      <c r="H43" s="88">
        <f>SUMIFS('SCH B-3.1'!$F$12:$F$27,'SCH B-3.1'!$B$12:$B$27,'SCH B-3 B'!$B43)</f>
        <v>0</v>
      </c>
      <c r="I43" s="88">
        <f t="shared" si="12"/>
        <v>-23214565.134045437</v>
      </c>
    </row>
    <row r="44" spans="1:16" ht="18.95" customHeight="1">
      <c r="A44" s="70">
        <f t="shared" si="1"/>
        <v>28</v>
      </c>
      <c r="B44" s="71" t="s">
        <v>1651</v>
      </c>
      <c r="C44" s="78" t="s">
        <v>1652</v>
      </c>
      <c r="D44" s="88">
        <f>'SCH B-2.1 B'!D43</f>
        <v>63105948.209999986</v>
      </c>
      <c r="E44" s="88">
        <f>SUMIFS('PIS B'!$V$11:$V$338,'PIS B'!$B$11:$B$338,'SCH B-3 B'!$B44)</f>
        <v>-21394497.10163838</v>
      </c>
      <c r="F44" s="134">
        <f t="shared" si="10"/>
        <v>0.87240660746154175</v>
      </c>
      <c r="G44" s="88">
        <f t="shared" si="11"/>
        <v>-18664700.634786129</v>
      </c>
      <c r="H44" s="88">
        <f>SUMIFS('SCH B-3.1'!$F$12:$F$27,'SCH B-3.1'!$B$12:$B$27,'SCH B-3 B'!$B44)</f>
        <v>0</v>
      </c>
      <c r="I44" s="88">
        <f t="shared" si="12"/>
        <v>-18664700.634786129</v>
      </c>
    </row>
    <row r="45" spans="1:16" ht="18.95" customHeight="1">
      <c r="A45" s="70">
        <f t="shared" si="1"/>
        <v>29</v>
      </c>
      <c r="B45" s="71" t="s">
        <v>1653</v>
      </c>
      <c r="C45" s="78" t="s">
        <v>1654</v>
      </c>
      <c r="D45" s="88">
        <f>'SCH B-2.1 B'!D44</f>
        <v>665384577.67000008</v>
      </c>
      <c r="E45" s="88">
        <f>SUMIFS('PIS B'!$V$11:$V$338,'PIS B'!$B$11:$B$338,'SCH B-3 B'!$B45)</f>
        <v>-221240216.03387788</v>
      </c>
      <c r="F45" s="134">
        <f t="shared" si="10"/>
        <v>0.87240660746154175</v>
      </c>
      <c r="G45" s="88">
        <f t="shared" si="11"/>
        <v>-193011426.30417401</v>
      </c>
      <c r="H45" s="88">
        <f>SUMIFS('SCH B-3.1'!$F$12:$F$27,'SCH B-3.1'!$B$12:$B$27,'SCH B-3 B'!$B45)</f>
        <v>0</v>
      </c>
      <c r="I45" s="88">
        <f t="shared" si="12"/>
        <v>-193011426.30417401</v>
      </c>
    </row>
    <row r="46" spans="1:16" s="68" customFormat="1" ht="20.100000000000001" customHeight="1">
      <c r="A46" s="767" t="str">
        <f>$A$1</f>
        <v>KENTUCKY UTILITIES COMPANY</v>
      </c>
      <c r="B46" s="767"/>
      <c r="C46" s="767"/>
      <c r="D46" s="767"/>
      <c r="E46" s="767"/>
      <c r="F46" s="767"/>
      <c r="G46" s="767"/>
      <c r="H46" s="767"/>
      <c r="I46" s="767"/>
    </row>
    <row r="47" spans="1:16" s="68" customFormat="1" ht="20.100000000000001" customHeight="1">
      <c r="A47" s="767" t="str">
        <f>$A$2</f>
        <v>CASE NO. 2018-00294</v>
      </c>
      <c r="B47" s="767"/>
      <c r="C47" s="767"/>
      <c r="D47" s="767"/>
      <c r="E47" s="767"/>
      <c r="F47" s="767"/>
      <c r="G47" s="767"/>
      <c r="H47" s="767"/>
      <c r="I47" s="767"/>
    </row>
    <row r="48" spans="1:16" s="68" customFormat="1" ht="20.100000000000001" customHeight="1">
      <c r="A48" s="767" t="str">
        <f>$A$3</f>
        <v>ACCUMULATED DEPRECIATION AND AMORTIZATION</v>
      </c>
      <c r="B48" s="767"/>
      <c r="C48" s="767"/>
      <c r="D48" s="767"/>
      <c r="E48" s="767"/>
      <c r="F48" s="767"/>
      <c r="G48" s="767"/>
      <c r="H48" s="767"/>
      <c r="I48" s="767"/>
    </row>
    <row r="49" spans="1:16" s="68" customFormat="1" ht="20.100000000000001" customHeight="1">
      <c r="A49" s="766" t="str">
        <f>$A$4</f>
        <v>AS OF DECEMBER 31, 2018</v>
      </c>
      <c r="B49" s="767"/>
      <c r="C49" s="767"/>
      <c r="D49" s="767"/>
      <c r="E49" s="767"/>
      <c r="F49" s="767"/>
      <c r="G49" s="767"/>
      <c r="H49" s="767"/>
      <c r="I49" s="767"/>
    </row>
    <row r="50" spans="1:16" s="68" customFormat="1" ht="20.100000000000001" customHeight="1">
      <c r="A50" s="84"/>
      <c r="B50" s="84"/>
      <c r="C50" s="84"/>
      <c r="D50" s="84"/>
      <c r="E50" s="84"/>
      <c r="F50" s="84"/>
      <c r="G50" s="84"/>
      <c r="H50" s="84"/>
      <c r="I50" s="84"/>
    </row>
    <row r="51" spans="1:16" s="68" customFormat="1" ht="20.100000000000001" customHeight="1">
      <c r="A51" s="67" t="str">
        <f>$A$6</f>
        <v>DATA:__X__BASE  PERIOD____FORECASTED  PERIOD</v>
      </c>
      <c r="B51" s="67"/>
      <c r="H51" s="74"/>
      <c r="I51" s="75" t="str">
        <f>$I$6</f>
        <v>SCHEDULE B-3</v>
      </c>
    </row>
    <row r="52" spans="1:16" s="68" customFormat="1" ht="20.100000000000001" customHeight="1">
      <c r="A52" s="67" t="str">
        <f>$A$7</f>
        <v>TYPE OF FILING: __X__ ORIGINAL  _____ UPDATED  _____ REVISED</v>
      </c>
      <c r="H52" s="74"/>
      <c r="I52" s="74" t="s">
        <v>172</v>
      </c>
    </row>
    <row r="53" spans="1:16" s="68" customFormat="1" ht="20.100000000000001" customHeight="1">
      <c r="A53" s="67" t="str">
        <f>$A$8</f>
        <v>WORKPAPER REFERENCE NO(S).:</v>
      </c>
      <c r="B53" s="67"/>
      <c r="F53" s="67"/>
      <c r="G53" s="67"/>
      <c r="H53" s="75"/>
      <c r="I53" s="75" t="str">
        <f>$I$8</f>
        <v>WITNESS:   C. M. GARRETT</v>
      </c>
    </row>
    <row r="54" spans="1:16" s="68" customFormat="1" ht="20.100000000000001" customHeight="1"/>
    <row r="55" spans="1:16" s="68" customFormat="1" ht="20.100000000000001" customHeight="1">
      <c r="A55" s="96"/>
      <c r="B55" s="96"/>
      <c r="C55" s="96"/>
      <c r="D55" s="96"/>
      <c r="E55" s="769" t="s">
        <v>1203</v>
      </c>
      <c r="F55" s="769"/>
      <c r="G55" s="769"/>
      <c r="H55" s="769"/>
      <c r="I55" s="769"/>
    </row>
    <row r="56" spans="1:16" ht="65.099999999999994" customHeight="1">
      <c r="A56" s="71" t="s">
        <v>131</v>
      </c>
      <c r="B56" s="71" t="s">
        <v>134</v>
      </c>
      <c r="C56" s="78" t="s">
        <v>135</v>
      </c>
      <c r="D56" s="71" t="s">
        <v>1201</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B'!D56</f>
        <v>132379837.31</v>
      </c>
      <c r="E58" s="88">
        <f>SUMIFS('PIS B'!$V$11:$V$338,'PIS B'!$B$11:$B$338,'SCH B-3 B'!$B58)</f>
        <v>-45876590.448143795</v>
      </c>
      <c r="F58" s="134">
        <f>$P$62</f>
        <v>0.87240660746154175</v>
      </c>
      <c r="G58" s="88">
        <f t="shared" ref="G58:G61" si="13">E58*F58</f>
        <v>-40023040.634767696</v>
      </c>
      <c r="H58" s="88">
        <f>SUMIFS('SCH B-3.1'!$F$12:$F$27,'SCH B-3.1'!$B$12:$B$27,'SCH B-3 B'!$B58)</f>
        <v>0</v>
      </c>
      <c r="I58" s="88">
        <f t="shared" ref="I58:I61" si="14">SUM(G58:H58)</f>
        <v>-40023040.634767696</v>
      </c>
    </row>
    <row r="59" spans="1:16" ht="18.95" customHeight="1">
      <c r="A59" s="70">
        <f t="shared" si="1"/>
        <v>31</v>
      </c>
      <c r="B59" s="71" t="s">
        <v>1659</v>
      </c>
      <c r="C59" s="78" t="s">
        <v>1633</v>
      </c>
      <c r="D59" s="88">
        <f>'SCH B-2.1 B'!D57</f>
        <v>78850596.929999992</v>
      </c>
      <c r="E59" s="88">
        <f>SUMIFS('PIS B'!$V$11:$V$338,'PIS B'!$B$11:$B$338,'SCH B-3 B'!$B59)</f>
        <v>-28646415.016734298</v>
      </c>
      <c r="F59" s="134">
        <f t="shared" ref="F59:F61" si="15">$P$62</f>
        <v>0.87240660746154175</v>
      </c>
      <c r="G59" s="88">
        <f t="shared" si="13"/>
        <v>-24991321.740684535</v>
      </c>
      <c r="H59" s="88">
        <f>SUMIFS('SCH B-3.1'!$F$12:$F$27,'SCH B-3.1'!$B$12:$B$27,'SCH B-3 B'!$B59)</f>
        <v>0</v>
      </c>
      <c r="I59" s="88">
        <f t="shared" si="14"/>
        <v>-24991321.740684535</v>
      </c>
    </row>
    <row r="60" spans="1:16" ht="18.95" customHeight="1">
      <c r="A60" s="70">
        <f t="shared" si="1"/>
        <v>32</v>
      </c>
      <c r="B60" s="71" t="s">
        <v>1660</v>
      </c>
      <c r="C60" s="78" t="s">
        <v>1645</v>
      </c>
      <c r="D60" s="88">
        <f>'SCH B-2.1 B'!D58</f>
        <v>9765020.5799999982</v>
      </c>
      <c r="E60" s="88">
        <f>SUMIFS('PIS B'!$V$11:$V$338,'PIS B'!$B$11:$B$338,'SCH B-3 B'!$B60)</f>
        <v>-3752783.9813117199</v>
      </c>
      <c r="F60" s="134">
        <f t="shared" si="15"/>
        <v>0.87240660746154175</v>
      </c>
      <c r="G60" s="88">
        <f t="shared" si="13"/>
        <v>-3273953.5416721753</v>
      </c>
      <c r="H60" s="88">
        <f>SUMIFS('SCH B-3.1'!$F$12:$F$27,'SCH B-3.1'!$B$12:$B$27,'SCH B-3 B'!$B60)</f>
        <v>0</v>
      </c>
      <c r="I60" s="88">
        <f t="shared" si="14"/>
        <v>-3273953.5416721753</v>
      </c>
    </row>
    <row r="61" spans="1:16" ht="18.95" customHeight="1">
      <c r="A61" s="70">
        <f t="shared" si="1"/>
        <v>33</v>
      </c>
      <c r="B61" s="71" t="s">
        <v>1661</v>
      </c>
      <c r="C61" s="78" t="s">
        <v>1696</v>
      </c>
      <c r="D61" s="89">
        <f>'SCH B-2.1 B'!D59</f>
        <v>406991.12</v>
      </c>
      <c r="E61" s="89">
        <f>SUMIFS('PIS B'!$V$11:$V$338,'PIS B'!$B$11:$B$338,'SCH B-3 B'!$B61)</f>
        <v>-73527.01999999999</v>
      </c>
      <c r="F61" s="134">
        <f t="shared" si="15"/>
        <v>0.87240660746154175</v>
      </c>
      <c r="G61" s="89">
        <f t="shared" si="13"/>
        <v>-64145.458074956921</v>
      </c>
      <c r="H61" s="89">
        <f>SUMIFS('SCH B-3.1'!$F$12:$F$27,'SCH B-3.1'!$B$12:$B$27,'SCH B-3 B'!$B61)</f>
        <v>64145.458074956921</v>
      </c>
      <c r="I61" s="89">
        <f t="shared" si="14"/>
        <v>0</v>
      </c>
    </row>
    <row r="62" spans="1:16" ht="18.95" customHeight="1">
      <c r="A62" s="70">
        <f t="shared" si="1"/>
        <v>34</v>
      </c>
      <c r="C62" s="78" t="s">
        <v>145</v>
      </c>
      <c r="D62" s="86">
        <f>SUM(D42:D45,D58:D61)</f>
        <v>1037948072.0000001</v>
      </c>
      <c r="E62" s="86">
        <f t="shared" ref="E62:I62" si="16">SUM(E42:E45,E58:E61)</f>
        <v>-347722689.73247105</v>
      </c>
      <c r="F62" s="86"/>
      <c r="G62" s="86">
        <f t="shared" si="16"/>
        <v>-303355572.08690733</v>
      </c>
      <c r="H62" s="86">
        <f t="shared" si="16"/>
        <v>64145.458074956921</v>
      </c>
      <c r="I62" s="86">
        <f t="shared" si="16"/>
        <v>-303291426.6288324</v>
      </c>
      <c r="L62" s="136">
        <f>'JURISSEP B'!G258</f>
        <v>303355572.08690733</v>
      </c>
      <c r="M62" s="136"/>
      <c r="N62" s="136">
        <f>SUM(L62:M62)</f>
        <v>303355572.08690733</v>
      </c>
      <c r="O62" s="136">
        <f>-E62+M62</f>
        <v>347722689.73247105</v>
      </c>
      <c r="P62" s="137">
        <f>N62/O62</f>
        <v>0.87240660746154175</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B'!D63</f>
        <v>32027218.480000004</v>
      </c>
      <c r="E65" s="88">
        <f>SUMIFS('PIS B'!$V$11:$V$338,'PIS B'!$B$11:$B$338,'SCH B-3 B'!$B65)</f>
        <v>-17849518.673068594</v>
      </c>
      <c r="F65" s="134">
        <f>$P$74</f>
        <v>0.87242229577545105</v>
      </c>
      <c r="G65" s="88">
        <f t="shared" ref="G65:G73" si="17">E65*F65</f>
        <v>-15572318.059245287</v>
      </c>
      <c r="H65" s="88">
        <f>SUMIFS('SCH B-3.1'!$F$12:$F$27,'SCH B-3.1'!$B$12:$B$27,'SCH B-3 B'!$B65)</f>
        <v>0</v>
      </c>
      <c r="I65" s="88">
        <f t="shared" ref="I65:I73" si="18">SUM(G65:H65)</f>
        <v>-15572318.059245287</v>
      </c>
    </row>
    <row r="66" spans="1:16" ht="18.95" customHeight="1">
      <c r="A66" s="70">
        <f t="shared" si="1"/>
        <v>37</v>
      </c>
      <c r="B66" s="71" t="s">
        <v>1663</v>
      </c>
      <c r="C66" s="78" t="s">
        <v>148</v>
      </c>
      <c r="D66" s="88">
        <f>'SCH B-2.1 B'!D64</f>
        <v>29626094.620000001</v>
      </c>
      <c r="E66" s="88">
        <f>SUMIFS('PIS B'!$V$11:$V$338,'PIS B'!$B$11:$B$338,'SCH B-3 B'!$B66)</f>
        <v>-7652688.3041229118</v>
      </c>
      <c r="F66" s="134">
        <f t="shared" ref="F66:F73" si="19">$P$74</f>
        <v>0.87242229577545105</v>
      </c>
      <c r="G66" s="88">
        <f t="shared" si="17"/>
        <v>-6676375.8991368534</v>
      </c>
      <c r="H66" s="88">
        <f>SUMIFS('SCH B-3.1'!$F$12:$F$27,'SCH B-3.1'!$B$12:$B$27,'SCH B-3 B'!$B66)</f>
        <v>0</v>
      </c>
      <c r="I66" s="88">
        <f t="shared" si="18"/>
        <v>-6676375.8991368534</v>
      </c>
    </row>
    <row r="67" spans="1:16" ht="18.95" customHeight="1">
      <c r="A67" s="70">
        <f t="shared" si="1"/>
        <v>38</v>
      </c>
      <c r="B67" s="71" t="s">
        <v>1664</v>
      </c>
      <c r="C67" s="78" t="s">
        <v>149</v>
      </c>
      <c r="D67" s="88">
        <f>'SCH B-2.1 B'!D65</f>
        <v>351535336.80000001</v>
      </c>
      <c r="E67" s="88">
        <f>SUMIFS('PIS B'!$V$11:$V$338,'PIS B'!$B$11:$B$338,'SCH B-3 B'!$B67)</f>
        <v>-81674776.850800842</v>
      </c>
      <c r="F67" s="134">
        <f t="shared" si="19"/>
        <v>0.87242229577545105</v>
      </c>
      <c r="G67" s="88">
        <f t="shared" si="17"/>
        <v>-71254896.327123329</v>
      </c>
      <c r="H67" s="88">
        <f>SUMIFS('SCH B-3.1'!$F$12:$F$27,'SCH B-3.1'!$B$12:$B$27,'SCH B-3 B'!$B67)</f>
        <v>0</v>
      </c>
      <c r="I67" s="88">
        <f t="shared" si="18"/>
        <v>-71254896.327123329</v>
      </c>
    </row>
    <row r="68" spans="1:16" ht="18.95" customHeight="1">
      <c r="A68" s="70">
        <f t="shared" si="1"/>
        <v>39</v>
      </c>
      <c r="B68" s="71" t="s">
        <v>1665</v>
      </c>
      <c r="C68" s="78" t="s">
        <v>1666</v>
      </c>
      <c r="D68" s="88">
        <f>'SCH B-2.1 B'!D66</f>
        <v>78033094.149999991</v>
      </c>
      <c r="E68" s="88">
        <f>SUMIFS('PIS B'!$V$11:$V$338,'PIS B'!$B$11:$B$338,'SCH B-3 B'!$B68)</f>
        <v>-52470303.495545886</v>
      </c>
      <c r="F68" s="134">
        <f t="shared" si="19"/>
        <v>0.87242229577545105</v>
      </c>
      <c r="G68" s="88">
        <f t="shared" si="17"/>
        <v>-45776262.635618813</v>
      </c>
      <c r="H68" s="88">
        <f>SUMIFS('SCH B-3.1'!$F$12:$F$27,'SCH B-3.1'!$B$12:$B$27,'SCH B-3 B'!$B68)</f>
        <v>0</v>
      </c>
      <c r="I68" s="88">
        <f t="shared" si="18"/>
        <v>-45776262.635618813</v>
      </c>
    </row>
    <row r="69" spans="1:16" ht="18.95" customHeight="1">
      <c r="A69" s="70">
        <f t="shared" si="1"/>
        <v>40</v>
      </c>
      <c r="B69" s="71" t="s">
        <v>1667</v>
      </c>
      <c r="C69" s="78" t="s">
        <v>1668</v>
      </c>
      <c r="D69" s="88">
        <f>'SCH B-2.1 B'!D67</f>
        <v>394381289.09999985</v>
      </c>
      <c r="E69" s="88">
        <f>SUMIFS('PIS B'!$V$11:$V$338,'PIS B'!$B$11:$B$338,'SCH B-3 B'!$B69)</f>
        <v>-73395504.823062643</v>
      </c>
      <c r="F69" s="134">
        <f t="shared" si="19"/>
        <v>0.87242229577545105</v>
      </c>
      <c r="G69" s="88">
        <f t="shared" si="17"/>
        <v>-64031874.817334503</v>
      </c>
      <c r="H69" s="88">
        <f>SUMIFS('SCH B-3.1'!$F$12:$F$27,'SCH B-3.1'!$B$12:$B$27,'SCH B-3 B'!$B69)</f>
        <v>0</v>
      </c>
      <c r="I69" s="88">
        <f t="shared" si="18"/>
        <v>-64031874.817334503</v>
      </c>
    </row>
    <row r="70" spans="1:16" ht="18.95" customHeight="1">
      <c r="A70" s="70">
        <f t="shared" si="1"/>
        <v>41</v>
      </c>
      <c r="B70" s="71" t="s">
        <v>1669</v>
      </c>
      <c r="C70" s="78" t="s">
        <v>1670</v>
      </c>
      <c r="D70" s="88">
        <f>'SCH B-2.1 B'!D68</f>
        <v>189689393.74000001</v>
      </c>
      <c r="E70" s="88">
        <f>SUMIFS('PIS B'!$V$11:$V$338,'PIS B'!$B$11:$B$338,'SCH B-3 B'!$B70)</f>
        <v>-115921560.91148436</v>
      </c>
      <c r="F70" s="134">
        <f t="shared" si="19"/>
        <v>0.87242229577545105</v>
      </c>
      <c r="G70" s="88">
        <f t="shared" si="17"/>
        <v>-101132554.30027097</v>
      </c>
      <c r="H70" s="88">
        <f>SUMIFS('SCH B-3.1'!$F$12:$F$27,'SCH B-3.1'!$B$12:$B$27,'SCH B-3 B'!$B70)</f>
        <v>0</v>
      </c>
      <c r="I70" s="88">
        <f t="shared" si="18"/>
        <v>-101132554.30027097</v>
      </c>
    </row>
    <row r="71" spans="1:16" ht="18.95" customHeight="1">
      <c r="A71" s="70">
        <f t="shared" si="1"/>
        <v>42</v>
      </c>
      <c r="B71" s="71" t="s">
        <v>1671</v>
      </c>
      <c r="C71" s="78" t="s">
        <v>1672</v>
      </c>
      <c r="D71" s="88">
        <f>'SCH B-2.1 B'!D69</f>
        <v>448760.26</v>
      </c>
      <c r="E71" s="88">
        <f>SUMIFS('PIS B'!$V$11:$V$338,'PIS B'!$B$11:$B$338,'SCH B-3 B'!$B71)</f>
        <v>-256369.33221019898</v>
      </c>
      <c r="F71" s="134">
        <f t="shared" si="19"/>
        <v>0.87242229577545105</v>
      </c>
      <c r="G71" s="88">
        <f t="shared" si="17"/>
        <v>-223662.32137324108</v>
      </c>
      <c r="H71" s="88">
        <f>SUMIFS('SCH B-3.1'!$F$12:$F$27,'SCH B-3.1'!$B$12:$B$27,'SCH B-3 B'!$B71)</f>
        <v>0</v>
      </c>
      <c r="I71" s="88">
        <f t="shared" si="18"/>
        <v>-223662.32137324108</v>
      </c>
    </row>
    <row r="72" spans="1:16" ht="18.95" customHeight="1">
      <c r="A72" s="70">
        <f t="shared" si="1"/>
        <v>43</v>
      </c>
      <c r="B72" s="71" t="s">
        <v>1673</v>
      </c>
      <c r="C72" s="78" t="s">
        <v>1674</v>
      </c>
      <c r="D72" s="88">
        <f>'SCH B-2.1 B'!D70</f>
        <v>1299592.5499999998</v>
      </c>
      <c r="E72" s="88">
        <f>SUMIFS('PIS B'!$V$11:$V$338,'PIS B'!$B$11:$B$338,'SCH B-3 B'!$B72)</f>
        <v>-958368.50877748081</v>
      </c>
      <c r="F72" s="134">
        <f t="shared" si="19"/>
        <v>0.87242229577545105</v>
      </c>
      <c r="G72" s="88">
        <f t="shared" si="17"/>
        <v>-836102.05462654529</v>
      </c>
      <c r="H72" s="88">
        <f>SUMIFS('SCH B-3.1'!$F$12:$F$27,'SCH B-3.1'!$B$12:$B$27,'SCH B-3 B'!$B72)</f>
        <v>0</v>
      </c>
      <c r="I72" s="88">
        <f t="shared" si="18"/>
        <v>-836102.05462654529</v>
      </c>
    </row>
    <row r="73" spans="1:16" ht="18.95" customHeight="1">
      <c r="A73" s="70">
        <f t="shared" si="1"/>
        <v>44</v>
      </c>
      <c r="B73" s="71" t="s">
        <v>1675</v>
      </c>
      <c r="C73" s="78" t="s">
        <v>152</v>
      </c>
      <c r="D73" s="89">
        <f>'SCH B-2.1 B'!D71</f>
        <v>551323.88</v>
      </c>
      <c r="E73" s="89">
        <f>SUMIFS('PIS B'!$V$11:$V$338,'PIS B'!$B$11:$B$338,'SCH B-3 B'!$B73)</f>
        <v>-91218.789999999892</v>
      </c>
      <c r="F73" s="134">
        <f t="shared" si="19"/>
        <v>0.87242229577545105</v>
      </c>
      <c r="G73" s="89">
        <f t="shared" si="17"/>
        <v>-79581.306189658659</v>
      </c>
      <c r="H73" s="89">
        <f>SUMIFS('SCH B-3.1'!$F$12:$F$27,'SCH B-3.1'!$B$12:$B$27,'SCH B-3 B'!$B73)</f>
        <v>79581.306189658659</v>
      </c>
      <c r="I73" s="89">
        <f t="shared" si="18"/>
        <v>0</v>
      </c>
    </row>
    <row r="74" spans="1:16" ht="18.95" customHeight="1">
      <c r="A74" s="70">
        <f t="shared" si="1"/>
        <v>45</v>
      </c>
      <c r="C74" s="78" t="s">
        <v>150</v>
      </c>
      <c r="D74" s="86">
        <f>SUM(D65:D73)</f>
        <v>1077592103.5799999</v>
      </c>
      <c r="E74" s="86">
        <f t="shared" ref="E74:I74" si="20">SUM(E65:E73)</f>
        <v>-350270309.68907297</v>
      </c>
      <c r="F74" s="86"/>
      <c r="G74" s="86">
        <f t="shared" si="20"/>
        <v>-305583627.72091919</v>
      </c>
      <c r="H74" s="86">
        <f t="shared" si="20"/>
        <v>79581.306189658659</v>
      </c>
      <c r="I74" s="86">
        <f t="shared" si="20"/>
        <v>-305504046.41472954</v>
      </c>
      <c r="L74" s="136">
        <f>'JURISSEP B'!G267</f>
        <v>305583627.72091925</v>
      </c>
      <c r="M74" s="136"/>
      <c r="N74" s="136">
        <f>SUM(L74:M74)</f>
        <v>305583627.72091925</v>
      </c>
      <c r="O74" s="136">
        <f>-E74+M74</f>
        <v>350270309.68907297</v>
      </c>
      <c r="P74" s="137">
        <f>N74/O74</f>
        <v>0.87242229577545105</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B'!D75</f>
        <v>9992760.0699999891</v>
      </c>
      <c r="E77" s="88">
        <f>SUMIFS('PIS B'!$V$11:$V$338,'PIS B'!$B$11:$B$338,'SCH B-3 B'!$B77)</f>
        <v>-1496119.702637963</v>
      </c>
      <c r="F77" s="134">
        <f>$P$90</f>
        <v>0.94003625825404036</v>
      </c>
      <c r="G77" s="88">
        <f t="shared" ref="G77:G89" si="21">E77*F77</f>
        <v>-1406406.7671679382</v>
      </c>
      <c r="H77" s="88">
        <f>SUMIFS('SCH B-3.1'!$F$12:$F$27,'SCH B-3.1'!$B$12:$B$27,'SCH B-3 B'!$B77)</f>
        <v>0</v>
      </c>
      <c r="I77" s="88">
        <f t="shared" ref="I77:I89" si="22">SUM(G77:H77)</f>
        <v>-1406406.7671679382</v>
      </c>
    </row>
    <row r="78" spans="1:16" ht="18.95" customHeight="1">
      <c r="A78" s="70">
        <f t="shared" si="1"/>
        <v>48</v>
      </c>
      <c r="B78" s="71" t="s">
        <v>1677</v>
      </c>
      <c r="C78" s="78" t="s">
        <v>148</v>
      </c>
      <c r="D78" s="88">
        <f>'SCH B-2.1 B'!D76</f>
        <v>20991928.939999998</v>
      </c>
      <c r="E78" s="88">
        <f>SUMIFS('PIS B'!$V$11:$V$338,'PIS B'!$B$11:$B$338,'SCH B-3 B'!$B78)</f>
        <v>-2694488.9073048159</v>
      </c>
      <c r="F78" s="134">
        <f t="shared" ref="F78:F81" si="23">$P$90</f>
        <v>0.94003625825404036</v>
      </c>
      <c r="G78" s="88">
        <f t="shared" si="21"/>
        <v>-2532917.2703298368</v>
      </c>
      <c r="H78" s="88">
        <f>SUMIFS('SCH B-3.1'!$F$12:$F$27,'SCH B-3.1'!$B$12:$B$27,'SCH B-3 B'!$B78)</f>
        <v>0</v>
      </c>
      <c r="I78" s="88">
        <f t="shared" si="22"/>
        <v>-2532917.2703298368</v>
      </c>
    </row>
    <row r="79" spans="1:16" ht="18.95" customHeight="1">
      <c r="A79" s="70">
        <f t="shared" si="1"/>
        <v>49</v>
      </c>
      <c r="B79" s="71" t="s">
        <v>1678</v>
      </c>
      <c r="C79" s="78" t="s">
        <v>1679</v>
      </c>
      <c r="D79" s="88">
        <f>'SCH B-2.1 B'!D77</f>
        <v>240372654.75999999</v>
      </c>
      <c r="E79" s="88">
        <f>SUMIFS('PIS B'!$V$11:$V$338,'PIS B'!$B$11:$B$338,'SCH B-3 B'!$B79)</f>
        <v>-53205710.740158692</v>
      </c>
      <c r="F79" s="134">
        <f t="shared" si="23"/>
        <v>0.94003625825404036</v>
      </c>
      <c r="G79" s="88">
        <f t="shared" si="21"/>
        <v>-50015297.241925582</v>
      </c>
      <c r="H79" s="88">
        <f>SUMIFS('SCH B-3.1'!$F$12:$F$27,'SCH B-3.1'!$B$12:$B$27,'SCH B-3 B'!$B79)</f>
        <v>0</v>
      </c>
      <c r="I79" s="88">
        <f t="shared" si="22"/>
        <v>-50015297.241925582</v>
      </c>
    </row>
    <row r="80" spans="1:16" ht="18.95" customHeight="1">
      <c r="A80" s="70">
        <f t="shared" ref="A80:A90" si="24">A79+1</f>
        <v>50</v>
      </c>
      <c r="B80" s="71" t="s">
        <v>1680</v>
      </c>
      <c r="C80" s="78" t="s">
        <v>1681</v>
      </c>
      <c r="D80" s="88">
        <f>'SCH B-2.1 B'!D78</f>
        <v>413003102.42000008</v>
      </c>
      <c r="E80" s="88">
        <f>SUMIFS('PIS B'!$V$11:$V$338,'PIS B'!$B$11:$B$338,'SCH B-3 B'!$B80)</f>
        <v>-171283702.63267216</v>
      </c>
      <c r="F80" s="134">
        <f t="shared" si="23"/>
        <v>0.94003625825404036</v>
      </c>
      <c r="G80" s="88">
        <f t="shared" si="21"/>
        <v>-161012890.92271486</v>
      </c>
      <c r="H80" s="88">
        <f>SUMIFS('SCH B-3.1'!$F$12:$F$27,'SCH B-3.1'!$B$12:$B$27,'SCH B-3 B'!$B80)</f>
        <v>2621.2643339087472</v>
      </c>
      <c r="I80" s="88">
        <f t="shared" si="22"/>
        <v>-161010269.65838096</v>
      </c>
    </row>
    <row r="81" spans="1:16" ht="18.95" customHeight="1">
      <c r="A81" s="70">
        <f t="shared" si="24"/>
        <v>51</v>
      </c>
      <c r="B81" s="71" t="s">
        <v>1682</v>
      </c>
      <c r="C81" s="78" t="s">
        <v>1670</v>
      </c>
      <c r="D81" s="88">
        <f>'SCH B-2.1 B'!D79</f>
        <v>409364980.66000003</v>
      </c>
      <c r="E81" s="88">
        <f>SUMIFS('PIS B'!$V$11:$V$338,'PIS B'!$B$11:$B$338,'SCH B-3 B'!$B81)</f>
        <v>-117441387.61241996</v>
      </c>
      <c r="F81" s="134">
        <f t="shared" si="23"/>
        <v>0.94003625825404036</v>
      </c>
      <c r="G81" s="88">
        <f t="shared" si="21"/>
        <v>-110399162.57534167</v>
      </c>
      <c r="H81" s="88">
        <f>SUMIFS('SCH B-3.1'!$F$12:$F$27,'SCH B-3.1'!$B$12:$B$27,'SCH B-3 B'!$B81)</f>
        <v>2822.6118219974633</v>
      </c>
      <c r="I81" s="88">
        <f t="shared" si="22"/>
        <v>-110396339.96351968</v>
      </c>
    </row>
    <row r="82" spans="1:16" ht="18.95" customHeight="1">
      <c r="A82" s="70">
        <f t="shared" si="24"/>
        <v>52</v>
      </c>
      <c r="B82" s="71" t="s">
        <v>1683</v>
      </c>
      <c r="C82" s="78" t="s">
        <v>1672</v>
      </c>
      <c r="D82" s="88">
        <f>'SCH B-2.1 B'!D80</f>
        <v>2390106.04</v>
      </c>
      <c r="E82" s="88">
        <f>SUMIFS('PIS B'!$V$11:$V$338,'PIS B'!$B$11:$B$338,'SCH B-3 B'!$B82)</f>
        <v>-1006561.1259778955</v>
      </c>
      <c r="F82" s="134">
        <f>'SCH B-2.1 B'!E80</f>
        <v>1</v>
      </c>
      <c r="G82" s="88">
        <f t="shared" si="21"/>
        <v>-1006561.1259778955</v>
      </c>
      <c r="H82" s="88">
        <f>SUMIFS('SCH B-3.1'!$F$12:$F$27,'SCH B-3.1'!$B$12:$B$27,'SCH B-3 B'!$B82)</f>
        <v>18840.289231999901</v>
      </c>
      <c r="I82" s="88">
        <f t="shared" si="22"/>
        <v>-987720.83674589556</v>
      </c>
    </row>
    <row r="83" spans="1:16" ht="18.95" customHeight="1">
      <c r="A83" s="70">
        <f t="shared" si="24"/>
        <v>53</v>
      </c>
      <c r="B83" s="71" t="s">
        <v>1684</v>
      </c>
      <c r="C83" s="78" t="s">
        <v>1674</v>
      </c>
      <c r="D83" s="88">
        <f>'SCH B-2.1 B'!D81</f>
        <v>208147256.36000001</v>
      </c>
      <c r="E83" s="88">
        <f>SUMIFS('PIS B'!$V$11:$V$338,'PIS B'!$B$11:$B$338,'SCH B-3 B'!$B83)</f>
        <v>-51544413.494551115</v>
      </c>
      <c r="F83" s="134">
        <f t="shared" ref="F83:F88" si="25">$P$90</f>
        <v>0.94003625825404036</v>
      </c>
      <c r="G83" s="88">
        <f t="shared" si="21"/>
        <v>-48453617.595316894</v>
      </c>
      <c r="H83" s="88">
        <f>SUMIFS('SCH B-3.1'!$F$12:$F$27,'SCH B-3.1'!$B$12:$B$27,'SCH B-3 B'!$B83)</f>
        <v>127916.41311961437</v>
      </c>
      <c r="I83" s="88">
        <f t="shared" si="22"/>
        <v>-48325701.18219728</v>
      </c>
    </row>
    <row r="84" spans="1:16" ht="18.95" customHeight="1">
      <c r="A84" s="70">
        <f t="shared" si="24"/>
        <v>54</v>
      </c>
      <c r="B84" s="71" t="s">
        <v>1685</v>
      </c>
      <c r="C84" s="78" t="s">
        <v>1686</v>
      </c>
      <c r="D84" s="88">
        <f>'SCH B-2.1 B'!D82</f>
        <v>321609357.93000001</v>
      </c>
      <c r="E84" s="88">
        <f>SUMIFS('PIS B'!$V$11:$V$338,'PIS B'!$B$11:$B$338,'SCH B-3 B'!$B84)</f>
        <v>-149294508.74747679</v>
      </c>
      <c r="F84" s="134">
        <f t="shared" si="25"/>
        <v>0.94003625825404036</v>
      </c>
      <c r="G84" s="88">
        <f t="shared" si="21"/>
        <v>-140342251.38085318</v>
      </c>
      <c r="H84" s="88">
        <f>SUMIFS('SCH B-3.1'!$F$12:$F$27,'SCH B-3.1'!$B$12:$B$27,'SCH B-3 B'!$B84)</f>
        <v>0</v>
      </c>
      <c r="I84" s="88">
        <f t="shared" si="22"/>
        <v>-140342251.38085318</v>
      </c>
    </row>
    <row r="85" spans="1:16" ht="18.95" customHeight="1">
      <c r="A85" s="70">
        <f t="shared" si="24"/>
        <v>55</v>
      </c>
      <c r="B85" s="71" t="s">
        <v>1687</v>
      </c>
      <c r="C85" s="78" t="s">
        <v>1688</v>
      </c>
      <c r="D85" s="88">
        <f>'SCH B-2.1 B'!D83</f>
        <v>114503751.92</v>
      </c>
      <c r="E85" s="88">
        <f>SUMIFS('PIS B'!$V$11:$V$338,'PIS B'!$B$11:$B$338,'SCH B-3 B'!$B85)</f>
        <v>-65891536.285215043</v>
      </c>
      <c r="F85" s="134">
        <f t="shared" si="25"/>
        <v>0.94003625825404036</v>
      </c>
      <c r="G85" s="88">
        <f t="shared" si="21"/>
        <v>-61940433.220163882</v>
      </c>
      <c r="H85" s="88">
        <f>SUMIFS('SCH B-3.1'!$F$12:$F$27,'SCH B-3.1'!$B$12:$B$27,'SCH B-3 B'!$B85)</f>
        <v>0</v>
      </c>
      <c r="I85" s="88">
        <f t="shared" si="22"/>
        <v>-61940433.220163882</v>
      </c>
    </row>
    <row r="86" spans="1:16" ht="18.95" customHeight="1">
      <c r="A86" s="70">
        <f>A85+1</f>
        <v>56</v>
      </c>
      <c r="B86" s="71" t="s">
        <v>1689</v>
      </c>
      <c r="C86" s="78" t="s">
        <v>1690</v>
      </c>
      <c r="D86" s="88">
        <f>'SCH B-2.1 B'!D84</f>
        <v>81031784.209999993</v>
      </c>
      <c r="E86" s="88">
        <f>SUMIFS('PIS B'!$V$11:$V$338,'PIS B'!$B$11:$B$338,'SCH B-3 B'!$B86)</f>
        <v>-42020315.688584775</v>
      </c>
      <c r="F86" s="134">
        <f t="shared" si="25"/>
        <v>0.94003625825404036</v>
      </c>
      <c r="G86" s="88">
        <f t="shared" si="21"/>
        <v>-39500620.330550782</v>
      </c>
      <c r="H86" s="88">
        <f>SUMIFS('SCH B-3.1'!$F$12:$F$27,'SCH B-3.1'!$B$12:$B$27,'SCH B-3 B'!$B86)</f>
        <v>161829.76580200001</v>
      </c>
      <c r="I86" s="88">
        <f t="shared" si="22"/>
        <v>-39338790.564748779</v>
      </c>
    </row>
    <row r="87" spans="1:16" ht="18.95" customHeight="1">
      <c r="A87" s="70">
        <f t="shared" si="24"/>
        <v>57</v>
      </c>
      <c r="B87" s="71" t="s">
        <v>1691</v>
      </c>
      <c r="C87" s="78" t="s">
        <v>1692</v>
      </c>
      <c r="D87" s="88">
        <f>'SCH B-2.1 B'!D85</f>
        <v>148818.36999999994</v>
      </c>
      <c r="E87" s="88">
        <f>SUMIFS('PIS B'!$V$11:$V$338,'PIS B'!$B$11:$B$338,'SCH B-3 B'!$B87)</f>
        <v>-4068.8166858229042</v>
      </c>
      <c r="F87" s="134">
        <f t="shared" si="25"/>
        <v>0.94003625825404036</v>
      </c>
      <c r="G87" s="88">
        <f t="shared" si="21"/>
        <v>-3824.8352128625684</v>
      </c>
      <c r="H87" s="88">
        <f>SUMIFS('SCH B-3.1'!$F$12:$F$27,'SCH B-3.1'!$B$12:$B$27,'SCH B-3 B'!$B87)</f>
        <v>0</v>
      </c>
      <c r="I87" s="88">
        <f t="shared" si="22"/>
        <v>-3824.8352128625684</v>
      </c>
    </row>
    <row r="88" spans="1:16" ht="18.95" customHeight="1">
      <c r="A88" s="70">
        <f t="shared" si="24"/>
        <v>58</v>
      </c>
      <c r="B88" s="71" t="s">
        <v>1693</v>
      </c>
      <c r="C88" s="78" t="s">
        <v>1694</v>
      </c>
      <c r="D88" s="88">
        <f>'SCH B-2.1 B'!D86</f>
        <v>127760474.66999999</v>
      </c>
      <c r="E88" s="88">
        <f>SUMIFS('PIS B'!$V$11:$V$338,'PIS B'!$B$11:$B$338,'SCH B-3 B'!$B88)</f>
        <v>-45376361.03140638</v>
      </c>
      <c r="F88" s="134">
        <f t="shared" si="25"/>
        <v>0.94003625825404036</v>
      </c>
      <c r="G88" s="88">
        <f t="shared" si="21"/>
        <v>-42655424.637147702</v>
      </c>
      <c r="H88" s="88">
        <f>SUMIFS('SCH B-3.1'!$F$12:$F$27,'SCH B-3.1'!$B$12:$B$27,'SCH B-3 B'!$B88)</f>
        <v>0</v>
      </c>
      <c r="I88" s="88">
        <f t="shared" si="22"/>
        <v>-42655424.637147702</v>
      </c>
    </row>
    <row r="89" spans="1:16" ht="18.95" customHeight="1">
      <c r="A89" s="70">
        <f t="shared" si="24"/>
        <v>59</v>
      </c>
      <c r="B89" s="71" t="s">
        <v>1695</v>
      </c>
      <c r="C89" s="78" t="s">
        <v>151</v>
      </c>
      <c r="D89" s="89">
        <f>'SCH B-2.1 B'!D87</f>
        <v>658287.18999999901</v>
      </c>
      <c r="E89" s="89">
        <f>SUMIFS('PIS B'!$V$11:$V$338,'PIS B'!$B$11:$B$338,'SCH B-3 B'!$B89)</f>
        <v>-123218.49</v>
      </c>
      <c r="F89" s="134">
        <f>'SCH B-2.1 B'!E87</f>
        <v>1</v>
      </c>
      <c r="G89" s="89">
        <f t="shared" si="21"/>
        <v>-123218.49</v>
      </c>
      <c r="H89" s="89">
        <f>SUMIFS('SCH B-3.1'!$F$12:$F$27,'SCH B-3.1'!$B$12:$B$27,'SCH B-3 B'!$B89)</f>
        <v>123218.49</v>
      </c>
      <c r="I89" s="89">
        <f t="shared" si="22"/>
        <v>0</v>
      </c>
    </row>
    <row r="90" spans="1:16" ht="18.95" customHeight="1">
      <c r="A90" s="70">
        <f t="shared" si="24"/>
        <v>60</v>
      </c>
      <c r="B90" s="71"/>
      <c r="C90" s="78" t="s">
        <v>153</v>
      </c>
      <c r="D90" s="86">
        <f>SUM(D77:D89)</f>
        <v>1949975263.5400002</v>
      </c>
      <c r="E90" s="86">
        <f t="shared" ref="E90:I90" si="26">SUM(E77:E89)</f>
        <v>-701382393.27509141</v>
      </c>
      <c r="F90" s="86"/>
      <c r="G90" s="86">
        <f t="shared" si="26"/>
        <v>-659392626.39270306</v>
      </c>
      <c r="H90" s="86">
        <f t="shared" si="26"/>
        <v>437248.83430952049</v>
      </c>
      <c r="I90" s="86">
        <f t="shared" si="26"/>
        <v>-658955377.55839348</v>
      </c>
      <c r="L90" s="136">
        <f>'JURISSEP B'!G271</f>
        <v>659392626.39270306</v>
      </c>
      <c r="M90" s="136">
        <f>G82+G89</f>
        <v>-1129779.6159778954</v>
      </c>
      <c r="N90" s="136">
        <f>SUM(L90:M90)</f>
        <v>658262846.77672517</v>
      </c>
      <c r="O90" s="136">
        <f>-E90+M90</f>
        <v>700252613.65911353</v>
      </c>
      <c r="P90" s="137">
        <f>N90/O90</f>
        <v>0.94003625825404036</v>
      </c>
    </row>
    <row r="91" spans="1:16" s="68" customFormat="1" ht="20.100000000000001" customHeight="1">
      <c r="A91" s="767" t="str">
        <f>$A$1</f>
        <v>KENTUCKY UTILITIES COMPANY</v>
      </c>
      <c r="B91" s="767"/>
      <c r="C91" s="767"/>
      <c r="D91" s="767"/>
      <c r="E91" s="767"/>
      <c r="F91" s="767"/>
      <c r="G91" s="767"/>
      <c r="H91" s="767"/>
      <c r="I91" s="767"/>
    </row>
    <row r="92" spans="1:16" s="68" customFormat="1" ht="20.100000000000001" customHeight="1">
      <c r="A92" s="767" t="str">
        <f>$A$2</f>
        <v>CASE NO. 2018-00294</v>
      </c>
      <c r="B92" s="767"/>
      <c r="C92" s="767"/>
      <c r="D92" s="767"/>
      <c r="E92" s="767"/>
      <c r="F92" s="767"/>
      <c r="G92" s="767"/>
      <c r="H92" s="767"/>
      <c r="I92" s="767"/>
    </row>
    <row r="93" spans="1:16" s="68" customFormat="1" ht="20.100000000000001" customHeight="1">
      <c r="A93" s="767" t="str">
        <f>$A$3</f>
        <v>ACCUMULATED DEPRECIATION AND AMORTIZATION</v>
      </c>
      <c r="B93" s="767"/>
      <c r="C93" s="767"/>
      <c r="D93" s="767"/>
      <c r="E93" s="767"/>
      <c r="F93" s="767"/>
      <c r="G93" s="767"/>
      <c r="H93" s="767"/>
      <c r="I93" s="767"/>
    </row>
    <row r="94" spans="1:16" s="68" customFormat="1" ht="20.100000000000001" customHeight="1">
      <c r="A94" s="766" t="str">
        <f>$A$4</f>
        <v>AS OF DECEMBER 31, 2018</v>
      </c>
      <c r="B94" s="767"/>
      <c r="C94" s="767"/>
      <c r="D94" s="767"/>
      <c r="E94" s="767"/>
      <c r="F94" s="767"/>
      <c r="G94" s="767"/>
      <c r="H94" s="767"/>
      <c r="I94" s="767"/>
    </row>
    <row r="95" spans="1:16" s="68" customFormat="1" ht="20.100000000000001" customHeight="1">
      <c r="A95" s="84"/>
      <c r="B95" s="84"/>
      <c r="C95" s="84"/>
      <c r="D95" s="84"/>
      <c r="E95" s="84"/>
      <c r="F95" s="84"/>
      <c r="G95" s="84"/>
      <c r="H95" s="84"/>
      <c r="I95" s="84"/>
    </row>
    <row r="96" spans="1:16" s="68" customFormat="1" ht="20.100000000000001" customHeight="1">
      <c r="A96" s="67" t="str">
        <f>$A$6</f>
        <v>DATA:__X__BASE  PERIOD____FORECASTED  PERIOD</v>
      </c>
      <c r="B96" s="67"/>
      <c r="H96" s="74"/>
      <c r="I96" s="75" t="str">
        <f>$I$6</f>
        <v>SCHEDULE B-3</v>
      </c>
    </row>
    <row r="97" spans="1:9" s="68" customFormat="1" ht="20.100000000000001" customHeight="1">
      <c r="A97" s="67" t="str">
        <f>$A$7</f>
        <v>TYPE OF FILING: __X__ ORIGINAL  _____ UPDATED  _____ REVISED</v>
      </c>
      <c r="H97" s="74"/>
      <c r="I97" s="74" t="s">
        <v>171</v>
      </c>
    </row>
    <row r="98" spans="1:9" s="68" customFormat="1" ht="20.100000000000001" customHeight="1">
      <c r="A98" s="67" t="str">
        <f>$A$8</f>
        <v>WORKPAPER REFERENCE NO(S).:</v>
      </c>
      <c r="B98" s="67"/>
      <c r="F98" s="67"/>
      <c r="G98" s="67"/>
      <c r="H98" s="75"/>
      <c r="I98" s="75" t="str">
        <f>$I$8</f>
        <v>WITNESS:   C. M. GARRETT</v>
      </c>
    </row>
    <row r="99" spans="1:9" s="68" customFormat="1" ht="20.100000000000001" customHeight="1"/>
    <row r="100" spans="1:9" s="68" customFormat="1" ht="20.100000000000001" customHeight="1">
      <c r="A100" s="96"/>
      <c r="B100" s="96"/>
      <c r="C100" s="96"/>
      <c r="D100" s="96"/>
      <c r="E100" s="769" t="s">
        <v>1203</v>
      </c>
      <c r="F100" s="769"/>
      <c r="G100" s="769"/>
      <c r="H100" s="769"/>
      <c r="I100" s="769"/>
    </row>
    <row r="101" spans="1:9" ht="65.099999999999994" customHeight="1">
      <c r="A101" s="71" t="s">
        <v>131</v>
      </c>
      <c r="B101" s="71" t="s">
        <v>134</v>
      </c>
      <c r="C101" s="78" t="s">
        <v>135</v>
      </c>
      <c r="D101" s="71" t="s">
        <v>1201</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27">A103+1</f>
        <v>62</v>
      </c>
      <c r="B104" s="71" t="s">
        <v>1697</v>
      </c>
      <c r="C104" s="78" t="s">
        <v>154</v>
      </c>
      <c r="D104" s="88">
        <f>'SCH B-2.1 B'!D101</f>
        <v>4121174.3899999997</v>
      </c>
      <c r="E104" s="88">
        <f>SUMIFS('PIS B'!$V$11:$V$338,'PIS B'!$B$11:$B$338,'SCH B-3 B'!$B104)</f>
        <v>-3.7362846840657762E-14</v>
      </c>
      <c r="F104" s="134">
        <f>$P$114</f>
        <v>0.90848299807617505</v>
      </c>
      <c r="G104" s="88">
        <f t="shared" ref="G104:G113" si="28">E104*F104</f>
        <v>-3.3943511114461708E-14</v>
      </c>
      <c r="H104" s="88">
        <f>SUMIFS('SCH B-3.1'!$F$12:$F$27,'SCH B-3.1'!$B$12:$B$27,'SCH B-3 B'!$B104)</f>
        <v>0</v>
      </c>
      <c r="I104" s="88">
        <f t="shared" ref="I104:I113" si="29">SUM(G104:H104)</f>
        <v>-3.3943511114461708E-14</v>
      </c>
    </row>
    <row r="105" spans="1:9" ht="18.95" customHeight="1">
      <c r="A105" s="70">
        <f t="shared" si="27"/>
        <v>63</v>
      </c>
      <c r="B105" s="71" t="s">
        <v>1698</v>
      </c>
      <c r="C105" s="78" t="s">
        <v>148</v>
      </c>
      <c r="D105" s="88">
        <f>'SCH B-2.1 B'!D102</f>
        <v>69620713.879999995</v>
      </c>
      <c r="E105" s="88">
        <f>SUMIFS('PIS B'!$V$11:$V$338,'PIS B'!$B$11:$B$338,'SCH B-3 B'!$B105)</f>
        <v>-14075423.429172477</v>
      </c>
      <c r="F105" s="134">
        <f t="shared" ref="F105:F113" si="30">$P$114</f>
        <v>0.90848299807617505</v>
      </c>
      <c r="G105" s="88">
        <f t="shared" si="28"/>
        <v>-12787282.876126248</v>
      </c>
      <c r="H105" s="88">
        <f>SUMIFS('SCH B-3.1'!$F$12:$F$27,'SCH B-3.1'!$B$12:$B$27,'SCH B-3 B'!$B105)</f>
        <v>0</v>
      </c>
      <c r="I105" s="88">
        <f t="shared" si="29"/>
        <v>-12787282.876126248</v>
      </c>
    </row>
    <row r="106" spans="1:9" ht="18.95" customHeight="1">
      <c r="A106" s="70">
        <f t="shared" si="27"/>
        <v>64</v>
      </c>
      <c r="B106" s="71" t="s">
        <v>1699</v>
      </c>
      <c r="C106" s="78" t="s">
        <v>156</v>
      </c>
      <c r="D106" s="88">
        <f>'SCH B-2.1 B'!D103</f>
        <v>46306302.539999999</v>
      </c>
      <c r="E106" s="88">
        <f>SUMIFS('PIS B'!$V$11:$V$338,'PIS B'!$B$11:$B$338,'SCH B-3 B'!$B106)</f>
        <v>-21645552.8794499</v>
      </c>
      <c r="F106" s="134">
        <f t="shared" si="30"/>
        <v>0.90848299807617505</v>
      </c>
      <c r="G106" s="88">
        <f t="shared" si="28"/>
        <v>-19664616.77493903</v>
      </c>
      <c r="H106" s="88">
        <f>SUMIFS('SCH B-3.1'!$F$12:$F$27,'SCH B-3.1'!$B$12:$B$27,'SCH B-3 B'!$B106)</f>
        <v>0</v>
      </c>
      <c r="I106" s="88">
        <f t="shared" si="29"/>
        <v>-19664616.77493903</v>
      </c>
    </row>
    <row r="107" spans="1:9" ht="18.95" customHeight="1">
      <c r="A107" s="70">
        <f t="shared" si="27"/>
        <v>65</v>
      </c>
      <c r="B107" s="71" t="s">
        <v>1700</v>
      </c>
      <c r="C107" s="78" t="s">
        <v>155</v>
      </c>
      <c r="D107" s="88">
        <f>'SCH B-2.1 B'!D104</f>
        <v>7538271.6999999993</v>
      </c>
      <c r="E107" s="88">
        <f>SUMIFS('PIS B'!$V$11:$V$338,'PIS B'!$B$11:$B$338,'SCH B-3 B'!$B107)</f>
        <v>-4207337.3517280193</v>
      </c>
      <c r="F107" s="134">
        <f t="shared" si="30"/>
        <v>0.90848299807617505</v>
      </c>
      <c r="G107" s="88">
        <f t="shared" si="28"/>
        <v>-3822294.4512157454</v>
      </c>
      <c r="H107" s="88">
        <f>SUMIFS('SCH B-3.1'!$F$12:$F$27,'SCH B-3.1'!$B$12:$B$27,'SCH B-3 B'!$B107)</f>
        <v>17801.676767322595</v>
      </c>
      <c r="I107" s="88">
        <f t="shared" si="29"/>
        <v>-3804492.7744484227</v>
      </c>
    </row>
    <row r="108" spans="1:9" ht="18.95" customHeight="1">
      <c r="A108" s="70">
        <f t="shared" si="27"/>
        <v>66</v>
      </c>
      <c r="B108" s="71" t="s">
        <v>1701</v>
      </c>
      <c r="C108" s="78" t="s">
        <v>1702</v>
      </c>
      <c r="D108" s="88">
        <f>'SCH B-2.1 B'!D105</f>
        <v>951537.17999999993</v>
      </c>
      <c r="E108" s="88">
        <f>SUMIFS('PIS B'!$V$11:$V$338,'PIS B'!$B$11:$B$338,'SCH B-3 B'!$B108)</f>
        <v>-453383.44288433302</v>
      </c>
      <c r="F108" s="134">
        <f t="shared" si="30"/>
        <v>0.90848299807617505</v>
      </c>
      <c r="G108" s="88">
        <f t="shared" si="28"/>
        <v>-411891.14946965716</v>
      </c>
      <c r="H108" s="88">
        <f>SUMIFS('SCH B-3.1'!$F$12:$F$27,'SCH B-3.1'!$B$12:$B$27,'SCH B-3 B'!$B108)</f>
        <v>0</v>
      </c>
      <c r="I108" s="88">
        <f t="shared" si="29"/>
        <v>-411891.14946965716</v>
      </c>
    </row>
    <row r="109" spans="1:9" ht="18.95" customHeight="1">
      <c r="A109" s="70">
        <f t="shared" si="27"/>
        <v>67</v>
      </c>
      <c r="B109" s="71" t="s">
        <v>1703</v>
      </c>
      <c r="C109" s="78" t="s">
        <v>1704</v>
      </c>
      <c r="D109" s="88">
        <f>'SCH B-2.1 B'!D106</f>
        <v>15400127.300000001</v>
      </c>
      <c r="E109" s="88">
        <f>SUMIFS('PIS B'!$V$11:$V$338,'PIS B'!$B$11:$B$338,'SCH B-3 B'!$B109)</f>
        <v>-4805576.5001440002</v>
      </c>
      <c r="F109" s="134">
        <f t="shared" si="30"/>
        <v>0.90848299807617505</v>
      </c>
      <c r="G109" s="88">
        <f t="shared" si="28"/>
        <v>-4365784.5463352334</v>
      </c>
      <c r="H109" s="88">
        <f>SUMIFS('SCH B-3.1'!$F$12:$F$27,'SCH B-3.1'!$B$12:$B$27,'SCH B-3 B'!$B109)</f>
        <v>0</v>
      </c>
      <c r="I109" s="88">
        <f t="shared" si="29"/>
        <v>-4365784.5463352334</v>
      </c>
    </row>
    <row r="110" spans="1:9" ht="18.95" customHeight="1">
      <c r="A110" s="70">
        <f t="shared" si="27"/>
        <v>68</v>
      </c>
      <c r="B110" s="71" t="s">
        <v>1705</v>
      </c>
      <c r="C110" s="78" t="s">
        <v>1706</v>
      </c>
      <c r="D110" s="88">
        <f>'SCH B-2.1 B'!D107</f>
        <v>0</v>
      </c>
      <c r="E110" s="88">
        <f>SUMIFS('PIS B'!$V$11:$V$338,'PIS B'!$B$11:$B$338,'SCH B-3 B'!$B110)</f>
        <v>0</v>
      </c>
      <c r="F110" s="134">
        <f t="shared" si="30"/>
        <v>0.90848299807617505</v>
      </c>
      <c r="G110" s="88">
        <f t="shared" si="28"/>
        <v>0</v>
      </c>
      <c r="H110" s="88">
        <f>SUMIFS('SCH B-3.1'!$F$12:$F$27,'SCH B-3.1'!$B$12:$B$27,'SCH B-3 B'!$B110)</f>
        <v>0</v>
      </c>
      <c r="I110" s="88">
        <f t="shared" si="29"/>
        <v>0</v>
      </c>
    </row>
    <row r="111" spans="1:9" ht="18.95" customHeight="1">
      <c r="A111" s="70">
        <f t="shared" si="27"/>
        <v>69</v>
      </c>
      <c r="B111" s="71" t="s">
        <v>1707</v>
      </c>
      <c r="C111" s="78" t="s">
        <v>1708</v>
      </c>
      <c r="D111" s="88">
        <f>'SCH B-2.1 B'!D108</f>
        <v>4137907.3999999994</v>
      </c>
      <c r="E111" s="88">
        <f>SUMIFS('PIS B'!$V$11:$V$338,'PIS B'!$B$11:$B$338,'SCH B-3 B'!$B111)</f>
        <v>-1354725.8187679979</v>
      </c>
      <c r="F111" s="134">
        <f t="shared" si="30"/>
        <v>0.90848299807617505</v>
      </c>
      <c r="G111" s="88">
        <f t="shared" si="28"/>
        <v>-1230745.3734055518</v>
      </c>
      <c r="H111" s="88">
        <f>SUMIFS('SCH B-3.1'!$F$12:$F$27,'SCH B-3.1'!$B$12:$B$27,'SCH B-3 B'!$B111)</f>
        <v>0</v>
      </c>
      <c r="I111" s="88">
        <f t="shared" si="29"/>
        <v>-1230745.3734055518</v>
      </c>
    </row>
    <row r="112" spans="1:9" ht="18.95" customHeight="1">
      <c r="A112" s="70">
        <f t="shared" si="27"/>
        <v>70</v>
      </c>
      <c r="B112" s="71" t="s">
        <v>1709</v>
      </c>
      <c r="C112" s="78" t="s">
        <v>157</v>
      </c>
      <c r="D112" s="88">
        <f>'SCH B-2.1 B'!D109</f>
        <v>66048843.819999993</v>
      </c>
      <c r="E112" s="88">
        <f>SUMIFS('PIS B'!$V$11:$V$338,'PIS B'!$B$11:$B$338,'SCH B-3 B'!$B112)</f>
        <v>-27111148.04865</v>
      </c>
      <c r="F112" s="134">
        <f t="shared" si="30"/>
        <v>0.90848299807617505</v>
      </c>
      <c r="G112" s="88">
        <f t="shared" si="28"/>
        <v>-24630017.060524594</v>
      </c>
      <c r="H112" s="88">
        <f>SUMIFS('SCH B-3.1'!$F$12:$F$27,'SCH B-3.1'!$B$12:$B$27,'SCH B-3 B'!$B112)</f>
        <v>2660674.1801899998</v>
      </c>
      <c r="I112" s="88">
        <f t="shared" si="29"/>
        <v>-21969342.880334593</v>
      </c>
    </row>
    <row r="113" spans="1:16" ht="18.95" customHeight="1">
      <c r="A113" s="70">
        <f t="shared" si="27"/>
        <v>71</v>
      </c>
      <c r="B113" s="71" t="s">
        <v>1710</v>
      </c>
      <c r="C113" s="78" t="s">
        <v>1711</v>
      </c>
      <c r="D113" s="89">
        <f>'SCH B-2.1 B'!D110</f>
        <v>0</v>
      </c>
      <c r="E113" s="89">
        <f>SUMIFS('PIS B'!$V$11:$V$338,'PIS B'!$B$11:$B$338,'SCH B-3 B'!$B113)</f>
        <v>0</v>
      </c>
      <c r="F113" s="134">
        <f t="shared" si="30"/>
        <v>0.90848299807617505</v>
      </c>
      <c r="G113" s="89">
        <f t="shared" si="28"/>
        <v>0</v>
      </c>
      <c r="H113" s="89">
        <f>SUMIFS('SCH B-3.1'!$F$12:$F$27,'SCH B-3.1'!$B$12:$B$27,'SCH B-3 B'!$B113)</f>
        <v>0</v>
      </c>
      <c r="I113" s="89">
        <f t="shared" si="29"/>
        <v>0</v>
      </c>
    </row>
    <row r="114" spans="1:16" ht="18.95" customHeight="1">
      <c r="A114" s="70">
        <f t="shared" si="27"/>
        <v>72</v>
      </c>
      <c r="B114" s="71"/>
      <c r="C114" s="78" t="s">
        <v>158</v>
      </c>
      <c r="D114" s="86">
        <f>SUM(D104:D113)</f>
        <v>214124878.21000001</v>
      </c>
      <c r="E114" s="86">
        <f t="shared" ref="E114:I114" si="31">SUM(E104:E113)</f>
        <v>-73653147.470796719</v>
      </c>
      <c r="F114" s="86"/>
      <c r="G114" s="86">
        <f t="shared" si="31"/>
        <v>-66912632.232016072</v>
      </c>
      <c r="H114" s="86">
        <f t="shared" si="31"/>
        <v>2678475.8569573225</v>
      </c>
      <c r="I114" s="86">
        <f t="shared" si="31"/>
        <v>-64234156.37505874</v>
      </c>
      <c r="L114" s="136">
        <f>'JURISSEP B'!G273</f>
        <v>66912632.232016049</v>
      </c>
      <c r="M114" s="136"/>
      <c r="N114" s="136">
        <f>SUM(L114:M114)</f>
        <v>66912632.232016049</v>
      </c>
      <c r="O114" s="136">
        <f>-E114+M114</f>
        <v>73653147.470796719</v>
      </c>
      <c r="P114" s="137">
        <f>N114/O114</f>
        <v>0.90848299807617505</v>
      </c>
    </row>
    <row r="115" spans="1:16" ht="18.95" customHeight="1">
      <c r="A115" s="70"/>
      <c r="B115" s="71"/>
    </row>
    <row r="116" spans="1:16" ht="18.95" customHeight="1" thickBot="1">
      <c r="A116" s="70">
        <f>A114+1</f>
        <v>73</v>
      </c>
      <c r="B116" s="71"/>
      <c r="C116" s="68" t="s">
        <v>1211</v>
      </c>
      <c r="D116" s="94">
        <f>SUM(D17,D28,D39,D62,D74,D90,D114)</f>
        <v>9781498702.2099781</v>
      </c>
      <c r="E116" s="94">
        <f>SUM(E17,E28,E39,E62,E74,E90,E114)</f>
        <v>-3457985896.0317564</v>
      </c>
      <c r="F116" s="86"/>
      <c r="G116" s="94">
        <f>SUM(G17,G28,G39,G62,G74,G90,G114)</f>
        <v>-3054968318.7710867</v>
      </c>
      <c r="H116" s="94">
        <f>SUM(H17,H28,H39,H62,H74,H90,H114)</f>
        <v>221152209.96961746</v>
      </c>
      <c r="I116" s="94">
        <f>SUM(I17,I28,I39,I62,I74,I90,I114)</f>
        <v>-2833816108.8014693</v>
      </c>
    </row>
    <row r="117" spans="1:16" ht="18.95" customHeight="1" thickTop="1">
      <c r="B117" s="71"/>
    </row>
    <row r="118" spans="1:16" ht="18.95" customHeight="1">
      <c r="B118" s="71"/>
      <c r="D118" s="86"/>
    </row>
    <row r="119" spans="1:16" ht="18.95" customHeight="1">
      <c r="B119" s="71"/>
      <c r="C119" s="78"/>
      <c r="E119" s="93"/>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94:I94"/>
    <mergeCell ref="A1:I1"/>
    <mergeCell ref="A2:I2"/>
    <mergeCell ref="A3:I3"/>
    <mergeCell ref="A4:I4"/>
    <mergeCell ref="A46:I46"/>
    <mergeCell ref="A47:I47"/>
    <mergeCell ref="E10:I10"/>
    <mergeCell ref="E55:I55"/>
    <mergeCell ref="A48:I48"/>
    <mergeCell ref="A49:I49"/>
    <mergeCell ref="A91:I91"/>
    <mergeCell ref="A92:I92"/>
    <mergeCell ref="A93:I93"/>
  </mergeCells>
  <pageMargins left="0.95" right="0.5" top="0.75" bottom="0.75" header="0.3" footer="0.3"/>
  <pageSetup scale="63" fitToHeight="0" orientation="portrait" r:id="rId1"/>
  <rowBreaks count="2" manualBreakCount="2">
    <brk id="45" max="16383" man="1"/>
    <brk id="90"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134"/>
  <sheetViews>
    <sheetView zoomScaleNormal="100" workbookViewId="0">
      <selection activeCell="A2" sqref="A2:I2"/>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13.6640625" style="69" customWidth="1"/>
    <col min="7" max="9" width="15.77734375" style="69" customWidth="1"/>
    <col min="10" max="10" width="1.6640625" style="69" customWidth="1"/>
    <col min="11" max="11" width="14" style="69" customWidth="1"/>
    <col min="12" max="12" width="13.44140625" style="69" customWidth="1"/>
    <col min="13" max="13" width="10.44140625" style="69" customWidth="1"/>
    <col min="14" max="14" width="12.77734375" style="69" customWidth="1"/>
    <col min="15" max="15" width="13.33203125" style="69" customWidth="1"/>
    <col min="16" max="16384" width="9" style="69"/>
  </cols>
  <sheetData>
    <row r="1" spans="1:16" s="68" customFormat="1" ht="20.100000000000001" customHeight="1">
      <c r="A1" s="767" t="str">
        <f>'Rate Case Constants'!C9</f>
        <v>KENTUCKY UTILITIES COMPANY</v>
      </c>
      <c r="B1" s="767"/>
      <c r="C1" s="767"/>
      <c r="D1" s="767"/>
      <c r="E1" s="767"/>
      <c r="F1" s="767"/>
      <c r="G1" s="767"/>
      <c r="H1" s="767"/>
      <c r="I1" s="767"/>
    </row>
    <row r="2" spans="1:16" s="68" customFormat="1" ht="20.100000000000001" customHeight="1">
      <c r="A2" s="767" t="str">
        <f>'Rate Case Constants'!C10</f>
        <v>CASE NO. 2018-00294</v>
      </c>
      <c r="B2" s="767"/>
      <c r="C2" s="767"/>
      <c r="D2" s="767"/>
      <c r="E2" s="767"/>
      <c r="F2" s="767"/>
      <c r="G2" s="767"/>
      <c r="H2" s="767"/>
      <c r="I2" s="767"/>
    </row>
    <row r="3" spans="1:16" s="68" customFormat="1" ht="20.100000000000001" customHeight="1">
      <c r="A3" s="767" t="s">
        <v>1200</v>
      </c>
      <c r="B3" s="767"/>
      <c r="C3" s="767"/>
      <c r="D3" s="767"/>
      <c r="E3" s="767"/>
      <c r="F3" s="767"/>
      <c r="G3" s="767"/>
      <c r="H3" s="767"/>
      <c r="I3" s="767"/>
      <c r="J3" s="582"/>
    </row>
    <row r="4" spans="1:16" s="68" customFormat="1" ht="20.100000000000001" customHeight="1">
      <c r="A4" s="766" t="str">
        <f>'Rate Case Constants'!C18</f>
        <v>AS OF APRIL 30, 2020</v>
      </c>
      <c r="B4" s="767"/>
      <c r="C4" s="767"/>
      <c r="D4" s="767"/>
      <c r="E4" s="767"/>
      <c r="F4" s="767"/>
      <c r="G4" s="767"/>
      <c r="H4" s="767"/>
      <c r="I4" s="767"/>
    </row>
    <row r="5" spans="1:16" s="68" customFormat="1" ht="20.100000000000001" customHeight="1">
      <c r="A5" s="92"/>
      <c r="B5" s="92"/>
      <c r="C5" s="92"/>
      <c r="D5" s="92"/>
      <c r="E5" s="92"/>
      <c r="F5" s="92"/>
      <c r="G5" s="92"/>
      <c r="H5" s="92"/>
      <c r="I5" s="92"/>
    </row>
    <row r="6" spans="1:16" s="68" customFormat="1" ht="20.100000000000001" customHeight="1">
      <c r="A6" s="67" t="s">
        <v>161</v>
      </c>
      <c r="B6" s="67"/>
      <c r="H6" s="74"/>
      <c r="I6" s="74" t="s">
        <v>1199</v>
      </c>
    </row>
    <row r="7" spans="1:16" s="68" customFormat="1" ht="20.100000000000001" customHeight="1">
      <c r="A7" s="68" t="str">
        <f>'Rate Case Constants'!C29</f>
        <v>TYPE OF FILING: __X__ ORIGINAL  _____ UPDATED  _____ REVISED</v>
      </c>
      <c r="H7" s="74"/>
      <c r="I7" s="74" t="s">
        <v>168</v>
      </c>
    </row>
    <row r="8" spans="1:16" s="68" customFormat="1" ht="20.100000000000001" customHeight="1">
      <c r="A8" s="67" t="s">
        <v>1198</v>
      </c>
      <c r="B8" s="67"/>
      <c r="E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69" t="s">
        <v>1210</v>
      </c>
      <c r="F10" s="769"/>
      <c r="G10" s="769"/>
      <c r="H10" s="769"/>
      <c r="I10" s="769"/>
      <c r="L10" s="399" t="s">
        <v>2182</v>
      </c>
      <c r="M10" s="399"/>
      <c r="N10" s="399"/>
      <c r="O10" s="399"/>
      <c r="P10" s="399"/>
    </row>
    <row r="11" spans="1:16" ht="95.1" customHeight="1">
      <c r="A11" s="71" t="s">
        <v>131</v>
      </c>
      <c r="B11" s="71" t="s">
        <v>134</v>
      </c>
      <c r="C11" s="78" t="s">
        <v>135</v>
      </c>
      <c r="D11" s="71" t="s">
        <v>3420</v>
      </c>
      <c r="E11" s="71" t="s">
        <v>1202</v>
      </c>
      <c r="F11" s="71" t="s">
        <v>224</v>
      </c>
      <c r="G11" s="71" t="s">
        <v>225</v>
      </c>
      <c r="H11" s="71" t="s">
        <v>226</v>
      </c>
      <c r="I11" s="71" t="s">
        <v>227</v>
      </c>
      <c r="L11" s="71" t="s">
        <v>225</v>
      </c>
      <c r="M11" s="71" t="s">
        <v>226</v>
      </c>
      <c r="N11" s="71" t="s">
        <v>227</v>
      </c>
      <c r="O11" s="71" t="s">
        <v>1202</v>
      </c>
      <c r="P11" s="71" t="s">
        <v>224</v>
      </c>
    </row>
    <row r="12" spans="1:16" ht="23.1" customHeight="1">
      <c r="A12" s="80"/>
      <c r="B12" s="80"/>
      <c r="C12" s="81"/>
      <c r="D12" s="82" t="s">
        <v>142</v>
      </c>
      <c r="E12" s="82" t="s">
        <v>142</v>
      </c>
      <c r="F12" s="82"/>
      <c r="G12" s="82" t="s">
        <v>142</v>
      </c>
      <c r="H12" s="82" t="s">
        <v>142</v>
      </c>
      <c r="I12" s="82" t="s">
        <v>142</v>
      </c>
      <c r="L12" s="82" t="s">
        <v>142</v>
      </c>
      <c r="M12" s="82" t="s">
        <v>142</v>
      </c>
      <c r="N12" s="82" t="s">
        <v>142</v>
      </c>
      <c r="O12" s="82" t="s">
        <v>142</v>
      </c>
      <c r="P12" s="82"/>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F'!D13</f>
        <v>44455.580000000009</v>
      </c>
      <c r="E14" s="86">
        <f>SUMIFS('PIS F'!$X$11:$X$344,'PIS F'!$B$11:$B$344,'SCH B-3 F'!$B14)</f>
        <v>0</v>
      </c>
      <c r="F14" s="130">
        <f>$P$17</f>
        <v>0.93500158392919419</v>
      </c>
      <c r="G14" s="86">
        <f>E14*F14</f>
        <v>0</v>
      </c>
      <c r="H14" s="86">
        <f>SUMIFS('SCH B-3.1'!$F$42:$F$57,'SCH B-3.1'!$B$42:$B$57,'SCH B-3 F'!$B14)</f>
        <v>0</v>
      </c>
      <c r="I14" s="86">
        <f t="shared" ref="I14:I15" si="0">SUM(G14:H14)</f>
        <v>0</v>
      </c>
    </row>
    <row r="15" spans="1:16" ht="18.95" customHeight="1">
      <c r="A15" s="70">
        <f t="shared" ref="A15:A79" si="1">A14+1</f>
        <v>3</v>
      </c>
      <c r="B15" s="71" t="s">
        <v>1622</v>
      </c>
      <c r="C15" s="78" t="s">
        <v>1623</v>
      </c>
      <c r="D15" s="86">
        <f>'SCH B-2.1 F'!D14</f>
        <v>55918.829999999994</v>
      </c>
      <c r="E15" s="86">
        <f>SUMIFS('PIS F'!$X$11:$X$344,'PIS F'!$B$11:$B$344,'SCH B-3 F'!$B15)</f>
        <v>-73066.841372800001</v>
      </c>
      <c r="F15" s="130">
        <f>'SCH B-2.1 F'!E14</f>
        <v>1</v>
      </c>
      <c r="G15" s="88">
        <f t="shared" ref="G15:G16" si="2">E15*F15</f>
        <v>-73066.841372800001</v>
      </c>
      <c r="H15" s="87">
        <f>SUMIFS('SCH B-3.1'!$F$42:$F$57,'SCH B-3.1'!$B$42:$B$57,'SCH B-3 F'!$B15)</f>
        <v>0</v>
      </c>
      <c r="I15" s="88">
        <f t="shared" si="0"/>
        <v>-73066.841372800001</v>
      </c>
    </row>
    <row r="16" spans="1:16" ht="18.95" customHeight="1">
      <c r="A16" s="70">
        <f t="shared" si="1"/>
        <v>4</v>
      </c>
      <c r="B16" s="71" t="s">
        <v>1624</v>
      </c>
      <c r="C16" s="78" t="s">
        <v>1625</v>
      </c>
      <c r="D16" s="89">
        <f>'SCH B-2.1 F'!D15</f>
        <v>97903191.244615391</v>
      </c>
      <c r="E16" s="89">
        <f>SUMIFS('PIS F'!$X$11:$X$344,'PIS F'!$B$11:$B$344,'SCH B-3 F'!$B16)</f>
        <v>-40383503.534799971</v>
      </c>
      <c r="F16" s="130">
        <f>$P$17</f>
        <v>0.93500158392919419</v>
      </c>
      <c r="G16" s="89">
        <f t="shared" si="2"/>
        <v>-37758639.769648187</v>
      </c>
      <c r="H16" s="89">
        <f>SUMIFS('SCH B-3.1'!$F$42:$F$57,'SCH B-3.1'!$B$42:$B$57,'SCH B-3 F'!$B16)</f>
        <v>0</v>
      </c>
      <c r="I16" s="89">
        <f>SUM(G16:H16)</f>
        <v>-37758639.769648187</v>
      </c>
    </row>
    <row r="17" spans="1:16" ht="18.95" customHeight="1">
      <c r="A17" s="70">
        <f t="shared" si="1"/>
        <v>5</v>
      </c>
      <c r="B17" s="70"/>
      <c r="C17" s="78" t="s">
        <v>143</v>
      </c>
      <c r="D17" s="86">
        <f>SUM(D14:D16)</f>
        <v>98003565.654615387</v>
      </c>
      <c r="E17" s="86">
        <f>SUM(E14:E16)</f>
        <v>-40456570.376172774</v>
      </c>
      <c r="F17" s="86"/>
      <c r="G17" s="86">
        <f>SUM(G14:G16)</f>
        <v>-37831706.61102099</v>
      </c>
      <c r="H17" s="86">
        <f>SUM(H14:H16)</f>
        <v>0</v>
      </c>
      <c r="I17" s="86">
        <f>SUM(I14:I16)</f>
        <v>-37831706.61102099</v>
      </c>
      <c r="L17" s="136">
        <f>'JURISSEP F'!G275+'JURISSEP F'!G276</f>
        <v>37831706.61102099</v>
      </c>
      <c r="M17" s="136">
        <f>G15</f>
        <v>-73066.841372800001</v>
      </c>
      <c r="N17" s="136">
        <f>SUM(L17:M17)</f>
        <v>37758639.769648187</v>
      </c>
      <c r="O17" s="136">
        <f>-E17+M17</f>
        <v>40383503.534799971</v>
      </c>
      <c r="P17" s="137">
        <f>N17/O17</f>
        <v>0.93500158392919419</v>
      </c>
    </row>
    <row r="18" spans="1:16" ht="18.95" customHeight="1">
      <c r="A18" s="70"/>
      <c r="B18" s="70"/>
      <c r="D18" s="72"/>
      <c r="E18" s="72"/>
      <c r="F18" s="72"/>
      <c r="G18" s="72"/>
      <c r="H18" s="72"/>
      <c r="I18" s="72"/>
    </row>
    <row r="19" spans="1:16" ht="18.95" customHeight="1">
      <c r="A19" s="70">
        <f>A17+1</f>
        <v>6</v>
      </c>
      <c r="B19" s="70"/>
      <c r="C19" s="90" t="s">
        <v>72</v>
      </c>
      <c r="D19" s="72"/>
      <c r="E19" s="72"/>
      <c r="F19" s="72"/>
      <c r="G19" s="72"/>
      <c r="H19" s="72"/>
      <c r="I19" s="72"/>
    </row>
    <row r="20" spans="1:16" ht="18.95" customHeight="1">
      <c r="A20" s="70">
        <f t="shared" si="1"/>
        <v>7</v>
      </c>
      <c r="B20" s="71" t="s">
        <v>1626</v>
      </c>
      <c r="C20" s="78" t="s">
        <v>154</v>
      </c>
      <c r="D20" s="88">
        <f>'SCH B-2.1 F'!D19</f>
        <v>24447347.8899999</v>
      </c>
      <c r="E20" s="88">
        <f>SUMIFS('PIS F'!$X$11:$X$344,'PIS F'!$B$11:$B$344,'SCH B-3 F'!$B20)</f>
        <v>0</v>
      </c>
      <c r="F20" s="134">
        <f t="shared" ref="F20:F27" si="3">$P$28</f>
        <v>0.93287223449421564</v>
      </c>
      <c r="G20" s="88">
        <f t="shared" ref="G20:G27" si="4">E20*F20</f>
        <v>0</v>
      </c>
      <c r="H20" s="88">
        <f>SUMIFS('SCH B-3.1'!$F$42:$F$57,'SCH B-3.1'!$B$42:$B$57,'SCH B-3 F'!$B20)</f>
        <v>0</v>
      </c>
      <c r="I20" s="88">
        <f t="shared" ref="I20:I27" si="5">SUM(G20:H20)</f>
        <v>0</v>
      </c>
    </row>
    <row r="21" spans="1:16" ht="18" customHeight="1">
      <c r="A21" s="70">
        <f t="shared" si="1"/>
        <v>8</v>
      </c>
      <c r="B21" s="71" t="s">
        <v>1627</v>
      </c>
      <c r="C21" s="78" t="s">
        <v>148</v>
      </c>
      <c r="D21" s="88">
        <f>'SCH B-2.1 F'!D20</f>
        <v>356416650.27999979</v>
      </c>
      <c r="E21" s="88">
        <f>SUMIFS('PIS F'!$X$11:$X$344,'PIS F'!$B$11:$B$344,'SCH B-3 F'!$B21)</f>
        <v>-193623807.04740179</v>
      </c>
      <c r="F21" s="134">
        <f t="shared" si="3"/>
        <v>0.93287223449421564</v>
      </c>
      <c r="G21" s="88">
        <f t="shared" si="4"/>
        <v>-180626273.53158656</v>
      </c>
      <c r="H21" s="88">
        <f>SUMIFS('SCH B-3.1'!$F$42:$F$57,'SCH B-3.1'!$B$42:$B$57,'SCH B-3 F'!$B21)</f>
        <v>1545199.1249929599</v>
      </c>
      <c r="I21" s="88">
        <f t="shared" si="5"/>
        <v>-179081074.40659359</v>
      </c>
    </row>
    <row r="22" spans="1:16" ht="18.95" customHeight="1">
      <c r="A22" s="70">
        <f t="shared" si="1"/>
        <v>9</v>
      </c>
      <c r="B22" s="71" t="s">
        <v>1628</v>
      </c>
      <c r="C22" s="78" t="s">
        <v>1629</v>
      </c>
      <c r="D22" s="88">
        <f>'SCH B-2.1 F'!D21</f>
        <v>4270987467.3684545</v>
      </c>
      <c r="E22" s="88">
        <f>SUMIFS('PIS F'!$X$11:$X$344,'PIS F'!$B$11:$B$344,'SCH B-3 F'!$B22)</f>
        <v>-1288982885.2825937</v>
      </c>
      <c r="F22" s="134">
        <f t="shared" si="3"/>
        <v>0.93287223449421564</v>
      </c>
      <c r="G22" s="88">
        <f t="shared" si="4"/>
        <v>-1202456344.4183745</v>
      </c>
      <c r="H22" s="88">
        <f>SUMIFS('SCH B-3.1'!$F$42:$F$57,'SCH B-3.1'!$B$42:$B$57,'SCH B-3 F'!$B22)</f>
        <v>146737667.90744716</v>
      </c>
      <c r="I22" s="88">
        <f t="shared" si="5"/>
        <v>-1055718676.5109274</v>
      </c>
    </row>
    <row r="23" spans="1:16" ht="18.95" customHeight="1">
      <c r="A23" s="70">
        <f>A21+1</f>
        <v>9</v>
      </c>
      <c r="B23" s="71">
        <v>313</v>
      </c>
      <c r="C23" s="78" t="s">
        <v>144</v>
      </c>
      <c r="D23" s="88">
        <f>'SCH B-2.1 F'!D22</f>
        <v>0</v>
      </c>
      <c r="E23" s="88">
        <f>SUMIFS('PIS F'!$X$11:$X$344,'PIS F'!$B$11:$B$344,'SCH B-3 F'!$B23)</f>
        <v>0</v>
      </c>
      <c r="F23" s="134">
        <f t="shared" si="3"/>
        <v>0.93287223449421564</v>
      </c>
      <c r="G23" s="88">
        <f t="shared" si="4"/>
        <v>0</v>
      </c>
      <c r="H23" s="88">
        <f>SUMIFS('SCH B-3.1'!$F$42:$F$57,'SCH B-3.1'!$B$42:$B$57,'SCH B-3 F'!$B23)</f>
        <v>0</v>
      </c>
      <c r="I23" s="88">
        <f t="shared" si="5"/>
        <v>0</v>
      </c>
    </row>
    <row r="24" spans="1:16" ht="18.95" customHeight="1">
      <c r="A24" s="70">
        <f>A22+1</f>
        <v>10</v>
      </c>
      <c r="B24" s="71" t="s">
        <v>1630</v>
      </c>
      <c r="C24" s="78" t="s">
        <v>1631</v>
      </c>
      <c r="D24" s="88">
        <f>'SCH B-2.1 F'!D23</f>
        <v>335160961.10923022</v>
      </c>
      <c r="E24" s="88">
        <f>SUMIFS('PIS F'!$X$11:$X$344,'PIS F'!$B$11:$B$344,'SCH B-3 F'!$B24)</f>
        <v>-146933214.32615915</v>
      </c>
      <c r="F24" s="134">
        <f t="shared" si="3"/>
        <v>0.93287223449421564</v>
      </c>
      <c r="G24" s="88">
        <f t="shared" si="4"/>
        <v>-137069915.9698616</v>
      </c>
      <c r="H24" s="88">
        <f>SUMIFS('SCH B-3.1'!$F$42:$F$57,'SCH B-3.1'!$B$42:$B$57,'SCH B-3 F'!$B24)</f>
        <v>0</v>
      </c>
      <c r="I24" s="88">
        <f t="shared" si="5"/>
        <v>-137069915.9698616</v>
      </c>
    </row>
    <row r="25" spans="1:16" ht="18.95" customHeight="1">
      <c r="A25" s="70">
        <f t="shared" si="1"/>
        <v>11</v>
      </c>
      <c r="B25" s="71" t="s">
        <v>1632</v>
      </c>
      <c r="C25" s="78" t="s">
        <v>1633</v>
      </c>
      <c r="D25" s="88">
        <f>'SCH B-2.1 F'!D24</f>
        <v>253792341.09615284</v>
      </c>
      <c r="E25" s="88">
        <f>SUMIFS('PIS F'!$X$11:$X$344,'PIS F'!$B$11:$B$344,'SCH B-3 F'!$B25)</f>
        <v>-116607165.69383231</v>
      </c>
      <c r="F25" s="134">
        <f t="shared" si="3"/>
        <v>0.93287223449421564</v>
      </c>
      <c r="G25" s="88">
        <f t="shared" si="4"/>
        <v>-108779587.2188426</v>
      </c>
      <c r="H25" s="88">
        <f>SUMIFS('SCH B-3.1'!$F$42:$F$57,'SCH B-3.1'!$B$42:$B$57,'SCH B-3 F'!$B25)</f>
        <v>1660686.1009603427</v>
      </c>
      <c r="I25" s="88">
        <f t="shared" si="5"/>
        <v>-107118901.11788225</v>
      </c>
    </row>
    <row r="26" spans="1:16" ht="18.95" customHeight="1">
      <c r="A26" s="70">
        <f t="shared" si="1"/>
        <v>12</v>
      </c>
      <c r="B26" s="71" t="s">
        <v>1634</v>
      </c>
      <c r="C26" s="78" t="s">
        <v>1635</v>
      </c>
      <c r="D26" s="88">
        <f>'SCH B-2.1 F'!D25</f>
        <v>43646023.0499999</v>
      </c>
      <c r="E26" s="88">
        <f>SUMIFS('PIS F'!$X$11:$X$344,'PIS F'!$B$11:$B$344,'SCH B-3 F'!$B26)</f>
        <v>-16796813.131224863</v>
      </c>
      <c r="F26" s="134">
        <f t="shared" si="3"/>
        <v>0.93287223449421564</v>
      </c>
      <c r="G26" s="88">
        <f t="shared" si="4"/>
        <v>-15669280.59810752</v>
      </c>
      <c r="H26" s="88">
        <f>SUMIFS('SCH B-3.1'!$F$42:$F$57,'SCH B-3.1'!$B$42:$B$57,'SCH B-3 F'!$B26)</f>
        <v>44146.865457379725</v>
      </c>
      <c r="I26" s="88">
        <f t="shared" si="5"/>
        <v>-15625133.73265014</v>
      </c>
    </row>
    <row r="27" spans="1:16" ht="18.95" customHeight="1">
      <c r="A27" s="70">
        <f t="shared" si="1"/>
        <v>13</v>
      </c>
      <c r="B27" s="71" t="s">
        <v>1636</v>
      </c>
      <c r="C27" s="78" t="s">
        <v>1655</v>
      </c>
      <c r="D27" s="89">
        <f>'SCH B-2.1 F'!D26</f>
        <v>178310652.40384617</v>
      </c>
      <c r="E27" s="89">
        <f>SUMIFS('PIS F'!$X$11:$X$344,'PIS F'!$B$11:$B$344,'SCH B-3 F'!$B27)</f>
        <v>-129629568.28234208</v>
      </c>
      <c r="F27" s="134">
        <f t="shared" si="3"/>
        <v>0.93287223449421564</v>
      </c>
      <c r="G27" s="89">
        <f t="shared" si="4"/>
        <v>-120927825.02006896</v>
      </c>
      <c r="H27" s="89">
        <f>SUMIFS('SCH B-3.1'!$F$42:$F$57,'SCH B-3.1'!$B$42:$B$57,'SCH B-3 F'!$B27)</f>
        <v>120927825.02006896</v>
      </c>
      <c r="I27" s="89">
        <f t="shared" si="5"/>
        <v>0</v>
      </c>
    </row>
    <row r="28" spans="1:16" ht="18.95" customHeight="1">
      <c r="A28" s="70">
        <f t="shared" si="1"/>
        <v>14</v>
      </c>
      <c r="C28" s="78" t="s">
        <v>146</v>
      </c>
      <c r="D28" s="86">
        <f>SUM(D20:D27)</f>
        <v>5462761443.1976833</v>
      </c>
      <c r="E28" s="86">
        <f>SUM(E20:E27)</f>
        <v>-1892573453.7635541</v>
      </c>
      <c r="F28" s="130"/>
      <c r="G28" s="86">
        <f>SUM(G20:G27)</f>
        <v>-1765529226.7568417</v>
      </c>
      <c r="H28" s="86">
        <f>SUM(H20:H27)</f>
        <v>270915525.0189268</v>
      </c>
      <c r="I28" s="86">
        <f>SUM(I20:I27)</f>
        <v>-1494613701.7379148</v>
      </c>
      <c r="L28" s="136">
        <f>'JURISSEP F'!G246</f>
        <v>1765529226.7568419</v>
      </c>
      <c r="M28" s="136"/>
      <c r="N28" s="136">
        <f>SUM(L28:M28)</f>
        <v>1765529226.7568419</v>
      </c>
      <c r="O28" s="136">
        <f>-E28+M28</f>
        <v>1892573453.7635541</v>
      </c>
      <c r="P28" s="137">
        <f>N28/O28</f>
        <v>0.93287223449421564</v>
      </c>
    </row>
    <row r="29" spans="1:16" ht="18.95" customHeight="1">
      <c r="A29" s="70"/>
      <c r="C29" s="78"/>
    </row>
    <row r="30" spans="1:16" ht="18.95" customHeight="1">
      <c r="A30" s="70">
        <f>A28+1</f>
        <v>15</v>
      </c>
      <c r="C30" s="90" t="s">
        <v>47</v>
      </c>
    </row>
    <row r="31" spans="1:16" ht="18.95" customHeight="1">
      <c r="A31" s="70">
        <f t="shared" si="1"/>
        <v>16</v>
      </c>
      <c r="B31" s="71" t="s">
        <v>1637</v>
      </c>
      <c r="C31" s="78" t="s">
        <v>154</v>
      </c>
      <c r="D31" s="88">
        <f>'SCH B-2.1 F'!D30</f>
        <v>855636.47000000009</v>
      </c>
      <c r="E31" s="88">
        <f>SUMIFS('PIS F'!$X$11:$X$344,'PIS F'!$B$11:$B$344,'SCH B-3 F'!$B31)</f>
        <v>-912332.59999999986</v>
      </c>
      <c r="F31" s="134">
        <f t="shared" ref="F31:F38" si="6">$P$39</f>
        <v>0.93710140297419597</v>
      </c>
      <c r="G31" s="88">
        <f t="shared" ref="G31:G38" si="7">E31*F31</f>
        <v>-854948.15943909576</v>
      </c>
      <c r="H31" s="88">
        <f>SUMIFS('SCH B-3.1'!$F$42:$F$57,'SCH B-3.1'!$B$42:$B$57,'SCH B-3 F'!$B31)</f>
        <v>0</v>
      </c>
      <c r="I31" s="88">
        <f t="shared" ref="I31:I38" si="8">SUM(G31:H31)</f>
        <v>-854948.15943909576</v>
      </c>
    </row>
    <row r="32" spans="1:16" ht="18.95" customHeight="1">
      <c r="A32" s="70">
        <f t="shared" si="1"/>
        <v>17</v>
      </c>
      <c r="B32" s="71" t="s">
        <v>1638</v>
      </c>
      <c r="C32" s="78" t="s">
        <v>148</v>
      </c>
      <c r="D32" s="88">
        <f>'SCH B-2.1 F'!D31</f>
        <v>4492231.7246153839</v>
      </c>
      <c r="E32" s="88">
        <f>SUMIFS('PIS F'!$X$11:$X$344,'PIS F'!$B$11:$B$344,'SCH B-3 F'!$B32)</f>
        <v>-415300.95978757594</v>
      </c>
      <c r="F32" s="134">
        <f t="shared" si="6"/>
        <v>0.93710140297419597</v>
      </c>
      <c r="G32" s="88">
        <f t="shared" si="7"/>
        <v>-389179.11207346758</v>
      </c>
      <c r="H32" s="88">
        <f>SUMIFS('SCH B-3.1'!$F$42:$F$57,'SCH B-3.1'!$B$42:$B$57,'SCH B-3 F'!$B32)</f>
        <v>0</v>
      </c>
      <c r="I32" s="88">
        <f t="shared" si="8"/>
        <v>-389179.11207346758</v>
      </c>
    </row>
    <row r="33" spans="1:16" ht="18.95" customHeight="1">
      <c r="A33" s="70">
        <f t="shared" si="1"/>
        <v>18</v>
      </c>
      <c r="B33" s="71" t="s">
        <v>1639</v>
      </c>
      <c r="C33" s="78" t="s">
        <v>1640</v>
      </c>
      <c r="D33" s="88">
        <f>'SCH B-2.1 F'!D32</f>
        <v>21885646.369999994</v>
      </c>
      <c r="E33" s="88">
        <f>SUMIFS('PIS F'!$X$11:$X$344,'PIS F'!$B$11:$B$344,'SCH B-3 F'!$B33)</f>
        <v>-10363602.2236159</v>
      </c>
      <c r="F33" s="134">
        <f t="shared" si="6"/>
        <v>0.93710140297419597</v>
      </c>
      <c r="G33" s="88">
        <f t="shared" si="7"/>
        <v>-9711746.1836169567</v>
      </c>
      <c r="H33" s="88">
        <f>SUMIFS('SCH B-3.1'!$F$42:$F$57,'SCH B-3.1'!$B$42:$B$57,'SCH B-3 F'!$B33)</f>
        <v>0</v>
      </c>
      <c r="I33" s="88">
        <f t="shared" si="8"/>
        <v>-9711746.1836169567</v>
      </c>
    </row>
    <row r="34" spans="1:16" ht="18.95" customHeight="1">
      <c r="A34" s="70">
        <f t="shared" si="1"/>
        <v>19</v>
      </c>
      <c r="B34" s="71" t="s">
        <v>1641</v>
      </c>
      <c r="C34" s="78" t="s">
        <v>1642</v>
      </c>
      <c r="D34" s="88">
        <f>'SCH B-2.1 F'!D33</f>
        <v>14046741.58</v>
      </c>
      <c r="E34" s="88">
        <f>SUMIFS('PIS F'!$X$11:$X$344,'PIS F'!$B$11:$B$344,'SCH B-3 F'!$B34)</f>
        <v>-2841249.2566991905</v>
      </c>
      <c r="F34" s="134">
        <f t="shared" si="6"/>
        <v>0.93710140297419597</v>
      </c>
      <c r="G34" s="88">
        <f t="shared" si="7"/>
        <v>-2662538.6646522027</v>
      </c>
      <c r="H34" s="88">
        <f>SUMIFS('SCH B-3.1'!$F$42:$F$57,'SCH B-3.1'!$B$42:$B$57,'SCH B-3 F'!$B34)</f>
        <v>0</v>
      </c>
      <c r="I34" s="88">
        <f t="shared" si="8"/>
        <v>-2662538.6646522027</v>
      </c>
    </row>
    <row r="35" spans="1:16" ht="18.95" customHeight="1">
      <c r="A35" s="70">
        <f t="shared" si="1"/>
        <v>20</v>
      </c>
      <c r="B35" s="71" t="s">
        <v>1643</v>
      </c>
      <c r="C35" s="78" t="s">
        <v>1633</v>
      </c>
      <c r="D35" s="88">
        <f>'SCH B-2.1 F'!D34</f>
        <v>1381870.67</v>
      </c>
      <c r="E35" s="88">
        <f>SUMIFS('PIS F'!$X$11:$X$344,'PIS F'!$B$11:$B$344,'SCH B-3 F'!$B35)</f>
        <v>-414833.00003359886</v>
      </c>
      <c r="F35" s="134">
        <f t="shared" si="6"/>
        <v>0.93710140297419597</v>
      </c>
      <c r="G35" s="88">
        <f t="shared" si="7"/>
        <v>-388740.58633148018</v>
      </c>
      <c r="H35" s="88">
        <f>SUMIFS('SCH B-3.1'!$F$42:$F$57,'SCH B-3.1'!$B$42:$B$57,'SCH B-3 F'!$B35)</f>
        <v>0</v>
      </c>
      <c r="I35" s="88">
        <f t="shared" si="8"/>
        <v>-388740.58633148018</v>
      </c>
    </row>
    <row r="36" spans="1:16" ht="18.95" customHeight="1">
      <c r="A36" s="70">
        <f t="shared" si="1"/>
        <v>21</v>
      </c>
      <c r="B36" s="71" t="s">
        <v>1644</v>
      </c>
      <c r="C36" s="78" t="s">
        <v>1645</v>
      </c>
      <c r="D36" s="88">
        <f>'SCH B-2.1 F'!D35</f>
        <v>329374.17999999993</v>
      </c>
      <c r="E36" s="88">
        <f>SUMIFS('PIS F'!$X$11:$X$344,'PIS F'!$B$11:$B$344,'SCH B-3 F'!$B36)</f>
        <v>-166258.67555471999</v>
      </c>
      <c r="F36" s="134">
        <f t="shared" si="6"/>
        <v>0.93710140297419597</v>
      </c>
      <c r="G36" s="88">
        <f t="shared" si="7"/>
        <v>-155801.23811895977</v>
      </c>
      <c r="H36" s="88">
        <f>SUMIFS('SCH B-3.1'!$F$42:$F$57,'SCH B-3.1'!$B$42:$B$57,'SCH B-3 F'!$B36)</f>
        <v>0</v>
      </c>
      <c r="I36" s="88">
        <f t="shared" si="8"/>
        <v>-155801.23811895977</v>
      </c>
    </row>
    <row r="37" spans="1:16" ht="18.95" customHeight="1">
      <c r="A37" s="70">
        <f t="shared" si="1"/>
        <v>22</v>
      </c>
      <c r="B37" s="71" t="s">
        <v>1646</v>
      </c>
      <c r="C37" s="78" t="s">
        <v>1647</v>
      </c>
      <c r="D37" s="88">
        <f>'SCH B-2.1 F'!D36</f>
        <v>234509.12999999995</v>
      </c>
      <c r="E37" s="88">
        <f>SUMIFS('PIS F'!$X$11:$X$344,'PIS F'!$B$11:$B$344,'SCH B-3 F'!$B37)</f>
        <v>-102331.5653727992</v>
      </c>
      <c r="F37" s="134">
        <f t="shared" si="6"/>
        <v>0.93710140297419597</v>
      </c>
      <c r="G37" s="88">
        <f t="shared" si="7"/>
        <v>-95895.053479395778</v>
      </c>
      <c r="H37" s="88">
        <f>SUMIFS('SCH B-3.1'!$F$42:$F$57,'SCH B-3.1'!$B$42:$B$57,'SCH B-3 F'!$B37)</f>
        <v>0</v>
      </c>
      <c r="I37" s="88">
        <f t="shared" si="8"/>
        <v>-95895.053479395778</v>
      </c>
    </row>
    <row r="38" spans="1:16" ht="18.95" customHeight="1">
      <c r="A38" s="70">
        <f t="shared" si="1"/>
        <v>23</v>
      </c>
      <c r="B38" s="71" t="s">
        <v>1648</v>
      </c>
      <c r="C38" s="78" t="s">
        <v>1656</v>
      </c>
      <c r="D38" s="89">
        <f>'SCH B-2.1 F'!D37</f>
        <v>645787.98999999987</v>
      </c>
      <c r="E38" s="89">
        <f>SUMIFS('PIS F'!$X$11:$X$344,'PIS F'!$B$11:$B$344,'SCH B-3 F'!$B38)</f>
        <v>-69392.557494326596</v>
      </c>
      <c r="F38" s="134">
        <f t="shared" si="6"/>
        <v>0.93710140297419597</v>
      </c>
      <c r="G38" s="89">
        <f t="shared" si="7"/>
        <v>-65027.86298390101</v>
      </c>
      <c r="H38" s="89">
        <f>SUMIFS('SCH B-3.1'!$F$42:$F$57,'SCH B-3.1'!$B$42:$B$57,'SCH B-3 F'!$B38)</f>
        <v>65027.86298390101</v>
      </c>
      <c r="I38" s="89">
        <f t="shared" si="8"/>
        <v>0</v>
      </c>
    </row>
    <row r="39" spans="1:16" ht="18.95" customHeight="1">
      <c r="A39" s="70">
        <f t="shared" si="1"/>
        <v>24</v>
      </c>
      <c r="B39" s="71" t="s">
        <v>251</v>
      </c>
      <c r="C39" s="78" t="s">
        <v>147</v>
      </c>
      <c r="D39" s="86">
        <f>SUM(D31:D38)</f>
        <v>43871798.114615381</v>
      </c>
      <c r="E39" s="86">
        <f t="shared" ref="E39" si="9">SUM(E31:E38)</f>
        <v>-15285300.838558109</v>
      </c>
      <c r="F39" s="86"/>
      <c r="G39" s="86">
        <f t="shared" ref="G39:I39" si="10">SUM(G31:G38)</f>
        <v>-14323876.860695457</v>
      </c>
      <c r="H39" s="86">
        <f t="shared" si="10"/>
        <v>65027.86298390101</v>
      </c>
      <c r="I39" s="86">
        <f t="shared" si="10"/>
        <v>-14258848.997711556</v>
      </c>
      <c r="L39" s="136">
        <f>'JURISSEP F'!G252</f>
        <v>14323876.860695459</v>
      </c>
      <c r="M39" s="136"/>
      <c r="N39" s="136">
        <f>SUM(L39:M39)</f>
        <v>14323876.860695459</v>
      </c>
      <c r="O39" s="136">
        <f>-E39+M39</f>
        <v>15285300.838558109</v>
      </c>
      <c r="P39" s="137">
        <f>N39/O39</f>
        <v>0.93710140297419597</v>
      </c>
    </row>
    <row r="40" spans="1:16" ht="18.95" customHeight="1">
      <c r="A40" s="70"/>
      <c r="B40" s="71"/>
      <c r="C40" s="78"/>
      <c r="D40" s="86"/>
      <c r="E40" s="86"/>
      <c r="F40" s="86"/>
      <c r="G40" s="86"/>
      <c r="H40" s="86"/>
      <c r="I40" s="86"/>
    </row>
    <row r="41" spans="1:16" ht="18.95" customHeight="1">
      <c r="A41" s="70">
        <f>A39+1</f>
        <v>25</v>
      </c>
      <c r="C41" s="90" t="s">
        <v>61</v>
      </c>
    </row>
    <row r="42" spans="1:16" ht="18.95" customHeight="1">
      <c r="A42" s="70">
        <f t="shared" si="1"/>
        <v>26</v>
      </c>
      <c r="B42" s="71" t="s">
        <v>1649</v>
      </c>
      <c r="C42" s="78" t="s">
        <v>154</v>
      </c>
      <c r="D42" s="88">
        <f>'SCH B-2.1 F'!D41</f>
        <v>903501.17</v>
      </c>
      <c r="E42" s="88">
        <f>SUMIFS('PIS F'!$X$11:$X$344,'PIS F'!$B$11:$B$344,'SCH B-3 F'!$B42)</f>
        <v>-133180.72881389901</v>
      </c>
      <c r="F42" s="134">
        <f t="shared" ref="F42:F45" si="11">$P$62</f>
        <v>0.93663851993113922</v>
      </c>
      <c r="G42" s="88">
        <f t="shared" ref="G42:G45" si="12">E42*F42</f>
        <v>-124742.20071960079</v>
      </c>
      <c r="H42" s="88">
        <f>SUMIFS('SCH B-3.1'!$F$42:$F$57,'SCH B-3.1'!$B$42:$B$57,'SCH B-3 F'!$B42)</f>
        <v>0</v>
      </c>
      <c r="I42" s="88">
        <f t="shared" ref="I42:I45" si="13">SUM(G42:H42)</f>
        <v>-124742.20071960079</v>
      </c>
    </row>
    <row r="43" spans="1:16" ht="18.95" customHeight="1">
      <c r="A43" s="70">
        <f t="shared" si="1"/>
        <v>27</v>
      </c>
      <c r="B43" s="71" t="s">
        <v>1650</v>
      </c>
      <c r="C43" s="78" t="s">
        <v>148</v>
      </c>
      <c r="D43" s="88">
        <f>'SCH B-2.1 F'!D42</f>
        <v>87151599.009999886</v>
      </c>
      <c r="E43" s="88">
        <f>SUMIFS('PIS F'!$X$11:$X$344,'PIS F'!$B$11:$B$344,'SCH B-3 F'!$B43)</f>
        <v>-29067062.504413009</v>
      </c>
      <c r="F43" s="134">
        <f t="shared" si="11"/>
        <v>0.93663851993113922</v>
      </c>
      <c r="G43" s="88">
        <f t="shared" si="12"/>
        <v>-27225330.402879313</v>
      </c>
      <c r="H43" s="88">
        <f>SUMIFS('SCH B-3.1'!$F$42:$F$57,'SCH B-3.1'!$B$42:$B$57,'SCH B-3 F'!$B43)</f>
        <v>0</v>
      </c>
      <c r="I43" s="88">
        <f t="shared" si="13"/>
        <v>-27225330.402879313</v>
      </c>
    </row>
    <row r="44" spans="1:16" ht="18.95" customHeight="1">
      <c r="A44" s="70">
        <f t="shared" si="1"/>
        <v>28</v>
      </c>
      <c r="B44" s="71" t="s">
        <v>1651</v>
      </c>
      <c r="C44" s="78" t="s">
        <v>1652</v>
      </c>
      <c r="D44" s="88">
        <f>'SCH B-2.1 F'!D43</f>
        <v>75757936.997692272</v>
      </c>
      <c r="E44" s="88">
        <f>SUMIFS('PIS F'!$X$11:$X$344,'PIS F'!$B$11:$B$344,'SCH B-3 F'!$B44)</f>
        <v>-23250007.927811138</v>
      </c>
      <c r="F44" s="134">
        <f t="shared" si="11"/>
        <v>0.93663851993113922</v>
      </c>
      <c r="G44" s="88">
        <f t="shared" si="12"/>
        <v>-21776853.013892278</v>
      </c>
      <c r="H44" s="88">
        <f>SUMIFS('SCH B-3.1'!$F$42:$F$57,'SCH B-3.1'!$B$42:$B$57,'SCH B-3 F'!$B44)</f>
        <v>0</v>
      </c>
      <c r="I44" s="88">
        <f t="shared" si="13"/>
        <v>-21776853.013892278</v>
      </c>
    </row>
    <row r="45" spans="1:16" ht="18.95" customHeight="1">
      <c r="A45" s="70">
        <f t="shared" si="1"/>
        <v>29</v>
      </c>
      <c r="B45" s="71" t="s">
        <v>1653</v>
      </c>
      <c r="C45" s="78" t="s">
        <v>1654</v>
      </c>
      <c r="D45" s="88">
        <f>'SCH B-2.1 F'!D44</f>
        <v>680587629.55307591</v>
      </c>
      <c r="E45" s="88">
        <f>SUMIFS('PIS F'!$X$11:$X$344,'PIS F'!$B$11:$B$344,'SCH B-3 F'!$B45)</f>
        <v>-244492890.58789316</v>
      </c>
      <c r="F45" s="134">
        <f t="shared" si="11"/>
        <v>0.93663851993113922</v>
      </c>
      <c r="G45" s="88">
        <f t="shared" si="12"/>
        <v>-229001459.1739302</v>
      </c>
      <c r="H45" s="88">
        <f>SUMIFS('SCH B-3.1'!$F$42:$F$57,'SCH B-3.1'!$B$42:$B$57,'SCH B-3 F'!$B45)</f>
        <v>0</v>
      </c>
      <c r="I45" s="88">
        <f t="shared" si="13"/>
        <v>-229001459.1739302</v>
      </c>
    </row>
    <row r="46" spans="1:16" s="68" customFormat="1" ht="20.100000000000001" customHeight="1">
      <c r="A46" s="767" t="str">
        <f>$A$1</f>
        <v>KENTUCKY UTILITIES COMPANY</v>
      </c>
      <c r="B46" s="767"/>
      <c r="C46" s="767"/>
      <c r="D46" s="767"/>
      <c r="E46" s="767"/>
      <c r="F46" s="767"/>
      <c r="G46" s="767"/>
      <c r="H46" s="767"/>
      <c r="I46" s="767"/>
    </row>
    <row r="47" spans="1:16" s="68" customFormat="1" ht="20.100000000000001" customHeight="1">
      <c r="A47" s="767" t="str">
        <f>$A$2</f>
        <v>CASE NO. 2018-00294</v>
      </c>
      <c r="B47" s="767"/>
      <c r="C47" s="767"/>
      <c r="D47" s="767"/>
      <c r="E47" s="767"/>
      <c r="F47" s="767"/>
      <c r="G47" s="767"/>
      <c r="H47" s="767"/>
      <c r="I47" s="767"/>
    </row>
    <row r="48" spans="1:16" s="68" customFormat="1" ht="20.100000000000001" customHeight="1">
      <c r="A48" s="767" t="str">
        <f>$A$3</f>
        <v>ACCUMULATED DEPRECIATION AND AMORTIZATION</v>
      </c>
      <c r="B48" s="767"/>
      <c r="C48" s="767"/>
      <c r="D48" s="767"/>
      <c r="E48" s="767"/>
      <c r="F48" s="767"/>
      <c r="G48" s="767"/>
      <c r="H48" s="767"/>
      <c r="I48" s="767"/>
    </row>
    <row r="49" spans="1:16" s="68" customFormat="1" ht="20.100000000000001" customHeight="1">
      <c r="A49" s="766" t="str">
        <f>$A$4</f>
        <v>AS OF APRIL 30, 2020</v>
      </c>
      <c r="B49" s="767"/>
      <c r="C49" s="767"/>
      <c r="D49" s="767"/>
      <c r="E49" s="767"/>
      <c r="F49" s="767"/>
      <c r="G49" s="767"/>
      <c r="H49" s="767"/>
      <c r="I49" s="767"/>
    </row>
    <row r="50" spans="1:16" s="68" customFormat="1" ht="20.100000000000001" customHeight="1">
      <c r="A50" s="92"/>
      <c r="B50" s="92"/>
      <c r="C50" s="92"/>
      <c r="D50" s="92"/>
      <c r="E50" s="92"/>
      <c r="F50" s="92"/>
      <c r="G50" s="92"/>
      <c r="H50" s="92"/>
      <c r="I50" s="92"/>
    </row>
    <row r="51" spans="1:16" s="68" customFormat="1" ht="20.100000000000001" customHeight="1">
      <c r="A51" s="67" t="str">
        <f>$A$6</f>
        <v>DATA:____BASE  PERIOD__X__FORECASTED  PERIOD</v>
      </c>
      <c r="B51" s="67"/>
      <c r="H51" s="74"/>
      <c r="I51" s="75" t="str">
        <f>$I$6</f>
        <v>SCHEDULE B-3</v>
      </c>
    </row>
    <row r="52" spans="1:16" s="68" customFormat="1" ht="20.100000000000001" customHeight="1">
      <c r="A52" s="67" t="str">
        <f>$A$7</f>
        <v>TYPE OF FILING: __X__ ORIGINAL  _____ UPDATED  _____ REVISED</v>
      </c>
      <c r="H52" s="74"/>
      <c r="I52" s="74" t="s">
        <v>169</v>
      </c>
    </row>
    <row r="53" spans="1:16" s="68" customFormat="1" ht="20.100000000000001" customHeight="1">
      <c r="A53" s="67" t="str">
        <f>$A$8</f>
        <v>WORKPAPER REFERENCE NO(S).:</v>
      </c>
      <c r="B53" s="67"/>
      <c r="E53" s="67"/>
      <c r="G53" s="67"/>
      <c r="H53" s="75"/>
      <c r="I53" s="75" t="str">
        <f>$I$8</f>
        <v>WITNESS:   C. M. GARRETT</v>
      </c>
    </row>
    <row r="54" spans="1:16" s="68" customFormat="1" ht="20.100000000000001" customHeight="1"/>
    <row r="55" spans="1:16" s="68" customFormat="1" ht="20.100000000000001" customHeight="1">
      <c r="A55" s="96"/>
      <c r="B55" s="96"/>
      <c r="C55" s="96"/>
      <c r="D55" s="96"/>
      <c r="E55" s="769" t="s">
        <v>1210</v>
      </c>
      <c r="F55" s="769"/>
      <c r="G55" s="769"/>
      <c r="H55" s="769"/>
      <c r="I55" s="769"/>
    </row>
    <row r="56" spans="1:16" ht="95.1" customHeight="1">
      <c r="A56" s="71" t="s">
        <v>131</v>
      </c>
      <c r="B56" s="71" t="s">
        <v>134</v>
      </c>
      <c r="C56" s="78" t="s">
        <v>135</v>
      </c>
      <c r="D56" s="71" t="s">
        <v>3420</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F'!D56</f>
        <v>132443551.17384613</v>
      </c>
      <c r="E58" s="88">
        <f>SUMIFS('PIS F'!$X$11:$X$344,'PIS F'!$B$11:$B$344,'SCH B-3 F'!$B58)</f>
        <v>-49775839.315888055</v>
      </c>
      <c r="F58" s="134">
        <f t="shared" ref="F58:F61" si="14">$P$62</f>
        <v>0.93663851993113922</v>
      </c>
      <c r="G58" s="88">
        <f t="shared" ref="G58:G61" si="15">E58*F58</f>
        <v>-46621968.465163596</v>
      </c>
      <c r="H58" s="88">
        <f>SUMIFS('SCH B-3.1'!$F$42:$F$57,'SCH B-3.1'!$B$42:$B$57,'SCH B-3 F'!$B58)</f>
        <v>0</v>
      </c>
      <c r="I58" s="88">
        <f t="shared" ref="I58:I61" si="16">SUM(G58:H58)</f>
        <v>-46621968.465163596</v>
      </c>
    </row>
    <row r="59" spans="1:16" ht="18.95" customHeight="1">
      <c r="A59" s="70">
        <f t="shared" si="1"/>
        <v>31</v>
      </c>
      <c r="B59" s="71" t="s">
        <v>1659</v>
      </c>
      <c r="C59" s="78" t="s">
        <v>1633</v>
      </c>
      <c r="D59" s="88">
        <f>'SCH B-2.1 F'!D57</f>
        <v>79368046.113845944</v>
      </c>
      <c r="E59" s="88">
        <f>SUMIFS('PIS F'!$X$11:$X$344,'PIS F'!$B$11:$B$344,'SCH B-3 F'!$B59)</f>
        <v>-31249351.076801602</v>
      </c>
      <c r="F59" s="134">
        <f t="shared" si="14"/>
        <v>0.93663851993113922</v>
      </c>
      <c r="G59" s="88">
        <f t="shared" si="15"/>
        <v>-29269345.941384003</v>
      </c>
      <c r="H59" s="88">
        <f>SUMIFS('SCH B-3.1'!$F$42:$F$57,'SCH B-3.1'!$B$42:$B$57,'SCH B-3 F'!$B59)</f>
        <v>0</v>
      </c>
      <c r="I59" s="88">
        <f t="shared" si="16"/>
        <v>-29269345.941384003</v>
      </c>
    </row>
    <row r="60" spans="1:16" ht="18.95" customHeight="1">
      <c r="A60" s="70">
        <f t="shared" si="1"/>
        <v>32</v>
      </c>
      <c r="B60" s="71" t="s">
        <v>1660</v>
      </c>
      <c r="C60" s="78" t="s">
        <v>1645</v>
      </c>
      <c r="D60" s="88">
        <f>'SCH B-2.1 F'!D58</f>
        <v>12736378.143846152</v>
      </c>
      <c r="E60" s="88">
        <f>SUMIFS('PIS F'!$X$11:$X$344,'PIS F'!$B$11:$B$344,'SCH B-3 F'!$B60)</f>
        <v>-4068549.7250068914</v>
      </c>
      <c r="F60" s="134">
        <f t="shared" si="14"/>
        <v>0.93663851993113922</v>
      </c>
      <c r="G60" s="88">
        <f t="shared" si="15"/>
        <v>-3810760.3926966982</v>
      </c>
      <c r="H60" s="88">
        <f>SUMIFS('SCH B-3.1'!$F$42:$F$57,'SCH B-3.1'!$B$42:$B$57,'SCH B-3 F'!$B60)</f>
        <v>0</v>
      </c>
      <c r="I60" s="88">
        <f t="shared" si="16"/>
        <v>-3810760.3926966982</v>
      </c>
    </row>
    <row r="61" spans="1:16" ht="18.95" customHeight="1">
      <c r="A61" s="70">
        <f t="shared" si="1"/>
        <v>33</v>
      </c>
      <c r="B61" s="71" t="s">
        <v>1661</v>
      </c>
      <c r="C61" s="78" t="s">
        <v>1696</v>
      </c>
      <c r="D61" s="89">
        <f>'SCH B-2.1 F'!D59</f>
        <v>406991.12</v>
      </c>
      <c r="E61" s="89">
        <f>SUMIFS('PIS F'!$X$11:$X$344,'PIS F'!$B$11:$B$344,'SCH B-3 F'!$B61)</f>
        <v>-89200.422122973207</v>
      </c>
      <c r="F61" s="134">
        <f t="shared" si="14"/>
        <v>0.93663851993113922</v>
      </c>
      <c r="G61" s="89">
        <f t="shared" si="15"/>
        <v>-83548.55135449447</v>
      </c>
      <c r="H61" s="89">
        <f>SUMIFS('SCH B-3.1'!$F$42:$F$57,'SCH B-3.1'!$B$42:$B$57,'SCH B-3 F'!$B61)</f>
        <v>83548.55135449447</v>
      </c>
      <c r="I61" s="89">
        <f t="shared" si="16"/>
        <v>0</v>
      </c>
    </row>
    <row r="62" spans="1:16" ht="18.95" customHeight="1">
      <c r="A62" s="70">
        <f t="shared" si="1"/>
        <v>34</v>
      </c>
      <c r="C62" s="78" t="s">
        <v>145</v>
      </c>
      <c r="D62" s="86">
        <f>SUM(D42:D45,D58:D61)</f>
        <v>1069355633.2823063</v>
      </c>
      <c r="E62" s="86">
        <f t="shared" ref="E62" si="17">SUM(E42:E45,E58:E61)</f>
        <v>-382126082.28875065</v>
      </c>
      <c r="F62" s="86"/>
      <c r="G62" s="86">
        <f t="shared" ref="G62:I62" si="18">SUM(G42:G45,G58:G61)</f>
        <v>-357914008.14202017</v>
      </c>
      <c r="H62" s="86">
        <f t="shared" si="18"/>
        <v>83548.55135449447</v>
      </c>
      <c r="I62" s="86">
        <f t="shared" si="18"/>
        <v>-357830459.5906657</v>
      </c>
      <c r="K62" s="136">
        <f>'JURISSEP F'!E257</f>
        <v>1868599.35</v>
      </c>
      <c r="L62" s="136">
        <f>'JURISSEP F'!G258</f>
        <v>357914008.14202011</v>
      </c>
      <c r="M62" s="136"/>
      <c r="N62" s="136">
        <f>SUM(L62:M62)</f>
        <v>357914008.14202011</v>
      </c>
      <c r="O62" s="136">
        <f>-E62+M62</f>
        <v>382126082.28875065</v>
      </c>
      <c r="P62" s="137">
        <f>N62/O62</f>
        <v>0.93663851993113922</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F'!D63</f>
        <v>32148707.272307698</v>
      </c>
      <c r="E65" s="88">
        <f>SUMIFS('PIS F'!$X$11:$X$344,'PIS F'!$B$11:$B$344,'SCH B-3 F'!$B65)</f>
        <v>-18041509.849522956</v>
      </c>
      <c r="F65" s="134">
        <f>$P$74</f>
        <v>0.87740486529609241</v>
      </c>
      <c r="G65" s="88">
        <f t="shared" ref="G65:G73" si="19">E65*F65</f>
        <v>-15829708.519258814</v>
      </c>
      <c r="H65" s="88">
        <f>SUMIFS('SCH B-3.1'!$F$42:$F$57,'SCH B-3.1'!$B$42:$B$57,'SCH B-3 F'!$B65)</f>
        <v>0</v>
      </c>
      <c r="I65" s="88">
        <f t="shared" ref="I65:I73" si="20">SUM(G65:H65)</f>
        <v>-15829708.519258814</v>
      </c>
    </row>
    <row r="66" spans="1:16" ht="18.95" customHeight="1">
      <c r="A66" s="70">
        <f t="shared" si="1"/>
        <v>37</v>
      </c>
      <c r="B66" s="71" t="s">
        <v>1663</v>
      </c>
      <c r="C66" s="78" t="s">
        <v>148</v>
      </c>
      <c r="D66" s="88">
        <f>'SCH B-2.1 F'!D64</f>
        <v>29669714.269230776</v>
      </c>
      <c r="E66" s="88">
        <f>SUMIFS('PIS F'!$X$11:$X$344,'PIS F'!$B$11:$B$344,'SCH B-3 F'!$B66)</f>
        <v>-8061858.2903983127</v>
      </c>
      <c r="F66" s="134">
        <f t="shared" ref="F66:F73" si="21">$P$74</f>
        <v>0.87740486529609241</v>
      </c>
      <c r="G66" s="88">
        <f t="shared" si="19"/>
        <v>-7073513.6873231176</v>
      </c>
      <c r="H66" s="88">
        <f>SUMIFS('SCH B-3.1'!$F$42:$F$57,'SCH B-3.1'!$B$42:$B$57,'SCH B-3 F'!$B66)</f>
        <v>0</v>
      </c>
      <c r="I66" s="88">
        <f t="shared" si="20"/>
        <v>-7073513.6873231176</v>
      </c>
    </row>
    <row r="67" spans="1:16" ht="18.95" customHeight="1">
      <c r="A67" s="70">
        <f t="shared" si="1"/>
        <v>38</v>
      </c>
      <c r="B67" s="71" t="s">
        <v>1664</v>
      </c>
      <c r="C67" s="78" t="s">
        <v>149</v>
      </c>
      <c r="D67" s="88">
        <f>'SCH B-2.1 F'!D65</f>
        <v>370268775.83461535</v>
      </c>
      <c r="E67" s="88">
        <f>SUMIFS('PIS F'!$X$11:$X$344,'PIS F'!$B$11:$B$344,'SCH B-3 F'!$B67)</f>
        <v>-85496894.635976821</v>
      </c>
      <c r="F67" s="134">
        <f t="shared" si="21"/>
        <v>0.87740486529609241</v>
      </c>
      <c r="G67" s="88">
        <f t="shared" si="19"/>
        <v>-75015391.321313441</v>
      </c>
      <c r="H67" s="88">
        <f>SUMIFS('SCH B-3.1'!$F$42:$F$57,'SCH B-3.1'!$B$42:$B$57,'SCH B-3 F'!$B67)</f>
        <v>0</v>
      </c>
      <c r="I67" s="88">
        <f t="shared" si="20"/>
        <v>-75015391.321313441</v>
      </c>
    </row>
    <row r="68" spans="1:16" ht="18.95" customHeight="1">
      <c r="A68" s="70">
        <f t="shared" si="1"/>
        <v>39</v>
      </c>
      <c r="B68" s="71" t="s">
        <v>1665</v>
      </c>
      <c r="C68" s="78" t="s">
        <v>1666</v>
      </c>
      <c r="D68" s="88">
        <f>'SCH B-2.1 F'!D66</f>
        <v>78033094.150000021</v>
      </c>
      <c r="E68" s="88">
        <f>SUMIFS('PIS F'!$X$11:$X$344,'PIS F'!$B$11:$B$344,'SCH B-3 F'!$B68)</f>
        <v>-53569269.571455881</v>
      </c>
      <c r="F68" s="134">
        <f t="shared" si="21"/>
        <v>0.87740486529609241</v>
      </c>
      <c r="G68" s="88">
        <f t="shared" si="19"/>
        <v>-47001937.752353311</v>
      </c>
      <c r="H68" s="88">
        <f>SUMIFS('SCH B-3.1'!$F$42:$F$57,'SCH B-3.1'!$B$42:$B$57,'SCH B-3 F'!$B68)</f>
        <v>0</v>
      </c>
      <c r="I68" s="88">
        <f t="shared" si="20"/>
        <v>-47001937.752353311</v>
      </c>
    </row>
    <row r="69" spans="1:16" ht="18.95" customHeight="1">
      <c r="A69" s="70">
        <f t="shared" si="1"/>
        <v>40</v>
      </c>
      <c r="B69" s="71" t="s">
        <v>1667</v>
      </c>
      <c r="C69" s="78" t="s">
        <v>1668</v>
      </c>
      <c r="D69" s="88">
        <f>'SCH B-2.1 F'!D67</f>
        <v>436061819.62692302</v>
      </c>
      <c r="E69" s="88">
        <f>SUMIFS('PIS F'!$X$11:$X$344,'PIS F'!$B$11:$B$344,'SCH B-3 F'!$B69)</f>
        <v>-79914223.084132299</v>
      </c>
      <c r="F69" s="134">
        <f t="shared" si="21"/>
        <v>0.87740486529609241</v>
      </c>
      <c r="G69" s="88">
        <f t="shared" si="19"/>
        <v>-70117128.140374973</v>
      </c>
      <c r="H69" s="88">
        <f>SUMIFS('SCH B-3.1'!$F$42:$F$57,'SCH B-3.1'!$B$42:$B$57,'SCH B-3 F'!$B69)</f>
        <v>0</v>
      </c>
      <c r="I69" s="88">
        <f t="shared" si="20"/>
        <v>-70117128.140374973</v>
      </c>
    </row>
    <row r="70" spans="1:16" ht="18.95" customHeight="1">
      <c r="A70" s="70">
        <f t="shared" si="1"/>
        <v>41</v>
      </c>
      <c r="B70" s="71" t="s">
        <v>1669</v>
      </c>
      <c r="C70" s="78" t="s">
        <v>1670</v>
      </c>
      <c r="D70" s="88">
        <f>'SCH B-2.1 F'!D68</f>
        <v>189735216.64846069</v>
      </c>
      <c r="E70" s="88">
        <f>SUMIFS('PIS F'!$X$11:$X$344,'PIS F'!$B$11:$B$344,'SCH B-3 F'!$B70)</f>
        <v>-118709032.36020353</v>
      </c>
      <c r="F70" s="134">
        <f t="shared" si="21"/>
        <v>0.87740486529609241</v>
      </c>
      <c r="G70" s="88">
        <f t="shared" si="19"/>
        <v>-104155882.54743385</v>
      </c>
      <c r="H70" s="88">
        <f>SUMIFS('SCH B-3.1'!$F$42:$F$57,'SCH B-3.1'!$B$42:$B$57,'SCH B-3 F'!$B70)</f>
        <v>0</v>
      </c>
      <c r="I70" s="88">
        <f t="shared" si="20"/>
        <v>-104155882.54743385</v>
      </c>
    </row>
    <row r="71" spans="1:16" ht="18.95" customHeight="1">
      <c r="A71" s="70">
        <f t="shared" si="1"/>
        <v>42</v>
      </c>
      <c r="B71" s="71" t="s">
        <v>1671</v>
      </c>
      <c r="C71" s="78" t="s">
        <v>1672</v>
      </c>
      <c r="D71" s="88">
        <f>'SCH B-2.1 F'!D69</f>
        <v>448760.26</v>
      </c>
      <c r="E71" s="88">
        <f>SUMIFS('PIS F'!$X$11:$X$344,'PIS F'!$B$11:$B$344,'SCH B-3 F'!$B71)</f>
        <v>-262726.76922719897</v>
      </c>
      <c r="F71" s="134">
        <f t="shared" si="21"/>
        <v>0.87740486529609241</v>
      </c>
      <c r="G71" s="88">
        <f t="shared" si="19"/>
        <v>-230517.74556346805</v>
      </c>
      <c r="H71" s="88">
        <f>SUMIFS('SCH B-3.1'!$F$42:$F$57,'SCH B-3.1'!$B$42:$B$57,'SCH B-3 F'!$B71)</f>
        <v>0</v>
      </c>
      <c r="I71" s="88">
        <f t="shared" si="20"/>
        <v>-230517.74556346805</v>
      </c>
    </row>
    <row r="72" spans="1:16" ht="18.95" customHeight="1">
      <c r="A72" s="70">
        <f t="shared" si="1"/>
        <v>43</v>
      </c>
      <c r="B72" s="71" t="s">
        <v>1673</v>
      </c>
      <c r="C72" s="78" t="s">
        <v>1674</v>
      </c>
      <c r="D72" s="88">
        <f>'SCH B-2.1 F'!D70</f>
        <v>4991165.9476922695</v>
      </c>
      <c r="E72" s="88">
        <f>SUMIFS('PIS F'!$X$11:$X$344,'PIS F'!$B$11:$B$344,'SCH B-3 F'!$B72)</f>
        <v>-747141.67557547614</v>
      </c>
      <c r="F72" s="134">
        <f t="shared" si="21"/>
        <v>0.87740486529609241</v>
      </c>
      <c r="G72" s="88">
        <f t="shared" si="19"/>
        <v>-655545.74121539737</v>
      </c>
      <c r="H72" s="88">
        <f>SUMIFS('SCH B-3.1'!$F$42:$F$57,'SCH B-3.1'!$B$42:$B$57,'SCH B-3 F'!$B72)</f>
        <v>0</v>
      </c>
      <c r="I72" s="88">
        <f t="shared" si="20"/>
        <v>-655545.74121539737</v>
      </c>
    </row>
    <row r="73" spans="1:16" ht="18.95" customHeight="1">
      <c r="A73" s="70">
        <f t="shared" si="1"/>
        <v>44</v>
      </c>
      <c r="B73" s="71" t="s">
        <v>1675</v>
      </c>
      <c r="C73" s="78" t="s">
        <v>152</v>
      </c>
      <c r="D73" s="89">
        <f>'SCH B-2.1 F'!D71</f>
        <v>551323.88</v>
      </c>
      <c r="E73" s="89">
        <f>SUMIFS('PIS F'!$X$11:$X$344,'PIS F'!$B$11:$B$344,'SCH B-3 F'!$B73)</f>
        <v>-106084.96225518781</v>
      </c>
      <c r="F73" s="134">
        <f t="shared" si="21"/>
        <v>0.87740486529609241</v>
      </c>
      <c r="G73" s="89">
        <f t="shared" si="19"/>
        <v>-93079.462017454105</v>
      </c>
      <c r="H73" s="89">
        <f>SUMIFS('SCH B-3.1'!$F$42:$F$57,'SCH B-3.1'!$B$42:$B$57,'SCH B-3 F'!$B73)</f>
        <v>93079.462017454105</v>
      </c>
      <c r="I73" s="89">
        <f t="shared" si="20"/>
        <v>0</v>
      </c>
    </row>
    <row r="74" spans="1:16" ht="18.95" customHeight="1">
      <c r="A74" s="70">
        <f t="shared" si="1"/>
        <v>45</v>
      </c>
      <c r="C74" s="78" t="s">
        <v>150</v>
      </c>
      <c r="D74" s="86">
        <f>SUM(D65:D73)</f>
        <v>1141908577.8892298</v>
      </c>
      <c r="E74" s="86">
        <f t="shared" ref="E74" si="22">SUM(E65:E73)</f>
        <v>-364908741.19874775</v>
      </c>
      <c r="F74" s="86"/>
      <c r="G74" s="86">
        <f t="shared" ref="G74:I74" si="23">SUM(G65:G73)</f>
        <v>-320172704.91685385</v>
      </c>
      <c r="H74" s="86">
        <f t="shared" si="23"/>
        <v>93079.462017454105</v>
      </c>
      <c r="I74" s="86">
        <f t="shared" si="23"/>
        <v>-320079625.45483637</v>
      </c>
      <c r="K74" s="136">
        <f>'JURISSEP F'!E266</f>
        <v>355111.563333333</v>
      </c>
      <c r="L74" s="136">
        <f>'JURISSEP F'!G267</f>
        <v>320172704.9168539</v>
      </c>
      <c r="M74" s="136"/>
      <c r="N74" s="136">
        <f>SUM(L74:M74)</f>
        <v>320172704.9168539</v>
      </c>
      <c r="O74" s="136">
        <f>-E74+M74</f>
        <v>364908741.19874775</v>
      </c>
      <c r="P74" s="137">
        <f>N74/O74</f>
        <v>0.87740486529609241</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F'!D75</f>
        <v>10108144.919999989</v>
      </c>
      <c r="E77" s="88">
        <f>SUMIFS('PIS F'!$X$11:$X$344,'PIS F'!$B$11:$B$344,'SCH B-3 F'!$B77)</f>
        <v>-1507761.6506703238</v>
      </c>
      <c r="F77" s="134">
        <f>$P$90</f>
        <v>0.93944463142522949</v>
      </c>
      <c r="G77" s="88">
        <f t="shared" ref="G77:G89" si="24">E77*F77</f>
        <v>-1416458.5881910778</v>
      </c>
      <c r="H77" s="88">
        <f>SUMIFS('SCH B-3.1'!$F$42:$F$57,'SCH B-3.1'!$B$42:$B$57,'SCH B-3 F'!$B77)</f>
        <v>0</v>
      </c>
      <c r="I77" s="88">
        <f t="shared" ref="I77:I89" si="25">SUM(G77:H77)</f>
        <v>-1416458.5881910778</v>
      </c>
    </row>
    <row r="78" spans="1:16" ht="18.95" customHeight="1">
      <c r="A78" s="70">
        <f t="shared" si="1"/>
        <v>48</v>
      </c>
      <c r="B78" s="71" t="s">
        <v>1677</v>
      </c>
      <c r="C78" s="78" t="s">
        <v>148</v>
      </c>
      <c r="D78" s="88">
        <f>'SCH B-2.1 F'!D76</f>
        <v>29137689.625384614</v>
      </c>
      <c r="E78" s="88">
        <f>SUMIFS('PIS F'!$X$11:$X$344,'PIS F'!$B$11:$B$344,'SCH B-3 F'!$B78)</f>
        <v>-2359081.3643759331</v>
      </c>
      <c r="F78" s="134">
        <f t="shared" ref="F78:F81" si="26">$P$90</f>
        <v>0.93944463142522949</v>
      </c>
      <c r="G78" s="88">
        <f t="shared" si="24"/>
        <v>-2216226.3228582758</v>
      </c>
      <c r="H78" s="88">
        <f>SUMIFS('SCH B-3.1'!$F$42:$F$57,'SCH B-3.1'!$B$42:$B$57,'SCH B-3 F'!$B78)</f>
        <v>0</v>
      </c>
      <c r="I78" s="88">
        <f t="shared" si="25"/>
        <v>-2216226.3228582758</v>
      </c>
    </row>
    <row r="79" spans="1:16" ht="18.95" customHeight="1">
      <c r="A79" s="70">
        <f t="shared" si="1"/>
        <v>49</v>
      </c>
      <c r="B79" s="71" t="s">
        <v>1678</v>
      </c>
      <c r="C79" s="78" t="s">
        <v>1679</v>
      </c>
      <c r="D79" s="88">
        <f>'SCH B-2.1 F'!D77</f>
        <v>254851744.37076876</v>
      </c>
      <c r="E79" s="88">
        <f>SUMIFS('PIS F'!$X$11:$X$344,'PIS F'!$B$11:$B$344,'SCH B-3 F'!$B79)</f>
        <v>-55975597.097719856</v>
      </c>
      <c r="F79" s="134">
        <f t="shared" si="26"/>
        <v>0.93944463142522949</v>
      </c>
      <c r="G79" s="88">
        <f t="shared" si="24"/>
        <v>-52585974.184274577</v>
      </c>
      <c r="H79" s="88">
        <f>SUMIFS('SCH B-3.1'!$F$42:$F$57,'SCH B-3.1'!$B$42:$B$57,'SCH B-3 F'!$B79)</f>
        <v>0</v>
      </c>
      <c r="I79" s="88">
        <f t="shared" si="25"/>
        <v>-52585974.184274577</v>
      </c>
    </row>
    <row r="80" spans="1:16" ht="18.95" customHeight="1">
      <c r="A80" s="70">
        <f t="shared" ref="A80:A90" si="27">A79+1</f>
        <v>50</v>
      </c>
      <c r="B80" s="71" t="s">
        <v>1680</v>
      </c>
      <c r="C80" s="78" t="s">
        <v>1681</v>
      </c>
      <c r="D80" s="88">
        <f>'SCH B-2.1 F'!D78</f>
        <v>429179041.73538393</v>
      </c>
      <c r="E80" s="88">
        <f>SUMIFS('PIS F'!$X$11:$X$344,'PIS F'!$B$11:$B$344,'SCH B-3 F'!$B80)</f>
        <v>-177264281.75002593</v>
      </c>
      <c r="F80" s="134">
        <f t="shared" si="26"/>
        <v>0.93944463142522949</v>
      </c>
      <c r="G80" s="88">
        <f t="shared" si="24"/>
        <v>-166529977.83351114</v>
      </c>
      <c r="H80" s="88">
        <f>SUMIFS('SCH B-3.1'!$F$42:$F$57,'SCH B-3.1'!$B$42:$B$57,'SCH B-3 F'!$B80)</f>
        <v>3174.1868026133761</v>
      </c>
      <c r="I80" s="88">
        <f t="shared" si="25"/>
        <v>-166526803.64670852</v>
      </c>
    </row>
    <row r="81" spans="1:16" ht="18.95" customHeight="1">
      <c r="A81" s="70">
        <f t="shared" si="27"/>
        <v>51</v>
      </c>
      <c r="B81" s="71" t="s">
        <v>1682</v>
      </c>
      <c r="C81" s="78" t="s">
        <v>1670</v>
      </c>
      <c r="D81" s="88">
        <f>'SCH B-2.1 F'!D79</f>
        <v>429932996.28999996</v>
      </c>
      <c r="E81" s="88">
        <f>SUMIFS('PIS F'!$X$11:$X$344,'PIS F'!$B$11:$B$344,'SCH B-3 F'!$B81)</f>
        <v>-119168643.69443998</v>
      </c>
      <c r="F81" s="134">
        <f t="shared" si="26"/>
        <v>0.93944463142522949</v>
      </c>
      <c r="G81" s="88">
        <f t="shared" si="24"/>
        <v>-111952342.55296767</v>
      </c>
      <c r="H81" s="88">
        <f>SUMIFS('SCH B-3.1'!$F$42:$F$57,'SCH B-3.1'!$B$42:$B$57,'SCH B-3 F'!$B81)</f>
        <v>3277.1748445314383</v>
      </c>
      <c r="I81" s="88">
        <f t="shared" si="25"/>
        <v>-111949065.37812313</v>
      </c>
    </row>
    <row r="82" spans="1:16" ht="18.95" customHeight="1">
      <c r="A82" s="70">
        <f t="shared" si="27"/>
        <v>52</v>
      </c>
      <c r="B82" s="71" t="s">
        <v>1683</v>
      </c>
      <c r="C82" s="78" t="s">
        <v>1672</v>
      </c>
      <c r="D82" s="88">
        <f>'SCH B-2.1 F'!D80</f>
        <v>2390106.04</v>
      </c>
      <c r="E82" s="88">
        <f>SUMIFS('PIS F'!$X$11:$X$344,'PIS F'!$B$11:$B$344,'SCH B-3 F'!$B82)</f>
        <v>-1052769.7768319962</v>
      </c>
      <c r="F82" s="134">
        <f>'SCH B-2.1 F'!E80</f>
        <v>1</v>
      </c>
      <c r="G82" s="88">
        <f t="shared" si="24"/>
        <v>-1052769.7768319962</v>
      </c>
      <c r="H82" s="88">
        <f>SUMIFS('SCH B-3.1'!$F$42:$F$57,'SCH B-3.1'!$B$42:$B$57,'SCH B-3 F'!$B82)</f>
        <v>22146.3379519999</v>
      </c>
      <c r="I82" s="88">
        <f t="shared" si="25"/>
        <v>-1030623.4388799963</v>
      </c>
    </row>
    <row r="83" spans="1:16" ht="18.95" customHeight="1">
      <c r="A83" s="70">
        <f t="shared" si="27"/>
        <v>53</v>
      </c>
      <c r="B83" s="71" t="s">
        <v>1684</v>
      </c>
      <c r="C83" s="78" t="s">
        <v>1674</v>
      </c>
      <c r="D83" s="88">
        <f>'SCH B-2.1 F'!D81</f>
        <v>222552805.08615378</v>
      </c>
      <c r="E83" s="88">
        <f>SUMIFS('PIS F'!$X$11:$X$344,'PIS F'!$B$11:$B$344,'SCH B-3 F'!$B83)</f>
        <v>-55444796.269919127</v>
      </c>
      <c r="F83" s="134">
        <f t="shared" ref="F83:F88" si="28">$P$90</f>
        <v>0.93944463142522949</v>
      </c>
      <c r="G83" s="88">
        <f t="shared" si="24"/>
        <v>-52087316.196241111</v>
      </c>
      <c r="H83" s="88">
        <f>SUMIFS('SCH B-3.1'!$F$42:$F$57,'SCH B-3.1'!$B$42:$B$57,'SCH B-3 F'!$B83)</f>
        <v>153063.5991723396</v>
      </c>
      <c r="I83" s="88">
        <f t="shared" si="25"/>
        <v>-51934252.597068772</v>
      </c>
    </row>
    <row r="84" spans="1:16" ht="18.95" customHeight="1">
      <c r="A84" s="70">
        <f t="shared" si="27"/>
        <v>54</v>
      </c>
      <c r="B84" s="71" t="s">
        <v>1685</v>
      </c>
      <c r="C84" s="78" t="s">
        <v>1686</v>
      </c>
      <c r="D84" s="88">
        <f>'SCH B-2.1 F'!D82</f>
        <v>327156550.64999998</v>
      </c>
      <c r="E84" s="88">
        <f>SUMIFS('PIS F'!$X$11:$X$344,'PIS F'!$B$11:$B$344,'SCH B-3 F'!$B84)</f>
        <v>-151265441.53210226</v>
      </c>
      <c r="F84" s="134">
        <f t="shared" si="28"/>
        <v>0.93944463142522949</v>
      </c>
      <c r="G84" s="88">
        <f t="shared" si="24"/>
        <v>-142105506.96750042</v>
      </c>
      <c r="H84" s="88">
        <f>SUMIFS('SCH B-3.1'!$F$42:$F$57,'SCH B-3.1'!$B$42:$B$57,'SCH B-3 F'!$B84)</f>
        <v>0</v>
      </c>
      <c r="I84" s="88">
        <f t="shared" si="25"/>
        <v>-142105506.96750042</v>
      </c>
    </row>
    <row r="85" spans="1:16" ht="18.95" customHeight="1">
      <c r="A85" s="70">
        <f t="shared" si="27"/>
        <v>55</v>
      </c>
      <c r="B85" s="71" t="s">
        <v>1687</v>
      </c>
      <c r="C85" s="78" t="s">
        <v>1688</v>
      </c>
      <c r="D85" s="88">
        <f>'SCH B-2.1 F'!D83</f>
        <v>114525290.31153849</v>
      </c>
      <c r="E85" s="88">
        <f>SUMIFS('PIS F'!$X$11:$X$344,'PIS F'!$B$11:$B$344,'SCH B-3 F'!$B85)</f>
        <v>-67446790.336765036</v>
      </c>
      <c r="F85" s="134">
        <f t="shared" si="28"/>
        <v>0.93944463142522949</v>
      </c>
      <c r="G85" s="88">
        <f t="shared" si="24"/>
        <v>-63362525.088736959</v>
      </c>
      <c r="H85" s="88">
        <f>SUMIFS('SCH B-3.1'!$F$42:$F$57,'SCH B-3.1'!$B$42:$B$57,'SCH B-3 F'!$B85)</f>
        <v>0</v>
      </c>
      <c r="I85" s="88">
        <f t="shared" si="25"/>
        <v>-63362525.088736959</v>
      </c>
    </row>
    <row r="86" spans="1:16" ht="18.95" customHeight="1">
      <c r="A86" s="70">
        <f>A85+1</f>
        <v>56</v>
      </c>
      <c r="B86" s="71" t="s">
        <v>1689</v>
      </c>
      <c r="C86" s="78" t="s">
        <v>1690</v>
      </c>
      <c r="D86" s="88">
        <f>'SCH B-2.1 F'!D84</f>
        <v>82667373.238461435</v>
      </c>
      <c r="E86" s="88">
        <f>SUMIFS('PIS F'!$X$11:$X$344,'PIS F'!$B$11:$B$344,'SCH B-3 F'!$B86)</f>
        <v>-44539123.031307496</v>
      </c>
      <c r="F86" s="134">
        <f t="shared" si="28"/>
        <v>0.93944463142522949</v>
      </c>
      <c r="G86" s="88">
        <f t="shared" si="24"/>
        <v>-41842040.020149618</v>
      </c>
      <c r="H86" s="88">
        <f>SUMIFS('SCH B-3.1'!$F$42:$F$57,'SCH B-3.1'!$B$42:$B$57,'SCH B-3 F'!$B86)</f>
        <v>237826.72547200002</v>
      </c>
      <c r="I86" s="88">
        <f t="shared" si="25"/>
        <v>-41604213.294677615</v>
      </c>
    </row>
    <row r="87" spans="1:16" ht="18.95" customHeight="1">
      <c r="A87" s="70">
        <f t="shared" si="27"/>
        <v>57</v>
      </c>
      <c r="B87" s="71" t="s">
        <v>1691</v>
      </c>
      <c r="C87" s="78" t="s">
        <v>1692</v>
      </c>
      <c r="D87" s="88">
        <f>'SCH B-2.1 F'!D85</f>
        <v>148818.36999999903</v>
      </c>
      <c r="E87" s="88">
        <f>SUMIFS('PIS F'!$X$11:$X$344,'PIS F'!$B$11:$B$344,'SCH B-3 F'!$B87)</f>
        <v>-15957.010715699997</v>
      </c>
      <c r="F87" s="134">
        <f t="shared" si="28"/>
        <v>0.93944463142522949</v>
      </c>
      <c r="G87" s="88">
        <f t="shared" si="24"/>
        <v>-14990.72805045922</v>
      </c>
      <c r="H87" s="88">
        <f>SUMIFS('SCH B-3.1'!$F$42:$F$57,'SCH B-3.1'!$B$42:$B$57,'SCH B-3 F'!$B87)</f>
        <v>0</v>
      </c>
      <c r="I87" s="88">
        <f t="shared" si="25"/>
        <v>-14990.72805045922</v>
      </c>
    </row>
    <row r="88" spans="1:16" ht="18.95" customHeight="1">
      <c r="A88" s="70">
        <f t="shared" si="27"/>
        <v>58</v>
      </c>
      <c r="B88" s="71" t="s">
        <v>1693</v>
      </c>
      <c r="C88" s="78" t="s">
        <v>1694</v>
      </c>
      <c r="D88" s="88">
        <f>'SCH B-2.1 F'!D86</f>
        <v>131245001.32461539</v>
      </c>
      <c r="E88" s="88">
        <f>SUMIFS('PIS F'!$X$11:$X$344,'PIS F'!$B$11:$B$344,'SCH B-3 F'!$B88)</f>
        <v>-46493478.499739304</v>
      </c>
      <c r="F88" s="134">
        <f t="shared" si="28"/>
        <v>0.93944463142522949</v>
      </c>
      <c r="G88" s="88">
        <f t="shared" si="24"/>
        <v>-43678048.772864424</v>
      </c>
      <c r="H88" s="88">
        <f>SUMIFS('SCH B-3.1'!$F$42:$F$57,'SCH B-3.1'!$B$42:$B$57,'SCH B-3 F'!$B88)</f>
        <v>0</v>
      </c>
      <c r="I88" s="88">
        <f t="shared" si="25"/>
        <v>-43678048.772864424</v>
      </c>
    </row>
    <row r="89" spans="1:16" ht="18.95" customHeight="1">
      <c r="A89" s="70">
        <f t="shared" si="27"/>
        <v>59</v>
      </c>
      <c r="B89" s="71" t="s">
        <v>1695</v>
      </c>
      <c r="C89" s="78" t="s">
        <v>151</v>
      </c>
      <c r="D89" s="89">
        <f>'SCH B-2.1 F'!D87</f>
        <v>658287.18999999994</v>
      </c>
      <c r="E89" s="89">
        <f>SUMIFS('PIS F'!$X$11:$X$344,'PIS F'!$B$11:$B$344,'SCH B-3 F'!$B89)</f>
        <v>-131322.43193931569</v>
      </c>
      <c r="F89" s="134">
        <f>'SCH B-2.1 F'!E87</f>
        <v>1</v>
      </c>
      <c r="G89" s="89">
        <f t="shared" si="24"/>
        <v>-131322.43193931569</v>
      </c>
      <c r="H89" s="89">
        <f>SUMIFS('SCH B-3.1'!$F$42:$F$57,'SCH B-3.1'!$B$42:$B$57,'SCH B-3 F'!$B89)</f>
        <v>131322.43193931569</v>
      </c>
      <c r="I89" s="89">
        <f t="shared" si="25"/>
        <v>0</v>
      </c>
    </row>
    <row r="90" spans="1:16" ht="18.95" customHeight="1">
      <c r="A90" s="70">
        <f t="shared" si="27"/>
        <v>60</v>
      </c>
      <c r="B90" s="71"/>
      <c r="C90" s="78" t="s">
        <v>153</v>
      </c>
      <c r="D90" s="86">
        <f>SUM(D77:D89)</f>
        <v>2034553849.1523063</v>
      </c>
      <c r="E90" s="86">
        <f t="shared" ref="E90" si="29">SUM(E77:E89)</f>
        <v>-722665044.44655228</v>
      </c>
      <c r="F90" s="86"/>
      <c r="G90" s="86">
        <f t="shared" ref="G90:I90" si="30">SUM(G77:G89)</f>
        <v>-678975499.46411717</v>
      </c>
      <c r="H90" s="86">
        <f t="shared" si="30"/>
        <v>550810.4561828</v>
      </c>
      <c r="I90" s="86">
        <f t="shared" si="30"/>
        <v>-678424689.00793433</v>
      </c>
      <c r="K90" s="136">
        <f>'JURISSEP F'!E270</f>
        <v>680264464.41589546</v>
      </c>
      <c r="L90" s="136">
        <f>'JURISSEP F'!G271</f>
        <v>678975499.46411705</v>
      </c>
      <c r="M90" s="136">
        <f>G82+G89</f>
        <v>-1184092.2087713119</v>
      </c>
      <c r="N90" s="136">
        <f>SUM(L90:M90)</f>
        <v>677791407.2553457</v>
      </c>
      <c r="O90" s="136">
        <f>-E90+M90</f>
        <v>721480952.23778093</v>
      </c>
      <c r="P90" s="137">
        <f>N90/O90</f>
        <v>0.93944463142522949</v>
      </c>
    </row>
    <row r="91" spans="1:16" s="68" customFormat="1" ht="20.100000000000001" customHeight="1">
      <c r="A91" s="767" t="str">
        <f>$A$1</f>
        <v>KENTUCKY UTILITIES COMPANY</v>
      </c>
      <c r="B91" s="767"/>
      <c r="C91" s="767"/>
      <c r="D91" s="767"/>
      <c r="E91" s="767"/>
      <c r="F91" s="767"/>
      <c r="G91" s="767"/>
      <c r="H91" s="767"/>
      <c r="I91" s="767"/>
    </row>
    <row r="92" spans="1:16" s="68" customFormat="1" ht="20.100000000000001" customHeight="1">
      <c r="A92" s="767" t="str">
        <f>$A$2</f>
        <v>CASE NO. 2018-00294</v>
      </c>
      <c r="B92" s="767"/>
      <c r="C92" s="767"/>
      <c r="D92" s="767"/>
      <c r="E92" s="767"/>
      <c r="F92" s="767"/>
      <c r="G92" s="767"/>
      <c r="H92" s="767"/>
      <c r="I92" s="767"/>
    </row>
    <row r="93" spans="1:16" s="68" customFormat="1" ht="20.100000000000001" customHeight="1">
      <c r="A93" s="767" t="str">
        <f>$A$3</f>
        <v>ACCUMULATED DEPRECIATION AND AMORTIZATION</v>
      </c>
      <c r="B93" s="767"/>
      <c r="C93" s="767"/>
      <c r="D93" s="767"/>
      <c r="E93" s="767"/>
      <c r="F93" s="767"/>
      <c r="G93" s="767"/>
      <c r="H93" s="767"/>
      <c r="I93" s="767"/>
    </row>
    <row r="94" spans="1:16" s="68" customFormat="1" ht="20.100000000000001" customHeight="1">
      <c r="A94" s="766" t="str">
        <f>$A$4</f>
        <v>AS OF APRIL 30, 2020</v>
      </c>
      <c r="B94" s="767"/>
      <c r="C94" s="767"/>
      <c r="D94" s="767"/>
      <c r="E94" s="767"/>
      <c r="F94" s="767"/>
      <c r="G94" s="767"/>
      <c r="H94" s="767"/>
      <c r="I94" s="767"/>
    </row>
    <row r="95" spans="1:16" s="68" customFormat="1" ht="20.100000000000001" customHeight="1">
      <c r="A95" s="92"/>
      <c r="B95" s="92"/>
      <c r="C95" s="92"/>
      <c r="D95" s="92"/>
      <c r="E95" s="92"/>
      <c r="F95" s="92"/>
      <c r="G95" s="92"/>
      <c r="H95" s="92"/>
      <c r="I95" s="92"/>
    </row>
    <row r="96" spans="1:16" s="68" customFormat="1" ht="20.100000000000001" customHeight="1">
      <c r="A96" s="67" t="str">
        <f>$A$6</f>
        <v>DATA:____BASE  PERIOD__X__FORECASTED  PERIOD</v>
      </c>
      <c r="B96" s="67"/>
      <c r="H96" s="74"/>
      <c r="I96" s="75" t="str">
        <f>$I$6</f>
        <v>SCHEDULE B-3</v>
      </c>
    </row>
    <row r="97" spans="1:9" s="68" customFormat="1" ht="20.100000000000001" customHeight="1">
      <c r="A97" s="67" t="str">
        <f>$A$7</f>
        <v>TYPE OF FILING: __X__ ORIGINAL  _____ UPDATED  _____ REVISED</v>
      </c>
      <c r="H97" s="74"/>
      <c r="I97" s="74" t="s">
        <v>170</v>
      </c>
    </row>
    <row r="98" spans="1:9" s="68" customFormat="1" ht="20.100000000000001" customHeight="1">
      <c r="A98" s="67" t="str">
        <f>$A$8</f>
        <v>WORKPAPER REFERENCE NO(S).:</v>
      </c>
      <c r="B98" s="67"/>
      <c r="E98" s="67"/>
      <c r="G98" s="67"/>
      <c r="H98" s="75"/>
      <c r="I98" s="75" t="str">
        <f>$I$8</f>
        <v>WITNESS:   C. M. GARRETT</v>
      </c>
    </row>
    <row r="99" spans="1:9" s="68" customFormat="1" ht="20.100000000000001" customHeight="1"/>
    <row r="100" spans="1:9" s="68" customFormat="1" ht="20.100000000000001" customHeight="1">
      <c r="A100" s="96"/>
      <c r="B100" s="96"/>
      <c r="C100" s="96"/>
      <c r="D100" s="96"/>
      <c r="E100" s="769" t="s">
        <v>1210</v>
      </c>
      <c r="F100" s="769"/>
      <c r="G100" s="769"/>
      <c r="H100" s="769"/>
      <c r="I100" s="769"/>
    </row>
    <row r="101" spans="1:9" ht="95.1" customHeight="1">
      <c r="A101" s="71" t="s">
        <v>131</v>
      </c>
      <c r="B101" s="71" t="s">
        <v>134</v>
      </c>
      <c r="C101" s="78" t="s">
        <v>135</v>
      </c>
      <c r="D101" s="71" t="s">
        <v>3420</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31">A103+1</f>
        <v>62</v>
      </c>
      <c r="B104" s="71" t="s">
        <v>1697</v>
      </c>
      <c r="C104" s="78" t="s">
        <v>154</v>
      </c>
      <c r="D104" s="88">
        <f>'SCH B-2.1 F'!D101</f>
        <v>4425710.411538451</v>
      </c>
      <c r="E104" s="88">
        <f>SUMIFS('PIS F'!$X$11:$X$344,'PIS F'!$B$11:$B$344,'SCH B-3 F'!$B104)</f>
        <v>-2.9233374643937851E-13</v>
      </c>
      <c r="F104" s="134">
        <f t="shared" ref="F104:F113" si="32">$P$114</f>
        <v>0.9427690072583127</v>
      </c>
      <c r="G104" s="88">
        <f t="shared" ref="G104:G113" si="33">E104*F104</f>
        <v>-2.7560319591875617E-13</v>
      </c>
      <c r="H104" s="88">
        <f>SUMIFS('SCH B-3.1'!$F$42:$F$57,'SCH B-3.1'!$B$42:$B$57,'SCH B-3 F'!$B104)</f>
        <v>0</v>
      </c>
      <c r="I104" s="88">
        <f t="shared" ref="I104:I113" si="34">SUM(G104:H104)</f>
        <v>-2.7560319591875617E-13</v>
      </c>
    </row>
    <row r="105" spans="1:9" ht="18.95" customHeight="1">
      <c r="A105" s="70">
        <f t="shared" si="31"/>
        <v>63</v>
      </c>
      <c r="B105" s="71" t="s">
        <v>1698</v>
      </c>
      <c r="C105" s="78" t="s">
        <v>148</v>
      </c>
      <c r="D105" s="88">
        <f>'SCH B-2.1 F'!D102</f>
        <v>82988551.647692308</v>
      </c>
      <c r="E105" s="88">
        <f>SUMIFS('PIS F'!$X$11:$X$344,'PIS F'!$B$11:$B$344,'SCH B-3 F'!$B105)</f>
        <v>-15572140.79636047</v>
      </c>
      <c r="F105" s="134">
        <f t="shared" si="32"/>
        <v>0.9427690072583127</v>
      </c>
      <c r="G105" s="88">
        <f t="shared" si="33"/>
        <v>-14680931.719471432</v>
      </c>
      <c r="H105" s="88">
        <f>SUMIFS('SCH B-3.1'!$F$42:$F$57,'SCH B-3.1'!$B$42:$B$57,'SCH B-3 F'!$B105)</f>
        <v>0</v>
      </c>
      <c r="I105" s="88">
        <f t="shared" si="34"/>
        <v>-14680931.719471432</v>
      </c>
    </row>
    <row r="106" spans="1:9" ht="18.95" customHeight="1">
      <c r="A106" s="70">
        <f t="shared" si="31"/>
        <v>64</v>
      </c>
      <c r="B106" s="71" t="s">
        <v>1699</v>
      </c>
      <c r="C106" s="78" t="s">
        <v>156</v>
      </c>
      <c r="D106" s="88">
        <f>'SCH B-2.1 F'!D103</f>
        <v>43733664.389230751</v>
      </c>
      <c r="E106" s="88">
        <f>SUMIFS('PIS F'!$X$11:$X$344,'PIS F'!$B$11:$B$344,'SCH B-3 F'!$B106)</f>
        <v>-20420268.0012899</v>
      </c>
      <c r="F106" s="134">
        <f t="shared" si="32"/>
        <v>0.9427690072583127</v>
      </c>
      <c r="G106" s="88">
        <f t="shared" si="33"/>
        <v>-19251595.791524768</v>
      </c>
      <c r="H106" s="88">
        <f>SUMIFS('SCH B-3.1'!$F$42:$F$57,'SCH B-3.1'!$B$42:$B$57,'SCH B-3 F'!$B106)</f>
        <v>0</v>
      </c>
      <c r="I106" s="88">
        <f t="shared" si="34"/>
        <v>-19251595.791524768</v>
      </c>
    </row>
    <row r="107" spans="1:9" ht="18.95" customHeight="1">
      <c r="A107" s="70">
        <f t="shared" si="31"/>
        <v>65</v>
      </c>
      <c r="B107" s="71" t="s">
        <v>1700</v>
      </c>
      <c r="C107" s="78" t="s">
        <v>155</v>
      </c>
      <c r="D107" s="88">
        <f>'SCH B-2.1 F'!D104</f>
        <v>7538271.700000002</v>
      </c>
      <c r="E107" s="88">
        <f>SUMIFS('PIS F'!$X$11:$X$344,'PIS F'!$B$11:$B$344,'SCH B-3 F'!$B107)</f>
        <v>-4390835.7964297207</v>
      </c>
      <c r="F107" s="134">
        <f t="shared" si="32"/>
        <v>0.9427690072583127</v>
      </c>
      <c r="G107" s="88">
        <f t="shared" si="33"/>
        <v>-4139543.9048343105</v>
      </c>
      <c r="H107" s="88">
        <f>SUMIFS('SCH B-3.1'!$F$42:$F$57,'SCH B-3.1'!$B$42:$B$57,'SCH B-3 F'!$B107)</f>
        <v>18773.824660196133</v>
      </c>
      <c r="I107" s="88">
        <f t="shared" si="34"/>
        <v>-4120770.0801741146</v>
      </c>
    </row>
    <row r="108" spans="1:9" ht="18.95" customHeight="1">
      <c r="A108" s="70">
        <f t="shared" si="31"/>
        <v>66</v>
      </c>
      <c r="B108" s="71" t="s">
        <v>1701</v>
      </c>
      <c r="C108" s="78" t="s">
        <v>1702</v>
      </c>
      <c r="D108" s="88">
        <f>'SCH B-2.1 F'!D105</f>
        <v>910091.12307692331</v>
      </c>
      <c r="E108" s="88">
        <f>SUMIFS('PIS F'!$X$11:$X$344,'PIS F'!$B$11:$B$344,'SCH B-3 F'!$B108)</f>
        <v>-445921.20316615683</v>
      </c>
      <c r="F108" s="134">
        <f t="shared" si="32"/>
        <v>0.9427690072583127</v>
      </c>
      <c r="G108" s="88">
        <f t="shared" si="33"/>
        <v>-420400.69002439006</v>
      </c>
      <c r="H108" s="88">
        <f>SUMIFS('SCH B-3.1'!$F$42:$F$57,'SCH B-3.1'!$B$42:$B$57,'SCH B-3 F'!$B108)</f>
        <v>0</v>
      </c>
      <c r="I108" s="88">
        <f t="shared" si="34"/>
        <v>-420400.69002439006</v>
      </c>
    </row>
    <row r="109" spans="1:9" ht="18.95" customHeight="1">
      <c r="A109" s="70">
        <f t="shared" si="31"/>
        <v>67</v>
      </c>
      <c r="B109" s="71" t="s">
        <v>1703</v>
      </c>
      <c r="C109" s="78" t="s">
        <v>1704</v>
      </c>
      <c r="D109" s="88">
        <f>'SCH B-2.1 F'!D106</f>
        <v>17031591.320769228</v>
      </c>
      <c r="E109" s="88">
        <f>SUMIFS('PIS F'!$X$11:$X$344,'PIS F'!$B$11:$B$344,'SCH B-3 F'!$B109)</f>
        <v>-5217766.3983486155</v>
      </c>
      <c r="F109" s="134">
        <f t="shared" si="32"/>
        <v>0.9427690072583127</v>
      </c>
      <c r="G109" s="88">
        <f t="shared" si="33"/>
        <v>-4919148.4474769058</v>
      </c>
      <c r="H109" s="88">
        <f>SUMIFS('SCH B-3.1'!$F$42:$F$57,'SCH B-3.1'!$B$42:$B$57,'SCH B-3 F'!$B109)</f>
        <v>0</v>
      </c>
      <c r="I109" s="88">
        <f t="shared" si="34"/>
        <v>-4919148.4474769058</v>
      </c>
    </row>
    <row r="110" spans="1:9" ht="18.95" customHeight="1">
      <c r="A110" s="70">
        <f t="shared" si="31"/>
        <v>68</v>
      </c>
      <c r="B110" s="71" t="s">
        <v>1705</v>
      </c>
      <c r="C110" s="78" t="s">
        <v>1706</v>
      </c>
      <c r="D110" s="88">
        <f>'SCH B-2.1 F'!D107</f>
        <v>0</v>
      </c>
      <c r="E110" s="88">
        <f>SUMIFS('PIS F'!$X$11:$X$344,'PIS F'!$B$11:$B$344,'SCH B-3 F'!$B110)</f>
        <v>0</v>
      </c>
      <c r="F110" s="134">
        <f t="shared" si="32"/>
        <v>0.9427690072583127</v>
      </c>
      <c r="G110" s="88">
        <f t="shared" si="33"/>
        <v>0</v>
      </c>
      <c r="H110" s="88">
        <f>SUMIFS('SCH B-3.1'!$F$42:$F$57,'SCH B-3.1'!$B$42:$B$57,'SCH B-3 F'!$B110)</f>
        <v>0</v>
      </c>
      <c r="I110" s="88">
        <f t="shared" si="34"/>
        <v>0</v>
      </c>
    </row>
    <row r="111" spans="1:9" ht="18.95" customHeight="1">
      <c r="A111" s="70">
        <f t="shared" si="31"/>
        <v>69</v>
      </c>
      <c r="B111" s="71" t="s">
        <v>1707</v>
      </c>
      <c r="C111" s="78" t="s">
        <v>1708</v>
      </c>
      <c r="D111" s="88">
        <f>'SCH B-2.1 F'!D108</f>
        <v>4137907.4</v>
      </c>
      <c r="E111" s="88">
        <f>SUMIFS('PIS F'!$X$11:$X$344,'PIS F'!$B$11:$B$344,'SCH B-3 F'!$B111)</f>
        <v>-1549552.2921979891</v>
      </c>
      <c r="F111" s="134">
        <f t="shared" si="32"/>
        <v>0.9427690072583127</v>
      </c>
      <c r="G111" s="88">
        <f t="shared" si="33"/>
        <v>-1460869.876210341</v>
      </c>
      <c r="H111" s="88">
        <f>SUMIFS('SCH B-3.1'!$F$42:$F$57,'SCH B-3.1'!$B$42:$B$57,'SCH B-3 F'!$B111)</f>
        <v>0</v>
      </c>
      <c r="I111" s="88">
        <f t="shared" si="34"/>
        <v>-1460869.876210341</v>
      </c>
    </row>
    <row r="112" spans="1:9" ht="18.95" customHeight="1">
      <c r="A112" s="70">
        <f t="shared" si="31"/>
        <v>70</v>
      </c>
      <c r="B112" s="71" t="s">
        <v>1709</v>
      </c>
      <c r="C112" s="78" t="s">
        <v>157</v>
      </c>
      <c r="D112" s="88">
        <f>'SCH B-2.1 F'!D109</f>
        <v>67561471.884615272</v>
      </c>
      <c r="E112" s="88">
        <f>SUMIFS('PIS F'!$X$11:$X$344,'PIS F'!$B$11:$B$344,'SCH B-3 F'!$B112)</f>
        <v>-31576770.82664999</v>
      </c>
      <c r="F112" s="134">
        <f t="shared" si="32"/>
        <v>0.9427690072583127</v>
      </c>
      <c r="G112" s="88">
        <f t="shared" si="33"/>
        <v>-29769600.884664062</v>
      </c>
      <c r="H112" s="88">
        <f>SUMIFS('SCH B-3.1'!$F$42:$F$57,'SCH B-3.1'!$B$42:$B$57,'SCH B-3 F'!$B112)</f>
        <v>3586883.5391899915</v>
      </c>
      <c r="I112" s="88">
        <f t="shared" si="34"/>
        <v>-26182717.345474072</v>
      </c>
    </row>
    <row r="113" spans="1:16" ht="18.95" customHeight="1">
      <c r="A113" s="70">
        <f t="shared" si="31"/>
        <v>71</v>
      </c>
      <c r="B113" s="71" t="s">
        <v>1710</v>
      </c>
      <c r="C113" s="78" t="s">
        <v>1711</v>
      </c>
      <c r="D113" s="89">
        <f>'SCH B-2.1 F'!D110</f>
        <v>0</v>
      </c>
      <c r="E113" s="89">
        <f>SUMIFS('PIS F'!$X$11:$X$344,'PIS F'!$B$11:$B$344,'SCH B-3 F'!$B113)</f>
        <v>0</v>
      </c>
      <c r="F113" s="134">
        <f t="shared" si="32"/>
        <v>0.9427690072583127</v>
      </c>
      <c r="G113" s="89">
        <f t="shared" si="33"/>
        <v>0</v>
      </c>
      <c r="H113" s="89">
        <f>SUMIFS('SCH B-3.1'!$F$42:$F$57,'SCH B-3.1'!$B$42:$B$57,'SCH B-3 F'!$B113)</f>
        <v>0</v>
      </c>
      <c r="I113" s="89">
        <f t="shared" si="34"/>
        <v>0</v>
      </c>
    </row>
    <row r="114" spans="1:16" ht="18.95" customHeight="1">
      <c r="A114" s="70">
        <f t="shared" si="31"/>
        <v>72</v>
      </c>
      <c r="B114" s="71"/>
      <c r="C114" s="78" t="s">
        <v>158</v>
      </c>
      <c r="D114" s="86">
        <f>SUM(D104:D113)</f>
        <v>228327259.87692291</v>
      </c>
      <c r="E114" s="86">
        <f t="shared" ref="E114" si="35">SUM(E104:E113)</f>
        <v>-79173255.314442843</v>
      </c>
      <c r="F114" s="86"/>
      <c r="G114" s="86">
        <f t="shared" ref="G114:I114" si="36">SUM(G104:G113)</f>
        <v>-74642091.314206213</v>
      </c>
      <c r="H114" s="86">
        <f t="shared" si="36"/>
        <v>3605657.3638501875</v>
      </c>
      <c r="I114" s="86">
        <f t="shared" si="36"/>
        <v>-71036433.950356022</v>
      </c>
      <c r="K114" s="136" t="str">
        <f>'JURISSEP F'!E272</f>
        <v/>
      </c>
      <c r="L114" s="136">
        <f>'JURISSEP F'!G273</f>
        <v>74642091.314206213</v>
      </c>
      <c r="M114" s="136"/>
      <c r="N114" s="136">
        <f>SUM(L114:M114)</f>
        <v>74642091.314206213</v>
      </c>
      <c r="O114" s="136">
        <f>-E114+M114</f>
        <v>79173255.314442843</v>
      </c>
      <c r="P114" s="137">
        <f>N114/O114</f>
        <v>0.9427690072583127</v>
      </c>
    </row>
    <row r="115" spans="1:16" ht="18.95" customHeight="1">
      <c r="A115" s="70"/>
      <c r="B115" s="71"/>
    </row>
    <row r="116" spans="1:16" ht="18.95" customHeight="1" thickBot="1">
      <c r="A116" s="70">
        <f>A114+1</f>
        <v>73</v>
      </c>
      <c r="B116" s="71"/>
      <c r="C116" s="68" t="s">
        <v>439</v>
      </c>
      <c r="D116" s="94">
        <f>SUM(D17,D28,D39,D62,D74,D90,D114)</f>
        <v>10078782127.167679</v>
      </c>
      <c r="E116" s="94">
        <f>SUM(E17,E28,E39,E62,E74,E90,E114)</f>
        <v>-3497188448.226778</v>
      </c>
      <c r="F116" s="86"/>
      <c r="G116" s="94">
        <f>SUM(G17,G28,G39,G62,G74,G90,G114)</f>
        <v>-3249389114.0657554</v>
      </c>
      <c r="H116" s="94">
        <f>SUM(H17,H28,H39,H62,H74,H90,H114)</f>
        <v>275313648.71531558</v>
      </c>
      <c r="I116" s="94">
        <f>SUM(I17,I28,I39,I62,I74,I90,I114)</f>
        <v>-2974075465.3504395</v>
      </c>
    </row>
    <row r="117" spans="1:16" ht="18.95" customHeight="1" thickTop="1">
      <c r="B117" s="71"/>
    </row>
    <row r="118" spans="1:16" ht="18.95" customHeight="1">
      <c r="B118" s="71"/>
      <c r="D118" s="86"/>
      <c r="E118" s="93"/>
    </row>
    <row r="119" spans="1:16" ht="18.95" customHeight="1">
      <c r="B119" s="71"/>
      <c r="C119" s="78"/>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48:I48"/>
    <mergeCell ref="A49:I49"/>
    <mergeCell ref="A91:I91"/>
    <mergeCell ref="A92:I92"/>
    <mergeCell ref="A93:I93"/>
    <mergeCell ref="A94:I94"/>
    <mergeCell ref="E55:I55"/>
    <mergeCell ref="A1:I1"/>
    <mergeCell ref="A2:I2"/>
    <mergeCell ref="A4:I4"/>
    <mergeCell ref="A46:I46"/>
    <mergeCell ref="A47:I47"/>
    <mergeCell ref="E10:I10"/>
    <mergeCell ref="A3:I3"/>
  </mergeCells>
  <pageMargins left="0.95" right="0.5" top="0.75" bottom="0.75" header="0.3" footer="0.3"/>
  <pageSetup scale="62" fitToHeight="0" orientation="portrait" r:id="rId1"/>
  <rowBreaks count="2" manualBreakCount="2">
    <brk id="45" max="16383" man="1"/>
    <brk id="90"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1"/>
  <sheetViews>
    <sheetView zoomScaleNormal="100" workbookViewId="0">
      <selection activeCell="M20" sqref="M20"/>
    </sheetView>
  </sheetViews>
  <sheetFormatPr defaultColWidth="9" defaultRowHeight="12.75"/>
  <cols>
    <col min="1" max="1" width="6" style="69" customWidth="1"/>
    <col min="2" max="2" width="7.6640625" style="69" customWidth="1"/>
    <col min="3" max="3" width="29.77734375" style="69" customWidth="1"/>
    <col min="4" max="4" width="14.77734375" style="69" customWidth="1"/>
    <col min="5" max="6" width="15.77734375" style="69" customWidth="1"/>
    <col min="7" max="7" width="15.33203125" style="69" customWidth="1"/>
    <col min="8" max="8" width="32.77734375" style="69" customWidth="1"/>
    <col min="9" max="9" width="1.6640625" style="69" customWidth="1"/>
    <col min="10" max="10" width="9" style="69"/>
    <col min="11" max="11" width="17.109375" style="69" customWidth="1"/>
    <col min="12" max="12" width="9" style="69"/>
    <col min="13" max="13" width="9.88671875" style="69" bestFit="1" customWidth="1"/>
    <col min="14" max="14" width="11.21875" style="69" customWidth="1"/>
    <col min="15" max="16384" width="9" style="69"/>
  </cols>
  <sheetData>
    <row r="1" spans="1:14" s="68" customFormat="1" ht="20.100000000000001" customHeight="1">
      <c r="A1" s="767" t="str">
        <f>'Rate Case Constants'!C9</f>
        <v>KENTUCKY UTILITIES COMPANY</v>
      </c>
      <c r="B1" s="767"/>
      <c r="C1" s="767"/>
      <c r="D1" s="767"/>
      <c r="E1" s="767"/>
      <c r="F1" s="767"/>
      <c r="G1" s="767"/>
      <c r="H1" s="767"/>
    </row>
    <row r="2" spans="1:14" s="68" customFormat="1" ht="20.100000000000001" customHeight="1">
      <c r="A2" s="767" t="str">
        <f>'Rate Case Constants'!C10</f>
        <v>CASE NO. 2018-00294</v>
      </c>
      <c r="B2" s="767"/>
      <c r="C2" s="767"/>
      <c r="D2" s="767"/>
      <c r="E2" s="767"/>
      <c r="F2" s="767"/>
      <c r="G2" s="767"/>
      <c r="H2" s="767"/>
    </row>
    <row r="3" spans="1:14" s="68" customFormat="1" ht="20.100000000000001" customHeight="1">
      <c r="A3" s="767" t="s">
        <v>1207</v>
      </c>
      <c r="B3" s="767"/>
      <c r="C3" s="767"/>
      <c r="D3" s="767"/>
      <c r="E3" s="767"/>
      <c r="F3" s="767"/>
      <c r="G3" s="767"/>
      <c r="H3" s="767"/>
      <c r="I3" s="767"/>
    </row>
    <row r="4" spans="1:14" s="68" customFormat="1" ht="20.100000000000001" customHeight="1">
      <c r="A4" s="767" t="str">
        <f>'Rate Case Constants'!C12</f>
        <v>AS OF DECEMBER 31, 2018</v>
      </c>
      <c r="B4" s="767"/>
      <c r="C4" s="767"/>
      <c r="D4" s="767"/>
      <c r="E4" s="767"/>
      <c r="F4" s="767"/>
      <c r="G4" s="767"/>
      <c r="H4" s="767"/>
    </row>
    <row r="5" spans="1:14" s="68" customFormat="1" ht="20.100000000000001" customHeight="1">
      <c r="A5" s="84"/>
      <c r="B5" s="84"/>
      <c r="C5" s="84"/>
      <c r="D5" s="84"/>
      <c r="E5" s="84"/>
      <c r="F5" s="84"/>
      <c r="G5" s="84"/>
      <c r="H5" s="84"/>
    </row>
    <row r="6" spans="1:14" s="68" customFormat="1" ht="20.100000000000001" customHeight="1">
      <c r="A6" s="67" t="s">
        <v>133</v>
      </c>
      <c r="B6" s="67"/>
      <c r="G6" s="74"/>
      <c r="H6" s="74" t="s">
        <v>1206</v>
      </c>
    </row>
    <row r="7" spans="1:14" s="68" customFormat="1" ht="20.100000000000001" customHeight="1">
      <c r="A7" s="68" t="str">
        <f>'Rate Case Constants'!C29</f>
        <v>TYPE OF FILING: __X__ ORIGINAL  _____ UPDATED  _____ REVISED</v>
      </c>
      <c r="G7" s="74"/>
      <c r="H7" s="74" t="s">
        <v>177</v>
      </c>
    </row>
    <row r="8" spans="1:14" s="68" customFormat="1" ht="20.100000000000001" customHeight="1">
      <c r="A8" s="67" t="s">
        <v>1198</v>
      </c>
      <c r="B8" s="67"/>
      <c r="F8" s="67"/>
      <c r="G8" s="75"/>
      <c r="H8" s="75" t="str">
        <f>'Rate Case Constants'!C36</f>
        <v>WITNESS:   C. M. GARRETT</v>
      </c>
    </row>
    <row r="9" spans="1:14" s="68" customFormat="1" ht="20.100000000000001" customHeight="1"/>
    <row r="10" spans="1:14" ht="58.5" customHeight="1">
      <c r="A10" s="76" t="s">
        <v>131</v>
      </c>
      <c r="B10" s="76" t="s">
        <v>134</v>
      </c>
      <c r="C10" s="79" t="s">
        <v>135</v>
      </c>
      <c r="D10" s="76" t="s">
        <v>216</v>
      </c>
      <c r="E10" s="76" t="s">
        <v>217</v>
      </c>
      <c r="F10" s="76" t="s">
        <v>218</v>
      </c>
      <c r="G10" s="76" t="s">
        <v>219</v>
      </c>
      <c r="H10" s="76" t="s">
        <v>220</v>
      </c>
      <c r="K10" s="501" t="s">
        <v>2187</v>
      </c>
    </row>
    <row r="11" spans="1:14" ht="23.1" customHeight="1">
      <c r="A11" s="80"/>
      <c r="B11" s="80"/>
      <c r="C11" s="81"/>
      <c r="D11" s="82" t="s">
        <v>142</v>
      </c>
      <c r="E11" s="82"/>
      <c r="F11" s="82" t="s">
        <v>142</v>
      </c>
      <c r="G11" s="82"/>
      <c r="H11" s="82"/>
    </row>
    <row r="12" spans="1:14" ht="18.95" customHeight="1">
      <c r="A12" s="283">
        <v>1</v>
      </c>
      <c r="B12" s="423" t="str">
        <f>'SCH B-3 B'!B$21</f>
        <v>311</v>
      </c>
      <c r="C12" s="67" t="s">
        <v>148</v>
      </c>
      <c r="D12" s="396">
        <f>SUMIFS('FCPIS B'!$R$303:$R$429,'FCPIS B'!$E$303:$E$429,$J12,'FCPIS B'!$C$303:$C$429,$B12)*1000</f>
        <v>1136447.038363819</v>
      </c>
      <c r="E12" s="395">
        <f>'SCH B-3 B'!F$21</f>
        <v>0.86542053748247261</v>
      </c>
      <c r="F12" s="396">
        <f t="shared" ref="F12:F14" si="0">D12*E12</f>
        <v>983504.60676118045</v>
      </c>
      <c r="H12" s="68" t="s">
        <v>2003</v>
      </c>
      <c r="J12" s="68" t="s">
        <v>2184</v>
      </c>
      <c r="K12" s="421" t="s">
        <v>2184</v>
      </c>
    </row>
    <row r="13" spans="1:14" ht="18.95" customHeight="1">
      <c r="A13" s="283">
        <f t="shared" ref="A13:A27" si="1">A12+1</f>
        <v>2</v>
      </c>
      <c r="B13" s="423" t="str">
        <f>'SCH B-3 B'!B$22</f>
        <v>312</v>
      </c>
      <c r="C13" s="67" t="s">
        <v>1629</v>
      </c>
      <c r="D13" s="396">
        <f>SUMIFS('FCPIS B'!$R$303:$R$429,'FCPIS B'!$E$303:$E$429,$J13,'FCPIS B'!$C$303:$C$429,$B13)*1000-'ECR Exclusion'!W18</f>
        <v>115376373.04505895</v>
      </c>
      <c r="E13" s="395">
        <f>'SCH B-3 B'!F$22</f>
        <v>0.86542053748247261</v>
      </c>
      <c r="F13" s="396">
        <f t="shared" si="0"/>
        <v>99849082.773433179</v>
      </c>
      <c r="H13" s="68" t="s">
        <v>2003</v>
      </c>
      <c r="J13" s="68" t="s">
        <v>2184</v>
      </c>
      <c r="K13" s="88">
        <f>SUMIFS('FCPIS B'!$R$303:$R$428,'FCPIS B'!$E$303:$E$428,$K12)*1000</f>
        <v>118944351.17902273</v>
      </c>
      <c r="L13" s="88">
        <f>-'ECR Exclusion'!$W$18</f>
        <v>-1222596.5340635013</v>
      </c>
      <c r="M13" s="88"/>
      <c r="N13" s="496">
        <f>SUM(K13:M13)</f>
        <v>117721754.64495923</v>
      </c>
    </row>
    <row r="14" spans="1:14" ht="18.95" customHeight="1">
      <c r="A14" s="283">
        <f t="shared" si="1"/>
        <v>3</v>
      </c>
      <c r="B14" s="423" t="str">
        <f>'SCH B-3 B'!B$25</f>
        <v>315</v>
      </c>
      <c r="C14" s="67" t="s">
        <v>1633</v>
      </c>
      <c r="D14" s="396">
        <f>SUMIFS('FCPIS B'!$R$303:$R$429,'FCPIS B'!$E$303:$E$429,$J14,'FCPIS B'!$C$303:$C$429,$B14)*1000</f>
        <v>993558.66841937997</v>
      </c>
      <c r="E14" s="395">
        <f>'SCH B-3 B'!F$25</f>
        <v>0.86542053748247261</v>
      </c>
      <c r="F14" s="396">
        <f t="shared" si="0"/>
        <v>859846.07684386964</v>
      </c>
      <c r="H14" s="68" t="s">
        <v>2003</v>
      </c>
      <c r="J14" s="68" t="s">
        <v>2184</v>
      </c>
      <c r="K14" s="88">
        <f>SUM(D12:D15,D20:D23,D26)+'ECR Exclusion'!$W$18</f>
        <v>118944351.17902274</v>
      </c>
      <c r="N14" s="496">
        <f>SUM(D12:D15,D20:D23,D26)</f>
        <v>117721754.64495924</v>
      </c>
    </row>
    <row r="15" spans="1:14" ht="18.95" customHeight="1">
      <c r="A15" s="424">
        <f t="shared" si="1"/>
        <v>4</v>
      </c>
      <c r="B15" s="423" t="str">
        <f>'SCH B-3 B'!B$26</f>
        <v>316</v>
      </c>
      <c r="C15" s="67" t="s">
        <v>1633</v>
      </c>
      <c r="D15" s="396">
        <f>SUMIFS('FCPIS B'!$R$303:$R$429,'FCPIS B'!$E$303:$E$429,$J15,'FCPIS B'!$C$303:$C$429,$B15)*1000</f>
        <v>35073.480279999996</v>
      </c>
      <c r="E15" s="395">
        <f>'SCH B-3 B'!F$26</f>
        <v>0.86542053748247261</v>
      </c>
      <c r="F15" s="396">
        <f t="shared" ref="F15" si="2">D15*E15</f>
        <v>30353.310155298499</v>
      </c>
      <c r="H15" s="68" t="s">
        <v>2003</v>
      </c>
      <c r="J15" s="68" t="s">
        <v>2184</v>
      </c>
      <c r="K15" s="88">
        <f>K13-K14</f>
        <v>0</v>
      </c>
    </row>
    <row r="16" spans="1:14" ht="18.95" customHeight="1">
      <c r="A16" s="424">
        <f t="shared" si="1"/>
        <v>5</v>
      </c>
      <c r="B16" s="389" t="str">
        <f>'SCH B-3 B'!B$27</f>
        <v>317</v>
      </c>
      <c r="C16" s="68" t="str">
        <f>'SCH B-3 B'!C$27</f>
        <v>ARO Cost Steam Production</v>
      </c>
      <c r="D16" s="396">
        <f>-'SCH B-3 B'!E$27</f>
        <v>134179168.45999999</v>
      </c>
      <c r="E16" s="397">
        <f>'SCH B-3 B'!F$27</f>
        <v>0.86542053748247261</v>
      </c>
      <c r="F16" s="396">
        <f>D16*E16</f>
        <v>116121408.08760443</v>
      </c>
      <c r="H16" s="68" t="s">
        <v>1417</v>
      </c>
      <c r="J16" s="68" t="s">
        <v>2185</v>
      </c>
    </row>
    <row r="17" spans="1:11" ht="18.95" customHeight="1">
      <c r="A17" s="424">
        <f t="shared" si="1"/>
        <v>6</v>
      </c>
      <c r="B17" s="389" t="str">
        <f>'SCH B-3 B'!B$38</f>
        <v>337</v>
      </c>
      <c r="C17" s="68" t="str">
        <f>'SCH B-3 B'!C$38</f>
        <v>ARO Cost Hydro Production</v>
      </c>
      <c r="D17" s="396">
        <f>-'SCH B-3 B'!E$38</f>
        <v>55478.109999999899</v>
      </c>
      <c r="E17" s="397">
        <f>'SCH B-3 B'!F$38</f>
        <v>0.87536614509867261</v>
      </c>
      <c r="F17" s="396">
        <f>D17*E17</f>
        <v>48563.659288060029</v>
      </c>
      <c r="H17" s="68" t="s">
        <v>1417</v>
      </c>
      <c r="J17" s="68" t="s">
        <v>2185</v>
      </c>
      <c r="K17" s="421" t="s">
        <v>2185</v>
      </c>
    </row>
    <row r="18" spans="1:11" ht="18.95" customHeight="1">
      <c r="A18" s="424">
        <f t="shared" si="1"/>
        <v>7</v>
      </c>
      <c r="B18" s="423" t="str">
        <f>'SCH B-3 B'!B$61</f>
        <v>347</v>
      </c>
      <c r="C18" s="68" t="str">
        <f>'SCH B-3 B'!C$61</f>
        <v>ARO Cost Other Production</v>
      </c>
      <c r="D18" s="396">
        <f>-'SCH B-3 B'!E$61</f>
        <v>73527.01999999999</v>
      </c>
      <c r="E18" s="397">
        <f>'SCH B-3 B'!F$61</f>
        <v>0.87240660746154175</v>
      </c>
      <c r="F18" s="396">
        <f>D18*E18</f>
        <v>64145.458074956921</v>
      </c>
      <c r="H18" s="68" t="s">
        <v>1417</v>
      </c>
      <c r="J18" s="68" t="s">
        <v>2185</v>
      </c>
      <c r="K18" s="88">
        <f>SUMIFS('FCPIS B'!$R$303:$R$428,'FCPIS B'!$E$303:$E$428,$K17)*1000</f>
        <v>134522610.87</v>
      </c>
    </row>
    <row r="19" spans="1:11" ht="18.95" customHeight="1">
      <c r="A19" s="424">
        <f t="shared" si="1"/>
        <v>8</v>
      </c>
      <c r="B19" s="389" t="str">
        <f>'SCH B-3 B'!B$73</f>
        <v>359</v>
      </c>
      <c r="C19" s="68" t="str">
        <f>'SCH B-3 B'!C$73</f>
        <v>ARO Cost Elec Transmission</v>
      </c>
      <c r="D19" s="396">
        <f>-'SCH B-3 B'!E$73</f>
        <v>91218.789999999892</v>
      </c>
      <c r="E19" s="397">
        <f>'SCH B-3 B'!F$73</f>
        <v>0.87242229577545105</v>
      </c>
      <c r="F19" s="396">
        <f>D19*E19</f>
        <v>79581.306189658659</v>
      </c>
      <c r="H19" s="68" t="s">
        <v>1417</v>
      </c>
      <c r="J19" s="68" t="s">
        <v>2185</v>
      </c>
      <c r="K19" s="88">
        <f>SUM(D16:D19,D25)</f>
        <v>134522610.87</v>
      </c>
    </row>
    <row r="20" spans="1:11" ht="18.95" customHeight="1">
      <c r="A20" s="424">
        <f t="shared" si="1"/>
        <v>9</v>
      </c>
      <c r="B20" s="423" t="str">
        <f>'SCH B-3 B'!B$80</f>
        <v>364</v>
      </c>
      <c r="C20" s="78" t="s">
        <v>1681</v>
      </c>
      <c r="D20" s="396">
        <f>SUMIFS('FCPIS B'!$R$303:$R$429,'FCPIS B'!$E$303:$E$429,$J20,'FCPIS B'!$C$303:$C$429,$B20)*1000</f>
        <v>2788.4715199999901</v>
      </c>
      <c r="E20" s="397">
        <f>'SCH B-3 B'!F$80</f>
        <v>0.94003625825404036</v>
      </c>
      <c r="F20" s="396">
        <f>D20*E20</f>
        <v>2621.2643339087472</v>
      </c>
      <c r="H20" s="68" t="s">
        <v>2003</v>
      </c>
      <c r="J20" s="68" t="s">
        <v>2184</v>
      </c>
      <c r="K20" s="88">
        <f>K18-K19</f>
        <v>0</v>
      </c>
    </row>
    <row r="21" spans="1:11" ht="18.95" customHeight="1">
      <c r="A21" s="424">
        <f t="shared" si="1"/>
        <v>10</v>
      </c>
      <c r="B21" s="423" t="str">
        <f>'SCH B-3 B'!B$81</f>
        <v>365</v>
      </c>
      <c r="C21" s="78" t="s">
        <v>1670</v>
      </c>
      <c r="D21" s="396">
        <f>SUMIFS('FCPIS B'!$R$303:$R$429,'FCPIS B'!$E$303:$E$429,$J21,'FCPIS B'!$C$303:$C$429,$B21)*1000</f>
        <v>3002.6627134999999</v>
      </c>
      <c r="E21" s="397">
        <f>'SCH B-3 B'!F$81</f>
        <v>0.94003625825404036</v>
      </c>
      <c r="F21" s="396">
        <f t="shared" ref="F21:F24" si="3">D21*E21</f>
        <v>2822.6118219974633</v>
      </c>
      <c r="H21" s="68" t="s">
        <v>2003</v>
      </c>
      <c r="J21" s="68" t="s">
        <v>2184</v>
      </c>
      <c r="K21" s="88"/>
    </row>
    <row r="22" spans="1:11" ht="18.95" customHeight="1">
      <c r="A22" s="424">
        <f t="shared" si="1"/>
        <v>11</v>
      </c>
      <c r="B22" s="423" t="str">
        <f>'SCH B-3 B'!B$82</f>
        <v>366</v>
      </c>
      <c r="C22" s="78" t="s">
        <v>1672</v>
      </c>
      <c r="D22" s="396">
        <f>SUMIFS('FCPIS B'!$R$303:$R$429,'FCPIS B'!$E$303:$E$429,$J22,'FCPIS B'!$C$303:$C$429,$B22)*1000</f>
        <v>18840.289231999901</v>
      </c>
      <c r="E22" s="397">
        <f>'SCH B-3 B'!F$82</f>
        <v>1</v>
      </c>
      <c r="F22" s="396">
        <f t="shared" si="3"/>
        <v>18840.289231999901</v>
      </c>
      <c r="H22" s="68" t="s">
        <v>2003</v>
      </c>
      <c r="J22" s="68" t="s">
        <v>2184</v>
      </c>
    </row>
    <row r="23" spans="1:11" ht="18.95" customHeight="1">
      <c r="A23" s="501">
        <f t="shared" si="1"/>
        <v>12</v>
      </c>
      <c r="B23" s="423" t="str">
        <f>'SCH B-3 B'!B$83</f>
        <v>367</v>
      </c>
      <c r="C23" s="78" t="s">
        <v>1674</v>
      </c>
      <c r="D23" s="396">
        <f>SUMIFS('FCPIS B'!$R$303:$R$429,'FCPIS B'!$E$303:$E$429,$J23,'FCPIS B'!$C$303:$C$429,$B23)*1000</f>
        <v>136076.04174459999</v>
      </c>
      <c r="E23" s="397">
        <f>'SCH B-3 B'!F$83</f>
        <v>0.94003625825404036</v>
      </c>
      <c r="F23" s="396">
        <f t="shared" si="3"/>
        <v>127916.41311961437</v>
      </c>
      <c r="H23" s="68" t="s">
        <v>2003</v>
      </c>
      <c r="J23" s="68" t="s">
        <v>2184</v>
      </c>
      <c r="K23" s="421"/>
    </row>
    <row r="24" spans="1:11" ht="18.95" customHeight="1">
      <c r="A24" s="501">
        <f t="shared" si="1"/>
        <v>13</v>
      </c>
      <c r="B24" s="500">
        <v>370</v>
      </c>
      <c r="C24" s="67" t="s">
        <v>1690</v>
      </c>
      <c r="D24" s="396">
        <f>SUMIFS('FCPIS B'!$R$303:$R$429,'FCPIS B'!$E$303:$E$429,$J24,'FCPIS B'!$C$303:$C$429,$B24)*1000</f>
        <v>161829.76580200001</v>
      </c>
      <c r="E24" s="395">
        <v>1</v>
      </c>
      <c r="F24" s="396">
        <f t="shared" si="3"/>
        <v>161829.76580200001</v>
      </c>
      <c r="H24" s="68" t="s">
        <v>2004</v>
      </c>
      <c r="J24" s="68" t="s">
        <v>2186</v>
      </c>
      <c r="K24" s="421" t="s">
        <v>2186</v>
      </c>
    </row>
    <row r="25" spans="1:11" ht="18.95" customHeight="1">
      <c r="A25" s="501">
        <f t="shared" si="1"/>
        <v>14</v>
      </c>
      <c r="B25" s="389" t="str">
        <f>'SCH B-3 B'!B$89</f>
        <v>374</v>
      </c>
      <c r="C25" s="68" t="str">
        <f>'SCH B-3 B'!C$89</f>
        <v>ARO Cost Elec Distribution</v>
      </c>
      <c r="D25" s="396">
        <f>-'SCH B-3 B'!E$89</f>
        <v>123218.49</v>
      </c>
      <c r="E25" s="397">
        <f>'SCH B-3 B'!F$89</f>
        <v>1</v>
      </c>
      <c r="F25" s="396">
        <f>D25*E25</f>
        <v>123218.49</v>
      </c>
      <c r="H25" s="68" t="s">
        <v>1417</v>
      </c>
      <c r="J25" s="68" t="s">
        <v>2185</v>
      </c>
      <c r="K25" s="88">
        <f>SUMIFS('FCPIS B'!$R$303:$R$428,'FCPIS B'!$E$303:$E$428,$K24)*1000</f>
        <v>2822503.9459919999</v>
      </c>
    </row>
    <row r="26" spans="1:11" ht="18.95" customHeight="1">
      <c r="A26" s="501">
        <f t="shared" si="1"/>
        <v>15</v>
      </c>
      <c r="B26" s="423" t="str">
        <f>'SCH B-3 B'!B$107</f>
        <v>392</v>
      </c>
      <c r="C26" s="67" t="s">
        <v>155</v>
      </c>
      <c r="D26" s="396">
        <f>SUMIFS('FCPIS B'!$R$303:$R$429,'FCPIS B'!$E$303:$E$429,$J26,'FCPIS B'!$C$303:$C$429,$B26)*1000</f>
        <v>19594.947627000001</v>
      </c>
      <c r="E26" s="395">
        <f>'SCH B-3 B'!F$107</f>
        <v>0.90848299807617505</v>
      </c>
      <c r="F26" s="396">
        <f t="shared" ref="F26" si="4">D26*E26</f>
        <v>17801.676767322595</v>
      </c>
      <c r="H26" s="68" t="s">
        <v>2003</v>
      </c>
      <c r="J26" s="68" t="s">
        <v>2184</v>
      </c>
      <c r="K26" s="88">
        <f>SUM(D27,D24)</f>
        <v>2822503.9459919999</v>
      </c>
    </row>
    <row r="27" spans="1:11" ht="18.95" customHeight="1">
      <c r="A27" s="501">
        <f t="shared" si="1"/>
        <v>16</v>
      </c>
      <c r="B27" s="423" t="str">
        <f>'SCH B-3 B'!B$112</f>
        <v>397</v>
      </c>
      <c r="C27" s="67" t="s">
        <v>157</v>
      </c>
      <c r="D27" s="396">
        <f>SUMIFS('FCPIS B'!$R$303:$R$429,'FCPIS B'!$E$303:$E$429,$J27,'FCPIS B'!$C$303:$C$429,$B27)*1000</f>
        <v>2660674.1801899998</v>
      </c>
      <c r="E27" s="395">
        <v>1</v>
      </c>
      <c r="F27" s="396">
        <f t="shared" ref="F27" si="5">D27*E27</f>
        <v>2660674.1801899998</v>
      </c>
      <c r="H27" s="68" t="s">
        <v>2004</v>
      </c>
      <c r="J27" s="68" t="s">
        <v>2186</v>
      </c>
      <c r="K27" s="88">
        <f>K25-K26</f>
        <v>0</v>
      </c>
    </row>
    <row r="28" spans="1:11" ht="18.95" customHeight="1">
      <c r="A28" s="291"/>
      <c r="B28" s="71"/>
      <c r="C28" s="67"/>
      <c r="D28" s="396"/>
      <c r="E28" s="395"/>
      <c r="F28" s="396"/>
      <c r="H28" s="147"/>
    </row>
    <row r="29" spans="1:11" ht="18.95" customHeight="1" thickBot="1">
      <c r="A29" s="291">
        <f>A27+1</f>
        <v>17</v>
      </c>
      <c r="B29" s="71"/>
      <c r="C29" s="67" t="s">
        <v>2023</v>
      </c>
      <c r="D29" s="394">
        <f>SUM(D12:D28)</f>
        <v>255066869.46095124</v>
      </c>
      <c r="E29" s="395"/>
      <c r="F29" s="394">
        <f>SUM(F12:F28)</f>
        <v>221152209.96961746</v>
      </c>
      <c r="H29" s="147"/>
    </row>
    <row r="30" spans="1:11" ht="18.95" customHeight="1" thickTop="1">
      <c r="A30" s="141"/>
      <c r="B30" s="71"/>
      <c r="C30" s="68"/>
      <c r="D30" s="88"/>
      <c r="E30" s="134"/>
      <c r="F30" s="88"/>
      <c r="H30" s="147"/>
    </row>
    <row r="31" spans="1:11" s="68" customFormat="1" ht="20.100000000000001" customHeight="1">
      <c r="A31" s="767" t="str">
        <f>$A$1</f>
        <v>KENTUCKY UTILITIES COMPANY</v>
      </c>
      <c r="B31" s="767"/>
      <c r="C31" s="767"/>
      <c r="D31" s="767"/>
      <c r="E31" s="767"/>
      <c r="F31" s="767"/>
      <c r="G31" s="767"/>
      <c r="H31" s="767"/>
    </row>
    <row r="32" spans="1:11" s="68" customFormat="1" ht="20.100000000000001" customHeight="1">
      <c r="A32" s="767" t="str">
        <f>$A$2</f>
        <v>CASE NO. 2018-00294</v>
      </c>
      <c r="B32" s="767"/>
      <c r="C32" s="767"/>
      <c r="D32" s="767"/>
      <c r="E32" s="767"/>
      <c r="F32" s="767"/>
      <c r="G32" s="767"/>
      <c r="H32" s="767"/>
    </row>
    <row r="33" spans="1:14" s="68" customFormat="1" ht="20.100000000000001" customHeight="1">
      <c r="A33" s="767" t="str">
        <f>$A$3</f>
        <v>ADJUSTMENTS TO ACCUMULATED DEPRECIATION AND AMORTIZATION</v>
      </c>
      <c r="B33" s="767"/>
      <c r="C33" s="767"/>
      <c r="D33" s="767"/>
      <c r="E33" s="767"/>
      <c r="F33" s="767"/>
      <c r="G33" s="767"/>
      <c r="H33" s="767"/>
    </row>
    <row r="34" spans="1:14" s="68" customFormat="1" ht="20.100000000000001" customHeight="1">
      <c r="A34" s="767" t="str">
        <f>'Rate Case Constants'!C18</f>
        <v>AS OF APRIL 30, 2020</v>
      </c>
      <c r="B34" s="767"/>
      <c r="C34" s="767"/>
      <c r="D34" s="767"/>
      <c r="E34" s="767"/>
      <c r="F34" s="767"/>
      <c r="G34" s="767"/>
      <c r="H34" s="767"/>
    </row>
    <row r="35" spans="1:14" s="68" customFormat="1" ht="20.100000000000001" customHeight="1">
      <c r="A35" s="84"/>
      <c r="B35" s="84"/>
      <c r="C35" s="84"/>
      <c r="D35" s="84"/>
      <c r="E35" s="84"/>
      <c r="F35" s="84"/>
      <c r="G35" s="84"/>
      <c r="H35" s="84"/>
    </row>
    <row r="36" spans="1:14" s="68" customFormat="1" ht="20.100000000000001" customHeight="1">
      <c r="A36" s="67" t="s">
        <v>161</v>
      </c>
      <c r="B36" s="67"/>
      <c r="G36" s="74"/>
      <c r="H36" s="74" t="s">
        <v>1206</v>
      </c>
    </row>
    <row r="37" spans="1:14" s="68" customFormat="1" ht="20.100000000000001" customHeight="1">
      <c r="A37" s="67" t="str">
        <f>$A$7</f>
        <v>TYPE OF FILING: __X__ ORIGINAL  _____ UPDATED  _____ REVISED</v>
      </c>
      <c r="G37" s="74"/>
      <c r="H37" s="74" t="s">
        <v>185</v>
      </c>
    </row>
    <row r="38" spans="1:14" s="68" customFormat="1" ht="20.100000000000001" customHeight="1">
      <c r="A38" s="67" t="str">
        <f>$A$8</f>
        <v>WORKPAPER REFERENCE NO(S).:</v>
      </c>
      <c r="B38" s="67"/>
      <c r="F38" s="67"/>
      <c r="G38" s="75"/>
      <c r="H38" s="75" t="str">
        <f>$H$8</f>
        <v>WITNESS:   C. M. GARRETT</v>
      </c>
    </row>
    <row r="39" spans="1:14" s="68" customFormat="1" ht="20.100000000000001" customHeight="1"/>
    <row r="40" spans="1:14" ht="58.5" customHeight="1">
      <c r="A40" s="76" t="s">
        <v>131</v>
      </c>
      <c r="B40" s="76" t="s">
        <v>134</v>
      </c>
      <c r="C40" s="79" t="s">
        <v>135</v>
      </c>
      <c r="D40" s="76" t="s">
        <v>216</v>
      </c>
      <c r="E40" s="76" t="s">
        <v>217</v>
      </c>
      <c r="F40" s="76" t="s">
        <v>218</v>
      </c>
      <c r="G40" s="76" t="s">
        <v>219</v>
      </c>
      <c r="H40" s="76" t="s">
        <v>220</v>
      </c>
      <c r="K40" s="420" t="s">
        <v>2187</v>
      </c>
    </row>
    <row r="41" spans="1:14" ht="23.1" customHeight="1">
      <c r="A41" s="80"/>
      <c r="B41" s="80"/>
      <c r="C41" s="81"/>
      <c r="D41" s="82" t="s">
        <v>142</v>
      </c>
      <c r="E41" s="82"/>
      <c r="F41" s="82" t="s">
        <v>142</v>
      </c>
      <c r="G41" s="82"/>
      <c r="H41" s="82"/>
    </row>
    <row r="42" spans="1:14" ht="18.95" customHeight="1">
      <c r="A42" s="283">
        <v>1</v>
      </c>
      <c r="B42" s="389" t="str">
        <f t="shared" ref="B42:B47" si="6">B12</f>
        <v>311</v>
      </c>
      <c r="C42" s="67" t="s">
        <v>148</v>
      </c>
      <c r="D42" s="396">
        <f>SUMIFS('FCPIS F'!$T$285:$T$411,'FCPIS F'!$E$285:$E$411,$J42,'FCPIS F'!$C$285:$C$411,$B42)*1000</f>
        <v>1656388.8042296977</v>
      </c>
      <c r="E42" s="395">
        <f>'SCH B-3 F'!F$21</f>
        <v>0.93287223449421564</v>
      </c>
      <c r="F42" s="396">
        <f t="shared" ref="F42:F44" si="7">D42*E42</f>
        <v>1545199.1249929599</v>
      </c>
      <c r="H42" s="68" t="s">
        <v>2003</v>
      </c>
      <c r="J42" s="68" t="s">
        <v>2184</v>
      </c>
      <c r="K42" s="421" t="s">
        <v>2184</v>
      </c>
    </row>
    <row r="43" spans="1:14" ht="18.95" customHeight="1">
      <c r="A43" s="283">
        <f t="shared" ref="A43:A57" si="8">A42+1</f>
        <v>2</v>
      </c>
      <c r="B43" s="423" t="str">
        <f t="shared" si="6"/>
        <v>312</v>
      </c>
      <c r="C43" s="67" t="s">
        <v>1629</v>
      </c>
      <c r="D43" s="396">
        <f>SUMIFS('FCPIS F'!$T$285:$T$411,'FCPIS F'!$E$285:$E$411,$J43,'FCPIS F'!$C$285:$C$411,$B43)*1000-'ECR Exclusion'!AN18</f>
        <v>157296639.86301976</v>
      </c>
      <c r="E43" s="395">
        <f>'SCH B-3 F'!F$22</f>
        <v>0.93287223449421564</v>
      </c>
      <c r="F43" s="396">
        <f t="shared" si="7"/>
        <v>146737667.90744716</v>
      </c>
      <c r="H43" s="68" t="s">
        <v>2003</v>
      </c>
      <c r="J43" s="68" t="s">
        <v>2184</v>
      </c>
      <c r="K43" s="88">
        <f>SUMIFS('FCPIS F'!$T$285:$T$411,'FCPIS F'!$E$285:$E$411,$K42)*1000</f>
        <v>162441582.24020422</v>
      </c>
      <c r="L43" s="88">
        <f>-'ECR Exclusion'!$AN$18</f>
        <v>-1449187.0529171675</v>
      </c>
      <c r="M43" s="88"/>
      <c r="N43" s="496">
        <f>SUM(K43:M43)</f>
        <v>160992395.18728703</v>
      </c>
    </row>
    <row r="44" spans="1:14" ht="18.95" customHeight="1">
      <c r="A44" s="283">
        <f t="shared" si="8"/>
        <v>3</v>
      </c>
      <c r="B44" s="423" t="str">
        <f t="shared" si="6"/>
        <v>315</v>
      </c>
      <c r="C44" s="67" t="s">
        <v>1633</v>
      </c>
      <c r="D44" s="396">
        <f>SUMIFS('FCPIS F'!$T$285:$T$411,'FCPIS F'!$E$285:$E$411,$J44,'FCPIS F'!$C$285:$C$411,$B44)*1000</f>
        <v>1780186.0099960344</v>
      </c>
      <c r="E44" s="395">
        <f>'SCH B-3 F'!F$25</f>
        <v>0.93287223449421564</v>
      </c>
      <c r="F44" s="396">
        <f t="shared" si="7"/>
        <v>1660686.1009603427</v>
      </c>
      <c r="H44" s="68" t="s">
        <v>2003</v>
      </c>
      <c r="J44" s="68" t="s">
        <v>2184</v>
      </c>
      <c r="K44" s="88">
        <f>SUM(D42:D45,D50:D53,D56)+'ECR Exclusion'!$AN$18</f>
        <v>162441582.24020427</v>
      </c>
      <c r="N44" s="496">
        <f>SUM(D42:D45,D50:D53,D56)</f>
        <v>160992395.18728709</v>
      </c>
    </row>
    <row r="45" spans="1:14" ht="18.95" customHeight="1">
      <c r="A45" s="424">
        <f t="shared" si="8"/>
        <v>4</v>
      </c>
      <c r="B45" s="423" t="str">
        <f t="shared" si="6"/>
        <v>316</v>
      </c>
      <c r="C45" s="67" t="s">
        <v>1633</v>
      </c>
      <c r="D45" s="396">
        <f>SUMIFS('FCPIS F'!$T$285:$T$411,'FCPIS F'!$E$285:$E$411,$J45,'FCPIS F'!$C$285:$C$411,$B45)*1000</f>
        <v>47323.592475999947</v>
      </c>
      <c r="E45" s="395">
        <f>'SCH B-3 F'!F$26</f>
        <v>0.93287223449421564</v>
      </c>
      <c r="F45" s="396">
        <f t="shared" ref="F45" si="9">D45*E45</f>
        <v>44146.865457379725</v>
      </c>
      <c r="H45" s="68" t="s">
        <v>2003</v>
      </c>
      <c r="J45" s="68" t="s">
        <v>2184</v>
      </c>
      <c r="K45" s="88">
        <f>K43-K44</f>
        <v>0</v>
      </c>
    </row>
    <row r="46" spans="1:14" ht="18.95" customHeight="1">
      <c r="A46" s="424">
        <f t="shared" si="8"/>
        <v>5</v>
      </c>
      <c r="B46" s="423" t="str">
        <f t="shared" si="6"/>
        <v>317</v>
      </c>
      <c r="C46" s="68" t="str">
        <f>'SCH B-3 F'!C$27</f>
        <v>ARO Cost Steam Production</v>
      </c>
      <c r="D46" s="396">
        <f>-'SCH B-3 F'!E$27</f>
        <v>129629568.28234208</v>
      </c>
      <c r="E46" s="397">
        <f>'SCH B-3 F'!F$27</f>
        <v>0.93287223449421564</v>
      </c>
      <c r="F46" s="396">
        <f>D46*E46</f>
        <v>120927825.02006896</v>
      </c>
      <c r="H46" s="68" t="s">
        <v>1417</v>
      </c>
      <c r="J46" s="68" t="s">
        <v>2185</v>
      </c>
    </row>
    <row r="47" spans="1:14" ht="18.95" customHeight="1">
      <c r="A47" s="424">
        <f t="shared" si="8"/>
        <v>6</v>
      </c>
      <c r="B47" s="423" t="str">
        <f t="shared" si="6"/>
        <v>337</v>
      </c>
      <c r="C47" s="68" t="str">
        <f>'SCH B-3 F'!C$38</f>
        <v>ARO Cost Hydro Production</v>
      </c>
      <c r="D47" s="396">
        <f>-'SCH B-3 F'!E$38</f>
        <v>69392.557494326596</v>
      </c>
      <c r="E47" s="397">
        <f>'SCH B-3 F'!F$38</f>
        <v>0.93710140297419597</v>
      </c>
      <c r="F47" s="396">
        <f>D47*E47</f>
        <v>65027.86298390101</v>
      </c>
      <c r="H47" s="68" t="s">
        <v>1417</v>
      </c>
      <c r="J47" s="68" t="s">
        <v>2185</v>
      </c>
      <c r="K47" s="421" t="s">
        <v>2185</v>
      </c>
    </row>
    <row r="48" spans="1:14" ht="18.95" customHeight="1">
      <c r="A48" s="424">
        <f t="shared" si="8"/>
        <v>7</v>
      </c>
      <c r="B48" s="423" t="str">
        <f>'SCH B-3 F'!B$61</f>
        <v>347</v>
      </c>
      <c r="C48" s="68" t="str">
        <f>'SCH B-3 F'!C$61</f>
        <v>ARO Cost Other Production</v>
      </c>
      <c r="D48" s="396">
        <f>-'SCH B-3 F'!E$61</f>
        <v>89200.422122973207</v>
      </c>
      <c r="E48" s="397">
        <f>'SCH B-3 F'!F$61</f>
        <v>0.93663851993113922</v>
      </c>
      <c r="F48" s="396">
        <f>D48*E48</f>
        <v>83548.55135449447</v>
      </c>
      <c r="H48" s="68" t="s">
        <v>1417</v>
      </c>
      <c r="J48" s="68" t="s">
        <v>2185</v>
      </c>
      <c r="K48" s="88">
        <f>SUMIFS('FCPIS F'!$T$285:$T$411,'FCPIS F'!$E$285:$E$411,$K47)*1000</f>
        <v>130025568.65615389</v>
      </c>
    </row>
    <row r="49" spans="1:11" ht="18.95" customHeight="1">
      <c r="A49" s="424">
        <f t="shared" si="8"/>
        <v>8</v>
      </c>
      <c r="B49" s="423" t="str">
        <f>B19</f>
        <v>359</v>
      </c>
      <c r="C49" s="68" t="str">
        <f>'SCH B-3 F'!C$73</f>
        <v>ARO Cost Elec Transmission</v>
      </c>
      <c r="D49" s="396">
        <f>-'SCH B-3 F'!E$73</f>
        <v>106084.96225518781</v>
      </c>
      <c r="E49" s="397">
        <f>'SCH B-3 F'!F$73</f>
        <v>0.87740486529609241</v>
      </c>
      <c r="F49" s="396">
        <f>D49*E49</f>
        <v>93079.462017454105</v>
      </c>
      <c r="H49" s="68" t="s">
        <v>1417</v>
      </c>
      <c r="J49" s="68" t="s">
        <v>2185</v>
      </c>
      <c r="K49" s="88">
        <f>SUM(D46:D49,D55)</f>
        <v>130025568.65615389</v>
      </c>
    </row>
    <row r="50" spans="1:11" ht="18.95" customHeight="1">
      <c r="A50" s="424">
        <f t="shared" si="8"/>
        <v>9</v>
      </c>
      <c r="B50" s="423" t="str">
        <f>B20</f>
        <v>364</v>
      </c>
      <c r="C50" s="78" t="s">
        <v>1681</v>
      </c>
      <c r="D50" s="396">
        <f>SUMIFS('FCPIS F'!$T$285:$T$411,'FCPIS F'!$E$285:$E$411,$J50,'FCPIS F'!$C$285:$C$411,$B50)*1000</f>
        <v>3378.79071999999</v>
      </c>
      <c r="E50" s="397">
        <f>'SCH B-3 F'!F$80</f>
        <v>0.93944463142522949</v>
      </c>
      <c r="F50" s="396">
        <f t="shared" ref="F50:F54" si="10">D50*E50</f>
        <v>3174.1868026133761</v>
      </c>
      <c r="H50" s="68" t="s">
        <v>2003</v>
      </c>
      <c r="J50" s="68" t="s">
        <v>2184</v>
      </c>
      <c r="K50" s="88">
        <f>K48-K49</f>
        <v>0</v>
      </c>
    </row>
    <row r="51" spans="1:11" ht="18.95" customHeight="1">
      <c r="A51" s="424">
        <f t="shared" si="8"/>
        <v>10</v>
      </c>
      <c r="B51" s="423" t="str">
        <f>B21</f>
        <v>365</v>
      </c>
      <c r="C51" s="78" t="s">
        <v>1670</v>
      </c>
      <c r="D51" s="396">
        <f>SUMIFS('FCPIS F'!$T$285:$T$411,'FCPIS F'!$E$285:$E$411,$J51,'FCPIS F'!$C$285:$C$411,$B51)*1000</f>
        <v>3488.4172360000007</v>
      </c>
      <c r="E51" s="397">
        <f>'SCH B-3 F'!F$81</f>
        <v>0.93944463142522949</v>
      </c>
      <c r="F51" s="396">
        <f t="shared" si="10"/>
        <v>3277.1748445314383</v>
      </c>
      <c r="H51" s="68" t="s">
        <v>2003</v>
      </c>
      <c r="J51" s="68" t="s">
        <v>2184</v>
      </c>
      <c r="K51" s="88"/>
    </row>
    <row r="52" spans="1:11" ht="18.95" customHeight="1">
      <c r="A52" s="424">
        <f t="shared" si="8"/>
        <v>11</v>
      </c>
      <c r="B52" s="423" t="str">
        <f>B22</f>
        <v>366</v>
      </c>
      <c r="C52" s="78" t="s">
        <v>1672</v>
      </c>
      <c r="D52" s="396">
        <f>SUMIFS('FCPIS F'!$T$285:$T$411,'FCPIS F'!$E$285:$E$411,$J52,'FCPIS F'!$C$285:$C$411,$B52)*1000</f>
        <v>22146.3379519999</v>
      </c>
      <c r="E52" s="397">
        <f>'SCH B-3 F'!F$82</f>
        <v>1</v>
      </c>
      <c r="F52" s="396">
        <f t="shared" si="10"/>
        <v>22146.3379519999</v>
      </c>
      <c r="H52" s="68" t="s">
        <v>2003</v>
      </c>
      <c r="J52" s="68" t="s">
        <v>2184</v>
      </c>
    </row>
    <row r="53" spans="1:11" ht="18.95" customHeight="1">
      <c r="A53" s="643">
        <f t="shared" si="8"/>
        <v>12</v>
      </c>
      <c r="B53" s="423" t="str">
        <f>B23</f>
        <v>367</v>
      </c>
      <c r="C53" s="78" t="s">
        <v>1674</v>
      </c>
      <c r="D53" s="396">
        <f>SUMIFS('FCPIS F'!$T$285:$T$411,'FCPIS F'!$E$285:$E$411,$J53,'FCPIS F'!$C$285:$C$411,$B53)*1000</f>
        <v>162929.8779856</v>
      </c>
      <c r="E53" s="397">
        <f>'SCH B-3 F'!F$83</f>
        <v>0.93944463142522949</v>
      </c>
      <c r="F53" s="396">
        <f t="shared" si="10"/>
        <v>153063.5991723396</v>
      </c>
      <c r="H53" s="68" t="s">
        <v>2003</v>
      </c>
      <c r="J53" s="68" t="s">
        <v>2184</v>
      </c>
      <c r="K53" s="421" t="s">
        <v>2186</v>
      </c>
    </row>
    <row r="54" spans="1:11" ht="18.95" customHeight="1">
      <c r="A54" s="643">
        <f t="shared" si="8"/>
        <v>13</v>
      </c>
      <c r="B54" s="642">
        <v>370</v>
      </c>
      <c r="C54" s="67" t="s">
        <v>1690</v>
      </c>
      <c r="D54" s="396">
        <f>SUMIFS('FCPIS F'!$T$285:$T$411,'FCPIS F'!$E$285:$E$411,$J54,'FCPIS F'!$C$285:$C$411,$B54)*1000</f>
        <v>237826.72547200002</v>
      </c>
      <c r="E54" s="395">
        <v>1</v>
      </c>
      <c r="F54" s="396">
        <f t="shared" si="10"/>
        <v>237826.72547200002</v>
      </c>
      <c r="H54" s="68" t="s">
        <v>2004</v>
      </c>
      <c r="J54" s="68" t="s">
        <v>2186</v>
      </c>
      <c r="K54" s="421"/>
    </row>
    <row r="55" spans="1:11" ht="18.95" customHeight="1">
      <c r="A55" s="643">
        <f t="shared" si="8"/>
        <v>14</v>
      </c>
      <c r="B55" s="423" t="str">
        <f>B25</f>
        <v>374</v>
      </c>
      <c r="C55" s="68" t="str">
        <f>'SCH B-3 F'!C$89</f>
        <v>ARO Cost Elec Distribution</v>
      </c>
      <c r="D55" s="396">
        <f>-'SCH B-3 F'!E$89</f>
        <v>131322.43193931569</v>
      </c>
      <c r="E55" s="397">
        <f>'SCH B-3 F'!F$89</f>
        <v>1</v>
      </c>
      <c r="F55" s="396">
        <f>D55*E55</f>
        <v>131322.43193931569</v>
      </c>
      <c r="H55" s="68" t="s">
        <v>1417</v>
      </c>
      <c r="J55" s="68" t="s">
        <v>2185</v>
      </c>
      <c r="K55" s="88">
        <f>SUMIFS('FCPIS F'!$T$285:$T$411,'FCPIS F'!$E$285:$E$411,$K53)*1000</f>
        <v>3824710.2646619915</v>
      </c>
    </row>
    <row r="56" spans="1:11" ht="18.95" customHeight="1">
      <c r="A56" s="643">
        <f t="shared" si="8"/>
        <v>15</v>
      </c>
      <c r="B56" s="423" t="str">
        <f>B26</f>
        <v>392</v>
      </c>
      <c r="C56" s="67" t="s">
        <v>155</v>
      </c>
      <c r="D56" s="396">
        <f>SUMIFS('FCPIS F'!$T$285:$T$411,'FCPIS F'!$E$285:$E$411,$J56,'FCPIS F'!$C$285:$C$411,$B56)*1000</f>
        <v>19913.493672000001</v>
      </c>
      <c r="E56" s="395">
        <f>'SCH B-3 F'!F$107</f>
        <v>0.9427690072583127</v>
      </c>
      <c r="F56" s="396">
        <f t="shared" ref="F56:F57" si="11">D56*E56</f>
        <v>18773.824660196133</v>
      </c>
      <c r="H56" s="68" t="s">
        <v>2003</v>
      </c>
      <c r="J56" s="68" t="s">
        <v>2184</v>
      </c>
      <c r="K56" s="88">
        <f>SUM(D57,D54)</f>
        <v>3824710.2646619915</v>
      </c>
    </row>
    <row r="57" spans="1:11" ht="18.95" customHeight="1">
      <c r="A57" s="643">
        <f t="shared" si="8"/>
        <v>16</v>
      </c>
      <c r="B57" s="423" t="str">
        <f>B27</f>
        <v>397</v>
      </c>
      <c r="C57" s="67" t="s">
        <v>157</v>
      </c>
      <c r="D57" s="396">
        <f>SUMIFS('FCPIS F'!$T$285:$T$411,'FCPIS F'!$E$285:$E$411,$J57,'FCPIS F'!$C$285:$C$411,$B57)*1000</f>
        <v>3586883.5391899915</v>
      </c>
      <c r="E57" s="395">
        <v>1</v>
      </c>
      <c r="F57" s="396">
        <f t="shared" si="11"/>
        <v>3586883.5391899915</v>
      </c>
      <c r="H57" s="68" t="s">
        <v>2004</v>
      </c>
      <c r="J57" s="68" t="s">
        <v>2186</v>
      </c>
      <c r="K57" s="88">
        <f>K55-K56</f>
        <v>0</v>
      </c>
    </row>
    <row r="58" spans="1:11" ht="18.95" customHeight="1">
      <c r="A58" s="291"/>
      <c r="B58" s="71"/>
      <c r="C58" s="67"/>
      <c r="D58" s="396"/>
      <c r="E58" s="395"/>
      <c r="F58" s="396"/>
      <c r="H58" s="147"/>
    </row>
    <row r="59" spans="1:11" ht="18.95" customHeight="1" thickBot="1">
      <c r="A59" s="291">
        <f>A57+1</f>
        <v>17</v>
      </c>
      <c r="B59" s="71"/>
      <c r="C59" s="67" t="s">
        <v>2023</v>
      </c>
      <c r="D59" s="394">
        <f>SUM(D42:D58)</f>
        <v>294842674.10810292</v>
      </c>
      <c r="E59" s="395"/>
      <c r="F59" s="394">
        <f>SUM(F42:F58)</f>
        <v>275313648.71531558</v>
      </c>
      <c r="H59" s="147"/>
    </row>
    <row r="60" spans="1:11" ht="18.95" customHeight="1" thickTop="1"/>
    <row r="61" spans="1:11" ht="18.95" customHeight="1"/>
    <row r="62" spans="1:11" ht="18.95" customHeight="1"/>
    <row r="63" spans="1:11" ht="18.95" customHeight="1"/>
    <row r="64" spans="1:11" ht="18.95" customHeight="1"/>
    <row r="65" ht="18.95" customHeight="1"/>
    <row r="66" ht="18.95" customHeight="1"/>
    <row r="67" ht="18.95" customHeight="1"/>
    <row r="68" ht="18.95" customHeight="1"/>
    <row r="69" ht="18.95" customHeight="1"/>
    <row r="70" ht="18.95" customHeight="1"/>
    <row r="71" ht="18.95" customHeight="1"/>
  </sheetData>
  <mergeCells count="8">
    <mergeCell ref="A33:H33"/>
    <mergeCell ref="A34:H34"/>
    <mergeCell ref="A3:I3"/>
    <mergeCell ref="A1:H1"/>
    <mergeCell ref="A2:H2"/>
    <mergeCell ref="A4:H4"/>
    <mergeCell ref="A31:H31"/>
    <mergeCell ref="A32:H32"/>
  </mergeCells>
  <pageMargins left="0.95" right="0.5" top="0.75" bottom="0.75" header="0.3" footer="0.3"/>
  <pageSetup scale="65" fitToHeight="0" orientation="portrait"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V53"/>
  <sheetViews>
    <sheetView showGridLines="0" zoomScale="70" zoomScaleNormal="70" zoomScaleSheetLayoutView="75" workbookViewId="0">
      <selection activeCell="A7" sqref="A7:R7"/>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161</v>
      </c>
      <c r="R1" s="367" t="s">
        <v>2062</v>
      </c>
    </row>
    <row r="2" spans="1:22">
      <c r="B2" s="371" t="str">
        <f>'Rate Case Constants'!C29</f>
        <v>TYPE OF FILING: __X__ ORIGINAL  _____ UPDATED  _____ REVISED</v>
      </c>
      <c r="R2" s="368" t="str">
        <f>'Rate Case Constants'!C38</f>
        <v>WITNESS:   C. M. GARRETT</v>
      </c>
      <c r="T2" s="304"/>
    </row>
    <row r="3" spans="1:22">
      <c r="R3" s="369" t="s">
        <v>185</v>
      </c>
    </row>
    <row r="5" spans="1:22">
      <c r="A5" s="760" t="str">
        <f>'Rate Case Constants'!C9</f>
        <v>KENTUCKY UTILITIES COMPANY</v>
      </c>
      <c r="B5" s="760"/>
      <c r="C5" s="760"/>
      <c r="D5" s="760"/>
      <c r="E5" s="760"/>
      <c r="F5" s="760"/>
      <c r="G5" s="760"/>
      <c r="H5" s="760"/>
      <c r="I5" s="760"/>
      <c r="J5" s="760"/>
      <c r="K5" s="760"/>
      <c r="L5" s="760"/>
      <c r="M5" s="760"/>
      <c r="N5" s="760"/>
      <c r="O5" s="760"/>
      <c r="P5" s="760"/>
      <c r="Q5" s="760"/>
      <c r="R5" s="760"/>
    </row>
    <row r="7" spans="1:22">
      <c r="A7" s="760" t="s">
        <v>2471</v>
      </c>
      <c r="B7" s="760"/>
      <c r="C7" s="760"/>
      <c r="D7" s="760"/>
      <c r="E7" s="760"/>
      <c r="F7" s="760"/>
      <c r="G7" s="760"/>
      <c r="H7" s="760"/>
      <c r="I7" s="760"/>
      <c r="J7" s="760"/>
      <c r="K7" s="760"/>
      <c r="L7" s="760"/>
      <c r="M7" s="760"/>
      <c r="N7" s="760"/>
      <c r="O7" s="760"/>
      <c r="P7" s="760"/>
      <c r="Q7" s="760"/>
      <c r="R7" s="760"/>
    </row>
    <row r="8" spans="1:22">
      <c r="A8" s="762"/>
      <c r="B8" s="762"/>
      <c r="C8" s="762"/>
      <c r="D8" s="762"/>
      <c r="E8" s="762"/>
      <c r="F8" s="762"/>
      <c r="G8" s="762"/>
      <c r="H8" s="762"/>
      <c r="I8" s="762"/>
      <c r="J8" s="762"/>
      <c r="K8" s="762"/>
      <c r="L8" s="762"/>
      <c r="M8" s="762"/>
      <c r="N8" s="762"/>
      <c r="O8" s="762"/>
      <c r="P8" s="762"/>
      <c r="Q8" s="762"/>
      <c r="R8" s="762"/>
    </row>
    <row r="9" spans="1:22">
      <c r="A9" s="763" t="s">
        <v>2092</v>
      </c>
      <c r="B9" s="763"/>
      <c r="C9" s="763"/>
      <c r="D9" s="763"/>
      <c r="E9" s="763"/>
      <c r="F9" s="763"/>
      <c r="G9" s="763"/>
      <c r="H9" s="763"/>
      <c r="I9" s="763"/>
      <c r="J9" s="763"/>
      <c r="K9" s="763"/>
      <c r="L9" s="763"/>
      <c r="M9" s="763"/>
      <c r="N9" s="763"/>
      <c r="O9" s="763"/>
      <c r="P9" s="763"/>
      <c r="Q9" s="763"/>
      <c r="R9" s="763"/>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9</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2059</v>
      </c>
      <c r="O17" s="308"/>
      <c r="P17" s="307"/>
      <c r="Q17" s="308"/>
      <c r="R17" s="307" t="s">
        <v>2058</v>
      </c>
      <c r="T17" s="303"/>
      <c r="U17" s="303"/>
      <c r="V17" s="303"/>
    </row>
    <row r="18" spans="1:22" ht="21" customHeight="1">
      <c r="A18" s="317">
        <f>1</f>
        <v>1</v>
      </c>
      <c r="B18" s="318" t="s">
        <v>2034</v>
      </c>
      <c r="C18" s="319"/>
      <c r="D18" s="321">
        <f>'SCH B-2'!E55+SUM('SCH B-2.6'!G34:G39)+'SCH B-4'!H47</f>
        <v>9648247846.0441513</v>
      </c>
      <c r="E18" s="320"/>
      <c r="F18" s="321">
        <f>SUM('SCH B-2.2'!F43:F47,'SCH B-2.2'!F52:F55,'SCH B-2.2'!F58,'SCH B-4.1'!E30)*-1</f>
        <v>1614467100.5914657</v>
      </c>
      <c r="G18" s="320"/>
      <c r="H18" s="321">
        <f>SUM('SCH B-2.2'!F59+'SCH B-2.2'!F56)*-1</f>
        <v>9302786.7492307685</v>
      </c>
      <c r="I18" s="320"/>
      <c r="J18" s="321">
        <f>SUM('SCH B-2.2'!F48:F51,'SCH B-2.2'!F57)*-1</f>
        <v>169323625.11020941</v>
      </c>
      <c r="K18" s="320"/>
      <c r="L18" s="321">
        <v>0</v>
      </c>
      <c r="M18" s="320"/>
      <c r="N18" s="321">
        <f>D18-SUM(F18:L18)</f>
        <v>7855154333.5932455</v>
      </c>
      <c r="O18" s="320"/>
      <c r="P18" s="321">
        <f>R18-D18</f>
        <v>671061374.73072815</v>
      </c>
      <c r="Q18" s="320"/>
      <c r="R18" s="321">
        <f>SUM('SCH B-2.1 F'!D113+SUM('SCH B-2.6'!D34:D39)+'SCH B-4'!F47)</f>
        <v>10319309220.774879</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F'!G116</f>
        <v>3249389114.0657554</v>
      </c>
      <c r="E21" s="320"/>
      <c r="F21" s="323">
        <f>SUM('SCH B-3.1'!F42:F45,'SCH B-3.1'!F50:F53,'SCH B-3.1'!F56)</f>
        <v>150188135.12228954</v>
      </c>
      <c r="G21" s="320"/>
      <c r="H21" s="323">
        <f>SUM('SCH B-3.1'!F57+'SCH B-3.1'!F54)</f>
        <v>3824710.2646619915</v>
      </c>
      <c r="I21" s="320"/>
      <c r="J21" s="323">
        <f>SUM('SCH B-3.1'!F46:F49,'SCH B-3.1'!F55)</f>
        <v>121300803.32836412</v>
      </c>
      <c r="K21" s="320"/>
      <c r="L21" s="323">
        <v>0</v>
      </c>
      <c r="M21" s="320"/>
      <c r="N21" s="323">
        <f>D21-SUM(F21:L21)</f>
        <v>2974075465.3504395</v>
      </c>
      <c r="O21" s="320"/>
      <c r="P21" s="323">
        <f>R21-D21</f>
        <v>247799334.16102266</v>
      </c>
      <c r="Q21" s="320"/>
      <c r="R21" s="323">
        <f>-'SCH B-3 F'!E116</f>
        <v>3497188448.226778</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6398858731.9783955</v>
      </c>
      <c r="E23" s="320"/>
      <c r="F23" s="324">
        <f>+F18-F21</f>
        <v>1464278965.4691763</v>
      </c>
      <c r="G23" s="320"/>
      <c r="H23" s="324">
        <f>+H18-H21</f>
        <v>5478076.4845687766</v>
      </c>
      <c r="I23" s="320"/>
      <c r="J23" s="324">
        <f>+J18-J21</f>
        <v>48022821.781845286</v>
      </c>
      <c r="K23" s="320"/>
      <c r="L23" s="324">
        <f>+L18-L21</f>
        <v>0</v>
      </c>
      <c r="M23" s="320"/>
      <c r="N23" s="324">
        <f>+N18-N21</f>
        <v>4881078868.2428055</v>
      </c>
      <c r="O23" s="320"/>
      <c r="P23" s="324">
        <f>P18-P21</f>
        <v>423262040.56970549</v>
      </c>
      <c r="Q23" s="320"/>
      <c r="R23" s="324">
        <f>+R18-R21</f>
        <v>6822120772.5481014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B-6'!F34</f>
        <v>951646.55364259344</v>
      </c>
      <c r="E26" s="320"/>
      <c r="F26" s="323">
        <v>0</v>
      </c>
      <c r="G26" s="320"/>
      <c r="H26" s="323">
        <v>0</v>
      </c>
      <c r="I26" s="320"/>
      <c r="J26" s="323">
        <v>0</v>
      </c>
      <c r="K26" s="320"/>
      <c r="L26" s="323">
        <v>0</v>
      </c>
      <c r="M26" s="320"/>
      <c r="N26" s="323">
        <f t="shared" ref="N26:N28" si="0">D26-SUM(F26:L26)</f>
        <v>951646.55364259344</v>
      </c>
      <c r="O26" s="320"/>
      <c r="P26" s="323">
        <f t="shared" ref="P26:P28" si="1">R26-D26</f>
        <v>29334.816357406205</v>
      </c>
      <c r="Q26" s="320"/>
      <c r="R26" s="323">
        <f>'SCH B-6'!D34</f>
        <v>980981.36999999965</v>
      </c>
      <c r="T26" s="326"/>
    </row>
    <row r="27" spans="1:22" ht="21" customHeight="1">
      <c r="A27" s="317">
        <f>1+A26</f>
        <v>7</v>
      </c>
      <c r="B27" s="318" t="s">
        <v>2038</v>
      </c>
      <c r="C27" s="319"/>
      <c r="D27" s="323">
        <f>'SCH B-6'!F38</f>
        <v>1318146331.5784707</v>
      </c>
      <c r="E27" s="327"/>
      <c r="F27" s="328">
        <f>-'ECR DEFTAX'!AD4</f>
        <v>340185418.51737428</v>
      </c>
      <c r="G27" s="327"/>
      <c r="H27" s="328">
        <f>-'DSM DEFTAX'!AD2</f>
        <v>1629532.0145812586</v>
      </c>
      <c r="I27" s="327"/>
      <c r="J27" s="328">
        <v>0</v>
      </c>
      <c r="K27" s="327"/>
      <c r="L27" s="328">
        <v>0</v>
      </c>
      <c r="M27" s="327"/>
      <c r="N27" s="328">
        <f t="shared" si="0"/>
        <v>976331381.04651523</v>
      </c>
      <c r="O27" s="327"/>
      <c r="P27" s="323">
        <f t="shared" si="1"/>
        <v>86850821.421529293</v>
      </c>
      <c r="Q27" s="327"/>
      <c r="R27" s="323">
        <f>'SCH B-6'!D38</f>
        <v>1404997153</v>
      </c>
    </row>
    <row r="28" spans="1:22" ht="21" customHeight="1">
      <c r="A28" s="317">
        <f>A27+1</f>
        <v>8</v>
      </c>
      <c r="B28" s="331" t="s">
        <v>2039</v>
      </c>
      <c r="C28" s="319"/>
      <c r="D28" s="323">
        <f>'SCH B-6'!F36</f>
        <v>84144326.90693669</v>
      </c>
      <c r="E28" s="320"/>
      <c r="F28" s="320">
        <v>0</v>
      </c>
      <c r="G28" s="320"/>
      <c r="H28" s="320">
        <v>0</v>
      </c>
      <c r="I28" s="320"/>
      <c r="J28" s="320">
        <v>0</v>
      </c>
      <c r="K28" s="320"/>
      <c r="L28" s="320">
        <v>0</v>
      </c>
      <c r="M28" s="320"/>
      <c r="N28" s="320">
        <f t="shared" si="0"/>
        <v>84144326.90693669</v>
      </c>
      <c r="O28" s="320"/>
      <c r="P28" s="323">
        <f t="shared" si="1"/>
        <v>5787249.0930633098</v>
      </c>
      <c r="Q28" s="320"/>
      <c r="R28" s="323">
        <f>'SCH B-6'!D36</f>
        <v>89931576</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1403242305.0390499</v>
      </c>
      <c r="E30" s="320"/>
      <c r="F30" s="324">
        <f>SUM(F26:F29)</f>
        <v>340185418.51737428</v>
      </c>
      <c r="G30" s="320"/>
      <c r="H30" s="324">
        <f>SUM(H26:H29)</f>
        <v>1629532.0145812586</v>
      </c>
      <c r="I30" s="320"/>
      <c r="J30" s="324">
        <f>SUM(J26:J29)</f>
        <v>0</v>
      </c>
      <c r="K30" s="320"/>
      <c r="L30" s="324">
        <f>SUM(L26:L29)</f>
        <v>0</v>
      </c>
      <c r="M30" s="320"/>
      <c r="N30" s="324">
        <f>SUM(N26:N29)</f>
        <v>1061427354.5070945</v>
      </c>
      <c r="O30" s="320"/>
      <c r="P30" s="324">
        <f>SUM(P26:P29)</f>
        <v>92667405.330950007</v>
      </c>
      <c r="Q30" s="320"/>
      <c r="R30" s="324">
        <f>SUM(R26:R29)</f>
        <v>1495909710.3699999</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4995616426.9393454</v>
      </c>
      <c r="E32" s="320"/>
      <c r="F32" s="324">
        <f>+F23-F30</f>
        <v>1124093546.951802</v>
      </c>
      <c r="G32" s="320"/>
      <c r="H32" s="324">
        <f>+H23-H30</f>
        <v>3848544.4699875182</v>
      </c>
      <c r="I32" s="320"/>
      <c r="J32" s="324">
        <f>+J23-J30</f>
        <v>48022821.781845286</v>
      </c>
      <c r="K32" s="320"/>
      <c r="L32" s="324">
        <f>+L23-L30</f>
        <v>0</v>
      </c>
      <c r="M32" s="320"/>
      <c r="N32" s="324">
        <f>+N23-N30</f>
        <v>3819651513.7357111</v>
      </c>
      <c r="O32" s="320"/>
      <c r="P32" s="324">
        <f>P23-P30</f>
        <v>330594635.23875546</v>
      </c>
      <c r="Q32" s="320"/>
      <c r="R32" s="324">
        <f>+R23-R30</f>
        <v>5326211062.1781015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B-5'!G39+'SCH B-5'!G41</f>
        <v>115326297.53939542</v>
      </c>
      <c r="E35" s="320"/>
      <c r="F35" s="323">
        <v>0</v>
      </c>
      <c r="G35" s="320"/>
      <c r="H35" s="323">
        <v>0</v>
      </c>
      <c r="I35" s="320"/>
      <c r="J35" s="323">
        <v>0</v>
      </c>
      <c r="K35" s="320"/>
      <c r="L35" s="323">
        <v>0</v>
      </c>
      <c r="M35" s="320"/>
      <c r="N35" s="323">
        <f t="shared" ref="N35:N37" si="2">D35-SUM(F35:L35)</f>
        <v>115326297.53939542</v>
      </c>
      <c r="O35" s="320"/>
      <c r="P35" s="328">
        <f t="shared" ref="P35:P39" si="3">R35-D35</f>
        <v>7834107.4606045783</v>
      </c>
      <c r="Q35" s="320"/>
      <c r="R35" s="328">
        <f>'SCH B-5'!E39+'SCH B-5'!E41</f>
        <v>123160405</v>
      </c>
    </row>
    <row r="36" spans="1:19" ht="21" customHeight="1">
      <c r="A36" s="317">
        <f>1+A35</f>
        <v>13</v>
      </c>
      <c r="B36" s="332" t="s">
        <v>2044</v>
      </c>
      <c r="C36" s="319"/>
      <c r="D36" s="328">
        <f>'SCH B-5'!G43</f>
        <v>15605033.931140801</v>
      </c>
      <c r="E36" s="320"/>
      <c r="F36" s="323">
        <v>0</v>
      </c>
      <c r="G36" s="320"/>
      <c r="H36" s="323">
        <v>0</v>
      </c>
      <c r="I36" s="320"/>
      <c r="J36" s="323">
        <v>0</v>
      </c>
      <c r="K36" s="320"/>
      <c r="L36" s="323">
        <v>0</v>
      </c>
      <c r="M36" s="320"/>
      <c r="N36" s="323">
        <f t="shared" si="2"/>
        <v>15605033.931140801</v>
      </c>
      <c r="O36" s="320"/>
      <c r="P36" s="328">
        <f t="shared" si="3"/>
        <v>222935.71060389653</v>
      </c>
      <c r="Q36" s="320"/>
      <c r="R36" s="328">
        <f>'SCH B-5'!E43</f>
        <v>15827969.641744697</v>
      </c>
    </row>
    <row r="37" spans="1:19" ht="21" customHeight="1">
      <c r="A37" s="317">
        <f>1+A36</f>
        <v>14</v>
      </c>
      <c r="B37" s="318" t="s">
        <v>2045</v>
      </c>
      <c r="C37" s="319"/>
      <c r="D37" s="328">
        <f>'SCH B-5'!G45+F37</f>
        <v>121416.07413391923</v>
      </c>
      <c r="E37" s="320"/>
      <c r="F37" s="328">
        <f>'ECR ALLOW'!AF7*1000</f>
        <v>121416.07413391923</v>
      </c>
      <c r="G37" s="320"/>
      <c r="H37" s="323">
        <v>0</v>
      </c>
      <c r="I37" s="320"/>
      <c r="J37" s="323">
        <v>0</v>
      </c>
      <c r="K37" s="320"/>
      <c r="L37" s="323">
        <v>0</v>
      </c>
      <c r="M37" s="320"/>
      <c r="N37" s="323">
        <f t="shared" si="2"/>
        <v>0</v>
      </c>
      <c r="O37" s="320"/>
      <c r="P37" s="328">
        <f t="shared" si="3"/>
        <v>8105.9258660807682</v>
      </c>
      <c r="Q37" s="320"/>
      <c r="R37" s="328">
        <f>'JURISSEP F'!$E$30</f>
        <v>129522</v>
      </c>
      <c r="S37" s="330"/>
    </row>
    <row r="38" spans="1:19" ht="21" customHeight="1">
      <c r="A38" s="317">
        <f>1+A37</f>
        <v>15</v>
      </c>
      <c r="B38" s="318" t="s">
        <v>2669</v>
      </c>
      <c r="C38" s="319"/>
      <c r="D38" s="320">
        <f>'SCH B-5.2 F (1)'!$Q78</f>
        <v>97134648.882647425</v>
      </c>
      <c r="E38" s="320"/>
      <c r="F38" s="320">
        <f>'SCH B-5.2 F (1)'!$Q80</f>
        <v>2498510.75</v>
      </c>
      <c r="G38" s="320"/>
      <c r="H38" s="320">
        <v>0</v>
      </c>
      <c r="I38" s="320"/>
      <c r="J38" s="320">
        <v>0</v>
      </c>
      <c r="K38" s="320"/>
      <c r="L38" s="320">
        <v>0</v>
      </c>
      <c r="M38" s="320"/>
      <c r="N38" s="320">
        <f>D38-SUM(F38:L38)</f>
        <v>94636138.132647425</v>
      </c>
      <c r="O38" s="320"/>
      <c r="P38" s="320">
        <f t="shared" si="3"/>
        <v>8954105.0646733642</v>
      </c>
      <c r="Q38" s="320"/>
      <c r="R38" s="320">
        <f>'JURISSEP F'!$E$29</f>
        <v>106088753.94732079</v>
      </c>
    </row>
    <row r="39" spans="1:19" ht="21" customHeight="1">
      <c r="A39" s="317">
        <f t="shared" ref="A39" si="4">A38+1</f>
        <v>16</v>
      </c>
      <c r="B39" s="471" t="s">
        <v>2268</v>
      </c>
      <c r="C39" s="345"/>
      <c r="D39" s="345">
        <f>-'SCH B-6'!F40</f>
        <v>96343596</v>
      </c>
      <c r="E39" s="345"/>
      <c r="F39" s="345">
        <f>'SCH B-6'!G40</f>
        <v>96343596</v>
      </c>
      <c r="G39" s="345"/>
      <c r="H39" s="323">
        <v>0</v>
      </c>
      <c r="I39" s="320"/>
      <c r="J39" s="323">
        <v>0</v>
      </c>
      <c r="K39" s="320"/>
      <c r="L39" s="323">
        <v>0</v>
      </c>
      <c r="M39" s="320"/>
      <c r="N39" s="323">
        <f t="shared" ref="N39" si="5">D39-SUM(F39:L39)</f>
        <v>0</v>
      </c>
      <c r="O39" s="320"/>
      <c r="P39" s="328">
        <f t="shared" si="3"/>
        <v>5594096.8288678676</v>
      </c>
      <c r="Q39" s="320"/>
      <c r="R39" s="323">
        <f>-'SCH B-6'!D40</f>
        <v>101937692.82886787</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324530992.42731756</v>
      </c>
      <c r="E41" s="320"/>
      <c r="F41" s="324">
        <f>SUM(F35:F39)</f>
        <v>98963522.824133918</v>
      </c>
      <c r="G41" s="320"/>
      <c r="H41" s="324">
        <f>SUM(H35:H39)</f>
        <v>0</v>
      </c>
      <c r="I41" s="320"/>
      <c r="J41" s="324">
        <f>SUM(J35:J39)</f>
        <v>0</v>
      </c>
      <c r="K41" s="320"/>
      <c r="L41" s="324">
        <f>SUM(L35:L39)</f>
        <v>0</v>
      </c>
      <c r="M41" s="320"/>
      <c r="N41" s="324">
        <f>SUM(N35:N39)</f>
        <v>225567469.60318363</v>
      </c>
      <c r="O41" s="320"/>
      <c r="P41" s="324">
        <f>SUM(P35:P39)</f>
        <v>22613350.990615785</v>
      </c>
      <c r="Q41" s="320"/>
      <c r="R41" s="324">
        <f>SUM(R35:R39)</f>
        <v>347144343.41793334</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5320147419.366663</v>
      </c>
      <c r="E43" s="334"/>
      <c r="F43" s="333">
        <f>+F32+F41</f>
        <v>1223057069.7759359</v>
      </c>
      <c r="G43" s="334"/>
      <c r="H43" s="333">
        <f>+H32+H41</f>
        <v>3848544.4699875182</v>
      </c>
      <c r="I43" s="334"/>
      <c r="J43" s="333">
        <f>+J32+J41</f>
        <v>48022821.781845286</v>
      </c>
      <c r="K43" s="334"/>
      <c r="L43" s="333">
        <f>+L32+L41</f>
        <v>0</v>
      </c>
      <c r="M43" s="334"/>
      <c r="N43" s="333">
        <f>+N32+N41</f>
        <v>4045218983.3388948</v>
      </c>
      <c r="O43" s="334"/>
      <c r="P43" s="333">
        <f>+P32+P41</f>
        <v>353207986.22937125</v>
      </c>
      <c r="Q43" s="334"/>
      <c r="R43" s="333">
        <f>+R32+R41</f>
        <v>5673355405.596035</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-48022821.781845286</v>
      </c>
      <c r="K45" s="320"/>
      <c r="L45" s="323"/>
      <c r="M45" s="320"/>
      <c r="N45" s="323">
        <f t="shared" ref="N45" si="6">D45-SUM(F45:L45)</f>
        <v>48022821.781845286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5320147419.366663</v>
      </c>
      <c r="E47" s="334"/>
      <c r="F47" s="333">
        <f>F43+F45</f>
        <v>1223057069.7759359</v>
      </c>
      <c r="G47" s="334"/>
      <c r="H47" s="333">
        <f>H43+H45</f>
        <v>3848544.4699875182</v>
      </c>
      <c r="I47" s="334"/>
      <c r="J47" s="333">
        <f>J43+J45</f>
        <v>0</v>
      </c>
      <c r="K47" s="334"/>
      <c r="L47" s="333">
        <f>L43+L45</f>
        <v>0</v>
      </c>
      <c r="M47" s="334"/>
      <c r="N47" s="333">
        <f>N43+N45</f>
        <v>4093241805.1207399</v>
      </c>
      <c r="O47" s="334"/>
      <c r="P47" s="333">
        <f>P43+P45</f>
        <v>353207986.22937125</v>
      </c>
      <c r="Q47" s="334"/>
      <c r="R47" s="333">
        <f>R43+R45</f>
        <v>5673355405.596035</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0.93769999999999998</v>
      </c>
      <c r="E49" s="302"/>
      <c r="F49" s="336">
        <f>ROUND(F47/$R47,4)</f>
        <v>0.21560000000000001</v>
      </c>
      <c r="G49" s="302"/>
      <c r="H49" s="336">
        <f>ROUND(H47/$R47,4)</f>
        <v>6.9999999999999999E-4</v>
      </c>
      <c r="I49" s="302"/>
      <c r="J49" s="336">
        <f>ROUND(J47/$R47,4)</f>
        <v>0</v>
      </c>
      <c r="K49" s="302"/>
      <c r="L49" s="336">
        <f>ROUND(L47/$R47,4)</f>
        <v>0</v>
      </c>
      <c r="M49" s="302"/>
      <c r="N49" s="336">
        <f>ROUND(N47/$R47,4)</f>
        <v>0.72150000000000003</v>
      </c>
      <c r="O49" s="302"/>
      <c r="P49" s="336">
        <f>ROUND(P47/$R47,4)</f>
        <v>6.2300000000000001E-2</v>
      </c>
      <c r="Q49" s="302"/>
      <c r="R49" s="336">
        <f>ROUND(R47/$R47,4)</f>
        <v>1</v>
      </c>
    </row>
    <row r="50" spans="1:21" ht="15.75" customHeight="1" thickTop="1">
      <c r="A50" s="317"/>
      <c r="C50" s="319"/>
      <c r="D50" s="323"/>
      <c r="E50" s="320"/>
      <c r="F50" s="323"/>
      <c r="G50" s="320"/>
      <c r="H50" s="323"/>
      <c r="I50" s="320"/>
      <c r="J50" s="323"/>
      <c r="K50" s="320"/>
      <c r="L50" s="323"/>
      <c r="M50" s="320"/>
      <c r="N50" s="323"/>
      <c r="O50" s="320"/>
      <c r="P50" s="323"/>
      <c r="Q50" s="320"/>
      <c r="R50" s="323"/>
    </row>
    <row r="51" spans="1:21" ht="18.95" customHeight="1">
      <c r="A51" s="340"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sheetData>
  <mergeCells count="4">
    <mergeCell ref="A8:R8"/>
    <mergeCell ref="A5:R5"/>
    <mergeCell ref="A7:R7"/>
    <mergeCell ref="A9:R9"/>
  </mergeCells>
  <printOptions horizontalCentered="1"/>
  <pageMargins left="0" right="0" top="0.75" bottom="0" header="0.75" footer="0.5"/>
  <pageSetup scale="5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7" t="str">
        <f>'Rate Case Constants'!C9</f>
        <v>KENTUCKY UTILITIES COMPANY</v>
      </c>
      <c r="B1" s="767"/>
      <c r="C1" s="767"/>
      <c r="D1" s="767"/>
      <c r="E1" s="767"/>
      <c r="F1" s="767"/>
      <c r="G1" s="767"/>
      <c r="H1" s="767"/>
      <c r="I1" s="767"/>
      <c r="J1" s="767"/>
    </row>
    <row r="2" spans="1:10" s="68" customFormat="1" ht="20.100000000000001" customHeight="1">
      <c r="A2" s="767" t="str">
        <f>'Rate Case Constants'!C10</f>
        <v>CASE NO. 2018-00294</v>
      </c>
      <c r="B2" s="767"/>
      <c r="C2" s="767"/>
      <c r="D2" s="767"/>
      <c r="E2" s="767"/>
      <c r="F2" s="767"/>
      <c r="G2" s="767"/>
      <c r="H2" s="767"/>
      <c r="I2" s="767"/>
      <c r="J2" s="767"/>
    </row>
    <row r="3" spans="1:10" s="68" customFormat="1" ht="20.100000000000001" customHeight="1">
      <c r="A3" s="767" t="s">
        <v>1243</v>
      </c>
      <c r="B3" s="767"/>
      <c r="C3" s="767"/>
      <c r="D3" s="767"/>
      <c r="E3" s="767"/>
      <c r="F3" s="767"/>
      <c r="G3" s="767"/>
      <c r="H3" s="767"/>
      <c r="I3" s="767"/>
      <c r="J3" s="767"/>
    </row>
    <row r="4" spans="1:10" s="68" customFormat="1" ht="20.100000000000001" customHeight="1">
      <c r="A4" s="767" t="str">
        <f>'Rate Case Constants'!C12</f>
        <v>AS OF DECEMBER 31, 2018</v>
      </c>
      <c r="B4" s="767"/>
      <c r="C4" s="767"/>
      <c r="D4" s="767"/>
      <c r="E4" s="767"/>
      <c r="F4" s="767"/>
      <c r="G4" s="767"/>
      <c r="H4" s="767"/>
      <c r="I4" s="767"/>
      <c r="J4" s="767"/>
    </row>
    <row r="5" spans="1:10" s="68" customFormat="1" ht="20.100000000000001" customHeight="1">
      <c r="A5" s="92"/>
      <c r="B5" s="92"/>
      <c r="C5" s="92"/>
      <c r="D5" s="92"/>
      <c r="E5" s="92"/>
      <c r="F5" s="92"/>
      <c r="G5" s="92"/>
      <c r="H5" s="92"/>
      <c r="I5" s="208"/>
      <c r="J5" s="92"/>
    </row>
    <row r="6" spans="1:10" s="68" customFormat="1" ht="20.100000000000001" customHeight="1">
      <c r="A6" s="67" t="s">
        <v>133</v>
      </c>
      <c r="B6" s="67"/>
      <c r="I6" s="74"/>
      <c r="J6" s="74" t="s">
        <v>1242</v>
      </c>
    </row>
    <row r="7" spans="1:10" s="68" customFormat="1" ht="20.100000000000001" customHeight="1">
      <c r="A7" s="68" t="str">
        <f>'Rate Case Constants'!C29</f>
        <v>TYPE OF FILING: __X__ ORIGINAL  _____ UPDATED  _____ REVISED</v>
      </c>
      <c r="I7" s="74"/>
      <c r="J7" s="74" t="s">
        <v>2063</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69" t="s">
        <v>227</v>
      </c>
      <c r="E10" s="769"/>
      <c r="F10" s="96"/>
      <c r="G10" s="96"/>
      <c r="H10" s="96"/>
      <c r="I10" s="96"/>
      <c r="J10" s="96"/>
    </row>
    <row r="11" spans="1:10" ht="48" customHeight="1">
      <c r="A11" s="71" t="s">
        <v>131</v>
      </c>
      <c r="B11" s="71" t="s">
        <v>134</v>
      </c>
      <c r="C11" s="78" t="s">
        <v>1244</v>
      </c>
      <c r="D11" s="71" t="s">
        <v>1245</v>
      </c>
      <c r="E11" s="71" t="s">
        <v>1246</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B'!H13</f>
        <v>39574.788728327236</v>
      </c>
      <c r="E15" s="86">
        <f>-'SCH B-3 B'!I14</f>
        <v>0</v>
      </c>
      <c r="F15" s="151">
        <v>0</v>
      </c>
      <c r="G15" s="86">
        <f>D15*F15</f>
        <v>0</v>
      </c>
      <c r="H15" s="152">
        <v>0</v>
      </c>
      <c r="I15" s="86"/>
      <c r="J15" s="155"/>
    </row>
    <row r="16" spans="1:10" ht="18.95" customHeight="1">
      <c r="A16" s="70">
        <f t="shared" ref="A16:A80" si="0">A15+1</f>
        <v>3</v>
      </c>
      <c r="B16" s="271">
        <v>302</v>
      </c>
      <c r="C16" s="78" t="s">
        <v>1623</v>
      </c>
      <c r="D16" s="86">
        <f>'SCH B-2.1 B'!H14</f>
        <v>55918.83</v>
      </c>
      <c r="E16" s="86">
        <f>-'SCH B-3 B'!I15</f>
        <v>71375.296764800005</v>
      </c>
      <c r="F16" s="151">
        <f>VLOOKUP($B16,'KU Depr Rates'!$A$16:$R$500,8,)/100</f>
        <v>3.6299999999999999E-2</v>
      </c>
      <c r="G16" s="88">
        <f t="shared" ref="G16" si="1">D16*F16</f>
        <v>2029.853529</v>
      </c>
      <c r="H16" s="152">
        <f>VLOOKUP($B16,'KU Depr Rates'!$A$16:$R$500,6,)/100</f>
        <v>0</v>
      </c>
      <c r="I16" s="279">
        <f>VLOOKUP($B16,'KU Depr Rates'!$A$16:$R$500,18,)</f>
        <v>3.3</v>
      </c>
      <c r="J16" s="280" t="str">
        <f>VLOOKUP($B16,'KU Depr Rates'!$A$16:$R$500,16,)</f>
        <v>20-SQ</v>
      </c>
    </row>
    <row r="17" spans="1:10" ht="18.95" customHeight="1">
      <c r="A17" s="70">
        <f t="shared" si="0"/>
        <v>4</v>
      </c>
      <c r="B17" s="271">
        <v>303</v>
      </c>
      <c r="C17" s="78" t="s">
        <v>1625</v>
      </c>
      <c r="D17" s="89">
        <f>'SCH B-2.1 B'!H15</f>
        <v>117284136.45337246</v>
      </c>
      <c r="E17" s="89">
        <f>-'SCH B-3 B'!I16</f>
        <v>62853126.49369017</v>
      </c>
      <c r="F17" s="151">
        <f>VLOOKUP($B17,'KU Depr Rates'!$A$16:$R$500,8,)/100</f>
        <v>0.16109999999999999</v>
      </c>
      <c r="G17" s="89">
        <f t="shared" ref="G17" si="2">D17*F17</f>
        <v>18894474.382638302</v>
      </c>
      <c r="H17" s="88">
        <f>VLOOKUP($B17,'KU Depr Rates'!$A$16:$R$500,6,)/100</f>
        <v>0</v>
      </c>
      <c r="I17" s="88" t="str">
        <f>VLOOKUP($B17,'KU Depr Rates'!$A$16:$R$500,18,)</f>
        <v>3.9-7.5</v>
      </c>
      <c r="J17" s="91" t="str">
        <f>VLOOKUP($B17,'KU Depr Rates'!$A$16:$R$500,16,)</f>
        <v>5-SQ, SQUARE</v>
      </c>
    </row>
    <row r="18" spans="1:10" ht="18.95" customHeight="1">
      <c r="A18" s="70">
        <f t="shared" si="0"/>
        <v>5</v>
      </c>
      <c r="B18" s="271"/>
      <c r="C18" s="78" t="s">
        <v>143</v>
      </c>
      <c r="D18" s="86">
        <f>SUM(D15:D17)</f>
        <v>117379630.07210079</v>
      </c>
      <c r="E18" s="86">
        <f>SUM(E15:E17)</f>
        <v>62924501.790454969</v>
      </c>
      <c r="F18" s="86"/>
      <c r="G18" s="86">
        <f>SUM(G15:G17)</f>
        <v>18896504.2361673</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B'!H19</f>
        <v>10000342.600344457</v>
      </c>
      <c r="E21" s="88">
        <f>-'SCH B-3 B'!I20</f>
        <v>0</v>
      </c>
      <c r="F21" s="151">
        <v>0</v>
      </c>
      <c r="G21" s="88">
        <f t="shared" ref="G21:G22" si="3">D21*F21</f>
        <v>0</v>
      </c>
      <c r="H21" s="152">
        <v>0</v>
      </c>
      <c r="I21" s="209"/>
      <c r="J21" s="91"/>
    </row>
    <row r="22" spans="1:10" ht="18" customHeight="1">
      <c r="A22" s="70">
        <f t="shared" si="0"/>
        <v>8</v>
      </c>
      <c r="B22" s="271">
        <v>311</v>
      </c>
      <c r="C22" s="78" t="s">
        <v>148</v>
      </c>
      <c r="D22" s="88">
        <f>'SCH B-2.1 B'!H20</f>
        <v>288730580.58196098</v>
      </c>
      <c r="E22" s="88">
        <f>-'SCH B-3 B'!I21</f>
        <v>165136251.57091844</v>
      </c>
      <c r="F22" s="151">
        <f>VLOOKUP($B22,'KU Depr Rates'!$A$16:$R$450,8,)/100</f>
        <v>0.02</v>
      </c>
      <c r="G22" s="88">
        <f t="shared" si="3"/>
        <v>5774611.6116392193</v>
      </c>
      <c r="H22" s="152" t="str">
        <f>VLOOKUP($B22,'KU Depr Rates'!$A$16:$R$500,6,)</f>
        <v>-1%,-6%,-7%,-10%,-13%</v>
      </c>
      <c r="I22" s="279">
        <f>VLOOKUP($B22,'KU Depr Rates'!$A$16:$R$500,18,)</f>
        <v>27.5</v>
      </c>
      <c r="J22" s="280" t="str">
        <f>VLOOKUP($B22,'KU Depr Rates'!$A$16:$R$500,16,)</f>
        <v>100-R2.5</v>
      </c>
    </row>
    <row r="23" spans="1:10" ht="18.95" customHeight="1">
      <c r="A23" s="70">
        <f t="shared" si="0"/>
        <v>9</v>
      </c>
      <c r="B23" s="271">
        <v>312</v>
      </c>
      <c r="C23" s="78" t="s">
        <v>1629</v>
      </c>
      <c r="D23" s="88">
        <f>'SCH B-2.1 B'!H21</f>
        <v>2402346439.5467553</v>
      </c>
      <c r="E23" s="88">
        <f>-'SCH B-3 B'!I22</f>
        <v>1005932372.19771</v>
      </c>
      <c r="F23" s="151">
        <f>VLOOKUP($B23,'KU Depr Rates'!$A$16:$R$450,8,)/100</f>
        <v>2.8300000000000002E-2</v>
      </c>
      <c r="G23" s="88">
        <f t="shared" ref="G23" si="4">D23*F23</f>
        <v>67986404.239173174</v>
      </c>
      <c r="H23" s="152" t="str">
        <f>VLOOKUP($B23,'KU Depr Rates'!$A$16:$R$500,6,)</f>
        <v>-6%,-7%,-10%,-13%</v>
      </c>
      <c r="I23" s="279">
        <f>VLOOKUP($B23,'KU Depr Rates'!$A$16:$R$500,18,)</f>
        <v>21.8</v>
      </c>
      <c r="J23" s="280" t="str">
        <f>VLOOKUP($B23,'KU Depr Rates'!$A$16:$R$500,16,)</f>
        <v>65-R2, 100-S4</v>
      </c>
    </row>
    <row r="24" spans="1:10" ht="18.95" customHeight="1">
      <c r="A24" s="70">
        <f>A22+1</f>
        <v>9</v>
      </c>
      <c r="B24" s="271">
        <v>313</v>
      </c>
      <c r="C24" s="78" t="s">
        <v>144</v>
      </c>
      <c r="D24" s="88">
        <f>'SCH B-2.1 B'!H22</f>
        <v>0</v>
      </c>
      <c r="E24" s="88">
        <f>-'SCH B-3 B'!I23</f>
        <v>0</v>
      </c>
      <c r="F24" s="151"/>
      <c r="G24" s="88"/>
      <c r="H24" s="88"/>
      <c r="I24" s="88"/>
      <c r="J24" s="156"/>
    </row>
    <row r="25" spans="1:10" ht="18.95" customHeight="1">
      <c r="A25" s="70">
        <f>A23+1</f>
        <v>10</v>
      </c>
      <c r="B25" s="271">
        <v>314</v>
      </c>
      <c r="C25" s="78" t="s">
        <v>1631</v>
      </c>
      <c r="D25" s="88">
        <f>'SCH B-2.1 B'!H23</f>
        <v>307453095.3599568</v>
      </c>
      <c r="E25" s="88">
        <f>-'SCH B-3 B'!I24</f>
        <v>142352685.16036859</v>
      </c>
      <c r="F25" s="151">
        <f>VLOOKUP($B25,'KU Depr Rates'!$A$16:$R$450,8,)/100</f>
        <v>2.2200000000000001E-2</v>
      </c>
      <c r="G25" s="88">
        <f t="shared" ref="G25:G27" si="5">D25*F25</f>
        <v>6825458.7169910409</v>
      </c>
      <c r="H25" s="152" t="str">
        <f>VLOOKUP($B25,'KU Depr Rates'!$A$16:$R$500,6,)</f>
        <v>-6%,-7%,-13%</v>
      </c>
      <c r="I25" s="279">
        <f>VLOOKUP($B25,'KU Depr Rates'!$A$16:$R$500,18,)</f>
        <v>23</v>
      </c>
      <c r="J25" s="280" t="str">
        <f>VLOOKUP($B25,'KU Depr Rates'!$A$16:$R$500,16,)</f>
        <v>60-R-2</v>
      </c>
    </row>
    <row r="26" spans="1:10" ht="18.95" customHeight="1">
      <c r="A26" s="70">
        <f t="shared" si="0"/>
        <v>11</v>
      </c>
      <c r="B26" s="271">
        <v>315</v>
      </c>
      <c r="C26" s="78" t="s">
        <v>1633</v>
      </c>
      <c r="D26" s="88">
        <f>'SCH B-2.1 B'!H24</f>
        <v>188306652.2375685</v>
      </c>
      <c r="E26" s="88">
        <f>-'SCH B-3 B'!I25</f>
        <v>98454336.394610539</v>
      </c>
      <c r="F26" s="151">
        <f>VLOOKUP($B26,'KU Depr Rates'!$A$16:$R$450,8,)/100</f>
        <v>2.5000000000000001E-2</v>
      </c>
      <c r="G26" s="88">
        <f t="shared" si="5"/>
        <v>4707666.3059392124</v>
      </c>
      <c r="H26" s="152" t="str">
        <f>VLOOKUP($B26,'KU Depr Rates'!$A$16:$R$500,6,)</f>
        <v>-6%,-7%,-10%,-13%</v>
      </c>
      <c r="I26" s="279">
        <f>VLOOKUP($B26,'KU Depr Rates'!$A$16:$R$500,18,)</f>
        <v>24.1</v>
      </c>
      <c r="J26" s="280" t="str">
        <f>VLOOKUP($B26,'KU Depr Rates'!$A$16:$R$500,16,)</f>
        <v>70-S3</v>
      </c>
    </row>
    <row r="27" spans="1:10" ht="18.95" customHeight="1">
      <c r="A27" s="70">
        <f t="shared" si="0"/>
        <v>12</v>
      </c>
      <c r="B27" s="271">
        <v>316</v>
      </c>
      <c r="C27" s="78" t="s">
        <v>1635</v>
      </c>
      <c r="D27" s="88">
        <f>'SCH B-2.1 B'!H25</f>
        <v>32610169.542734809</v>
      </c>
      <c r="E27" s="88">
        <f>-'SCH B-3 B'!I26</f>
        <v>14655501.817985263</v>
      </c>
      <c r="F27" s="151">
        <f>VLOOKUP($B27,'KU Depr Rates'!$A$16:$R$450,8,)/100</f>
        <v>2.29E-2</v>
      </c>
      <c r="G27" s="88">
        <f t="shared" si="5"/>
        <v>746772.88252862717</v>
      </c>
      <c r="H27" s="152" t="str">
        <f>VLOOKUP($B27,'KU Depr Rates'!$A$16:$R$500,6,)</f>
        <v>-1%,-2%,-3%,-4%,-5%,-11%</v>
      </c>
      <c r="I27" s="279">
        <f>VLOOKUP($B27,'KU Depr Rates'!$A$16:$R$500,18,)</f>
        <v>25.8</v>
      </c>
      <c r="J27" s="280" t="str">
        <f>VLOOKUP($B27,'KU Depr Rates'!$A$16:$R$500,16,)</f>
        <v>75-R1.5</v>
      </c>
    </row>
    <row r="28" spans="1:10" ht="18.95" customHeight="1">
      <c r="A28" s="70">
        <f t="shared" si="0"/>
        <v>13</v>
      </c>
      <c r="B28" s="271">
        <v>317</v>
      </c>
      <c r="C28" s="78" t="s">
        <v>1655</v>
      </c>
      <c r="D28" s="89">
        <f>'SCH B-2.1 B'!H26</f>
        <v>0</v>
      </c>
      <c r="E28" s="89">
        <f>-'SCH B-3 B'!I27</f>
        <v>0</v>
      </c>
      <c r="F28" s="151"/>
      <c r="G28" s="89"/>
      <c r="H28" s="152"/>
      <c r="I28" s="209"/>
      <c r="J28" s="91"/>
    </row>
    <row r="29" spans="1:10" ht="18.95" customHeight="1">
      <c r="A29" s="70">
        <f t="shared" si="0"/>
        <v>14</v>
      </c>
      <c r="B29" s="271"/>
      <c r="C29" s="78" t="s">
        <v>146</v>
      </c>
      <c r="D29" s="86">
        <f>SUM(D21:D28)</f>
        <v>3229447279.8693204</v>
      </c>
      <c r="E29" s="86">
        <f>SUM(E21:E28)</f>
        <v>1426531147.1415932</v>
      </c>
      <c r="F29" s="130"/>
      <c r="G29" s="86">
        <f>SUM(G21:G28)</f>
        <v>86040913.756271273</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B'!H30</f>
        <v>750166.70146085031</v>
      </c>
      <c r="E32" s="88">
        <f>-'SCH B-3 B'!I31</f>
        <v>798625.07110984926</v>
      </c>
      <c r="F32" s="151">
        <f>VLOOKUP($B32,'KU Depr Rates'!$A$16:$R$500,8,)/100</f>
        <v>0</v>
      </c>
      <c r="G32" s="88">
        <f t="shared" ref="G32:G38" si="6">D32*F32</f>
        <v>0</v>
      </c>
      <c r="H32" s="152">
        <f>VLOOKUP($B32,'KU Depr Rates'!$A$16:$R$500,6,)/100</f>
        <v>0</v>
      </c>
      <c r="I32" s="279">
        <f>VLOOKUP($B32,'KU Depr Rates'!$A$16:$R$500,18,)</f>
        <v>0</v>
      </c>
      <c r="J32" s="280" t="str">
        <f>VLOOKUP($B32,'KU Depr Rates'!$A$16:$R$500,16,)</f>
        <v>100-R4</v>
      </c>
    </row>
    <row r="33" spans="1:10" ht="18.95" customHeight="1">
      <c r="A33" s="70">
        <f t="shared" si="0"/>
        <v>17</v>
      </c>
      <c r="B33" s="271">
        <v>331</v>
      </c>
      <c r="C33" s="78" t="s">
        <v>148</v>
      </c>
      <c r="D33" s="88">
        <f>'SCH B-2.1 B'!H31</f>
        <v>3866260.9618467893</v>
      </c>
      <c r="E33" s="88">
        <f>-'SCH B-3 B'!I32</f>
        <v>284847.33628246246</v>
      </c>
      <c r="F33" s="151">
        <f>VLOOKUP($B33,'KU Depr Rates'!$A$16:$R$500,8,)/100</f>
        <v>2.4799999999999999E-2</v>
      </c>
      <c r="G33" s="88">
        <f t="shared" si="6"/>
        <v>95883.271853800368</v>
      </c>
      <c r="H33" s="152">
        <f>VLOOKUP($B33,'KU Depr Rates'!$A$16:$R$500,6,)/100</f>
        <v>-0.03</v>
      </c>
      <c r="I33" s="279">
        <f>VLOOKUP($B33,'KU Depr Rates'!$A$16:$R$500,18,)</f>
        <v>24.7</v>
      </c>
      <c r="J33" s="280" t="str">
        <f>VLOOKUP($B33,'KU Depr Rates'!$A$16:$R$500,16,)</f>
        <v>90-S2.5</v>
      </c>
    </row>
    <row r="34" spans="1:10" ht="18.95" customHeight="1">
      <c r="A34" s="70">
        <f t="shared" si="0"/>
        <v>18</v>
      </c>
      <c r="B34" s="271">
        <v>332</v>
      </c>
      <c r="C34" s="78" t="s">
        <v>1640</v>
      </c>
      <c r="D34" s="88">
        <f>'SCH B-2.1 B'!H32</f>
        <v>19150261.029087551</v>
      </c>
      <c r="E34" s="88">
        <f>-'SCH B-3 B'!I33</f>
        <v>8655261.0306197684</v>
      </c>
      <c r="F34" s="151">
        <f>VLOOKUP($B34,'KU Depr Rates'!$A$16:$R$500,8,)/100</f>
        <v>2.6099999999999998E-2</v>
      </c>
      <c r="G34" s="88">
        <f t="shared" si="6"/>
        <v>499821.81285918504</v>
      </c>
      <c r="H34" s="152">
        <f>VLOOKUP($B34,'KU Depr Rates'!$A$16:$R$500,6,)/100</f>
        <v>-0.03</v>
      </c>
      <c r="I34" s="279">
        <f>VLOOKUP($B34,'KU Depr Rates'!$A$16:$R$500,18,)</f>
        <v>25.1</v>
      </c>
      <c r="J34" s="280" t="str">
        <f>VLOOKUP($B34,'KU Depr Rates'!$A$16:$R$500,16,)</f>
        <v>105-S2.5</v>
      </c>
    </row>
    <row r="35" spans="1:10" ht="18.95" customHeight="1">
      <c r="A35" s="70">
        <f t="shared" si="0"/>
        <v>19</v>
      </c>
      <c r="B35" s="271">
        <v>333</v>
      </c>
      <c r="C35" s="78" t="s">
        <v>1642</v>
      </c>
      <c r="D35" s="88">
        <f>'SCH B-2.1 B'!H33</f>
        <v>12263985.247503666</v>
      </c>
      <c r="E35" s="88">
        <f>-'SCH B-3 B'!I34</f>
        <v>2091610.7238380536</v>
      </c>
      <c r="F35" s="151">
        <f>VLOOKUP($B35,'KU Depr Rates'!$A$16:$R$500,8,)/100</f>
        <v>3.8600000000000002E-2</v>
      </c>
      <c r="G35" s="88">
        <f t="shared" si="6"/>
        <v>473389.83055364154</v>
      </c>
      <c r="H35" s="152">
        <f>VLOOKUP($B35,'KU Depr Rates'!$A$16:$R$500,6,)/100</f>
        <v>-0.03</v>
      </c>
      <c r="I35" s="279">
        <f>VLOOKUP($B35,'KU Depr Rates'!$A$16:$R$500,18,)</f>
        <v>25.2</v>
      </c>
      <c r="J35" s="280" t="str">
        <f>VLOOKUP($B35,'KU Depr Rates'!$A$16:$R$500,16,)</f>
        <v>75-R3</v>
      </c>
    </row>
    <row r="36" spans="1:10" ht="18.95" customHeight="1">
      <c r="A36" s="70">
        <f t="shared" si="0"/>
        <v>20</v>
      </c>
      <c r="B36" s="271">
        <v>334</v>
      </c>
      <c r="C36" s="78" t="s">
        <v>1633</v>
      </c>
      <c r="D36" s="88">
        <f>'SCH B-2.1 B'!H34</f>
        <v>1208129.1775905397</v>
      </c>
      <c r="E36" s="88">
        <f>-'SCH B-3 B'!I35</f>
        <v>324724.60515526758</v>
      </c>
      <c r="F36" s="151">
        <f>VLOOKUP($B36,'KU Depr Rates'!$A$16:$R$500,8,)/100</f>
        <v>3.8099999999999995E-2</v>
      </c>
      <c r="G36" s="88">
        <f t="shared" si="6"/>
        <v>46029.721666199555</v>
      </c>
      <c r="H36" s="152">
        <f>VLOOKUP($B36,'KU Depr Rates'!$A$16:$R$500,6,)/100</f>
        <v>-0.03</v>
      </c>
      <c r="I36" s="279">
        <f>VLOOKUP($B36,'KU Depr Rates'!$A$16:$R$500,18,)</f>
        <v>22.7</v>
      </c>
      <c r="J36" s="280" t="str">
        <f>VLOOKUP($B36,'KU Depr Rates'!$A$16:$R$500,16,)</f>
        <v>40-L2.5</v>
      </c>
    </row>
    <row r="37" spans="1:10" ht="18.95" customHeight="1">
      <c r="A37" s="70">
        <f t="shared" si="0"/>
        <v>21</v>
      </c>
      <c r="B37" s="271">
        <v>335</v>
      </c>
      <c r="C37" s="78" t="s">
        <v>1645</v>
      </c>
      <c r="D37" s="88">
        <f>'SCH B-2.1 B'!H35</f>
        <v>288055.04919837567</v>
      </c>
      <c r="E37" s="88">
        <f>-'SCH B-3 B'!I36</f>
        <v>136503.09504873797</v>
      </c>
      <c r="F37" s="151">
        <f>VLOOKUP($B37,'KU Depr Rates'!$A$16:$R$500,8,)/100</f>
        <v>3.7599999999999995E-2</v>
      </c>
      <c r="G37" s="88">
        <f t="shared" si="6"/>
        <v>10830.869849858924</v>
      </c>
      <c r="H37" s="152">
        <f>VLOOKUP($B37,'KU Depr Rates'!$A$16:$R$500,6,)/100</f>
        <v>-0.03</v>
      </c>
      <c r="I37" s="279">
        <f>VLOOKUP($B37,'KU Depr Rates'!$A$16:$R$500,18,)</f>
        <v>17.600000000000001</v>
      </c>
      <c r="J37" s="280" t="str">
        <f>VLOOKUP($B37,'KU Depr Rates'!$A$16:$R$500,16,)</f>
        <v>40-S0</v>
      </c>
    </row>
    <row r="38" spans="1:10" ht="18.95" customHeight="1">
      <c r="A38" s="70">
        <f t="shared" si="0"/>
        <v>22</v>
      </c>
      <c r="B38" s="271">
        <v>336</v>
      </c>
      <c r="C38" s="78" t="s">
        <v>1647</v>
      </c>
      <c r="D38" s="88">
        <f>'SCH B-2.1 B'!H36</f>
        <v>205602.43360659198</v>
      </c>
      <c r="E38" s="88">
        <f>-'SCH B-3 B'!I37</f>
        <v>83881.030352823393</v>
      </c>
      <c r="F38" s="151">
        <f>VLOOKUP($B38,'KU Depr Rates'!$A$16:$R$500,8,)/100</f>
        <v>3.3300000000000003E-2</v>
      </c>
      <c r="G38" s="88">
        <f t="shared" si="6"/>
        <v>6846.5610390995134</v>
      </c>
      <c r="H38" s="152">
        <f>VLOOKUP($B38,'KU Depr Rates'!$A$16:$R$500,6,)/100</f>
        <v>-0.03</v>
      </c>
      <c r="I38" s="279">
        <f>VLOOKUP($B38,'KU Depr Rates'!$A$16:$R$500,18,)</f>
        <v>21.9</v>
      </c>
      <c r="J38" s="280" t="str">
        <f>VLOOKUP($B38,'KU Depr Rates'!$A$16:$R$500,16,)</f>
        <v>60-R4</v>
      </c>
    </row>
    <row r="39" spans="1:10" ht="18.95" customHeight="1">
      <c r="A39" s="70">
        <f t="shared" si="0"/>
        <v>23</v>
      </c>
      <c r="B39" s="271">
        <v>337</v>
      </c>
      <c r="C39" s="78" t="s">
        <v>1656</v>
      </c>
      <c r="D39" s="89">
        <f>'SCH B-2.1 B'!H37</f>
        <v>0</v>
      </c>
      <c r="E39" s="89">
        <f>-'SCH B-3 B'!I38</f>
        <v>0</v>
      </c>
      <c r="F39" s="130"/>
      <c r="G39" s="89"/>
      <c r="H39" s="152"/>
      <c r="I39" s="88"/>
      <c r="J39" s="156"/>
    </row>
    <row r="40" spans="1:10" ht="18.95" customHeight="1">
      <c r="A40" s="70">
        <f t="shared" si="0"/>
        <v>24</v>
      </c>
      <c r="B40" s="271" t="s">
        <v>251</v>
      </c>
      <c r="C40" s="78" t="s">
        <v>147</v>
      </c>
      <c r="D40" s="86">
        <f>SUM(D32:D39)</f>
        <v>37732460.600294366</v>
      </c>
      <c r="E40" s="86">
        <f>SUM(E32:E39)</f>
        <v>12375452.892406963</v>
      </c>
      <c r="F40" s="86"/>
      <c r="G40" s="86">
        <f t="shared" ref="G40" si="7">SUM(G32:G39)</f>
        <v>1132802.0678217851</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B'!H41</f>
        <v>792131.37381219736</v>
      </c>
      <c r="E43" s="88">
        <f>-'SCH B-3 B'!I42</f>
        <v>112418.63870244012</v>
      </c>
      <c r="F43" s="151">
        <f>VLOOKUP($B43,'KU Depr Rates'!$A$16:$R$500,8,)/100</f>
        <v>2.1899999999999999E-2</v>
      </c>
      <c r="G43" s="88">
        <f t="shared" ref="G43:G46" si="8">D43*F43</f>
        <v>17347.677086487121</v>
      </c>
      <c r="H43" s="281">
        <f>VLOOKUP($B43,'KU Depr Rates'!$A$16:$R$500,6,)/100</f>
        <v>0</v>
      </c>
      <c r="I43" s="209">
        <f>VLOOKUP($B43,'KU Depr Rates'!$A$16:$R$500,18,)</f>
        <v>178.7</v>
      </c>
      <c r="J43" s="230" t="str">
        <f>VLOOKUP($B43,'KU Depr Rates'!$A$16:$R$500,16,)</f>
        <v>SQUARE</v>
      </c>
    </row>
    <row r="44" spans="1:10" ht="18.95" customHeight="1">
      <c r="A44" s="70">
        <f t="shared" si="0"/>
        <v>27</v>
      </c>
      <c r="B44" s="271">
        <v>341</v>
      </c>
      <c r="C44" s="78" t="s">
        <v>148</v>
      </c>
      <c r="D44" s="88">
        <f>'SCH B-2.1 B'!H42</f>
        <v>75920103.391254023</v>
      </c>
      <c r="E44" s="88">
        <f>-'SCH B-3 B'!I43</f>
        <v>23214565.134045437</v>
      </c>
      <c r="F44" s="151">
        <f>VLOOKUP($B44,'KU Depr Rates'!$A$16:$R$500,8,)/100</f>
        <v>3.3799999999999997E-2</v>
      </c>
      <c r="G44" s="88">
        <f t="shared" si="8"/>
        <v>2566099.4946243856</v>
      </c>
      <c r="H44" s="88" t="str">
        <f>VLOOKUP($B44,'KU Depr Rates'!$A$16:$R$500,6,)</f>
        <v>-5%,-6%,-7%,-10%,-12%</v>
      </c>
      <c r="I44" s="209">
        <f>VLOOKUP($B44,'KU Depr Rates'!$A$16:$R$500,18,)</f>
        <v>25.9</v>
      </c>
      <c r="J44" s="230" t="str">
        <f>VLOOKUP($B44,'KU Depr Rates'!$A$16:$R$500,16,)</f>
        <v>50-R2.5</v>
      </c>
    </row>
    <row r="45" spans="1:10" ht="18.95" customHeight="1">
      <c r="A45" s="70">
        <f t="shared" si="0"/>
        <v>28</v>
      </c>
      <c r="B45" s="271">
        <v>342</v>
      </c>
      <c r="C45" s="78" t="s">
        <v>1652</v>
      </c>
      <c r="D45" s="88">
        <f>'SCH B-2.1 B'!H43</f>
        <v>55221015.177705914</v>
      </c>
      <c r="E45" s="88">
        <f>-'SCH B-3 B'!I44</f>
        <v>18664700.634786129</v>
      </c>
      <c r="F45" s="151">
        <f>VLOOKUP($B45,'KU Depr Rates'!$A$16:$R$500,8,)/100</f>
        <v>3.27E-2</v>
      </c>
      <c r="G45" s="88">
        <f t="shared" si="8"/>
        <v>1805727.1963109833</v>
      </c>
      <c r="H45" s="88" t="str">
        <f>VLOOKUP($B45,'KU Depr Rates'!$A$16:$R$500,6,)</f>
        <v>-6%,-7%,-10%,-12%</v>
      </c>
      <c r="I45" s="209">
        <f>VLOOKUP($B45,'KU Depr Rates'!$A$16:$R$500,18,)</f>
        <v>31.3</v>
      </c>
      <c r="J45" s="230" t="str">
        <f>VLOOKUP($B45,'KU Depr Rates'!$A$16:$R$500,16,)</f>
        <v>45-R2.5</v>
      </c>
    </row>
    <row r="46" spans="1:10" ht="18.95" customHeight="1">
      <c r="A46" s="70">
        <f t="shared" si="0"/>
        <v>29</v>
      </c>
      <c r="B46" s="271">
        <v>343</v>
      </c>
      <c r="C46" s="78" t="s">
        <v>1654</v>
      </c>
      <c r="D46" s="88">
        <f>'SCH B-2.1 B'!H44</f>
        <v>580562760.1376369</v>
      </c>
      <c r="E46" s="88">
        <f>-'SCH B-3 B'!I45</f>
        <v>193011426.30417401</v>
      </c>
      <c r="F46" s="151">
        <f>VLOOKUP($B46,'KU Depr Rates'!$A$16:$R$500,8,)/100</f>
        <v>4.6300000000000001E-2</v>
      </c>
      <c r="G46" s="88">
        <f t="shared" si="8"/>
        <v>26880055.794372588</v>
      </c>
      <c r="H46" s="88" t="str">
        <f>VLOOKUP($B46,'KU Depr Rates'!$A$16:$R$500,6,)</f>
        <v>-6%,-7%,-12%</v>
      </c>
      <c r="I46" s="209">
        <f>VLOOKUP($B46,'KU Depr Rates'!$A$16:$R$500,18,)</f>
        <v>16</v>
      </c>
      <c r="J46" s="230" t="str">
        <f>VLOOKUP($B46,'KU Depr Rates'!$A$16:$R$500,16,)</f>
        <v>35-R1.5</v>
      </c>
    </row>
    <row r="47" spans="1:10" ht="18.95" customHeight="1">
      <c r="A47" s="70">
        <f>A46+1</f>
        <v>30</v>
      </c>
      <c r="B47" s="271">
        <v>344</v>
      </c>
      <c r="C47" s="78" t="s">
        <v>1658</v>
      </c>
      <c r="D47" s="88">
        <f>'SCH B-2.1 B'!H56</f>
        <v>115434715.41008046</v>
      </c>
      <c r="E47" s="88">
        <f>-'SCH B-3 B'!I58</f>
        <v>40023040.634767696</v>
      </c>
      <c r="F47" s="151">
        <f>VLOOKUP($B47,'KU Depr Rates'!$A$16:$R$500,8,)/100</f>
        <v>3.2599999999999997E-2</v>
      </c>
      <c r="G47" s="88">
        <f t="shared" ref="G47:G49" si="9">D47*F47</f>
        <v>3763171.7223686227</v>
      </c>
      <c r="H47" s="88" t="str">
        <f>VLOOKUP($B47,'KU Depr Rates'!$A$16:$R$500,6,)</f>
        <v>-5%,-6%,-7%,-10%,-12%</v>
      </c>
      <c r="I47" s="209">
        <f>VLOOKUP($B47,'KU Depr Rates'!$A$16:$R$500,18,)</f>
        <v>28</v>
      </c>
      <c r="J47" s="230" t="str">
        <f>VLOOKUP($B47,'KU Depr Rates'!$A$16:$R$500,16,)</f>
        <v>55-S2.5</v>
      </c>
    </row>
    <row r="48" spans="1:10" ht="18.95" customHeight="1">
      <c r="A48" s="70">
        <f t="shared" si="0"/>
        <v>31</v>
      </c>
      <c r="B48" s="271">
        <v>345</v>
      </c>
      <c r="C48" s="78" t="s">
        <v>1633</v>
      </c>
      <c r="D48" s="88">
        <f>'SCH B-2.1 B'!H57</f>
        <v>68816944.275498733</v>
      </c>
      <c r="E48" s="88">
        <f>-'SCH B-3 B'!I59</f>
        <v>24991321.740684535</v>
      </c>
      <c r="F48" s="151">
        <f>VLOOKUP($B48,'KU Depr Rates'!$A$16:$R$500,8,)/100</f>
        <v>3.9599999999999996E-2</v>
      </c>
      <c r="G48" s="88">
        <f t="shared" si="9"/>
        <v>2725150.9933097498</v>
      </c>
      <c r="H48" s="88" t="str">
        <f>VLOOKUP($B48,'KU Depr Rates'!$A$16:$R$500,6,)</f>
        <v>-5%,-6%,-7%,-10%,-12%</v>
      </c>
      <c r="I48" s="209">
        <f>VLOOKUP($B48,'KU Depr Rates'!$A$16:$R$500,18,)</f>
        <v>20.399999999999999</v>
      </c>
      <c r="J48" s="230" t="str">
        <f>VLOOKUP($B48,'KU Depr Rates'!$A$16:$R$500,16,)</f>
        <v>50-R3</v>
      </c>
    </row>
    <row r="49" spans="1:10" ht="18.95" customHeight="1">
      <c r="A49" s="70">
        <f t="shared" si="0"/>
        <v>32</v>
      </c>
      <c r="B49" s="271">
        <v>346</v>
      </c>
      <c r="C49" s="78" t="s">
        <v>1645</v>
      </c>
      <c r="D49" s="88">
        <f>'SCH B-2.1 B'!H58</f>
        <v>8531395.2078865077</v>
      </c>
      <c r="E49" s="88">
        <f>-'SCH B-3 B'!I60</f>
        <v>3273953.5416721753</v>
      </c>
      <c r="F49" s="151">
        <f>VLOOKUP($B49,'KU Depr Rates'!$A$16:$R$500,8,)/100</f>
        <v>4.36E-2</v>
      </c>
      <c r="G49" s="88">
        <f t="shared" si="9"/>
        <v>371968.83106385171</v>
      </c>
      <c r="H49" s="88" t="str">
        <f>VLOOKUP($B49,'KU Depr Rates'!$A$16:$R$500,6,)</f>
        <v>-6%,-7%,-10%,-12%</v>
      </c>
      <c r="I49" s="209">
        <f>VLOOKUP($B49,'KU Depr Rates'!$A$16:$R$500,18,)</f>
        <v>12.6</v>
      </c>
      <c r="J49" s="230" t="str">
        <f>VLOOKUP($B49,'KU Depr Rates'!$A$16:$R$500,16,)</f>
        <v>40-R2</v>
      </c>
    </row>
    <row r="50" spans="1:10" ht="18.95" customHeight="1">
      <c r="A50" s="70">
        <f t="shared" si="0"/>
        <v>33</v>
      </c>
      <c r="B50" s="271">
        <v>347</v>
      </c>
      <c r="C50" s="78" t="s">
        <v>1696</v>
      </c>
      <c r="D50" s="89">
        <f>'SCH B-2.1 B'!H59</f>
        <v>0</v>
      </c>
      <c r="E50" s="89">
        <f>-'SCH B-3 B'!I61</f>
        <v>0</v>
      </c>
      <c r="F50" s="130"/>
      <c r="G50" s="89"/>
      <c r="H50" s="130"/>
      <c r="I50" s="88"/>
      <c r="J50" s="88"/>
    </row>
    <row r="51" spans="1:10" ht="18.95" customHeight="1">
      <c r="A51" s="70">
        <f t="shared" si="0"/>
        <v>34</v>
      </c>
      <c r="B51" s="271"/>
      <c r="C51" s="78" t="s">
        <v>145</v>
      </c>
      <c r="D51" s="86">
        <f>SUM(D43:D46,D47:D50)</f>
        <v>905279064.97387469</v>
      </c>
      <c r="E51" s="86">
        <f>SUM(E43:E46,E47:E50)</f>
        <v>303291426.6288324</v>
      </c>
      <c r="F51" s="86"/>
      <c r="G51" s="86">
        <f>SUM(G43:G46,G47:G50)</f>
        <v>38129521.709136672</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B'!H63</f>
        <v>28660253.477283686</v>
      </c>
      <c r="E54" s="88">
        <f>-'SCH B-3 B'!I65</f>
        <v>15572318.059245287</v>
      </c>
      <c r="F54" s="151">
        <f>VLOOKUP($B54,'KU Depr Rates'!$A$16:$R$500,8,)/100</f>
        <v>8.6E-3</v>
      </c>
      <c r="G54" s="88">
        <f t="shared" ref="G54" si="10">D54*F54</f>
        <v>246478.17990463969</v>
      </c>
      <c r="H54" s="152">
        <f>VLOOKUP($B54,'KU Depr Rates'!$A$16:$R$500,6,)/100</f>
        <v>0</v>
      </c>
      <c r="I54" s="209">
        <f>VLOOKUP($B54,'KU Depr Rates'!$A$16:$R$500,18,)</f>
        <v>48.9</v>
      </c>
      <c r="J54" s="230" t="str">
        <f>VLOOKUP($B54,'KU Depr Rates'!$A$16:$R$500,16,)</f>
        <v>70-R3</v>
      </c>
    </row>
    <row r="55" spans="1:10" ht="18.95" customHeight="1">
      <c r="A55" s="70">
        <f t="shared" si="0"/>
        <v>37</v>
      </c>
      <c r="B55" s="271">
        <v>352</v>
      </c>
      <c r="C55" s="78" t="s">
        <v>148</v>
      </c>
      <c r="D55" s="88">
        <f>'SCH B-2.1 B'!H64</f>
        <v>26555599.450458981</v>
      </c>
      <c r="E55" s="88">
        <f>-'SCH B-3 B'!I66</f>
        <v>6676375.8991368534</v>
      </c>
      <c r="F55" s="151">
        <f>VLOOKUP($B55,'KU Depr Rates'!$A$16:$R$500,8,)/100</f>
        <v>1.66E-2</v>
      </c>
      <c r="G55" s="88">
        <f t="shared" ref="G55:G61" si="11">D55*F55</f>
        <v>440822.95087761909</v>
      </c>
      <c r="H55" s="281">
        <f>VLOOKUP($B55,'KU Depr Rates'!$A$16:$R$500,6,)/100</f>
        <v>-2.5000000000000001E-3</v>
      </c>
      <c r="I55" s="209" t="str">
        <f>VLOOKUP($B55,'KU Depr Rates'!$A$16:$R$500,18,)</f>
        <v>47.9-59.5</v>
      </c>
      <c r="J55" s="230" t="str">
        <f>VLOOKUP($B55,'KU Depr Rates'!$A$16:$R$500,16,)</f>
        <v>65-R3,70-R3</v>
      </c>
    </row>
    <row r="56" spans="1:10" ht="18.95" customHeight="1">
      <c r="A56" s="70">
        <f t="shared" si="0"/>
        <v>38</v>
      </c>
      <c r="B56" s="271">
        <v>353</v>
      </c>
      <c r="C56" s="78" t="s">
        <v>149</v>
      </c>
      <c r="D56" s="88">
        <f>'SCH B-2.1 B'!H65</f>
        <v>313217067.10998172</v>
      </c>
      <c r="E56" s="88">
        <f>-'SCH B-3 B'!I67</f>
        <v>71254896.327123329</v>
      </c>
      <c r="F56" s="151">
        <f>VLOOKUP($B56,'KU Depr Rates'!$A$16:$R$500,8,)/100</f>
        <v>1.67E-2</v>
      </c>
      <c r="G56" s="88">
        <f t="shared" si="11"/>
        <v>5230725.0207366943</v>
      </c>
      <c r="H56" s="281">
        <f>VLOOKUP($B56,'KU Depr Rates'!$A$16:$R$500,6,)/100</f>
        <v>-1E-3</v>
      </c>
      <c r="I56" s="209">
        <f>VLOOKUP($B56,'KU Depr Rates'!$A$16:$R$500,18,)</f>
        <v>46</v>
      </c>
      <c r="J56" s="230" t="str">
        <f>VLOOKUP($B56,'KU Depr Rates'!$A$16:$R$500,16,)</f>
        <v>45-R2,60-R2</v>
      </c>
    </row>
    <row r="57" spans="1:10" ht="18.95" customHeight="1">
      <c r="A57" s="70">
        <f t="shared" si="0"/>
        <v>39</v>
      </c>
      <c r="B57" s="271">
        <v>354</v>
      </c>
      <c r="C57" s="78" t="s">
        <v>1666</v>
      </c>
      <c r="D57" s="88">
        <f>'SCH B-2.1 B'!H66</f>
        <v>71598563.30399175</v>
      </c>
      <c r="E57" s="88">
        <f>-'SCH B-3 B'!I68</f>
        <v>45776262.635618813</v>
      </c>
      <c r="F57" s="151">
        <f>VLOOKUP($B57,'KU Depr Rates'!$A$16:$R$500,8,)/100</f>
        <v>1.6900000000000002E-2</v>
      </c>
      <c r="G57" s="88">
        <f t="shared" si="11"/>
        <v>1210015.7198374607</v>
      </c>
      <c r="H57" s="281">
        <f>VLOOKUP($B57,'KU Depr Rates'!$A$16:$R$500,6,)/100</f>
        <v>-0.25</v>
      </c>
      <c r="I57" s="209">
        <f>VLOOKUP($B57,'KU Depr Rates'!$A$16:$R$500,18,)</f>
        <v>44.8</v>
      </c>
      <c r="J57" s="230" t="str">
        <f>VLOOKUP($B57,'KU Depr Rates'!$A$16:$R$500,16,)</f>
        <v>70-R4</v>
      </c>
    </row>
    <row r="58" spans="1:10" ht="18.95" customHeight="1">
      <c r="A58" s="70">
        <f t="shared" si="0"/>
        <v>40</v>
      </c>
      <c r="B58" s="271">
        <v>355</v>
      </c>
      <c r="C58" s="78" t="s">
        <v>1668</v>
      </c>
      <c r="D58" s="88">
        <f>'SCH B-2.1 B'!H67</f>
        <v>362765361.71721923</v>
      </c>
      <c r="E58" s="88">
        <f>-'SCH B-3 B'!I69</f>
        <v>64031874.817334503</v>
      </c>
      <c r="F58" s="151">
        <f>VLOOKUP($B58,'KU Depr Rates'!$A$16:$R$500,8,)/100</f>
        <v>2.9300000000000003E-2</v>
      </c>
      <c r="G58" s="88">
        <f t="shared" si="11"/>
        <v>10629025.098314526</v>
      </c>
      <c r="H58" s="281">
        <f>VLOOKUP($B58,'KU Depr Rates'!$A$16:$R$500,6,)/100</f>
        <v>-0.55000000000000004</v>
      </c>
      <c r="I58" s="209">
        <f>VLOOKUP($B58,'KU Depr Rates'!$A$16:$R$500,18,)</f>
        <v>48.8</v>
      </c>
      <c r="J58" s="230" t="str">
        <f>VLOOKUP($B58,'KU Depr Rates'!$A$16:$R$500,16,)</f>
        <v>58-R2</v>
      </c>
    </row>
    <row r="59" spans="1:10" ht="18.95" customHeight="1">
      <c r="A59" s="70">
        <f t="shared" si="0"/>
        <v>41</v>
      </c>
      <c r="B59" s="271">
        <v>356</v>
      </c>
      <c r="C59" s="78" t="s">
        <v>1670</v>
      </c>
      <c r="D59" s="88">
        <f>'SCH B-2.1 B'!H68</f>
        <v>165450820.71282583</v>
      </c>
      <c r="E59" s="88">
        <f>-'SCH B-3 B'!I70</f>
        <v>101132554.30027097</v>
      </c>
      <c r="F59" s="151">
        <f>VLOOKUP($B59,'KU Depr Rates'!$A$16:$R$500,8,)/100</f>
        <v>2.5399999999999999E-2</v>
      </c>
      <c r="G59" s="88">
        <f t="shared" si="11"/>
        <v>4202450.8461057758</v>
      </c>
      <c r="H59" s="281">
        <f>VLOOKUP($B59,'KU Depr Rates'!$A$16:$R$500,6,)/100</f>
        <v>-0.5</v>
      </c>
      <c r="I59" s="209">
        <f>VLOOKUP($B59,'KU Depr Rates'!$A$16:$R$500,18,)</f>
        <v>43.8</v>
      </c>
      <c r="J59" s="230" t="str">
        <f>VLOOKUP($B59,'KU Depr Rates'!$A$16:$R$500,16,)</f>
        <v>65-R3</v>
      </c>
    </row>
    <row r="60" spans="1:10" ht="18.95" customHeight="1">
      <c r="A60" s="70">
        <f t="shared" si="0"/>
        <v>42</v>
      </c>
      <c r="B60" s="271">
        <v>357</v>
      </c>
      <c r="C60" s="78" t="s">
        <v>1672</v>
      </c>
      <c r="D60" s="88">
        <f>'SCH B-2.1 B'!H69</f>
        <v>427773.60699776676</v>
      </c>
      <c r="E60" s="88">
        <f>-'SCH B-3 B'!I71</f>
        <v>223662.32137324108</v>
      </c>
      <c r="F60" s="151">
        <f>VLOOKUP($B60,'KU Depr Rates'!$A$16:$R$500,8,)/100</f>
        <v>1.7000000000000001E-2</v>
      </c>
      <c r="G60" s="88">
        <f t="shared" si="11"/>
        <v>7272.1513189620355</v>
      </c>
      <c r="H60" s="281">
        <f>VLOOKUP($B60,'KU Depr Rates'!$A$16:$R$500,6,)/100</f>
        <v>0</v>
      </c>
      <c r="I60" s="209">
        <f>VLOOKUP($B60,'KU Depr Rates'!$A$16:$R$500,18,)</f>
        <v>28.7</v>
      </c>
      <c r="J60" s="230" t="str">
        <f>VLOOKUP($B60,'KU Depr Rates'!$A$16:$R$500,16,)</f>
        <v>50-R4</v>
      </c>
    </row>
    <row r="61" spans="1:10" ht="18.95" customHeight="1">
      <c r="A61" s="70">
        <f t="shared" si="0"/>
        <v>43</v>
      </c>
      <c r="B61" s="271">
        <v>358</v>
      </c>
      <c r="C61" s="78" t="s">
        <v>1674</v>
      </c>
      <c r="D61" s="88">
        <f>'SCH B-2.1 B'!H70</f>
        <v>1239491.7201451901</v>
      </c>
      <c r="E61" s="88">
        <f>-'SCH B-3 B'!I72</f>
        <v>836102.05462654529</v>
      </c>
      <c r="F61" s="151">
        <f>VLOOKUP($B61,'KU Depr Rates'!$A$16:$R$500,8,)/100</f>
        <v>7.4000000000000003E-3</v>
      </c>
      <c r="G61" s="88">
        <f t="shared" si="11"/>
        <v>9172.2387290744082</v>
      </c>
      <c r="H61" s="281">
        <f>VLOOKUP($B61,'KU Depr Rates'!$A$16:$R$500,6,)/100</f>
        <v>0</v>
      </c>
      <c r="I61" s="209">
        <f>VLOOKUP($B61,'KU Depr Rates'!$A$16:$R$500,18,)</f>
        <v>23.6</v>
      </c>
      <c r="J61" s="230" t="str">
        <f>VLOOKUP($B61,'KU Depr Rates'!$A$16:$R$500,16,)</f>
        <v>40-R3</v>
      </c>
    </row>
    <row r="62" spans="1:10" ht="18.95" customHeight="1">
      <c r="A62" s="70">
        <f t="shared" si="0"/>
        <v>44</v>
      </c>
      <c r="B62" s="271">
        <v>359</v>
      </c>
      <c r="C62" s="78" t="s">
        <v>152</v>
      </c>
      <c r="D62" s="89">
        <f>'SCH B-2.1 B'!H71</f>
        <v>0</v>
      </c>
      <c r="E62" s="89">
        <f>-'SCH B-3 B'!I73</f>
        <v>0</v>
      </c>
      <c r="F62" s="130"/>
      <c r="G62" s="89">
        <f t="shared" ref="G62" si="12">D62*F62</f>
        <v>0</v>
      </c>
      <c r="H62" s="152"/>
      <c r="I62" s="88"/>
      <c r="J62" s="88"/>
    </row>
    <row r="63" spans="1:10" ht="18.95" customHeight="1">
      <c r="A63" s="70">
        <f t="shared" si="0"/>
        <v>45</v>
      </c>
      <c r="B63" s="271"/>
      <c r="C63" s="78" t="s">
        <v>150</v>
      </c>
      <c r="D63" s="86">
        <f>SUM(D54:D62)</f>
        <v>969914931.09890413</v>
      </c>
      <c r="E63" s="86">
        <f>SUM(E54:E62)</f>
        <v>305504046.41472954</v>
      </c>
      <c r="F63" s="86"/>
      <c r="G63" s="86">
        <f t="shared" ref="G63" si="13">SUM(G54:G62)</f>
        <v>21975962.205824755</v>
      </c>
      <c r="H63" s="153"/>
      <c r="I63" s="86"/>
      <c r="J63" s="86"/>
    </row>
    <row r="64" spans="1:10" s="68" customFormat="1" ht="20.100000000000001" customHeight="1">
      <c r="A64" s="767" t="str">
        <f>$A$1</f>
        <v>KENTUCKY UTILITIES COMPANY</v>
      </c>
      <c r="B64" s="767"/>
      <c r="C64" s="767"/>
      <c r="D64" s="767"/>
      <c r="E64" s="767"/>
      <c r="F64" s="767"/>
      <c r="G64" s="767"/>
      <c r="H64" s="767"/>
      <c r="I64" s="767"/>
      <c r="J64" s="767"/>
    </row>
    <row r="65" spans="1:10" s="68" customFormat="1" ht="20.100000000000001" customHeight="1">
      <c r="A65" s="767" t="str">
        <f>$A$2</f>
        <v>CASE NO. 2018-00294</v>
      </c>
      <c r="B65" s="767"/>
      <c r="C65" s="767"/>
      <c r="D65" s="767"/>
      <c r="E65" s="767"/>
      <c r="F65" s="767"/>
      <c r="G65" s="767"/>
      <c r="H65" s="767"/>
      <c r="I65" s="767"/>
      <c r="J65" s="767"/>
    </row>
    <row r="66" spans="1:10" s="68" customFormat="1" ht="20.100000000000001" customHeight="1">
      <c r="A66" s="767" t="str">
        <f>$A$3</f>
        <v>DEPRECIATION ACCRUAL RATES AND ACCUMULATED BALANCES BY ACCOUNT</v>
      </c>
      <c r="B66" s="767"/>
      <c r="C66" s="767"/>
      <c r="D66" s="767"/>
      <c r="E66" s="767"/>
      <c r="F66" s="767"/>
      <c r="G66" s="767"/>
      <c r="H66" s="767"/>
      <c r="I66" s="767"/>
      <c r="J66" s="767"/>
    </row>
    <row r="67" spans="1:10" s="68" customFormat="1" ht="20.100000000000001" customHeight="1">
      <c r="A67" s="766" t="str">
        <f>$A$4</f>
        <v>AS OF DECEMBER 31, 2018</v>
      </c>
      <c r="B67" s="767"/>
      <c r="C67" s="767"/>
      <c r="D67" s="767"/>
      <c r="E67" s="767"/>
      <c r="F67" s="767"/>
      <c r="G67" s="767"/>
      <c r="H67" s="767"/>
      <c r="I67" s="767"/>
      <c r="J67" s="767"/>
    </row>
    <row r="68" spans="1:10" s="68" customFormat="1" ht="20.100000000000001" customHeight="1">
      <c r="A68" s="92"/>
      <c r="B68" s="92"/>
      <c r="C68" s="92"/>
      <c r="D68" s="92"/>
      <c r="E68" s="92"/>
      <c r="F68" s="92"/>
      <c r="G68" s="92"/>
      <c r="H68" s="92"/>
      <c r="I68" s="208"/>
      <c r="J68" s="92"/>
    </row>
    <row r="69" spans="1:10" s="68" customFormat="1" ht="20.100000000000001" customHeight="1">
      <c r="A69" s="67" t="str">
        <f>$A$6</f>
        <v>DATA:__X__BASE  PERIOD____FORECASTED  PERIOD</v>
      </c>
      <c r="B69" s="67"/>
      <c r="I69" s="74"/>
      <c r="J69" s="74" t="s">
        <v>1242</v>
      </c>
    </row>
    <row r="70" spans="1:10" s="68" customFormat="1" ht="20.100000000000001" customHeight="1">
      <c r="A70" s="67" t="str">
        <f>$A$7</f>
        <v>TYPE OF FILING: __X__ ORIGINAL  _____ UPDATED  _____ REVISED</v>
      </c>
      <c r="I70" s="74"/>
      <c r="J70" s="74" t="s">
        <v>2064</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69" t="s">
        <v>227</v>
      </c>
      <c r="E73" s="769"/>
      <c r="F73" s="96"/>
      <c r="G73" s="96"/>
      <c r="H73" s="96"/>
      <c r="I73" s="96"/>
      <c r="J73" s="96"/>
    </row>
    <row r="74" spans="1:10" ht="48" customHeight="1">
      <c r="A74" s="71" t="s">
        <v>131</v>
      </c>
      <c r="B74" s="71" t="s">
        <v>134</v>
      </c>
      <c r="C74" s="78" t="s">
        <v>1244</v>
      </c>
      <c r="D74" s="71" t="s">
        <v>1245</v>
      </c>
      <c r="E74" s="71" t="s">
        <v>1246</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B'!H75</f>
        <v>9170312.3999999892</v>
      </c>
      <c r="E78" s="88">
        <f>-'SCH B-3 B'!I77</f>
        <v>1406406.7671679382</v>
      </c>
      <c r="F78" s="151">
        <f>VLOOKUP($B78,'KU Depr Rates'!$A$16:$R$500,8,)/100</f>
        <v>6.4000000000000003E-3</v>
      </c>
      <c r="G78" s="88">
        <f t="shared" ref="G78" si="14">D78*F78</f>
        <v>58689.999359999936</v>
      </c>
      <c r="H78" s="281">
        <f>VLOOKUP($B78,'KU Depr Rates'!$A$16:$R$500,6,)/100</f>
        <v>0</v>
      </c>
      <c r="I78" s="209">
        <f>VLOOKUP($B78,'KU Depr Rates'!$A$16:$R$500,18,)</f>
        <v>51.4</v>
      </c>
      <c r="J78" s="646" t="str">
        <f>VLOOKUP($B78,'KU Depr Rates'!$A$16:$R$500,16,)</f>
        <v>70-R4</v>
      </c>
    </row>
    <row r="79" spans="1:10" ht="18.95" customHeight="1">
      <c r="A79" s="70">
        <f t="shared" si="0"/>
        <v>48</v>
      </c>
      <c r="B79" s="271">
        <v>361</v>
      </c>
      <c r="C79" s="78" t="s">
        <v>148</v>
      </c>
      <c r="D79" s="88">
        <f>'SCH B-2.1 B'!H76</f>
        <v>19859092.779999994</v>
      </c>
      <c r="E79" s="88">
        <f>-'SCH B-3 B'!I78</f>
        <v>2532917.2703298368</v>
      </c>
      <c r="F79" s="151">
        <f>VLOOKUP($B79,'KU Depr Rates'!$A$16:$R$500,8,)/100</f>
        <v>2.1499999999999998E-2</v>
      </c>
      <c r="G79" s="88">
        <f t="shared" ref="G79:G89" si="15">D79*F79</f>
        <v>426970.49476999982</v>
      </c>
      <c r="H79" s="281">
        <f>VLOOKUP($B79,'KU Depr Rates'!$A$16:$R$500,6,)/100</f>
        <v>-0.25</v>
      </c>
      <c r="I79" s="209">
        <f>VLOOKUP($B79,'KU Depr Rates'!$A$16:$R$500,18,)</f>
        <v>48.4</v>
      </c>
      <c r="J79" s="230" t="str">
        <f>VLOOKUP($B79,'KU Depr Rates'!$A$16:$R$500,16,)</f>
        <v>60-R2.5</v>
      </c>
    </row>
    <row r="80" spans="1:10" ht="18.95" customHeight="1">
      <c r="A80" s="70">
        <f t="shared" si="0"/>
        <v>49</v>
      </c>
      <c r="B80" s="271">
        <v>362</v>
      </c>
      <c r="C80" s="78" t="s">
        <v>1679</v>
      </c>
      <c r="D80" s="88">
        <f>'SCH B-2.1 B'!H77</f>
        <v>228539459.68000001</v>
      </c>
      <c r="E80" s="88">
        <f>-'SCH B-3 B'!I79</f>
        <v>50015297.241925582</v>
      </c>
      <c r="F80" s="151">
        <f>VLOOKUP($B80,'KU Depr Rates'!$A$16:$R$500,8,)/100</f>
        <v>2.29E-2</v>
      </c>
      <c r="G80" s="88">
        <f t="shared" si="15"/>
        <v>5233553.6266720006</v>
      </c>
      <c r="H80" s="281">
        <f>VLOOKUP($B80,'KU Depr Rates'!$A$16:$R$500,6,)/100</f>
        <v>-0.2</v>
      </c>
      <c r="I80" s="209">
        <f>VLOOKUP($B80,'KU Depr Rates'!$A$16:$R$500,18,)</f>
        <v>40.299999999999997</v>
      </c>
      <c r="J80" s="230" t="str">
        <f>VLOOKUP($B80,'KU Depr Rates'!$A$16:$R$500,16,)</f>
        <v>54-R2</v>
      </c>
    </row>
    <row r="81" spans="1:10" ht="18.95" customHeight="1">
      <c r="A81" s="70">
        <f t="shared" ref="A81:A91" si="16">A80+1</f>
        <v>50</v>
      </c>
      <c r="B81" s="271">
        <v>364</v>
      </c>
      <c r="C81" s="78" t="s">
        <v>1681</v>
      </c>
      <c r="D81" s="88">
        <f>'SCH B-2.1 B'!H78</f>
        <v>382512156.1309523</v>
      </c>
      <c r="E81" s="88">
        <f>-'SCH B-3 B'!I80</f>
        <v>161010269.65838096</v>
      </c>
      <c r="F81" s="151">
        <f>VLOOKUP($B81,'KU Depr Rates'!$A$16:$R$500,8,)/100</f>
        <v>2.6699999999999998E-2</v>
      </c>
      <c r="G81" s="88">
        <f t="shared" si="15"/>
        <v>10213074.568696426</v>
      </c>
      <c r="H81" s="281">
        <f>VLOOKUP($B81,'KU Depr Rates'!$A$16:$R$500,6,)/100</f>
        <v>-0.5</v>
      </c>
      <c r="I81" s="209">
        <f>VLOOKUP($B81,'KU Depr Rates'!$A$16:$R$500,18,)</f>
        <v>40.1</v>
      </c>
      <c r="J81" s="230" t="str">
        <f>VLOOKUP($B81,'KU Depr Rates'!$A$16:$R$500,16,)</f>
        <v>50-R1.5</v>
      </c>
    </row>
    <row r="82" spans="1:10" ht="18.95" customHeight="1">
      <c r="A82" s="70">
        <f t="shared" si="16"/>
        <v>51</v>
      </c>
      <c r="B82" s="271">
        <v>365</v>
      </c>
      <c r="C82" s="78" t="s">
        <v>1670</v>
      </c>
      <c r="D82" s="88">
        <f>'SCH B-2.1 B'!H79</f>
        <v>381302844.51187694</v>
      </c>
      <c r="E82" s="88">
        <f>-'SCH B-3 B'!I81</f>
        <v>110396339.96351968</v>
      </c>
      <c r="F82" s="151">
        <f>VLOOKUP($B82,'KU Depr Rates'!$A$16:$R$500,8,)/100</f>
        <v>2.4699999999999996E-2</v>
      </c>
      <c r="G82" s="88">
        <f t="shared" si="15"/>
        <v>9418180.2594433594</v>
      </c>
      <c r="H82" s="281">
        <f>VLOOKUP($B82,'KU Depr Rates'!$A$16:$R$500,6,)/100</f>
        <v>-0.3</v>
      </c>
      <c r="I82" s="209">
        <f>VLOOKUP($B82,'KU Depr Rates'!$A$16:$R$500,18,)</f>
        <v>38.299999999999997</v>
      </c>
      <c r="J82" s="230" t="str">
        <f>VLOOKUP($B82,'KU Depr Rates'!$A$16:$R$500,16,)</f>
        <v>47-R1</v>
      </c>
    </row>
    <row r="83" spans="1:10" ht="18.95" customHeight="1">
      <c r="A83" s="70">
        <f t="shared" si="16"/>
        <v>52</v>
      </c>
      <c r="B83" s="271">
        <v>366</v>
      </c>
      <c r="C83" s="78" t="s">
        <v>1672</v>
      </c>
      <c r="D83" s="88">
        <f>'SCH B-2.1 B'!H80</f>
        <v>2219103.52</v>
      </c>
      <c r="E83" s="88">
        <f>-'SCH B-3 B'!I82</f>
        <v>987720.83674589556</v>
      </c>
      <c r="F83" s="151">
        <f>VLOOKUP($B83,'KU Depr Rates'!$A$16:$R$500,8,)/100</f>
        <v>2.3199999999999998E-2</v>
      </c>
      <c r="G83" s="88">
        <f t="shared" si="15"/>
        <v>51483.201664</v>
      </c>
      <c r="H83" s="281">
        <f>VLOOKUP($B83,'KU Depr Rates'!$A$16:$R$500,6,)/100</f>
        <v>0</v>
      </c>
      <c r="I83" s="209">
        <f>VLOOKUP($B83,'KU Depr Rates'!$A$16:$R$500,18,)</f>
        <v>25.6</v>
      </c>
      <c r="J83" s="230" t="str">
        <f>VLOOKUP($B83,'KU Depr Rates'!$A$16:$R$500,16,)</f>
        <v>50-R4</v>
      </c>
    </row>
    <row r="84" spans="1:10" ht="18.95" customHeight="1">
      <c r="A84" s="70">
        <f t="shared" si="16"/>
        <v>53</v>
      </c>
      <c r="B84" s="271">
        <v>367</v>
      </c>
      <c r="C84" s="78" t="s">
        <v>1674</v>
      </c>
      <c r="D84" s="88">
        <f>'SCH B-2.1 B'!H81</f>
        <v>202159311.85733309</v>
      </c>
      <c r="E84" s="88">
        <f>-'SCH B-3 B'!I83</f>
        <v>48325701.18219728</v>
      </c>
      <c r="F84" s="151">
        <f>VLOOKUP($B84,'KU Depr Rates'!$A$16:$R$500,8,)/100</f>
        <v>2.4299999999999999E-2</v>
      </c>
      <c r="G84" s="88">
        <f t="shared" si="15"/>
        <v>4912471.278133194</v>
      </c>
      <c r="H84" s="281">
        <f>VLOOKUP($B84,'KU Depr Rates'!$A$16:$R$500,6,)/100</f>
        <v>-0.2</v>
      </c>
      <c r="I84" s="209">
        <f>VLOOKUP($B84,'KU Depr Rates'!$A$16:$R$500,18,)</f>
        <v>40.200000000000003</v>
      </c>
      <c r="J84" s="230" t="str">
        <f>VLOOKUP($B84,'KU Depr Rates'!$A$16:$R$500,16,)</f>
        <v>48-R2</v>
      </c>
    </row>
    <row r="85" spans="1:10" ht="18.95" customHeight="1">
      <c r="A85" s="70">
        <f t="shared" si="16"/>
        <v>54</v>
      </c>
      <c r="B85" s="271">
        <v>368</v>
      </c>
      <c r="C85" s="78" t="s">
        <v>1686</v>
      </c>
      <c r="D85" s="88">
        <f>'SCH B-2.1 B'!H82</f>
        <v>310480032.19999999</v>
      </c>
      <c r="E85" s="88">
        <f>-'SCH B-3 B'!I84</f>
        <v>140342251.38085318</v>
      </c>
      <c r="F85" s="151">
        <f>VLOOKUP($B85,'KU Depr Rates'!$A$16:$R$500,8,)/100</f>
        <v>1.7899999999999999E-2</v>
      </c>
      <c r="G85" s="88">
        <f t="shared" si="15"/>
        <v>5557592.5763799995</v>
      </c>
      <c r="H85" s="281">
        <f>VLOOKUP($B85,'KU Depr Rates'!$A$16:$R$500,6,)/100</f>
        <v>-0.05</v>
      </c>
      <c r="I85" s="209">
        <f>VLOOKUP($B85,'KU Depr Rates'!$A$16:$R$500,18,)</f>
        <v>33</v>
      </c>
      <c r="J85" s="230" t="str">
        <f>VLOOKUP($B85,'KU Depr Rates'!$A$16:$R$500,16,)</f>
        <v>46-R2</v>
      </c>
    </row>
    <row r="86" spans="1:10" ht="18.95" customHeight="1">
      <c r="A86" s="70">
        <f t="shared" si="16"/>
        <v>55</v>
      </c>
      <c r="B86" s="271">
        <v>369</v>
      </c>
      <c r="C86" s="78" t="s">
        <v>1688</v>
      </c>
      <c r="D86" s="88">
        <f>'SCH B-2.1 B'!H83</f>
        <v>108650549.77</v>
      </c>
      <c r="E86" s="88">
        <f>-'SCH B-3 B'!I85</f>
        <v>61940433.220163882</v>
      </c>
      <c r="F86" s="151">
        <f>VLOOKUP($B86,'KU Depr Rates'!$A$16:$R$500,8,)/100</f>
        <v>1.6299999999999999E-2</v>
      </c>
      <c r="G86" s="88">
        <f t="shared" si="15"/>
        <v>1771003.9612509997</v>
      </c>
      <c r="H86" s="281">
        <f>VLOOKUP($B86,'KU Depr Rates'!$A$16:$R$500,6,)/100</f>
        <v>-0.25</v>
      </c>
      <c r="I86" s="209">
        <f>VLOOKUP($B86,'KU Depr Rates'!$A$16:$R$500,18,)</f>
        <v>36.6</v>
      </c>
      <c r="J86" s="230" t="str">
        <f>VLOOKUP($B86,'KU Depr Rates'!$A$16:$R$500,16,)</f>
        <v>48-R1</v>
      </c>
    </row>
    <row r="87" spans="1:10" ht="18.95" customHeight="1">
      <c r="A87" s="70">
        <f>A86+1</f>
        <v>56</v>
      </c>
      <c r="B87" s="271">
        <v>370</v>
      </c>
      <c r="C87" s="78" t="s">
        <v>1690</v>
      </c>
      <c r="D87" s="88">
        <f>'SCH B-2.1 B'!H84</f>
        <v>75571375.200000018</v>
      </c>
      <c r="E87" s="88">
        <f>-'SCH B-3 B'!I86</f>
        <v>39338790.564748779</v>
      </c>
      <c r="F87" s="151">
        <f>VLOOKUP($B87,'KU Depr Rates'!$A$16:$R$500,8,)/100</f>
        <v>3.6499999999999998E-2</v>
      </c>
      <c r="G87" s="88">
        <f t="shared" si="15"/>
        <v>2758355.1948000006</v>
      </c>
      <c r="H87" s="281">
        <f>VLOOKUP($B87,'KU Depr Rates'!$A$16:$R$500,6,)/100</f>
        <v>0</v>
      </c>
      <c r="I87" s="209" t="str">
        <f>VLOOKUP($B87,'KU Depr Rates'!$A$16:$R$500,18,)</f>
        <v>4.3-14.7</v>
      </c>
      <c r="J87" s="230" t="str">
        <f>VLOOKUP($B87,'KU Depr Rates'!$A$16:$R$500,16,)</f>
        <v>15-S2.5, 28-L1</v>
      </c>
    </row>
    <row r="88" spans="1:10" ht="18.95" customHeight="1">
      <c r="A88" s="70">
        <f t="shared" si="16"/>
        <v>57</v>
      </c>
      <c r="B88" s="271">
        <v>371</v>
      </c>
      <c r="C88" s="78" t="s">
        <v>1692</v>
      </c>
      <c r="D88" s="88">
        <f>'SCH B-2.1 B'!H85</f>
        <v>148818.36999999994</v>
      </c>
      <c r="E88" s="88">
        <f>-'SCH B-3 B'!I87</f>
        <v>3824.8352128625684</v>
      </c>
      <c r="F88" s="151">
        <f>VLOOKUP($B88,'KU Depr Rates'!$A$16:$R$500,8,)/100</f>
        <v>5.2999999999999992E-3</v>
      </c>
      <c r="G88" s="88">
        <f t="shared" si="15"/>
        <v>788.73736099999951</v>
      </c>
      <c r="H88" s="281">
        <f>VLOOKUP($B88,'KU Depr Rates'!$A$16:$R$500,6,)/100</f>
        <v>-0.1</v>
      </c>
      <c r="I88" s="209">
        <f>VLOOKUP($B88,'KU Depr Rates'!$A$16:$R$500,18,)</f>
        <v>19.3</v>
      </c>
      <c r="J88" s="230" t="str">
        <f>VLOOKUP($B88,'KU Depr Rates'!$A$16:$R$500,16,)</f>
        <v>28-O1</v>
      </c>
    </row>
    <row r="89" spans="1:10" ht="18.95" customHeight="1">
      <c r="A89" s="70">
        <f t="shared" si="16"/>
        <v>58</v>
      </c>
      <c r="B89" s="271">
        <v>373</v>
      </c>
      <c r="C89" s="78" t="s">
        <v>1694</v>
      </c>
      <c r="D89" s="88">
        <f>'SCH B-2.1 B'!H86</f>
        <v>123933924.20999999</v>
      </c>
      <c r="E89" s="88">
        <f>-'SCH B-3 B'!I88</f>
        <v>42655424.637147702</v>
      </c>
      <c r="F89" s="151">
        <f>VLOOKUP($B89,'KU Depr Rates'!$A$16:$R$500,8,)/100</f>
        <v>4.0000000000000008E-2</v>
      </c>
      <c r="G89" s="88">
        <f t="shared" si="15"/>
        <v>4957356.9684000006</v>
      </c>
      <c r="H89" s="281">
        <f>VLOOKUP($B89,'KU Depr Rates'!$A$16:$R$500,6,)/100</f>
        <v>-0.1</v>
      </c>
      <c r="I89" s="209">
        <f>VLOOKUP($B89,'KU Depr Rates'!$A$16:$R$500,18,)</f>
        <v>22.1</v>
      </c>
      <c r="J89" s="230" t="str">
        <f>VLOOKUP($B89,'KU Depr Rates'!$A$16:$R$500,16,)</f>
        <v>28-L0.5</v>
      </c>
    </row>
    <row r="90" spans="1:10" ht="18.95" customHeight="1">
      <c r="A90" s="70">
        <f t="shared" si="16"/>
        <v>59</v>
      </c>
      <c r="B90" s="271">
        <v>374</v>
      </c>
      <c r="C90" s="78" t="s">
        <v>151</v>
      </c>
      <c r="D90" s="89">
        <f>'SCH B-2.1 B'!H87</f>
        <v>0</v>
      </c>
      <c r="E90" s="89">
        <f>-'SCH B-3 B'!I89</f>
        <v>0</v>
      </c>
      <c r="F90" s="130"/>
      <c r="G90" s="89">
        <f t="shared" ref="G90" si="17">D90*F90</f>
        <v>0</v>
      </c>
      <c r="H90" s="152"/>
      <c r="I90" s="88"/>
      <c r="J90" s="88"/>
    </row>
    <row r="91" spans="1:10" ht="18.95" customHeight="1">
      <c r="A91" s="70">
        <f t="shared" si="16"/>
        <v>60</v>
      </c>
      <c r="B91" s="71"/>
      <c r="C91" s="78" t="s">
        <v>153</v>
      </c>
      <c r="D91" s="86">
        <f>SUM(D78:D90)</f>
        <v>1844546980.6301622</v>
      </c>
      <c r="E91" s="86">
        <f>SUM(E78:E90)</f>
        <v>658955377.55839348</v>
      </c>
      <c r="F91" s="86"/>
      <c r="G91" s="86">
        <f t="shared" ref="G91" si="18">SUM(G78:G90)</f>
        <v>45359520.866930977</v>
      </c>
      <c r="H91" s="86"/>
      <c r="I91" s="86"/>
      <c r="J91" s="155"/>
    </row>
    <row r="92" spans="1:10" ht="23.1" customHeight="1">
      <c r="A92" s="73"/>
      <c r="B92" s="73"/>
      <c r="C92" s="132"/>
      <c r="D92" s="95"/>
      <c r="E92" s="95"/>
      <c r="F92" s="95"/>
      <c r="G92" s="95"/>
      <c r="H92" s="95"/>
      <c r="I92" s="95"/>
      <c r="J92" s="95"/>
    </row>
    <row r="93" spans="1:10" ht="18.95" customHeight="1">
      <c r="A93" s="70">
        <f>A91+1</f>
        <v>61</v>
      </c>
      <c r="C93" s="90" t="s">
        <v>32</v>
      </c>
    </row>
    <row r="94" spans="1:10" ht="18.95" customHeight="1">
      <c r="A94" s="70">
        <f t="shared" ref="A94:A104" si="19">A93+1</f>
        <v>62</v>
      </c>
      <c r="B94" s="271">
        <v>389</v>
      </c>
      <c r="C94" s="78" t="s">
        <v>154</v>
      </c>
      <c r="D94" s="88">
        <f>'SCH B-2.1 B'!H101</f>
        <v>3729801.8970115366</v>
      </c>
      <c r="E94" s="88">
        <f>-'SCH B-3 B'!I104</f>
        <v>3.3943511114461708E-14</v>
      </c>
      <c r="F94" s="151">
        <v>0</v>
      </c>
      <c r="G94" s="88">
        <f t="shared" ref="G94:G103" si="20">D94*F94</f>
        <v>0</v>
      </c>
      <c r="H94" s="281">
        <v>0</v>
      </c>
      <c r="I94" s="209"/>
      <c r="J94" s="230"/>
    </row>
    <row r="95" spans="1:10" ht="18.95" customHeight="1">
      <c r="A95" s="70">
        <f t="shared" si="19"/>
        <v>63</v>
      </c>
      <c r="B95" s="271">
        <v>390</v>
      </c>
      <c r="C95" s="78" t="s">
        <v>148</v>
      </c>
      <c r="D95" s="88">
        <f>'SCH B-2.1 B'!H102</f>
        <v>63009095.49739325</v>
      </c>
      <c r="E95" s="88">
        <f>-'SCH B-3 B'!I105</f>
        <v>12787282.876126248</v>
      </c>
      <c r="F95" s="151">
        <f>VLOOKUP($B95,'KU Depr Rates'!$A$16:$R$500,8,)/100</f>
        <v>2.4199999999999999E-2</v>
      </c>
      <c r="G95" s="88">
        <f t="shared" si="20"/>
        <v>1524820.1110369167</v>
      </c>
      <c r="H95" s="281">
        <f>VLOOKUP($B95,'KU Depr Rates'!$A$16:$R$500,6,)/100</f>
        <v>-1E-3</v>
      </c>
      <c r="I95" s="209" t="str">
        <f>VLOOKUP($B95,'KU Depr Rates'!$A$16:$R$500,18,)</f>
        <v>18.00-39.20</v>
      </c>
      <c r="J95" s="230" t="str">
        <f>VLOOKUP($B95,'KU Depr Rates'!$A$16:$R$500,16,)</f>
        <v>55-S0, 33-R1.5</v>
      </c>
    </row>
    <row r="96" spans="1:10" ht="18.95" customHeight="1">
      <c r="A96" s="70">
        <f t="shared" si="19"/>
        <v>64</v>
      </c>
      <c r="B96" s="271">
        <v>391</v>
      </c>
      <c r="C96" s="78" t="s">
        <v>156</v>
      </c>
      <c r="D96" s="88">
        <f>'SCH B-2.1 B'!H103</f>
        <v>41908766.461416878</v>
      </c>
      <c r="E96" s="88">
        <f>-'SCH B-3 B'!I106</f>
        <v>19664616.77493903</v>
      </c>
      <c r="F96" s="151">
        <f>VLOOKUP($B96,'KU Depr Rates'!$A$16:$R$500,8,)/100</f>
        <v>0.1229</v>
      </c>
      <c r="G96" s="88">
        <f t="shared" si="20"/>
        <v>5150587.398108134</v>
      </c>
      <c r="H96" s="281">
        <f>VLOOKUP($B96,'KU Depr Rates'!$A$16:$R$500,6,)/100</f>
        <v>0</v>
      </c>
      <c r="I96" s="209" t="str">
        <f>VLOOKUP($B96,'KU Depr Rates'!$A$16:$R$500,18,)</f>
        <v>2.2-9.9</v>
      </c>
      <c r="J96" s="230" t="str">
        <f>VLOOKUP($B96,'KU Depr Rates'!$A$16:$R$500,16,)</f>
        <v>4-SQ, 5-SQ, 20-SQ</v>
      </c>
    </row>
    <row r="97" spans="1:10" ht="18.95" customHeight="1">
      <c r="A97" s="70">
        <f t="shared" si="19"/>
        <v>65</v>
      </c>
      <c r="B97" s="271">
        <v>392</v>
      </c>
      <c r="C97" s="78" t="s">
        <v>155</v>
      </c>
      <c r="D97" s="88">
        <f>'SCH B-2.1 B'!H104</f>
        <v>6804829.1647767695</v>
      </c>
      <c r="E97" s="88">
        <f>-'SCH B-3 B'!I107</f>
        <v>3804492.7744484227</v>
      </c>
      <c r="F97" s="151">
        <f>VLOOKUP($B97,'KU Depr Rates'!$A$16:$R$500,8,)/100</f>
        <v>2.9500000000000002E-2</v>
      </c>
      <c r="G97" s="88">
        <f t="shared" si="20"/>
        <v>200742.4603609147</v>
      </c>
      <c r="H97" s="281">
        <f>VLOOKUP($B97,'KU Depr Rates'!$A$16:$R$500,6,)/100</f>
        <v>0</v>
      </c>
      <c r="I97" s="209" t="str">
        <f>VLOOKUP($B97,'KU Depr Rates'!$A$16:$R$500,18,)</f>
        <v>10.8-13.9</v>
      </c>
      <c r="J97" s="230" t="str">
        <f>VLOOKUP($B97,'KU Depr Rates'!$A$16:$R$500,16,)</f>
        <v>16-L2.5, 14-S2</v>
      </c>
    </row>
    <row r="98" spans="1:10" ht="18.95" customHeight="1">
      <c r="A98" s="70">
        <f t="shared" si="19"/>
        <v>66</v>
      </c>
      <c r="B98" s="271">
        <v>393</v>
      </c>
      <c r="C98" s="78" t="s">
        <v>1702</v>
      </c>
      <c r="D98" s="88">
        <f>'SCH B-2.1 B'!H105</f>
        <v>861173.25868391804</v>
      </c>
      <c r="E98" s="88">
        <f>-'SCH B-3 B'!I108</f>
        <v>411891.14946965716</v>
      </c>
      <c r="F98" s="151">
        <f>VLOOKUP($B98,'KU Depr Rates'!$A$16:$R$500,8,)/100</f>
        <v>4.3999999999999997E-2</v>
      </c>
      <c r="G98" s="88">
        <f t="shared" si="20"/>
        <v>37891.623382092395</v>
      </c>
      <c r="H98" s="281">
        <f>VLOOKUP($B98,'KU Depr Rates'!$A$16:$R$500,6,)/100</f>
        <v>0</v>
      </c>
      <c r="I98" s="209">
        <f>VLOOKUP($B98,'KU Depr Rates'!$A$16:$R$500,18,)</f>
        <v>18</v>
      </c>
      <c r="J98" s="230" t="str">
        <f>VLOOKUP($B98,'KU Depr Rates'!$A$16:$R$500,16,)</f>
        <v>25-SQ</v>
      </c>
    </row>
    <row r="99" spans="1:10" ht="18.95" customHeight="1">
      <c r="A99" s="70">
        <f t="shared" si="19"/>
        <v>67</v>
      </c>
      <c r="B99" s="271">
        <v>394</v>
      </c>
      <c r="C99" s="78" t="s">
        <v>1704</v>
      </c>
      <c r="D99" s="88">
        <f>'SCH B-2.1 B'!H106</f>
        <v>13937634.902598519</v>
      </c>
      <c r="E99" s="88">
        <f>-'SCH B-3 B'!I109</f>
        <v>4365784.5463352334</v>
      </c>
      <c r="F99" s="151">
        <f>VLOOKUP($B99,'KU Depr Rates'!$A$16:$R$500,8,)/100</f>
        <v>4.0199999999999993E-2</v>
      </c>
      <c r="G99" s="88">
        <f t="shared" si="20"/>
        <v>560292.92308446032</v>
      </c>
      <c r="H99" s="281">
        <f>VLOOKUP($B99,'KU Depr Rates'!$A$16:$R$500,6,)/100</f>
        <v>0</v>
      </c>
      <c r="I99" s="209">
        <f>VLOOKUP($B99,'KU Depr Rates'!$A$16:$R$500,18,)</f>
        <v>17.5</v>
      </c>
      <c r="J99" s="230" t="str">
        <f>VLOOKUP($B99,'KU Depr Rates'!$A$16:$R$500,16,)</f>
        <v>25-SQ</v>
      </c>
    </row>
    <row r="100" spans="1:10" ht="18.95" customHeight="1">
      <c r="A100" s="70">
        <f t="shared" si="19"/>
        <v>68</v>
      </c>
      <c r="B100" s="271">
        <v>395</v>
      </c>
      <c r="C100" s="78" t="s">
        <v>1706</v>
      </c>
      <c r="D100" s="88">
        <f>'SCH B-2.1 B'!H107</f>
        <v>0</v>
      </c>
      <c r="E100" s="88">
        <f>-'SCH B-3 B'!I110</f>
        <v>0</v>
      </c>
      <c r="F100" s="151"/>
      <c r="G100" s="88"/>
      <c r="H100" s="281"/>
      <c r="I100" s="209"/>
      <c r="J100" s="230"/>
    </row>
    <row r="101" spans="1:10" ht="18.95" customHeight="1">
      <c r="A101" s="70">
        <f t="shared" si="19"/>
        <v>69</v>
      </c>
      <c r="B101" s="271">
        <v>396</v>
      </c>
      <c r="C101" s="78" t="s">
        <v>1708</v>
      </c>
      <c r="D101" s="88">
        <f>'SCH B-2.1 B'!H108</f>
        <v>3744945.835737389</v>
      </c>
      <c r="E101" s="88">
        <f>-'SCH B-3 B'!I111</f>
        <v>1230745.3734055518</v>
      </c>
      <c r="F101" s="151">
        <f>VLOOKUP($B101,'KU Depr Rates'!$A$16:$R$500,8,)/100</f>
        <v>5.6500000000000002E-2</v>
      </c>
      <c r="G101" s="88">
        <f t="shared" si="20"/>
        <v>211589.43971916247</v>
      </c>
      <c r="H101" s="281">
        <f>VLOOKUP($B101,'KU Depr Rates'!$A$16:$R$500,6,)/100</f>
        <v>0</v>
      </c>
      <c r="I101" s="209">
        <f>VLOOKUP($B101,'KU Depr Rates'!$A$16:$R$500,18,)</f>
        <v>12</v>
      </c>
      <c r="J101" s="230" t="str">
        <f>VLOOKUP($B101,'KU Depr Rates'!$A$16:$R$500,16,)</f>
        <v>16-L5</v>
      </c>
    </row>
    <row r="102" spans="1:10" ht="18.95" customHeight="1">
      <c r="A102" s="70">
        <f t="shared" si="19"/>
        <v>70</v>
      </c>
      <c r="B102" s="271">
        <v>397</v>
      </c>
      <c r="C102" s="78" t="s">
        <v>157</v>
      </c>
      <c r="D102" s="88">
        <f>'SCH B-2.1 B'!H109</f>
        <v>52737812.829392768</v>
      </c>
      <c r="E102" s="88">
        <f>-'SCH B-3 B'!I112</f>
        <v>21969342.880334593</v>
      </c>
      <c r="F102" s="151">
        <f>VLOOKUP($B102,'KU Depr Rates'!$A$16:$R$500,8,)/100</f>
        <v>8.2400000000000001E-2</v>
      </c>
      <c r="G102" s="88">
        <f t="shared" si="20"/>
        <v>4345595.7771419641</v>
      </c>
      <c r="H102" s="281">
        <f>VLOOKUP($B102,'KU Depr Rates'!$A$16:$R$500,6,)/100</f>
        <v>0</v>
      </c>
      <c r="I102" s="209" t="str">
        <f>VLOOKUP($B102,'KU Depr Rates'!$A$16:$R$500,18,)</f>
        <v>5.6-13.4</v>
      </c>
      <c r="J102" s="230" t="str">
        <f>VLOOKUP($B102,'KU Depr Rates'!$A$16:$R$500,16,)</f>
        <v>10-SQ, 18-L3</v>
      </c>
    </row>
    <row r="103" spans="1:10" ht="18.95" customHeight="1">
      <c r="A103" s="70">
        <f t="shared" si="19"/>
        <v>71</v>
      </c>
      <c r="B103" s="271">
        <v>398</v>
      </c>
      <c r="C103" s="78" t="s">
        <v>1711</v>
      </c>
      <c r="D103" s="89">
        <f>'SCH B-2.1 B'!H110</f>
        <v>0</v>
      </c>
      <c r="E103" s="89">
        <f>-'SCH B-3 B'!I113</f>
        <v>0</v>
      </c>
      <c r="F103" s="151"/>
      <c r="G103" s="89">
        <f t="shared" si="20"/>
        <v>0</v>
      </c>
      <c r="H103" s="281"/>
      <c r="I103" s="209"/>
      <c r="J103" s="230"/>
    </row>
    <row r="104" spans="1:10" ht="18.95" customHeight="1">
      <c r="A104" s="70">
        <f t="shared" si="19"/>
        <v>72</v>
      </c>
      <c r="B104" s="71"/>
      <c r="C104" s="78" t="s">
        <v>158</v>
      </c>
      <c r="D104" s="86">
        <f>SUM(D94:D103)</f>
        <v>186734059.84701103</v>
      </c>
      <c r="E104" s="86">
        <f>SUM(E94:E103)</f>
        <v>64234156.37505874</v>
      </c>
      <c r="F104" s="86"/>
      <c r="G104" s="86">
        <f>SUM(G95:G103)</f>
        <v>12031519.732833646</v>
      </c>
      <c r="H104" s="86"/>
      <c r="I104" s="86"/>
      <c r="J104" s="155"/>
    </row>
    <row r="105" spans="1:10" ht="18.95" customHeight="1">
      <c r="A105" s="70"/>
      <c r="B105" s="71"/>
      <c r="J105" s="143"/>
    </row>
    <row r="106" spans="1:10" ht="18.95" customHeight="1" thickBot="1">
      <c r="A106" s="70">
        <f>A104+1</f>
        <v>73</v>
      </c>
      <c r="B106" s="71"/>
      <c r="C106" s="68" t="s">
        <v>439</v>
      </c>
      <c r="D106" s="94">
        <f>SUM(D18,D29,D40,D51,D63,D91,D104)</f>
        <v>7291034407.0916672</v>
      </c>
      <c r="E106" s="94">
        <f>SUM(E18,E29,E40,E51,E63,E91,E104)</f>
        <v>2833816108.8014693</v>
      </c>
      <c r="F106" s="86"/>
      <c r="G106" s="94">
        <f>SUM(G18,G29,G40,G51,G63,G91,G104)</f>
        <v>223566744.57498643</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66:J66"/>
    <mergeCell ref="A67:J67"/>
    <mergeCell ref="D73:E73"/>
    <mergeCell ref="A65:J65"/>
    <mergeCell ref="D10:E10"/>
    <mergeCell ref="A1:J1"/>
    <mergeCell ref="A2:J2"/>
    <mergeCell ref="A3:J3"/>
    <mergeCell ref="A4:J4"/>
    <mergeCell ref="A64:J64"/>
  </mergeCells>
  <printOptions horizontalCentered="1"/>
  <pageMargins left="1" right="0.75" top="1" bottom="0.5" header="0.3" footer="0.3"/>
  <pageSetup scale="52" fitToHeight="0" orientation="portrait" r:id="rId1"/>
  <rowBreaks count="1" manualBreakCount="1">
    <brk id="6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7" t="str">
        <f>'Rate Case Constants'!C9</f>
        <v>KENTUCKY UTILITIES COMPANY</v>
      </c>
      <c r="B1" s="767"/>
      <c r="C1" s="767"/>
      <c r="D1" s="767"/>
      <c r="E1" s="767"/>
      <c r="F1" s="767"/>
      <c r="G1" s="767"/>
      <c r="H1" s="767"/>
      <c r="I1" s="767"/>
      <c r="J1" s="767"/>
    </row>
    <row r="2" spans="1:10" s="68" customFormat="1" ht="20.100000000000001" customHeight="1">
      <c r="A2" s="767" t="str">
        <f>'Rate Case Constants'!C10</f>
        <v>CASE NO. 2018-00294</v>
      </c>
      <c r="B2" s="767"/>
      <c r="C2" s="767"/>
      <c r="D2" s="767"/>
      <c r="E2" s="767"/>
      <c r="F2" s="767"/>
      <c r="G2" s="767"/>
      <c r="H2" s="767"/>
      <c r="I2" s="767"/>
      <c r="J2" s="767"/>
    </row>
    <row r="3" spans="1:10" s="68" customFormat="1" ht="20.100000000000001" customHeight="1">
      <c r="A3" s="767" t="s">
        <v>1243</v>
      </c>
      <c r="B3" s="767"/>
      <c r="C3" s="767"/>
      <c r="D3" s="767"/>
      <c r="E3" s="767"/>
      <c r="F3" s="767"/>
      <c r="G3" s="767"/>
      <c r="H3" s="767"/>
      <c r="I3" s="767"/>
      <c r="J3" s="767"/>
    </row>
    <row r="4" spans="1:10" s="68" customFormat="1" ht="20.100000000000001" customHeight="1">
      <c r="A4" s="767" t="str">
        <f>'Rate Case Constants'!C18</f>
        <v>AS OF APRIL 30, 2020</v>
      </c>
      <c r="B4" s="767"/>
      <c r="C4" s="767"/>
      <c r="D4" s="767"/>
      <c r="E4" s="767"/>
      <c r="F4" s="767"/>
      <c r="G4" s="767"/>
      <c r="H4" s="767"/>
      <c r="I4" s="767"/>
      <c r="J4" s="767"/>
    </row>
    <row r="5" spans="1:10" s="68" customFormat="1" ht="20.100000000000001" customHeight="1">
      <c r="A5" s="229"/>
      <c r="B5" s="229"/>
      <c r="C5" s="229"/>
      <c r="D5" s="229"/>
      <c r="E5" s="229"/>
      <c r="F5" s="229"/>
      <c r="G5" s="229"/>
      <c r="H5" s="229"/>
      <c r="I5" s="229"/>
      <c r="J5" s="229"/>
    </row>
    <row r="6" spans="1:10" s="68" customFormat="1" ht="20.100000000000001" customHeight="1">
      <c r="A6" s="67" t="s">
        <v>161</v>
      </c>
      <c r="B6" s="67"/>
      <c r="I6" s="74"/>
      <c r="J6" s="74" t="s">
        <v>1242</v>
      </c>
    </row>
    <row r="7" spans="1:10" s="68" customFormat="1" ht="20.100000000000001" customHeight="1">
      <c r="A7" s="68" t="str">
        <f>'Rate Case Constants'!C29</f>
        <v>TYPE OF FILING: __X__ ORIGINAL  _____ UPDATED  _____ REVISED</v>
      </c>
      <c r="I7" s="74"/>
      <c r="J7" s="74" t="s">
        <v>2065</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69" t="s">
        <v>227</v>
      </c>
      <c r="E10" s="769"/>
      <c r="F10" s="96"/>
      <c r="G10" s="96"/>
      <c r="H10" s="96"/>
      <c r="I10" s="96"/>
      <c r="J10" s="96"/>
    </row>
    <row r="11" spans="1:10" ht="48" customHeight="1">
      <c r="A11" s="71" t="s">
        <v>131</v>
      </c>
      <c r="B11" s="71" t="s">
        <v>134</v>
      </c>
      <c r="C11" s="78" t="s">
        <v>1244</v>
      </c>
      <c r="D11" s="71" t="s">
        <v>1578</v>
      </c>
      <c r="E11" s="71" t="s">
        <v>1579</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F'!H13</f>
        <v>41566.037714491024</v>
      </c>
      <c r="E15" s="86">
        <f>-'SCH B-3 F'!I14</f>
        <v>0</v>
      </c>
      <c r="F15" s="151">
        <v>0</v>
      </c>
      <c r="G15" s="86">
        <f>D15*F15</f>
        <v>0</v>
      </c>
      <c r="H15" s="152">
        <v>0</v>
      </c>
      <c r="I15" s="86"/>
      <c r="J15" s="155"/>
    </row>
    <row r="16" spans="1:10" ht="18.95" customHeight="1">
      <c r="A16" s="70">
        <f t="shared" ref="A16:A78" si="0">A15+1</f>
        <v>3</v>
      </c>
      <c r="B16" s="271">
        <v>302</v>
      </c>
      <c r="C16" s="78" t="s">
        <v>1623</v>
      </c>
      <c r="D16" s="86">
        <f>'SCH B-2.1 F'!H14</f>
        <v>55918.829999999994</v>
      </c>
      <c r="E16" s="86">
        <f>-'SCH B-3 F'!I15</f>
        <v>73066.841372800001</v>
      </c>
      <c r="F16" s="151">
        <f>VLOOKUP($B16,'KU Proposed Depr Rates'!$A$16:$R$500,8,)/100</f>
        <v>3.6299999999999999E-2</v>
      </c>
      <c r="G16" s="88">
        <f t="shared" ref="G16" si="1">D16*F16</f>
        <v>2029.8535289999998</v>
      </c>
      <c r="H16" s="152">
        <f>VLOOKUP($B16,'KU Proposed Depr Rates'!$A$16:$R$500,6,)</f>
        <v>0</v>
      </c>
      <c r="I16" s="279">
        <f>VLOOKUP($B16,'KU Proposed Depr Rates'!$A$16:$R$500,18,)</f>
        <v>3.3</v>
      </c>
      <c r="J16" s="280" t="str">
        <f>VLOOKUP($B16,'KU Proposed Depr Rates'!$A$16:$R$500,16,)</f>
        <v>20-SQ</v>
      </c>
    </row>
    <row r="17" spans="1:10" ht="18.95" customHeight="1">
      <c r="A17" s="70">
        <f t="shared" si="0"/>
        <v>4</v>
      </c>
      <c r="B17" s="271">
        <v>303</v>
      </c>
      <c r="C17" s="78" t="s">
        <v>1625</v>
      </c>
      <c r="D17" s="89">
        <f>'SCH B-2.1 F'!H15</f>
        <v>91539638.885438219</v>
      </c>
      <c r="E17" s="89">
        <f>-'SCH B-3 F'!I16</f>
        <v>37758639.769648187</v>
      </c>
      <c r="F17" s="151">
        <f>VLOOKUP($B17,'KU Proposed Depr Rates'!$A$16:$R$500,8,)/100</f>
        <v>0.16109999999999999</v>
      </c>
      <c r="G17" s="89">
        <f t="shared" ref="G17" si="2">D17*F17</f>
        <v>14747035.824444097</v>
      </c>
      <c r="H17" s="88">
        <f>VLOOKUP($B17,'KU Proposed Depr Rates'!$A$16:$R$500,6,)</f>
        <v>0</v>
      </c>
      <c r="I17" s="88" t="str">
        <f>VLOOKUP($B17,'KU Proposed Depr Rates'!$A$16:$R$500,18,)</f>
        <v>3.9-7.5</v>
      </c>
      <c r="J17" s="230" t="str">
        <f>VLOOKUP($B17,'KU Proposed Depr Rates'!$A$16:$R$500,16,)</f>
        <v>5-SQ, SQUARE</v>
      </c>
    </row>
    <row r="18" spans="1:10" ht="18.95" customHeight="1">
      <c r="A18" s="70">
        <f t="shared" si="0"/>
        <v>5</v>
      </c>
      <c r="B18" s="271"/>
      <c r="C18" s="78" t="s">
        <v>143</v>
      </c>
      <c r="D18" s="86">
        <f>SUM(D15:D17)</f>
        <v>91637123.753152713</v>
      </c>
      <c r="E18" s="86">
        <f>SUM(E15:E17)</f>
        <v>37831706.61102099</v>
      </c>
      <c r="F18" s="86"/>
      <c r="G18" s="86">
        <f>SUM(G15:G17)</f>
        <v>14749065.677973097</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F'!H19</f>
        <v>10692487.702918494</v>
      </c>
      <c r="E21" s="88">
        <f>-'SCH B-3 F'!I20</f>
        <v>0</v>
      </c>
      <c r="F21" s="151">
        <v>0</v>
      </c>
      <c r="G21" s="88">
        <f t="shared" ref="G21:G23" si="3">D21*F21</f>
        <v>0</v>
      </c>
      <c r="H21" s="152">
        <v>0</v>
      </c>
      <c r="I21" s="209"/>
      <c r="J21" s="230"/>
    </row>
    <row r="22" spans="1:10" ht="18" customHeight="1">
      <c r="A22" s="70">
        <f t="shared" si="0"/>
        <v>8</v>
      </c>
      <c r="B22" s="271">
        <v>311</v>
      </c>
      <c r="C22" s="78" t="s">
        <v>148</v>
      </c>
      <c r="D22" s="88">
        <f>'SCH B-2.1 F'!H20</f>
        <v>309885655.15187454</v>
      </c>
      <c r="E22" s="88">
        <f>-'SCH B-3 F'!I21</f>
        <v>179081074.40659359</v>
      </c>
      <c r="F22" s="151">
        <f>VLOOKUP($B22,'KU Proposed Depr Rates'!$A$16:$R$500,8,)/100</f>
        <v>0.02</v>
      </c>
      <c r="G22" s="88">
        <f t="shared" si="3"/>
        <v>6197713.1030374905</v>
      </c>
      <c r="H22" s="88" t="str">
        <f>VLOOKUP($B22,'KU Proposed Depr Rates'!$A$16:$R$500,6,)</f>
        <v>-10%</v>
      </c>
      <c r="I22" s="210" t="str">
        <f>VLOOKUP($B22,'KU Proposed Depr Rates'!$A$16:$R$500,18,)</f>
        <v>24.35, 49.10</v>
      </c>
      <c r="J22" s="230" t="str">
        <f>VLOOKUP($B22,'KU Proposed Depr Rates'!$A$16:$R$500,16,)</f>
        <v>100-R2.5</v>
      </c>
    </row>
    <row r="23" spans="1:10" ht="18.95" customHeight="1">
      <c r="A23" s="70">
        <f t="shared" si="0"/>
        <v>9</v>
      </c>
      <c r="B23" s="271">
        <v>312</v>
      </c>
      <c r="C23" s="78" t="s">
        <v>1629</v>
      </c>
      <c r="D23" s="88">
        <f>'SCH B-2.1 F'!H21</f>
        <v>2541737619.5596914</v>
      </c>
      <c r="E23" s="88">
        <f>-'SCH B-3 F'!I22</f>
        <v>1055718676.5109274</v>
      </c>
      <c r="F23" s="151">
        <f>VLOOKUP($B23,'KU Proposed Depr Rates'!$A$16:$R$500,8,)/100</f>
        <v>2.8300000000000002E-2</v>
      </c>
      <c r="G23" s="88">
        <f t="shared" si="3"/>
        <v>71931174.633539274</v>
      </c>
      <c r="H23" s="88" t="str">
        <f>VLOOKUP($B23,'KU Proposed Depr Rates'!$A$16:$R$500,6,)</f>
        <v>-10%</v>
      </c>
      <c r="I23" s="210" t="str">
        <f>VLOOKUP($B23,'KU Proposed Depr Rates'!$A$16:$R$500,18,)</f>
        <v>3.63, 19.65</v>
      </c>
      <c r="J23" s="230" t="str">
        <f>VLOOKUP($B23,'KU Proposed Depr Rates'!$A$16:$R$500,16,)</f>
        <v>65-R2, 100-S4</v>
      </c>
    </row>
    <row r="24" spans="1:10" ht="18.95" customHeight="1">
      <c r="A24" s="70">
        <f>A22+1</f>
        <v>9</v>
      </c>
      <c r="B24" s="271">
        <v>313</v>
      </c>
      <c r="C24" s="78" t="s">
        <v>144</v>
      </c>
      <c r="D24" s="88">
        <f>'SCH B-2.1 F'!H22</f>
        <v>0</v>
      </c>
      <c r="E24" s="88">
        <f>-'SCH B-3 F'!I23</f>
        <v>0</v>
      </c>
      <c r="F24" s="151"/>
      <c r="G24" s="88"/>
      <c r="H24" s="88"/>
      <c r="I24" s="88"/>
      <c r="J24" s="156"/>
    </row>
    <row r="25" spans="1:10" ht="18.95" customHeight="1">
      <c r="A25" s="70">
        <f>A23+1</f>
        <v>10</v>
      </c>
      <c r="B25" s="271">
        <v>314</v>
      </c>
      <c r="C25" s="78" t="s">
        <v>1631</v>
      </c>
      <c r="D25" s="88">
        <f>'SCH B-2.1 F'!H23</f>
        <v>312831056.86445159</v>
      </c>
      <c r="E25" s="88">
        <f>-'SCH B-3 F'!I24</f>
        <v>137069915.9698616</v>
      </c>
      <c r="F25" s="151">
        <f>VLOOKUP($B25,'KU Proposed Depr Rates'!$A$16:$R$500,8,)/100</f>
        <v>2.834999663674095E-2</v>
      </c>
      <c r="G25" s="88">
        <f t="shared" ref="G25:G27" si="4">D25*F25</f>
        <v>8868759.4099753201</v>
      </c>
      <c r="H25" s="88" t="str">
        <f>VLOOKUP($B25,'KU Proposed Depr Rates'!$A$16:$R$500,6,)</f>
        <v>-6%, -8%, -13%</v>
      </c>
      <c r="I25" s="209">
        <f>VLOOKUP($B25,'KU Proposed Depr Rates'!$A$16:$R$500,18,)</f>
        <v>21.04</v>
      </c>
      <c r="J25" s="230">
        <f>VLOOKUP($B25,'KU Proposed Depr Rates'!$A$16:$R$500,16,)</f>
        <v>0</v>
      </c>
    </row>
    <row r="26" spans="1:10" ht="18.95" customHeight="1">
      <c r="A26" s="70">
        <f t="shared" si="0"/>
        <v>11</v>
      </c>
      <c r="B26" s="271">
        <v>315</v>
      </c>
      <c r="C26" s="78" t="s">
        <v>1633</v>
      </c>
      <c r="D26" s="88">
        <f>'SCH B-2.1 F'!H24</f>
        <v>203070162.99387449</v>
      </c>
      <c r="E26" s="88">
        <f>-'SCH B-3 F'!I25</f>
        <v>107118901.11788225</v>
      </c>
      <c r="F26" s="151">
        <f>VLOOKUP($B26,'KU Proposed Depr Rates'!$A$16:$R$500,8,)/100</f>
        <v>2.998988710100535E-2</v>
      </c>
      <c r="G26" s="88">
        <f t="shared" si="4"/>
        <v>6090051.2617690507</v>
      </c>
      <c r="H26" s="88" t="str">
        <f>VLOOKUP($B26,'KU Proposed Depr Rates'!$A$16:$R$500,6,)</f>
        <v>-6%, -8%, -13%</v>
      </c>
      <c r="I26" s="209">
        <f>VLOOKUP($B26,'KU Proposed Depr Rates'!$A$16:$R$500,18,)</f>
        <v>21.73</v>
      </c>
      <c r="J26" s="230" t="str">
        <f>VLOOKUP($B26,'KU Proposed Depr Rates'!$A$16:$R$500,16,)</f>
        <v>70-R4</v>
      </c>
    </row>
    <row r="27" spans="1:10" ht="18.95" customHeight="1">
      <c r="A27" s="70">
        <f t="shared" si="0"/>
        <v>12</v>
      </c>
      <c r="B27" s="271">
        <v>316</v>
      </c>
      <c r="C27" s="78" t="s">
        <v>1635</v>
      </c>
      <c r="D27" s="88">
        <f>'SCH B-2.1 F'!H25</f>
        <v>40058089.203570098</v>
      </c>
      <c r="E27" s="88">
        <f>-'SCH B-3 F'!I26</f>
        <v>15625133.73265014</v>
      </c>
      <c r="F27" s="151">
        <f>VLOOKUP($B27,'KU Proposed Depr Rates'!$A$16:$R$500,8,)/100</f>
        <v>2.7505053270926762E-2</v>
      </c>
      <c r="G27" s="88">
        <f t="shared" si="4"/>
        <v>1101799.8774757318</v>
      </c>
      <c r="H27" s="88" t="str">
        <f>VLOOKUP($B27,'KU Proposed Depr Rates'!$A$16:$R$500,6,)</f>
        <v>-6%, -8%, -13%</v>
      </c>
      <c r="I27" s="209">
        <f>VLOOKUP($B27,'KU Proposed Depr Rates'!$A$16:$R$500,18,)</f>
        <v>22.74</v>
      </c>
      <c r="J27" s="230" t="str">
        <f>VLOOKUP($B27,'KU Proposed Depr Rates'!$A$16:$R$500,16,)</f>
        <v>75-R1.5</v>
      </c>
    </row>
    <row r="28" spans="1:10" ht="18.95" customHeight="1">
      <c r="A28" s="70">
        <f t="shared" si="0"/>
        <v>13</v>
      </c>
      <c r="B28" s="271">
        <v>317</v>
      </c>
      <c r="C28" s="78" t="s">
        <v>1655</v>
      </c>
      <c r="D28" s="89">
        <f>'SCH B-2.1 F'!H26</f>
        <v>0</v>
      </c>
      <c r="E28" s="89">
        <f>-'SCH B-3 F'!I27</f>
        <v>0</v>
      </c>
      <c r="F28" s="151"/>
      <c r="G28" s="89"/>
      <c r="H28" s="152"/>
      <c r="I28" s="209"/>
      <c r="J28" s="230"/>
    </row>
    <row r="29" spans="1:10" ht="18.95" customHeight="1">
      <c r="A29" s="70">
        <f t="shared" si="0"/>
        <v>14</v>
      </c>
      <c r="B29" s="271"/>
      <c r="C29" s="78" t="s">
        <v>146</v>
      </c>
      <c r="D29" s="86">
        <f>SUM(D21:D28)</f>
        <v>3418275071.4763803</v>
      </c>
      <c r="E29" s="86">
        <f>SUM(E21:E28)</f>
        <v>1494613701.7379148</v>
      </c>
      <c r="F29" s="130"/>
      <c r="G29" s="86">
        <f>SUM(G21:G28)</f>
        <v>94189498.285796881</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F'!H30</f>
        <v>802087.34351089003</v>
      </c>
      <c r="E32" s="88">
        <f>-'SCH B-3 F'!I31</f>
        <v>854948.15943909576</v>
      </c>
      <c r="F32" s="151">
        <f>VLOOKUP($B32,'KU Proposed Depr Rates'!$A$16:$R$500,8,)/100</f>
        <v>0</v>
      </c>
      <c r="G32" s="88">
        <f t="shared" ref="G32:G38" si="5">D32*F32</f>
        <v>0</v>
      </c>
      <c r="H32" s="281">
        <f>VLOOKUP($B32,'KU Proposed Depr Rates'!$A$16:$R$500,6,)</f>
        <v>0</v>
      </c>
      <c r="I32" s="209">
        <f>VLOOKUP($B32,'KU Proposed Depr Rates'!$A$16:$R$500,18,)</f>
        <v>0</v>
      </c>
      <c r="J32" s="230" t="str">
        <f>VLOOKUP($B32,'KU Proposed Depr Rates'!$A$16:$R$500,16,)</f>
        <v>100-R4</v>
      </c>
    </row>
    <row r="33" spans="1:10" ht="18.95" customHeight="1">
      <c r="A33" s="70">
        <f t="shared" si="0"/>
        <v>17</v>
      </c>
      <c r="B33" s="271">
        <v>331</v>
      </c>
      <c r="C33" s="78" t="s">
        <v>148</v>
      </c>
      <c r="D33" s="88">
        <f>'SCH B-2.1 F'!H31</f>
        <v>4211090.0327005666</v>
      </c>
      <c r="E33" s="88">
        <f>-'SCH B-3 F'!I32</f>
        <v>389179.11207346758</v>
      </c>
      <c r="F33" s="151">
        <f>VLOOKUP($B33,'KU Proposed Depr Rates'!$A$16:$R$500,8,)/100</f>
        <v>2.4799999999999999E-2</v>
      </c>
      <c r="G33" s="88">
        <f t="shared" si="5"/>
        <v>104435.03281097405</v>
      </c>
      <c r="H33" s="281">
        <f>VLOOKUP($B33,'KU Proposed Depr Rates'!$A$16:$R$500,6,)/100</f>
        <v>-0.03</v>
      </c>
      <c r="I33" s="209">
        <f>VLOOKUP($B33,'KU Proposed Depr Rates'!$A$16:$R$500,18,)</f>
        <v>24.7</v>
      </c>
      <c r="J33" s="230" t="str">
        <f>VLOOKUP($B33,'KU Proposed Depr Rates'!$A$16:$R$500,16,)</f>
        <v>90-S2.5</v>
      </c>
    </row>
    <row r="34" spans="1:10" ht="18.95" customHeight="1">
      <c r="A34" s="70">
        <f t="shared" si="0"/>
        <v>18</v>
      </c>
      <c r="B34" s="271">
        <v>332</v>
      </c>
      <c r="C34" s="78" t="s">
        <v>1640</v>
      </c>
      <c r="D34" s="88">
        <f>'SCH B-2.1 F'!H32</f>
        <v>20509143.792221878</v>
      </c>
      <c r="E34" s="88">
        <f>-'SCH B-3 F'!I33</f>
        <v>9711746.1836169567</v>
      </c>
      <c r="F34" s="151">
        <f>VLOOKUP($B34,'KU Proposed Depr Rates'!$A$16:$R$500,8,)/100</f>
        <v>2.6099999999999998E-2</v>
      </c>
      <c r="G34" s="88">
        <f t="shared" si="5"/>
        <v>535288.65297699103</v>
      </c>
      <c r="H34" s="281">
        <f>VLOOKUP($B34,'KU Proposed Depr Rates'!$A$16:$R$500,6,)/100</f>
        <v>-0.03</v>
      </c>
      <c r="I34" s="209">
        <f>VLOOKUP($B34,'KU Proposed Depr Rates'!$A$16:$R$500,18,)</f>
        <v>25.1</v>
      </c>
      <c r="J34" s="230" t="str">
        <f>VLOOKUP($B34,'KU Proposed Depr Rates'!$A$16:$R$500,16,)</f>
        <v>105-S2.5</v>
      </c>
    </row>
    <row r="35" spans="1:10" ht="18.95" customHeight="1">
      <c r="A35" s="70">
        <f t="shared" si="0"/>
        <v>19</v>
      </c>
      <c r="B35" s="271">
        <v>333</v>
      </c>
      <c r="C35" s="78" t="s">
        <v>1642</v>
      </c>
      <c r="D35" s="88">
        <f>'SCH B-2.1 F'!H33</f>
        <v>13158363.017006895</v>
      </c>
      <c r="E35" s="88">
        <f>-'SCH B-3 F'!I34</f>
        <v>2662538.6646522027</v>
      </c>
      <c r="F35" s="151">
        <f>VLOOKUP($B35,'KU Proposed Depr Rates'!$A$16:$R$500,8,)/100</f>
        <v>3.8600000000000002E-2</v>
      </c>
      <c r="G35" s="88">
        <f t="shared" si="5"/>
        <v>507912.81245646614</v>
      </c>
      <c r="H35" s="281">
        <f>VLOOKUP($B35,'KU Proposed Depr Rates'!$A$16:$R$500,6,)/100</f>
        <v>-0.03</v>
      </c>
      <c r="I35" s="209">
        <f>VLOOKUP($B35,'KU Proposed Depr Rates'!$A$16:$R$500,18,)</f>
        <v>25.2</v>
      </c>
      <c r="J35" s="230" t="str">
        <f>VLOOKUP($B35,'KU Proposed Depr Rates'!$A$16:$R$500,16,)</f>
        <v>75-R3</v>
      </c>
    </row>
    <row r="36" spans="1:10" ht="18.95" customHeight="1">
      <c r="A36" s="70">
        <f t="shared" si="0"/>
        <v>20</v>
      </c>
      <c r="B36" s="271">
        <v>334</v>
      </c>
      <c r="C36" s="78" t="s">
        <v>1633</v>
      </c>
      <c r="D36" s="88">
        <f>'SCH B-2.1 F'!H34</f>
        <v>1294771.6715571962</v>
      </c>
      <c r="E36" s="88">
        <f>-'SCH B-3 F'!I35</f>
        <v>388740.58633148018</v>
      </c>
      <c r="F36" s="151">
        <f>VLOOKUP($B36,'KU Proposed Depr Rates'!$A$16:$R$500,8,)/100</f>
        <v>3.8099999999999995E-2</v>
      </c>
      <c r="G36" s="88">
        <f t="shared" si="5"/>
        <v>49330.800686329167</v>
      </c>
      <c r="H36" s="281">
        <f>VLOOKUP($B36,'KU Proposed Depr Rates'!$A$16:$R$500,6,)/100</f>
        <v>-0.03</v>
      </c>
      <c r="I36" s="209">
        <f>VLOOKUP($B36,'KU Proposed Depr Rates'!$A$16:$R$500,18,)</f>
        <v>22.7</v>
      </c>
      <c r="J36" s="230" t="str">
        <f>VLOOKUP($B36,'KU Proposed Depr Rates'!$A$16:$R$500,16,)</f>
        <v>40-L2.5</v>
      </c>
    </row>
    <row r="37" spans="1:10" ht="18.95" customHeight="1">
      <c r="A37" s="70">
        <f t="shared" si="0"/>
        <v>21</v>
      </c>
      <c r="B37" s="271">
        <v>335</v>
      </c>
      <c r="C37" s="78" t="s">
        <v>1645</v>
      </c>
      <c r="D37" s="88">
        <f>'SCH B-2.1 F'!H35</f>
        <v>308422.58449480531</v>
      </c>
      <c r="E37" s="88">
        <f>-'SCH B-3 F'!I36</f>
        <v>155801.23811895977</v>
      </c>
      <c r="F37" s="151">
        <f>VLOOKUP($B37,'KU Proposed Depr Rates'!$A$16:$R$500,8,)/100</f>
        <v>3.7599999999999995E-2</v>
      </c>
      <c r="G37" s="88">
        <f t="shared" si="5"/>
        <v>11596.689177004679</v>
      </c>
      <c r="H37" s="281">
        <f>VLOOKUP($B37,'KU Proposed Depr Rates'!$A$16:$R$500,6,)/100</f>
        <v>-0.03</v>
      </c>
      <c r="I37" s="209">
        <f>VLOOKUP($B37,'KU Proposed Depr Rates'!$A$16:$R$500,18,)</f>
        <v>17.600000000000001</v>
      </c>
      <c r="J37" s="230" t="str">
        <f>VLOOKUP($B37,'KU Proposed Depr Rates'!$A$16:$R$500,16,)</f>
        <v>40-S0</v>
      </c>
    </row>
    <row r="38" spans="1:10" ht="18.95" customHeight="1">
      <c r="A38" s="70">
        <f t="shared" si="0"/>
        <v>22</v>
      </c>
      <c r="B38" s="271">
        <v>336</v>
      </c>
      <c r="C38" s="78" t="s">
        <v>1647</v>
      </c>
      <c r="D38" s="88">
        <f>'SCH B-2.1 F'!H36</f>
        <v>219832.6178298009</v>
      </c>
      <c r="E38" s="88">
        <f>-'SCH B-3 F'!I37</f>
        <v>95895.053479395778</v>
      </c>
      <c r="F38" s="151">
        <f>VLOOKUP($B38,'KU Proposed Depr Rates'!$A$16:$R$500,8,)/100</f>
        <v>3.3300000000000003E-2</v>
      </c>
      <c r="G38" s="88">
        <f t="shared" si="5"/>
        <v>7320.4261737323704</v>
      </c>
      <c r="H38" s="281">
        <f>VLOOKUP($B38,'KU Proposed Depr Rates'!$A$16:$R$500,6,)/100</f>
        <v>-0.03</v>
      </c>
      <c r="I38" s="209">
        <f>VLOOKUP($B38,'KU Proposed Depr Rates'!$A$16:$R$500,18,)</f>
        <v>21.9</v>
      </c>
      <c r="J38" s="230" t="str">
        <f>VLOOKUP($B38,'KU Proposed Depr Rates'!$A$16:$R$500,16,)</f>
        <v>60-R4</v>
      </c>
    </row>
    <row r="39" spans="1:10" ht="18.95" customHeight="1">
      <c r="A39" s="70">
        <f t="shared" si="0"/>
        <v>23</v>
      </c>
      <c r="B39" s="271">
        <v>337</v>
      </c>
      <c r="C39" s="78" t="s">
        <v>1656</v>
      </c>
      <c r="D39" s="89">
        <f>'SCH B-2.1 F'!H37</f>
        <v>0</v>
      </c>
      <c r="E39" s="89">
        <f>-'SCH B-3 F'!I38</f>
        <v>0</v>
      </c>
      <c r="F39" s="130"/>
      <c r="G39" s="89"/>
      <c r="H39" s="152"/>
      <c r="I39" s="88"/>
      <c r="J39" s="156"/>
    </row>
    <row r="40" spans="1:10" ht="18.95" customHeight="1">
      <c r="A40" s="70">
        <f t="shared" si="0"/>
        <v>24</v>
      </c>
      <c r="B40" s="271" t="s">
        <v>251</v>
      </c>
      <c r="C40" s="78" t="s">
        <v>147</v>
      </c>
      <c r="D40" s="86">
        <f>SUM(D32:D39)</f>
        <v>40503711.059322029</v>
      </c>
      <c r="E40" s="86">
        <f>SUM(E32:E39)</f>
        <v>14258848.997711556</v>
      </c>
      <c r="F40" s="86"/>
      <c r="G40" s="86">
        <f t="shared" ref="G40" si="6">SUM(G32:G39)</f>
        <v>1215884.4142814975</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F'!H41</f>
        <v>846956.48060008592</v>
      </c>
      <c r="E43" s="88">
        <f>-'SCH B-3 F'!I42</f>
        <v>124742.20071960079</v>
      </c>
      <c r="F43" s="151">
        <f>VLOOKUP($B43,'KU Proposed Depr Rates'!$A$16:$R$500,8,)/100</f>
        <v>2.1899999999999999E-2</v>
      </c>
      <c r="G43" s="88">
        <f t="shared" ref="G43:G46" si="7">D43*F43</f>
        <v>18548.346925141883</v>
      </c>
      <c r="H43" s="281">
        <f>VLOOKUP($B43,'KU Proposed Depr Rates'!$A$16:$R$500,6,)</f>
        <v>0</v>
      </c>
      <c r="I43" s="209">
        <f>VLOOKUP($B43,'KU Proposed Depr Rates'!$A$16:$R$500,18,)</f>
        <v>178.7</v>
      </c>
      <c r="J43" s="230" t="str">
        <f>VLOOKUP($B43,'KU Proposed Depr Rates'!$A$16:$R$500,16,)</f>
        <v>SQUARE</v>
      </c>
    </row>
    <row r="44" spans="1:10" ht="18.95" customHeight="1">
      <c r="A44" s="70">
        <f t="shared" si="0"/>
        <v>27</v>
      </c>
      <c r="B44" s="271">
        <v>341</v>
      </c>
      <c r="C44" s="78" t="s">
        <v>148</v>
      </c>
      <c r="D44" s="88">
        <f>'SCH B-2.1 F'!H42</f>
        <v>81608842.394540414</v>
      </c>
      <c r="E44" s="88">
        <f>-'SCH B-3 F'!I43</f>
        <v>27225330.402879313</v>
      </c>
      <c r="F44" s="151">
        <f>VLOOKUP($B44,'KU Proposed Depr Rates'!$A$16:$R$500,8,)/100</f>
        <v>3.3799999999999997E-2</v>
      </c>
      <c r="G44" s="88">
        <f t="shared" si="7"/>
        <v>2758378.8729354655</v>
      </c>
      <c r="H44" s="88" t="str">
        <f>VLOOKUP($B44,'KU Proposed Depr Rates'!$A$16:$R$500,6,)</f>
        <v>-5%,-6%,-7%,-10%,-12%</v>
      </c>
      <c r="I44" s="209">
        <f>VLOOKUP($B44,'KU Proposed Depr Rates'!$A$16:$R$500,18,)</f>
        <v>25.9</v>
      </c>
      <c r="J44" s="230" t="str">
        <f>VLOOKUP($B44,'KU Proposed Depr Rates'!$A$16:$R$500,16,)</f>
        <v>50-R2.5</v>
      </c>
    </row>
    <row r="45" spans="1:10" ht="18.95" customHeight="1">
      <c r="A45" s="70">
        <f t="shared" si="0"/>
        <v>28</v>
      </c>
      <c r="B45" s="271">
        <v>342</v>
      </c>
      <c r="C45" s="78" t="s">
        <v>1652</v>
      </c>
      <c r="D45" s="88">
        <f>'SCH B-2.1 F'!H43</f>
        <v>70997486.174227744</v>
      </c>
      <c r="E45" s="88">
        <f>-'SCH B-3 F'!I44</f>
        <v>21776853.013892278</v>
      </c>
      <c r="F45" s="151">
        <f>VLOOKUP($B45,'KU Proposed Depr Rates'!$A$16:$R$500,8,)/100</f>
        <v>3.27E-2</v>
      </c>
      <c r="G45" s="88">
        <f t="shared" si="7"/>
        <v>2321617.7978972471</v>
      </c>
      <c r="H45" s="88" t="str">
        <f>VLOOKUP($B45,'KU Proposed Depr Rates'!$A$16:$R$500,6,)</f>
        <v>-6%,-7%,-10%,-12%</v>
      </c>
      <c r="I45" s="209">
        <f>VLOOKUP($B45,'KU Proposed Depr Rates'!$A$16:$R$500,18,)</f>
        <v>31.3</v>
      </c>
      <c r="J45" s="230" t="str">
        <f>VLOOKUP($B45,'KU Proposed Depr Rates'!$A$16:$R$500,16,)</f>
        <v>45-R2.5</v>
      </c>
    </row>
    <row r="46" spans="1:10" ht="18.95" customHeight="1">
      <c r="A46" s="70">
        <f t="shared" si="0"/>
        <v>29</v>
      </c>
      <c r="B46" s="271">
        <v>343</v>
      </c>
      <c r="C46" s="78" t="s">
        <v>1654</v>
      </c>
      <c r="D46" s="88">
        <f>'SCH B-2.1 F'!H44</f>
        <v>637486350.94849682</v>
      </c>
      <c r="E46" s="88">
        <f>-'SCH B-3 F'!I45</f>
        <v>229001459.1739302</v>
      </c>
      <c r="F46" s="151">
        <f>VLOOKUP($B46,'KU Proposed Depr Rates'!$A$16:$R$500,8,)/100</f>
        <v>4.6300000000000001E-2</v>
      </c>
      <c r="G46" s="88">
        <f t="shared" si="7"/>
        <v>29515618.048915405</v>
      </c>
      <c r="H46" s="88" t="str">
        <f>VLOOKUP($B46,'KU Proposed Depr Rates'!$A$16:$R$500,6,)</f>
        <v>-6%,-7%,-12%</v>
      </c>
      <c r="I46" s="209">
        <f>VLOOKUP($B46,'KU Proposed Depr Rates'!$A$16:$R$500,18,)</f>
        <v>16</v>
      </c>
      <c r="J46" s="230" t="str">
        <f>VLOOKUP($B46,'KU Proposed Depr Rates'!$A$16:$R$500,16,)</f>
        <v>35-R1.5</v>
      </c>
    </row>
    <row r="47" spans="1:10" ht="18.95" customHeight="1">
      <c r="A47" s="70">
        <f>A46+1</f>
        <v>30</v>
      </c>
      <c r="B47" s="271">
        <v>344</v>
      </c>
      <c r="C47" s="78" t="s">
        <v>1658</v>
      </c>
      <c r="D47" s="88">
        <f>'SCH B-2.1 F'!H56</f>
        <v>124041150.36219151</v>
      </c>
      <c r="E47" s="88">
        <f>-'SCH B-3 F'!I58</f>
        <v>46621968.465163596</v>
      </c>
      <c r="F47" s="151">
        <f>VLOOKUP($B47,'KU Proposed Depr Rates'!$A$16:$R$500,8,)/100</f>
        <v>3.2599999999999997E-2</v>
      </c>
      <c r="G47" s="88">
        <f t="shared" ref="G47:G49" si="8">D47*F47</f>
        <v>4043741.5018074429</v>
      </c>
      <c r="H47" s="88" t="str">
        <f>VLOOKUP($B47,'KU Proposed Depr Rates'!$A$16:$R$500,6,)</f>
        <v>-5%,-6%,-7%,-10%,-12%</v>
      </c>
      <c r="I47" s="209">
        <f>VLOOKUP($B47,'KU Proposed Depr Rates'!$A$16:$R$500,18,)</f>
        <v>28</v>
      </c>
      <c r="J47" s="230" t="str">
        <f>VLOOKUP($B47,'KU Proposed Depr Rates'!$A$16:$R$500,16,)</f>
        <v>55-S2.5</v>
      </c>
    </row>
    <row r="48" spans="1:10" ht="18.95" customHeight="1">
      <c r="A48" s="70">
        <f t="shared" si="0"/>
        <v>31</v>
      </c>
      <c r="B48" s="271">
        <v>345</v>
      </c>
      <c r="C48" s="78" t="s">
        <v>1633</v>
      </c>
      <c r="D48" s="88">
        <f>'SCH B-2.1 F'!H57</f>
        <v>74343990.943795606</v>
      </c>
      <c r="E48" s="88">
        <f>-'SCH B-3 F'!I59</f>
        <v>29269345.941384003</v>
      </c>
      <c r="F48" s="151">
        <f>VLOOKUP($B48,'KU Proposed Depr Rates'!$A$16:$R$500,8,)/100</f>
        <v>3.9599999999999996E-2</v>
      </c>
      <c r="G48" s="88">
        <f t="shared" si="8"/>
        <v>2944022.0413743057</v>
      </c>
      <c r="H48" s="88" t="str">
        <f>VLOOKUP($B48,'KU Proposed Depr Rates'!$A$16:$R$500,6,)</f>
        <v>-5%,-6%,-7%,-10%,-12%</v>
      </c>
      <c r="I48" s="209">
        <f>VLOOKUP($B48,'KU Proposed Depr Rates'!$A$16:$R$500,18,)</f>
        <v>20.399999999999999</v>
      </c>
      <c r="J48" s="230" t="str">
        <f>VLOOKUP($B48,'KU Proposed Depr Rates'!$A$16:$R$500,16,)</f>
        <v>50-R3</v>
      </c>
    </row>
    <row r="49" spans="1:10" ht="18.95" customHeight="1">
      <c r="A49" s="70">
        <f t="shared" si="0"/>
        <v>32</v>
      </c>
      <c r="B49" s="271">
        <v>346</v>
      </c>
      <c r="C49" s="78" t="s">
        <v>1645</v>
      </c>
      <c r="D49" s="88">
        <f>'SCH B-2.1 F'!H58</f>
        <v>11933862.2699448</v>
      </c>
      <c r="E49" s="88">
        <f>-'SCH B-3 F'!I60</f>
        <v>3810760.3926966982</v>
      </c>
      <c r="F49" s="151">
        <f>VLOOKUP($B49,'KU Proposed Depr Rates'!$A$16:$R$500,8,)/100</f>
        <v>4.36E-2</v>
      </c>
      <c r="G49" s="88">
        <f t="shared" si="8"/>
        <v>520316.39496959327</v>
      </c>
      <c r="H49" s="88" t="str">
        <f>VLOOKUP($B49,'KU Proposed Depr Rates'!$A$16:$R$500,6,)</f>
        <v>-6%,-7%,-10%,-12%</v>
      </c>
      <c r="I49" s="209">
        <f>VLOOKUP($B49,'KU Proposed Depr Rates'!$A$16:$R$500,18,)</f>
        <v>12.6</v>
      </c>
      <c r="J49" s="230" t="str">
        <f>VLOOKUP($B49,'KU Proposed Depr Rates'!$A$16:$R$500,16,)</f>
        <v>40-R2</v>
      </c>
    </row>
    <row r="50" spans="1:10" ht="18.95" customHeight="1">
      <c r="A50" s="70">
        <f t="shared" si="0"/>
        <v>33</v>
      </c>
      <c r="B50" s="271">
        <v>347</v>
      </c>
      <c r="C50" s="78" t="s">
        <v>1696</v>
      </c>
      <c r="D50" s="89">
        <f>'SCH B-2.1 F'!H59</f>
        <v>0</v>
      </c>
      <c r="E50" s="89">
        <f>-'SCH B-3 F'!I61</f>
        <v>0</v>
      </c>
      <c r="F50" s="130"/>
      <c r="G50" s="89"/>
      <c r="H50" s="130"/>
      <c r="I50" s="88"/>
      <c r="J50" s="88"/>
    </row>
    <row r="51" spans="1:10" ht="18.95" customHeight="1">
      <c r="A51" s="70">
        <f t="shared" si="0"/>
        <v>34</v>
      </c>
      <c r="B51" s="271"/>
      <c r="C51" s="78" t="s">
        <v>145</v>
      </c>
      <c r="D51" s="86">
        <f>SUM(D43:D46,D47:D50)</f>
        <v>1001258639.573797</v>
      </c>
      <c r="E51" s="86">
        <f>SUM(E43:E46,E47:E50)</f>
        <v>357830459.5906657</v>
      </c>
      <c r="F51" s="86"/>
      <c r="G51" s="86">
        <f>SUM(G43:G46,G47:G50)</f>
        <v>42122243.004824594</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F'!H63</f>
        <v>28705071.750482287</v>
      </c>
      <c r="E54" s="88">
        <f>-'SCH B-3 F'!I65</f>
        <v>15829708.519258814</v>
      </c>
      <c r="F54" s="151">
        <f>VLOOKUP($B54,'KU Proposed Depr Rates'!$A$16:$R$500,8,)/100</f>
        <v>8.6E-3</v>
      </c>
      <c r="G54" s="88">
        <f t="shared" ref="G54" si="9">D54*F54</f>
        <v>246863.61705414767</v>
      </c>
      <c r="H54" s="281">
        <f>VLOOKUP($B54,'KU Proposed Depr Rates'!$A$16:$R$500,6,)</f>
        <v>0</v>
      </c>
      <c r="I54" s="209">
        <f>VLOOKUP($B54,'KU Proposed Depr Rates'!$A$16:$R$500,18,)</f>
        <v>48.9</v>
      </c>
      <c r="J54" s="646" t="str">
        <f>VLOOKUP($B54,'KU Proposed Depr Rates'!$A$16:$R$500,16,)</f>
        <v>70-R3</v>
      </c>
    </row>
    <row r="55" spans="1:10" ht="18.95" customHeight="1">
      <c r="A55" s="70">
        <f t="shared" si="0"/>
        <v>37</v>
      </c>
      <c r="B55" s="271">
        <v>352</v>
      </c>
      <c r="C55" s="78" t="s">
        <v>148</v>
      </c>
      <c r="D55" s="88">
        <f>'SCH B-2.1 F'!H64</f>
        <v>26665419.573532782</v>
      </c>
      <c r="E55" s="88">
        <f>-'SCH B-3 F'!I66</f>
        <v>7073513.6873231176</v>
      </c>
      <c r="F55" s="151">
        <f>VLOOKUP($B55,'KU Proposed Depr Rates'!$A$16:$R$500,8,)/100</f>
        <v>1.66E-2</v>
      </c>
      <c r="G55" s="88">
        <f t="shared" ref="G55:G62" si="10">D55*F55</f>
        <v>442645.96492064418</v>
      </c>
      <c r="H55" s="281">
        <f>VLOOKUP($B55,'KU Proposed Depr Rates'!$A$16:$R$500,6,)</f>
        <v>-0.25</v>
      </c>
      <c r="I55" s="209" t="str">
        <f>VLOOKUP($B55,'KU Proposed Depr Rates'!$A$16:$R$500,18,)</f>
        <v>47.9-59.5</v>
      </c>
      <c r="J55" s="230" t="str">
        <f>VLOOKUP($B55,'KU Proposed Depr Rates'!$A$16:$R$500,16,)</f>
        <v>65-R3,70-R3</v>
      </c>
    </row>
    <row r="56" spans="1:10" ht="18.95" customHeight="1">
      <c r="A56" s="70">
        <f t="shared" si="0"/>
        <v>38</v>
      </c>
      <c r="B56" s="271">
        <v>353</v>
      </c>
      <c r="C56" s="78" t="s">
        <v>149</v>
      </c>
      <c r="D56" s="88">
        <f>'SCH B-2.1 F'!H65</f>
        <v>331789618.52854568</v>
      </c>
      <c r="E56" s="88">
        <f>-'SCH B-3 F'!I67</f>
        <v>75015391.321313441</v>
      </c>
      <c r="F56" s="151">
        <f>VLOOKUP($B56,'KU Proposed Depr Rates'!$A$16:$R$500,8,)/100</f>
        <v>1.67E-2</v>
      </c>
      <c r="G56" s="88">
        <f t="shared" si="10"/>
        <v>5540886.6294267131</v>
      </c>
      <c r="H56" s="281">
        <f>VLOOKUP($B56,'KU Proposed Depr Rates'!$A$16:$R$500,6,)</f>
        <v>-0.1</v>
      </c>
      <c r="I56" s="209">
        <f>VLOOKUP($B56,'KU Proposed Depr Rates'!$A$16:$R$500,18,)</f>
        <v>46</v>
      </c>
      <c r="J56" s="230" t="str">
        <f>VLOOKUP($B56,'KU Proposed Depr Rates'!$A$16:$R$500,16,)</f>
        <v>45-R2,60-R2</v>
      </c>
    </row>
    <row r="57" spans="1:10" ht="18.95" customHeight="1">
      <c r="A57" s="70">
        <f t="shared" si="0"/>
        <v>39</v>
      </c>
      <c r="B57" s="271">
        <v>354</v>
      </c>
      <c r="C57" s="78" t="s">
        <v>1666</v>
      </c>
      <c r="D57" s="88">
        <f>'SCH B-2.1 F'!H66</f>
        <v>72134466.439493895</v>
      </c>
      <c r="E57" s="88">
        <f>-'SCH B-3 F'!I68</f>
        <v>47001937.752353311</v>
      </c>
      <c r="F57" s="151">
        <f>VLOOKUP($B57,'KU Proposed Depr Rates'!$A$16:$R$500,8,)/100</f>
        <v>1.6900000000000002E-2</v>
      </c>
      <c r="G57" s="88">
        <f t="shared" si="10"/>
        <v>1219072.4828274469</v>
      </c>
      <c r="H57" s="281">
        <f>VLOOKUP($B57,'KU Proposed Depr Rates'!$A$16:$R$500,6,)/100</f>
        <v>-0.25</v>
      </c>
      <c r="I57" s="209">
        <f>VLOOKUP($B57,'KU Proposed Depr Rates'!$A$16:$R$500,18,)</f>
        <v>44.8</v>
      </c>
      <c r="J57" s="230" t="str">
        <f>VLOOKUP($B57,'KU Proposed Depr Rates'!$A$16:$R$500,16,)</f>
        <v>70-R4</v>
      </c>
    </row>
    <row r="58" spans="1:10" ht="18.95" customHeight="1">
      <c r="A58" s="70">
        <f t="shared" si="0"/>
        <v>40</v>
      </c>
      <c r="B58" s="271">
        <v>355</v>
      </c>
      <c r="C58" s="78" t="s">
        <v>1668</v>
      </c>
      <c r="D58" s="88">
        <f>'SCH B-2.1 F'!H67</f>
        <v>402427902.64860505</v>
      </c>
      <c r="E58" s="88">
        <f>-'SCH B-3 F'!I69</f>
        <v>70117128.140374973</v>
      </c>
      <c r="F58" s="151">
        <f>VLOOKUP($B58,'KU Proposed Depr Rates'!$A$16:$R$500,8,)/100</f>
        <v>2.9300000000000003E-2</v>
      </c>
      <c r="G58" s="88">
        <f t="shared" si="10"/>
        <v>11791137.547604129</v>
      </c>
      <c r="H58" s="281">
        <f>VLOOKUP($B58,'KU Proposed Depr Rates'!$A$16:$R$500,6,)/100</f>
        <v>-0.55000000000000004</v>
      </c>
      <c r="I58" s="209">
        <f>VLOOKUP($B58,'KU Proposed Depr Rates'!$A$16:$R$500,18,)</f>
        <v>48.8</v>
      </c>
      <c r="J58" s="230" t="str">
        <f>VLOOKUP($B58,'KU Proposed Depr Rates'!$A$16:$R$500,16,)</f>
        <v>58-R2</v>
      </c>
    </row>
    <row r="59" spans="1:10" ht="18.95" customHeight="1">
      <c r="A59" s="70">
        <f t="shared" si="0"/>
        <v>41</v>
      </c>
      <c r="B59" s="271">
        <v>356</v>
      </c>
      <c r="C59" s="78" t="s">
        <v>1670</v>
      </c>
      <c r="D59" s="88">
        <f>'SCH B-2.1 F'!H68</f>
        <v>166193382.27082247</v>
      </c>
      <c r="E59" s="88">
        <f>-'SCH B-3 F'!I70</f>
        <v>104155882.54743385</v>
      </c>
      <c r="F59" s="151">
        <f>VLOOKUP($B59,'KU Proposed Depr Rates'!$A$16:$R$500,8,)/100</f>
        <v>2.5399999999999999E-2</v>
      </c>
      <c r="G59" s="88">
        <f t="shared" si="10"/>
        <v>4221311.9096788904</v>
      </c>
      <c r="H59" s="281">
        <f>VLOOKUP($B59,'KU Proposed Depr Rates'!$A$16:$R$500,6,)/100</f>
        <v>-0.5</v>
      </c>
      <c r="I59" s="209">
        <f>VLOOKUP($B59,'KU Proposed Depr Rates'!$A$16:$R$500,18,)</f>
        <v>43.8</v>
      </c>
      <c r="J59" s="230" t="str">
        <f>VLOOKUP($B59,'KU Proposed Depr Rates'!$A$16:$R$500,16,)</f>
        <v>65-R3</v>
      </c>
    </row>
    <row r="60" spans="1:10" ht="18.95" customHeight="1">
      <c r="A60" s="70">
        <f t="shared" si="0"/>
        <v>42</v>
      </c>
      <c r="B60" s="271">
        <v>357</v>
      </c>
      <c r="C60" s="78" t="s">
        <v>1672</v>
      </c>
      <c r="D60" s="88">
        <f>'SCH B-2.1 F'!H69</f>
        <v>428791.86418445827</v>
      </c>
      <c r="E60" s="88">
        <f>-'SCH B-3 F'!I71</f>
        <v>230517.74556346805</v>
      </c>
      <c r="F60" s="151">
        <f>VLOOKUP($B60,'KU Proposed Depr Rates'!$A$16:$R$500,8,)/100</f>
        <v>1.7000000000000001E-2</v>
      </c>
      <c r="G60" s="88">
        <f t="shared" si="10"/>
        <v>7289.4616911357916</v>
      </c>
      <c r="H60" s="281">
        <f>VLOOKUP($B60,'KU Proposed Depr Rates'!$A$16:$R$500,6,)</f>
        <v>0</v>
      </c>
      <c r="I60" s="209">
        <f>VLOOKUP($B60,'KU Proposed Depr Rates'!$A$16:$R$500,18,)</f>
        <v>28.7</v>
      </c>
      <c r="J60" s="230" t="str">
        <f>VLOOKUP($B60,'KU Proposed Depr Rates'!$A$16:$R$500,16,)</f>
        <v>50-R4</v>
      </c>
    </row>
    <row r="61" spans="1:10" ht="18.95" customHeight="1">
      <c r="A61" s="70">
        <f t="shared" si="0"/>
        <v>43</v>
      </c>
      <c r="B61" s="271">
        <v>358</v>
      </c>
      <c r="C61" s="78" t="s">
        <v>1674</v>
      </c>
      <c r="D61" s="88">
        <f>'SCH B-2.1 F'!H70</f>
        <v>4771453.9238339616</v>
      </c>
      <c r="E61" s="88">
        <f>-'SCH B-3 F'!I72</f>
        <v>655545.74121539737</v>
      </c>
      <c r="F61" s="151">
        <f>VLOOKUP($B61,'KU Proposed Depr Rates'!$A$16:$R$500,8,)/100</f>
        <v>7.4000000000000003E-3</v>
      </c>
      <c r="G61" s="88">
        <f t="shared" si="10"/>
        <v>35308.759036371317</v>
      </c>
      <c r="H61" s="281">
        <f>VLOOKUP($B61,'KU Proposed Depr Rates'!$A$16:$R$500,6,)</f>
        <v>0</v>
      </c>
      <c r="I61" s="209">
        <f>VLOOKUP($B61,'KU Proposed Depr Rates'!$A$16:$R$500,18,)</f>
        <v>23.6</v>
      </c>
      <c r="J61" s="230" t="str">
        <f>VLOOKUP($B61,'KU Proposed Depr Rates'!$A$16:$R$500,16,)</f>
        <v>40-R3</v>
      </c>
    </row>
    <row r="62" spans="1:10" ht="18.95" customHeight="1">
      <c r="A62" s="70">
        <f t="shared" si="0"/>
        <v>44</v>
      </c>
      <c r="B62" s="271">
        <v>359</v>
      </c>
      <c r="C62" s="78" t="s">
        <v>152</v>
      </c>
      <c r="D62" s="89">
        <f>'SCH B-2.1 F'!H71</f>
        <v>0</v>
      </c>
      <c r="E62" s="89">
        <f>-'SCH B-3 F'!I73</f>
        <v>0</v>
      </c>
      <c r="F62" s="130"/>
      <c r="G62" s="89">
        <f t="shared" si="10"/>
        <v>0</v>
      </c>
      <c r="H62" s="152"/>
      <c r="I62" s="88"/>
      <c r="J62" s="88"/>
    </row>
    <row r="63" spans="1:10" ht="18.95" customHeight="1">
      <c r="A63" s="70">
        <f t="shared" si="0"/>
        <v>45</v>
      </c>
      <c r="B63" s="271"/>
      <c r="C63" s="78" t="s">
        <v>150</v>
      </c>
      <c r="D63" s="86">
        <f>SUM(D54:D62)</f>
        <v>1033116106.9995008</v>
      </c>
      <c r="E63" s="86">
        <f>SUM(E54:E62)</f>
        <v>320079625.45483637</v>
      </c>
      <c r="F63" s="86"/>
      <c r="G63" s="86">
        <f t="shared" ref="G63" si="11">SUM(G54:G62)</f>
        <v>23504516.372239482</v>
      </c>
      <c r="H63" s="153"/>
      <c r="I63" s="86"/>
      <c r="J63" s="86"/>
    </row>
    <row r="64" spans="1:10" s="68" customFormat="1" ht="20.100000000000001" customHeight="1">
      <c r="A64" s="767" t="str">
        <f>$A$1</f>
        <v>KENTUCKY UTILITIES COMPANY</v>
      </c>
      <c r="B64" s="767"/>
      <c r="C64" s="767"/>
      <c r="D64" s="767"/>
      <c r="E64" s="767"/>
      <c r="F64" s="767"/>
      <c r="G64" s="767"/>
      <c r="H64" s="767"/>
      <c r="I64" s="767"/>
      <c r="J64" s="767"/>
    </row>
    <row r="65" spans="1:10" s="68" customFormat="1" ht="20.100000000000001" customHeight="1">
      <c r="A65" s="767" t="str">
        <f>$A$2</f>
        <v>CASE NO. 2018-00294</v>
      </c>
      <c r="B65" s="767"/>
      <c r="C65" s="767"/>
      <c r="D65" s="767"/>
      <c r="E65" s="767"/>
      <c r="F65" s="767"/>
      <c r="G65" s="767"/>
      <c r="H65" s="767"/>
      <c r="I65" s="767"/>
      <c r="J65" s="767"/>
    </row>
    <row r="66" spans="1:10" s="68" customFormat="1" ht="20.100000000000001" customHeight="1">
      <c r="A66" s="767" t="str">
        <f>$A$3</f>
        <v>DEPRECIATION ACCRUAL RATES AND ACCUMULATED BALANCES BY ACCOUNT</v>
      </c>
      <c r="B66" s="767"/>
      <c r="C66" s="767"/>
      <c r="D66" s="767"/>
      <c r="E66" s="767"/>
      <c r="F66" s="767"/>
      <c r="G66" s="767"/>
      <c r="H66" s="767"/>
      <c r="I66" s="767"/>
      <c r="J66" s="767"/>
    </row>
    <row r="67" spans="1:10" s="68" customFormat="1" ht="20.100000000000001" customHeight="1">
      <c r="A67" s="766" t="str">
        <f>$A$4</f>
        <v>AS OF APRIL 30, 2020</v>
      </c>
      <c r="B67" s="767"/>
      <c r="C67" s="767"/>
      <c r="D67" s="767"/>
      <c r="E67" s="767"/>
      <c r="F67" s="767"/>
      <c r="G67" s="767"/>
      <c r="H67" s="767"/>
      <c r="I67" s="767"/>
      <c r="J67" s="767"/>
    </row>
    <row r="68" spans="1:10" s="68" customFormat="1" ht="20.100000000000001" customHeight="1">
      <c r="A68" s="229"/>
      <c r="B68" s="229"/>
      <c r="C68" s="229"/>
      <c r="D68" s="229"/>
      <c r="E68" s="229"/>
      <c r="F68" s="229"/>
      <c r="G68" s="229"/>
      <c r="H68" s="229"/>
      <c r="I68" s="229"/>
      <c r="J68" s="229"/>
    </row>
    <row r="69" spans="1:10" s="68" customFormat="1" ht="20.100000000000001" customHeight="1">
      <c r="A69" s="67" t="str">
        <f>$A$6</f>
        <v>DATA:____BASE  PERIOD__X__FORECASTED  PERIOD</v>
      </c>
      <c r="B69" s="67"/>
      <c r="I69" s="74"/>
      <c r="J69" s="74" t="s">
        <v>1242</v>
      </c>
    </row>
    <row r="70" spans="1:10" s="68" customFormat="1" ht="20.100000000000001" customHeight="1">
      <c r="A70" s="67" t="str">
        <f>$A$7</f>
        <v>TYPE OF FILING: __X__ ORIGINAL  _____ UPDATED  _____ REVISED</v>
      </c>
      <c r="I70" s="74"/>
      <c r="J70" s="74" t="s">
        <v>2066</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69" t="s">
        <v>227</v>
      </c>
      <c r="E73" s="769"/>
      <c r="F73" s="96"/>
      <c r="G73" s="96"/>
      <c r="H73" s="96"/>
      <c r="I73" s="96"/>
      <c r="J73" s="96"/>
    </row>
    <row r="74" spans="1:10" ht="48" customHeight="1">
      <c r="A74" s="71" t="s">
        <v>131</v>
      </c>
      <c r="B74" s="71" t="s">
        <v>134</v>
      </c>
      <c r="C74" s="78" t="s">
        <v>1244</v>
      </c>
      <c r="D74" s="71" t="s">
        <v>1578</v>
      </c>
      <c r="E74" s="71" t="s">
        <v>1579</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F'!H75</f>
        <v>9285697.2499999888</v>
      </c>
      <c r="E78" s="88">
        <f>-'SCH B-3 F'!I77</f>
        <v>1416458.5881910778</v>
      </c>
      <c r="F78" s="151">
        <f>VLOOKUP($B78,'KU Proposed Depr Rates'!$A$16:$R$500,8,)/100</f>
        <v>6.4000000000000003E-3</v>
      </c>
      <c r="G78" s="88">
        <f t="shared" ref="G78" si="12">D78*F78</f>
        <v>59428.462399999931</v>
      </c>
      <c r="H78" s="281">
        <f>VLOOKUP($B78,'KU Proposed Depr Rates'!$A$16:$R$500,6,)/100</f>
        <v>0</v>
      </c>
      <c r="I78" s="209">
        <f>VLOOKUP($B78,'KU Proposed Depr Rates'!$A$16:$R$500,18,)</f>
        <v>51.4</v>
      </c>
      <c r="J78" s="646" t="str">
        <f>VLOOKUP($B78,'KU Proposed Depr Rates'!$A$16:$R$500,16,)</f>
        <v>70-R4</v>
      </c>
    </row>
    <row r="79" spans="1:10" ht="18.95" customHeight="1">
      <c r="A79" s="70">
        <f t="shared" ref="A79:A91" si="13">A78+1</f>
        <v>48</v>
      </c>
      <c r="B79" s="271">
        <v>361</v>
      </c>
      <c r="C79" s="78" t="s">
        <v>148</v>
      </c>
      <c r="D79" s="88">
        <f>'SCH B-2.1 F'!H76</f>
        <v>28004853.465384614</v>
      </c>
      <c r="E79" s="88">
        <f>-'SCH B-3 F'!I78</f>
        <v>2216226.3228582758</v>
      </c>
      <c r="F79" s="151">
        <f>VLOOKUP($B79,'KU Proposed Depr Rates'!$A$16:$R$500,8,)/100</f>
        <v>2.1499999999999998E-2</v>
      </c>
      <c r="G79" s="88">
        <f t="shared" ref="G79:G90" si="14">D79*F79</f>
        <v>602104.34950576909</v>
      </c>
      <c r="H79" s="281">
        <f>VLOOKUP($B79,'KU Proposed Depr Rates'!$A$16:$R$500,6,)/100</f>
        <v>-0.25</v>
      </c>
      <c r="I79" s="209">
        <f>VLOOKUP($B79,'KU Proposed Depr Rates'!$A$16:$R$500,18,)</f>
        <v>48.4</v>
      </c>
      <c r="J79" s="230" t="str">
        <f>VLOOKUP($B79,'KU Proposed Depr Rates'!$A$16:$R$500,16,)</f>
        <v>60-R2.5</v>
      </c>
    </row>
    <row r="80" spans="1:10" ht="18.95" customHeight="1">
      <c r="A80" s="70">
        <f t="shared" si="13"/>
        <v>49</v>
      </c>
      <c r="B80" s="271">
        <v>362</v>
      </c>
      <c r="C80" s="78" t="s">
        <v>1679</v>
      </c>
      <c r="D80" s="88">
        <f>'SCH B-2.1 F'!H77</f>
        <v>243018549.29076874</v>
      </c>
      <c r="E80" s="88">
        <f>-'SCH B-3 F'!I79</f>
        <v>52585974.184274577</v>
      </c>
      <c r="F80" s="151">
        <f>VLOOKUP($B80,'KU Proposed Depr Rates'!$A$16:$R$500,8,)/100</f>
        <v>2.29E-2</v>
      </c>
      <c r="G80" s="88">
        <f t="shared" si="14"/>
        <v>5565124.7787586041</v>
      </c>
      <c r="H80" s="281">
        <f>VLOOKUP($B80,'KU Proposed Depr Rates'!$A$16:$R$500,6,)/100</f>
        <v>-0.2</v>
      </c>
      <c r="I80" s="209">
        <f>VLOOKUP($B80,'KU Proposed Depr Rates'!$A$16:$R$500,18,)</f>
        <v>40.299999999999997</v>
      </c>
      <c r="J80" s="230" t="str">
        <f>VLOOKUP($B80,'KU Proposed Depr Rates'!$A$16:$R$500,16,)</f>
        <v>54-R2</v>
      </c>
    </row>
    <row r="81" spans="1:10" ht="18.95" customHeight="1">
      <c r="A81" s="70">
        <f t="shared" si="13"/>
        <v>50</v>
      </c>
      <c r="B81" s="271">
        <v>364</v>
      </c>
      <c r="C81" s="78" t="s">
        <v>1681</v>
      </c>
      <c r="D81" s="88">
        <f>'SCH B-2.1 F'!H78</f>
        <v>398374265.18610352</v>
      </c>
      <c r="E81" s="88">
        <f>-'SCH B-3 F'!I80</f>
        <v>166526803.64670852</v>
      </c>
      <c r="F81" s="151">
        <f>VLOOKUP($B81,'KU Proposed Depr Rates'!$A$16:$R$500,8,)/100</f>
        <v>2.6699999999999998E-2</v>
      </c>
      <c r="G81" s="88">
        <f t="shared" si="14"/>
        <v>10636592.880468963</v>
      </c>
      <c r="H81" s="281">
        <f>VLOOKUP($B81,'KU Proposed Depr Rates'!$A$16:$R$500,6,)/100</f>
        <v>-0.5</v>
      </c>
      <c r="I81" s="209">
        <f>VLOOKUP($B81,'KU Proposed Depr Rates'!$A$16:$R$500,18,)</f>
        <v>40.1</v>
      </c>
      <c r="J81" s="230" t="str">
        <f>VLOOKUP($B81,'KU Proposed Depr Rates'!$A$16:$R$500,16,)</f>
        <v>50-R1.5</v>
      </c>
    </row>
    <row r="82" spans="1:10" ht="18.95" customHeight="1">
      <c r="A82" s="70">
        <f t="shared" si="13"/>
        <v>51</v>
      </c>
      <c r="B82" s="271">
        <v>365</v>
      </c>
      <c r="C82" s="78" t="s">
        <v>1670</v>
      </c>
      <c r="D82" s="88">
        <f>'SCH B-2.1 F'!H79</f>
        <v>400504287.24621177</v>
      </c>
      <c r="E82" s="88">
        <f>-'SCH B-3 F'!I81</f>
        <v>111949065.37812313</v>
      </c>
      <c r="F82" s="151">
        <f>VLOOKUP($B82,'KU Proposed Depr Rates'!$A$16:$R$500,8,)/100</f>
        <v>2.4699999999999996E-2</v>
      </c>
      <c r="G82" s="88">
        <f t="shared" si="14"/>
        <v>9892455.894981429</v>
      </c>
      <c r="H82" s="281">
        <f>VLOOKUP($B82,'KU Proposed Depr Rates'!$A$16:$R$500,6,)/100</f>
        <v>-0.3</v>
      </c>
      <c r="I82" s="209">
        <f>VLOOKUP($B82,'KU Proposed Depr Rates'!$A$16:$R$500,18,)</f>
        <v>38.299999999999997</v>
      </c>
      <c r="J82" s="230" t="str">
        <f>VLOOKUP($B82,'KU Proposed Depr Rates'!$A$16:$R$500,16,)</f>
        <v>47-R1</v>
      </c>
    </row>
    <row r="83" spans="1:10" ht="18.95" customHeight="1">
      <c r="A83" s="70">
        <f t="shared" si="13"/>
        <v>52</v>
      </c>
      <c r="B83" s="271">
        <v>366</v>
      </c>
      <c r="C83" s="78" t="s">
        <v>1672</v>
      </c>
      <c r="D83" s="88">
        <f>'SCH B-2.1 F'!H80</f>
        <v>2219103.52</v>
      </c>
      <c r="E83" s="88">
        <f>-'SCH B-3 F'!I82</f>
        <v>1030623.4388799963</v>
      </c>
      <c r="F83" s="151">
        <f>VLOOKUP($B83,'KU Proposed Depr Rates'!$A$16:$R$500,8,)/100</f>
        <v>2.3199999999999998E-2</v>
      </c>
      <c r="G83" s="88">
        <f t="shared" si="14"/>
        <v>51483.201664</v>
      </c>
      <c r="H83" s="281">
        <f>VLOOKUP($B83,'KU Proposed Depr Rates'!$A$16:$R$500,6,)/100</f>
        <v>0</v>
      </c>
      <c r="I83" s="209">
        <f>VLOOKUP($B83,'KU Proposed Depr Rates'!$A$16:$R$500,18,)</f>
        <v>25.6</v>
      </c>
      <c r="J83" s="230" t="str">
        <f>VLOOKUP($B83,'KU Proposed Depr Rates'!$A$16:$R$500,16,)</f>
        <v>50-R4</v>
      </c>
    </row>
    <row r="84" spans="1:10" ht="18.95" customHeight="1">
      <c r="A84" s="70">
        <f t="shared" si="13"/>
        <v>53</v>
      </c>
      <c r="B84" s="271">
        <v>367</v>
      </c>
      <c r="C84" s="78" t="s">
        <v>1674</v>
      </c>
      <c r="D84" s="88">
        <f>'SCH B-2.1 F'!H81</f>
        <v>216108699.2440801</v>
      </c>
      <c r="E84" s="88">
        <f>-'SCH B-3 F'!I83</f>
        <v>51934252.597068772</v>
      </c>
      <c r="F84" s="151">
        <f>VLOOKUP($B84,'KU Proposed Depr Rates'!$A$16:$R$500,8,)/100</f>
        <v>2.4299999999999999E-2</v>
      </c>
      <c r="G84" s="88">
        <f t="shared" si="14"/>
        <v>5251441.391631146</v>
      </c>
      <c r="H84" s="281">
        <f>VLOOKUP($B84,'KU Proposed Depr Rates'!$A$16:$R$500,6,)/100</f>
        <v>-0.2</v>
      </c>
      <c r="I84" s="209">
        <f>VLOOKUP($B84,'KU Proposed Depr Rates'!$A$16:$R$500,18,)</f>
        <v>40.200000000000003</v>
      </c>
      <c r="J84" s="230" t="str">
        <f>VLOOKUP($B84,'KU Proposed Depr Rates'!$A$16:$R$500,16,)</f>
        <v>48-R2</v>
      </c>
    </row>
    <row r="85" spans="1:10" ht="18.95" customHeight="1">
      <c r="A85" s="70">
        <f t="shared" si="13"/>
        <v>54</v>
      </c>
      <c r="B85" s="271">
        <v>368</v>
      </c>
      <c r="C85" s="78" t="s">
        <v>1686</v>
      </c>
      <c r="D85" s="88">
        <f>'SCH B-2.1 F'!H82</f>
        <v>315974318.09076923</v>
      </c>
      <c r="E85" s="88">
        <f>-'SCH B-3 F'!I84</f>
        <v>142105506.96750042</v>
      </c>
      <c r="F85" s="151">
        <f>VLOOKUP($B85,'KU Proposed Depr Rates'!$A$16:$R$500,8,)/100</f>
        <v>1.7899999999999999E-2</v>
      </c>
      <c r="G85" s="88">
        <f t="shared" si="14"/>
        <v>5655940.2938247686</v>
      </c>
      <c r="H85" s="281">
        <f>VLOOKUP($B85,'KU Proposed Depr Rates'!$A$16:$R$500,6,)/100</f>
        <v>-0.05</v>
      </c>
      <c r="I85" s="209">
        <f>VLOOKUP($B85,'KU Proposed Depr Rates'!$A$16:$R$500,18,)</f>
        <v>33</v>
      </c>
      <c r="J85" s="230" t="str">
        <f>VLOOKUP($B85,'KU Proposed Depr Rates'!$A$16:$R$500,16,)</f>
        <v>46-R2</v>
      </c>
    </row>
    <row r="86" spans="1:10" ht="18.95" customHeight="1">
      <c r="A86" s="70">
        <f t="shared" si="13"/>
        <v>55</v>
      </c>
      <c r="B86" s="271">
        <v>369</v>
      </c>
      <c r="C86" s="78" t="s">
        <v>1688</v>
      </c>
      <c r="D86" s="88">
        <f>'SCH B-2.1 F'!H83</f>
        <v>108672088.16153848</v>
      </c>
      <c r="E86" s="88">
        <f>-'SCH B-3 F'!I85</f>
        <v>63362525.088736959</v>
      </c>
      <c r="F86" s="151">
        <f>VLOOKUP($B86,'KU Proposed Depr Rates'!$A$16:$R$500,8,)/100</f>
        <v>1.6299999999999999E-2</v>
      </c>
      <c r="G86" s="88">
        <f t="shared" si="14"/>
        <v>1771355.0370330771</v>
      </c>
      <c r="H86" s="281">
        <f>VLOOKUP($B86,'KU Proposed Depr Rates'!$A$16:$R$500,6,)/100</f>
        <v>-0.25</v>
      </c>
      <c r="I86" s="209">
        <f>VLOOKUP($B86,'KU Proposed Depr Rates'!$A$16:$R$500,18,)</f>
        <v>36.6</v>
      </c>
      <c r="J86" s="230" t="str">
        <f>VLOOKUP($B86,'KU Proposed Depr Rates'!$A$16:$R$500,16,)</f>
        <v>48-R1</v>
      </c>
    </row>
    <row r="87" spans="1:10" ht="18.95" customHeight="1">
      <c r="A87" s="70">
        <f>A86+1</f>
        <v>56</v>
      </c>
      <c r="B87" s="271">
        <v>370</v>
      </c>
      <c r="C87" s="78" t="s">
        <v>1690</v>
      </c>
      <c r="D87" s="88">
        <f>'SCH B-2.1 F'!H84</f>
        <v>77500987.228461444</v>
      </c>
      <c r="E87" s="88">
        <f>-'SCH B-3 F'!I86</f>
        <v>41604213.294677615</v>
      </c>
      <c r="F87" s="151">
        <f>VLOOKUP($B87,'KU Proposed Depr Rates'!$A$16:$R$500,8,)/100</f>
        <v>3.6499999999999998E-2</v>
      </c>
      <c r="G87" s="88">
        <f t="shared" si="14"/>
        <v>2828786.0338388425</v>
      </c>
      <c r="H87" s="281">
        <f>VLOOKUP($B87,'KU Proposed Depr Rates'!$A$16:$R$500,6,)/100</f>
        <v>0</v>
      </c>
      <c r="I87" s="209" t="str">
        <f>VLOOKUP($B87,'KU Proposed Depr Rates'!$A$16:$R$500,18,)</f>
        <v>4.3-14.7</v>
      </c>
      <c r="J87" s="230" t="str">
        <f>VLOOKUP($B87,'KU Proposed Depr Rates'!$A$16:$R$500,16,)</f>
        <v>15-S2.5, 28-L1</v>
      </c>
    </row>
    <row r="88" spans="1:10" ht="18.95" customHeight="1">
      <c r="A88" s="70">
        <f t="shared" si="13"/>
        <v>57</v>
      </c>
      <c r="B88" s="271">
        <v>371</v>
      </c>
      <c r="C88" s="78" t="s">
        <v>1692</v>
      </c>
      <c r="D88" s="88">
        <f>'SCH B-2.1 F'!H85</f>
        <v>148818.36999999903</v>
      </c>
      <c r="E88" s="88">
        <f>-'SCH B-3 F'!I87</f>
        <v>14990.72805045922</v>
      </c>
      <c r="F88" s="151">
        <f>VLOOKUP($B88,'KU Proposed Depr Rates'!$A$16:$R$500,8,)/100</f>
        <v>5.2999999999999992E-3</v>
      </c>
      <c r="G88" s="88">
        <f t="shared" si="14"/>
        <v>788.73736099999473</v>
      </c>
      <c r="H88" s="281">
        <f>VLOOKUP($B88,'KU Proposed Depr Rates'!$A$16:$R$500,6,)/100</f>
        <v>-0.1</v>
      </c>
      <c r="I88" s="209">
        <f>VLOOKUP($B88,'KU Proposed Depr Rates'!$A$16:$R$500,18,)</f>
        <v>19.3</v>
      </c>
      <c r="J88" s="230" t="str">
        <f>VLOOKUP($B88,'KU Proposed Depr Rates'!$A$16:$R$500,16,)</f>
        <v>28-O1</v>
      </c>
    </row>
    <row r="89" spans="1:10" ht="18.95" customHeight="1">
      <c r="A89" s="70">
        <f t="shared" si="13"/>
        <v>58</v>
      </c>
      <c r="B89" s="271">
        <v>373</v>
      </c>
      <c r="C89" s="78" t="s">
        <v>1694</v>
      </c>
      <c r="D89" s="88">
        <f>'SCH B-2.1 F'!H86</f>
        <v>127240903.38000001</v>
      </c>
      <c r="E89" s="88">
        <f>-'SCH B-3 F'!I88</f>
        <v>43678048.772864424</v>
      </c>
      <c r="F89" s="151">
        <f>VLOOKUP($B89,'KU Proposed Depr Rates'!$A$16:$R$500,8,)/100</f>
        <v>4.0000000000000008E-2</v>
      </c>
      <c r="G89" s="88">
        <f t="shared" si="14"/>
        <v>5089636.1352000013</v>
      </c>
      <c r="H89" s="281">
        <f>VLOOKUP($B89,'KU Proposed Depr Rates'!$A$16:$R$500,6,)/100</f>
        <v>-0.1</v>
      </c>
      <c r="I89" s="209">
        <f>VLOOKUP($B89,'KU Proposed Depr Rates'!$A$16:$R$500,18,)</f>
        <v>22.1</v>
      </c>
      <c r="J89" s="230" t="str">
        <f>VLOOKUP($B89,'KU Proposed Depr Rates'!$A$16:$R$500,16,)</f>
        <v>28-L0.5</v>
      </c>
    </row>
    <row r="90" spans="1:10" ht="18.95" customHeight="1">
      <c r="A90" s="70">
        <f t="shared" si="13"/>
        <v>59</v>
      </c>
      <c r="B90" s="271">
        <v>374</v>
      </c>
      <c r="C90" s="78" t="s">
        <v>151</v>
      </c>
      <c r="D90" s="89">
        <f>'SCH B-2.1 F'!H87</f>
        <v>0</v>
      </c>
      <c r="E90" s="89">
        <f>-'SCH B-3 F'!I89</f>
        <v>0</v>
      </c>
      <c r="F90" s="130"/>
      <c r="G90" s="89">
        <f t="shared" si="14"/>
        <v>0</v>
      </c>
      <c r="H90" s="152"/>
      <c r="I90" s="88"/>
      <c r="J90" s="88"/>
    </row>
    <row r="91" spans="1:10" ht="18.95" customHeight="1">
      <c r="A91" s="70">
        <f t="shared" si="13"/>
        <v>60</v>
      </c>
      <c r="B91" s="71"/>
      <c r="C91" s="78" t="s">
        <v>153</v>
      </c>
      <c r="D91" s="86">
        <f>SUM(D78:D90)</f>
        <v>1927052570.4333179</v>
      </c>
      <c r="E91" s="86">
        <f>SUM(E78:E90)</f>
        <v>678424689.00793433</v>
      </c>
      <c r="F91" s="86"/>
      <c r="G91" s="86">
        <f>SUM(G78:G90)</f>
        <v>47405137.196667597</v>
      </c>
      <c r="H91" s="86"/>
      <c r="I91" s="86"/>
      <c r="J91" s="86"/>
    </row>
    <row r="92" spans="1:10" ht="18.95" customHeight="1">
      <c r="A92" s="70"/>
      <c r="B92" s="271"/>
      <c r="H92" s="148"/>
    </row>
    <row r="93" spans="1:10" ht="18.95" customHeight="1">
      <c r="A93" s="70">
        <f>A91+1</f>
        <v>61</v>
      </c>
      <c r="C93" s="90" t="s">
        <v>32</v>
      </c>
    </row>
    <row r="94" spans="1:10" ht="18.95" customHeight="1">
      <c r="A94" s="70">
        <f t="shared" ref="A94:A104" si="15">A93+1</f>
        <v>62</v>
      </c>
      <c r="B94" s="271">
        <v>389</v>
      </c>
      <c r="C94" s="78" t="s">
        <v>154</v>
      </c>
      <c r="D94" s="88">
        <f>'SCH B-2.1 F'!H101</f>
        <v>4163259.8308460773</v>
      </c>
      <c r="E94" s="88">
        <f>-'SCH B-3 F'!I104</f>
        <v>2.7560319591875617E-13</v>
      </c>
      <c r="F94" s="151">
        <v>0</v>
      </c>
      <c r="G94" s="88">
        <f t="shared" ref="G94:G99" si="16">D94*F94</f>
        <v>0</v>
      </c>
      <c r="H94" s="281">
        <v>0</v>
      </c>
      <c r="I94" s="209"/>
      <c r="J94" s="230"/>
    </row>
    <row r="95" spans="1:10" ht="18.95" customHeight="1">
      <c r="A95" s="70">
        <f t="shared" si="15"/>
        <v>63</v>
      </c>
      <c r="B95" s="271">
        <v>390</v>
      </c>
      <c r="C95" s="78" t="s">
        <v>148</v>
      </c>
      <c r="D95" s="88">
        <f>'SCH B-2.1 F'!H102</f>
        <v>78067218.902112901</v>
      </c>
      <c r="E95" s="88">
        <f>-'SCH B-3 F'!I105</f>
        <v>14680931.719471432</v>
      </c>
      <c r="F95" s="151">
        <f>VLOOKUP($B95,'KU Proposed Depr Rates'!$A$16:$R$500,8,)/100</f>
        <v>2.4199999999999999E-2</v>
      </c>
      <c r="G95" s="88">
        <f t="shared" si="16"/>
        <v>1889226.6974311322</v>
      </c>
      <c r="H95" s="281">
        <f>VLOOKUP($B95,'KU Proposed Depr Rates'!$A$16:$R$500,6,)</f>
        <v>-0.1</v>
      </c>
      <c r="I95" s="209" t="str">
        <f>VLOOKUP($B95,'KU Proposed Depr Rates'!$A$16:$R$500,18,)</f>
        <v>18.00-39.20</v>
      </c>
      <c r="J95" s="230" t="str">
        <f>VLOOKUP($B95,'KU Proposed Depr Rates'!$A$16:$R$500,16,)</f>
        <v>55-S0, 33-R1.5</v>
      </c>
    </row>
    <row r="96" spans="1:10" ht="18.95" customHeight="1">
      <c r="A96" s="70">
        <f t="shared" si="15"/>
        <v>64</v>
      </c>
      <c r="B96" s="271">
        <v>391</v>
      </c>
      <c r="C96" s="78" t="s">
        <v>156</v>
      </c>
      <c r="D96" s="88">
        <f>'SCH B-2.1 F'!H103</f>
        <v>41140199.262178056</v>
      </c>
      <c r="E96" s="88">
        <f>-'SCH B-3 F'!I106</f>
        <v>19251595.791524768</v>
      </c>
      <c r="F96" s="151">
        <f>VLOOKUP($B96,'KU Proposed Depr Rates'!$A$16:$R$500,8,)/100</f>
        <v>0.1229</v>
      </c>
      <c r="G96" s="88">
        <f t="shared" si="16"/>
        <v>5056130.4893216826</v>
      </c>
      <c r="H96" s="281">
        <f>VLOOKUP($B96,'KU Proposed Depr Rates'!$A$16:$R$500,6,)</f>
        <v>0</v>
      </c>
      <c r="I96" s="209" t="str">
        <f>VLOOKUP($B96,'KU Proposed Depr Rates'!$A$16:$R$500,18,)</f>
        <v>2.2-9.9</v>
      </c>
      <c r="J96" s="230" t="str">
        <f>VLOOKUP($B96,'KU Proposed Depr Rates'!$A$16:$R$500,16,)</f>
        <v>4-SQ, 5-SQ, 20-SQ</v>
      </c>
    </row>
    <row r="97" spans="1:10" ht="18.95" customHeight="1">
      <c r="A97" s="70">
        <f t="shared" si="15"/>
        <v>65</v>
      </c>
      <c r="B97" s="271">
        <v>392</v>
      </c>
      <c r="C97" s="78" t="s">
        <v>155</v>
      </c>
      <c r="D97" s="88">
        <f>'SCH B-2.1 F'!H104</f>
        <v>7072988.9006364895</v>
      </c>
      <c r="E97" s="88">
        <f>-'SCH B-3 F'!I107</f>
        <v>4120770.0801741146</v>
      </c>
      <c r="F97" s="151">
        <f>VLOOKUP($B97,'KU Proposed Depr Rates'!$A$16:$R$500,8,)/100</f>
        <v>2.9500000000000002E-2</v>
      </c>
      <c r="G97" s="88">
        <f t="shared" si="16"/>
        <v>208653.17256877644</v>
      </c>
      <c r="H97" s="281">
        <f>VLOOKUP($B97,'KU Proposed Depr Rates'!$A$16:$R$500,6,)</f>
        <v>0</v>
      </c>
      <c r="I97" s="209" t="str">
        <f>VLOOKUP($B97,'KU Proposed Depr Rates'!$A$16:$R$500,18,)</f>
        <v>10.8-13.9</v>
      </c>
      <c r="J97" s="230" t="str">
        <f>VLOOKUP($B97,'KU Proposed Depr Rates'!$A$16:$R$500,16,)</f>
        <v>16-L2.5, 14-S2</v>
      </c>
    </row>
    <row r="98" spans="1:10" ht="18.95" customHeight="1">
      <c r="A98" s="70">
        <f t="shared" si="15"/>
        <v>66</v>
      </c>
      <c r="B98" s="271">
        <v>393</v>
      </c>
      <c r="C98" s="78" t="s">
        <v>1702</v>
      </c>
      <c r="D98" s="88">
        <f>'SCH B-2.1 F'!H105</f>
        <v>856121.49526038405</v>
      </c>
      <c r="E98" s="88">
        <f>-'SCH B-3 F'!I108</f>
        <v>420400.69002439006</v>
      </c>
      <c r="F98" s="151">
        <f>VLOOKUP($B98,'KU Proposed Depr Rates'!$A$16:$R$500,8,)/100</f>
        <v>4.3999999999999997E-2</v>
      </c>
      <c r="G98" s="88">
        <f t="shared" si="16"/>
        <v>37669.345791456893</v>
      </c>
      <c r="H98" s="281">
        <f>VLOOKUP($B98,'KU Proposed Depr Rates'!$A$16:$R$500,6,)</f>
        <v>0</v>
      </c>
      <c r="I98" s="209">
        <f>VLOOKUP($B98,'KU Proposed Depr Rates'!$A$16:$R$500,18,)</f>
        <v>18</v>
      </c>
      <c r="J98" s="230" t="str">
        <f>VLOOKUP($B98,'KU Proposed Depr Rates'!$A$16:$R$500,16,)</f>
        <v>25-SQ</v>
      </c>
    </row>
    <row r="99" spans="1:10" ht="18.95" customHeight="1">
      <c r="A99" s="70">
        <f t="shared" si="15"/>
        <v>67</v>
      </c>
      <c r="B99" s="271">
        <v>394</v>
      </c>
      <c r="C99" s="78" t="s">
        <v>1704</v>
      </c>
      <c r="D99" s="88">
        <f>'SCH B-2.1 F'!H106</f>
        <v>16021595.045234054</v>
      </c>
      <c r="E99" s="88">
        <f>-'SCH B-3 F'!I109</f>
        <v>4919148.4474769058</v>
      </c>
      <c r="F99" s="151">
        <f>VLOOKUP($B99,'KU Proposed Depr Rates'!$A$16:$R$500,8,)/100</f>
        <v>4.0199999999999993E-2</v>
      </c>
      <c r="G99" s="88">
        <f t="shared" si="16"/>
        <v>644068.1208184089</v>
      </c>
      <c r="H99" s="281">
        <f>VLOOKUP($B99,'KU Proposed Depr Rates'!$A$16:$R$500,6,)</f>
        <v>0</v>
      </c>
      <c r="I99" s="209">
        <f>VLOOKUP($B99,'KU Proposed Depr Rates'!$A$16:$R$500,18,)</f>
        <v>17.5</v>
      </c>
      <c r="J99" s="230" t="str">
        <f>VLOOKUP($B99,'KU Proposed Depr Rates'!$A$16:$R$500,16,)</f>
        <v>25-SQ</v>
      </c>
    </row>
    <row r="100" spans="1:10" ht="18.95" customHeight="1">
      <c r="A100" s="70">
        <f t="shared" si="15"/>
        <v>68</v>
      </c>
      <c r="B100" s="271">
        <v>395</v>
      </c>
      <c r="C100" s="78" t="s">
        <v>1706</v>
      </c>
      <c r="D100" s="88">
        <f>'SCH B-2.1 F'!H107</f>
        <v>0</v>
      </c>
      <c r="E100" s="88">
        <f>-'SCH B-3 F'!I110</f>
        <v>0</v>
      </c>
      <c r="F100" s="151"/>
      <c r="G100" s="88"/>
      <c r="H100" s="281"/>
      <c r="I100" s="209"/>
      <c r="J100" s="230"/>
    </row>
    <row r="101" spans="1:10" ht="18.95" customHeight="1">
      <c r="A101" s="70">
        <f t="shared" si="15"/>
        <v>69</v>
      </c>
      <c r="B101" s="271">
        <v>396</v>
      </c>
      <c r="C101" s="78" t="s">
        <v>1708</v>
      </c>
      <c r="D101" s="88">
        <f>'SCH B-2.1 F'!H108</f>
        <v>3892523.9250329249</v>
      </c>
      <c r="E101" s="88">
        <f>-'SCH B-3 F'!I111</f>
        <v>1460869.876210341</v>
      </c>
      <c r="F101" s="151">
        <f>VLOOKUP($B101,'KU Proposed Depr Rates'!$A$16:$R$500,8,)/100</f>
        <v>5.6500000000000002E-2</v>
      </c>
      <c r="G101" s="88">
        <f t="shared" ref="G101:G103" si="17">D101*F101</f>
        <v>219927.60176436027</v>
      </c>
      <c r="H101" s="281">
        <f>VLOOKUP($B101,'KU Proposed Depr Rates'!$A$16:$R$500,6,)</f>
        <v>0</v>
      </c>
      <c r="I101" s="209">
        <f>VLOOKUP($B101,'KU Proposed Depr Rates'!$A$16:$R$500,18,)</f>
        <v>12</v>
      </c>
      <c r="J101" s="230" t="str">
        <f>VLOOKUP($B101,'KU Proposed Depr Rates'!$A$16:$R$500,16,)</f>
        <v>16-L5</v>
      </c>
    </row>
    <row r="102" spans="1:10" ht="18.95" customHeight="1">
      <c r="A102" s="70">
        <f t="shared" si="15"/>
        <v>70</v>
      </c>
      <c r="B102" s="271">
        <v>397</v>
      </c>
      <c r="C102" s="78" t="s">
        <v>157</v>
      </c>
      <c r="D102" s="88">
        <f>'SCH B-2.1 F'!H109</f>
        <v>56056250.46627298</v>
      </c>
      <c r="E102" s="88">
        <f>-'SCH B-3 F'!I112</f>
        <v>26182717.345474072</v>
      </c>
      <c r="F102" s="151">
        <f>VLOOKUP($B102,'KU Proposed Depr Rates'!$A$16:$R$500,8,)/100</f>
        <v>8.2400000000000001E-2</v>
      </c>
      <c r="G102" s="88">
        <f t="shared" si="17"/>
        <v>4619035.0384208933</v>
      </c>
      <c r="H102" s="281">
        <f>VLOOKUP($B102,'KU Proposed Depr Rates'!$A$16:$R$500,6,)</f>
        <v>0</v>
      </c>
      <c r="I102" s="209" t="str">
        <f>VLOOKUP($B102,'KU Proposed Depr Rates'!$A$16:$R$500,18,)</f>
        <v>5.6-13.4</v>
      </c>
      <c r="J102" s="230" t="str">
        <f>VLOOKUP($B102,'KU Proposed Depr Rates'!$A$16:$R$500,16,)</f>
        <v>10-SQ, 18-L3</v>
      </c>
    </row>
    <row r="103" spans="1:10" ht="18.95" customHeight="1">
      <c r="A103" s="70">
        <f t="shared" si="15"/>
        <v>71</v>
      </c>
      <c r="B103" s="271">
        <v>398</v>
      </c>
      <c r="C103" s="78" t="s">
        <v>1711</v>
      </c>
      <c r="D103" s="89">
        <f>'SCH B-2.1 F'!H110</f>
        <v>0</v>
      </c>
      <c r="E103" s="89">
        <f>-'SCH B-3 F'!I113</f>
        <v>0</v>
      </c>
      <c r="F103" s="151"/>
      <c r="G103" s="89">
        <f t="shared" si="17"/>
        <v>0</v>
      </c>
      <c r="H103" s="281"/>
      <c r="I103" s="209"/>
      <c r="J103" s="230"/>
    </row>
    <row r="104" spans="1:10" ht="18.95" customHeight="1">
      <c r="A104" s="70">
        <f t="shared" si="15"/>
        <v>72</v>
      </c>
      <c r="B104" s="71"/>
      <c r="C104" s="78" t="s">
        <v>158</v>
      </c>
      <c r="D104" s="86">
        <f>SUM(D94:D103)</f>
        <v>207270157.82757387</v>
      </c>
      <c r="E104" s="86">
        <f>SUM(E94:E103)</f>
        <v>71036433.950356022</v>
      </c>
      <c r="F104" s="86"/>
      <c r="G104" s="86">
        <f>SUM(G95:G103)</f>
        <v>12674710.466116711</v>
      </c>
      <c r="H104" s="86"/>
      <c r="I104" s="86"/>
      <c r="J104" s="155"/>
    </row>
    <row r="105" spans="1:10" ht="18.95" customHeight="1">
      <c r="A105" s="70"/>
      <c r="B105" s="71"/>
      <c r="J105" s="143"/>
    </row>
    <row r="106" spans="1:10" ht="18.95" customHeight="1" thickBot="1">
      <c r="A106" s="70">
        <f>A104+1</f>
        <v>73</v>
      </c>
      <c r="B106" s="71"/>
      <c r="C106" s="68" t="s">
        <v>439</v>
      </c>
      <c r="D106" s="94">
        <f>SUM(D18,D29,D40,D51,D63,D91,D104)</f>
        <v>7719113381.123044</v>
      </c>
      <c r="E106" s="94">
        <f>SUM(E18,E29,E40,E51,E63,E91,E104)</f>
        <v>2974075465.3504395</v>
      </c>
      <c r="F106" s="86"/>
      <c r="G106" s="94">
        <f>SUM(G18,G29,G40,G51,G63,G91,G104)</f>
        <v>235861055.41789985</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1:J1"/>
    <mergeCell ref="A2:J2"/>
    <mergeCell ref="A3:J3"/>
    <mergeCell ref="A4:J4"/>
    <mergeCell ref="D10:E10"/>
    <mergeCell ref="A66:J66"/>
    <mergeCell ref="A67:J67"/>
    <mergeCell ref="D73:E73"/>
    <mergeCell ref="A64:J64"/>
    <mergeCell ref="A65:J65"/>
  </mergeCells>
  <printOptions horizontalCentered="1"/>
  <pageMargins left="1" right="0.75" top="1" bottom="0.5" header="0.3" footer="0.3"/>
  <pageSetup scale="52" fitToHeight="0" orientation="portrait" r:id="rId1"/>
  <rowBreaks count="1" manualBreakCount="1">
    <brk id="63"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49"/>
  <sheetViews>
    <sheetView zoomScaleNormal="100" workbookViewId="0">
      <selection sqref="A1:J1"/>
    </sheetView>
  </sheetViews>
  <sheetFormatPr defaultColWidth="9" defaultRowHeight="12.75"/>
  <cols>
    <col min="1" max="1" width="6" style="69" customWidth="1"/>
    <col min="2" max="2" width="38.33203125" style="69" customWidth="1"/>
    <col min="3" max="3" width="15.77734375" style="69" customWidth="1"/>
    <col min="4" max="5" width="13.6640625" style="69" customWidth="1"/>
    <col min="6" max="6" width="14.21875" style="69" customWidth="1"/>
    <col min="7" max="7" width="13.6640625" style="69" customWidth="1"/>
    <col min="8" max="8" width="15.77734375" style="69" customWidth="1"/>
    <col min="9" max="10" width="15" style="69" customWidth="1"/>
    <col min="11" max="11" width="1.6640625" style="69" customWidth="1"/>
    <col min="12" max="16384" width="9" style="69"/>
  </cols>
  <sheetData>
    <row r="1" spans="1:10" s="68" customFormat="1" ht="20.100000000000001" customHeight="1">
      <c r="A1" s="767" t="str">
        <f>'Rate Case Constants'!C9</f>
        <v>KENTUCKY UTILITIES COMPANY</v>
      </c>
      <c r="B1" s="767"/>
      <c r="C1" s="767"/>
      <c r="D1" s="767"/>
      <c r="E1" s="767"/>
      <c r="F1" s="767"/>
      <c r="G1" s="767"/>
      <c r="H1" s="767"/>
      <c r="I1" s="767"/>
      <c r="J1" s="767"/>
    </row>
    <row r="2" spans="1:10" s="68" customFormat="1" ht="20.100000000000001" customHeight="1">
      <c r="A2" s="767" t="str">
        <f>'Rate Case Constants'!C10</f>
        <v>CASE NO. 2018-00294</v>
      </c>
      <c r="B2" s="767"/>
      <c r="C2" s="767"/>
      <c r="D2" s="767"/>
      <c r="E2" s="767"/>
      <c r="F2" s="767"/>
      <c r="G2" s="767"/>
      <c r="H2" s="767"/>
      <c r="I2" s="767"/>
      <c r="J2" s="767"/>
    </row>
    <row r="3" spans="1:10" s="68" customFormat="1" ht="20.100000000000001" customHeight="1">
      <c r="A3" s="767" t="s">
        <v>476</v>
      </c>
      <c r="B3" s="767"/>
      <c r="C3" s="767"/>
      <c r="D3" s="767"/>
      <c r="E3" s="767"/>
      <c r="F3" s="767"/>
      <c r="G3" s="767"/>
      <c r="H3" s="767"/>
      <c r="I3" s="767"/>
      <c r="J3" s="767"/>
    </row>
    <row r="4" spans="1:10" s="68" customFormat="1" ht="20.100000000000001" customHeight="1">
      <c r="A4" s="767" t="str">
        <f>'Rate Case Constants'!C12</f>
        <v>AS OF DECEMBER 31, 2018</v>
      </c>
      <c r="B4" s="767"/>
      <c r="C4" s="767"/>
      <c r="D4" s="767"/>
      <c r="E4" s="767"/>
      <c r="F4" s="767"/>
      <c r="G4" s="767"/>
      <c r="H4" s="767"/>
      <c r="I4" s="767"/>
      <c r="J4" s="767"/>
    </row>
    <row r="5" spans="1:10" s="68" customFormat="1" ht="20.100000000000001" customHeight="1">
      <c r="A5" s="92"/>
      <c r="B5" s="92"/>
      <c r="C5" s="92"/>
      <c r="D5" s="92"/>
      <c r="E5" s="92"/>
      <c r="F5" s="92"/>
      <c r="G5" s="92"/>
      <c r="H5" s="223"/>
      <c r="I5" s="223"/>
      <c r="J5" s="92"/>
    </row>
    <row r="6" spans="1:10" s="68" customFormat="1" ht="20.100000000000001" customHeight="1">
      <c r="A6" s="67" t="s">
        <v>133</v>
      </c>
      <c r="D6" s="74"/>
      <c r="E6" s="74"/>
      <c r="F6" s="74"/>
      <c r="H6" s="74"/>
      <c r="I6" s="74"/>
      <c r="J6" s="74" t="s">
        <v>1212</v>
      </c>
    </row>
    <row r="7" spans="1:10" s="68" customFormat="1" ht="20.100000000000001" customHeight="1">
      <c r="A7" s="68" t="str">
        <f>'Rate Case Constants'!C29</f>
        <v>TYPE OF FILING: __X__ ORIGINAL  _____ UPDATED  _____ REVISED</v>
      </c>
      <c r="D7" s="74"/>
      <c r="E7" s="74"/>
      <c r="F7" s="74"/>
      <c r="H7" s="74"/>
      <c r="I7" s="74"/>
      <c r="J7" s="74" t="s">
        <v>177</v>
      </c>
    </row>
    <row r="8" spans="1:10" s="68" customFormat="1" ht="20.100000000000001" customHeight="1">
      <c r="A8" s="67" t="s">
        <v>1198</v>
      </c>
      <c r="D8" s="75"/>
      <c r="E8" s="75"/>
      <c r="F8" s="75"/>
      <c r="H8" s="75"/>
      <c r="I8" s="75"/>
      <c r="J8" s="75" t="str">
        <f>'Rate Case Constants'!C36</f>
        <v>WITNESS:   C. M. GARRETT</v>
      </c>
    </row>
    <row r="9" spans="1:10" s="68" customFormat="1" ht="20.100000000000001" customHeight="1"/>
    <row r="10" spans="1:10" s="68" customFormat="1" ht="20.100000000000001" customHeight="1">
      <c r="A10" s="96"/>
      <c r="B10" s="96"/>
      <c r="C10" s="96"/>
      <c r="D10" s="769" t="s">
        <v>1217</v>
      </c>
      <c r="E10" s="769"/>
      <c r="F10" s="96"/>
      <c r="G10" s="96"/>
      <c r="H10" s="96"/>
      <c r="I10" s="96"/>
      <c r="J10" s="96"/>
    </row>
    <row r="11" spans="1:10" ht="39" customHeight="1">
      <c r="A11" s="71" t="s">
        <v>131</v>
      </c>
      <c r="B11" s="78" t="s">
        <v>1165</v>
      </c>
      <c r="C11" s="71" t="s">
        <v>1213</v>
      </c>
      <c r="D11" s="71" t="s">
        <v>1214</v>
      </c>
      <c r="E11" s="71" t="s">
        <v>1215</v>
      </c>
      <c r="F11" s="71" t="s">
        <v>1216</v>
      </c>
      <c r="G11" s="71" t="s">
        <v>224</v>
      </c>
      <c r="H11" s="71" t="s">
        <v>225</v>
      </c>
      <c r="I11" s="71" t="s">
        <v>226</v>
      </c>
      <c r="J11" s="71" t="s">
        <v>227</v>
      </c>
    </row>
    <row r="12" spans="1:10" ht="23.1" customHeight="1">
      <c r="A12" s="80"/>
      <c r="B12" s="81"/>
      <c r="C12" s="82" t="s">
        <v>142</v>
      </c>
      <c r="D12" s="82" t="s">
        <v>142</v>
      </c>
      <c r="E12" s="82" t="s">
        <v>142</v>
      </c>
      <c r="F12" s="82" t="s">
        <v>142</v>
      </c>
      <c r="G12" s="82"/>
      <c r="H12" s="82" t="s">
        <v>142</v>
      </c>
      <c r="I12" s="82" t="s">
        <v>142</v>
      </c>
      <c r="J12" s="82" t="s">
        <v>142</v>
      </c>
    </row>
    <row r="13" spans="1:10" ht="23.1" customHeight="1">
      <c r="A13" s="73"/>
      <c r="B13" s="78" t="s">
        <v>1172</v>
      </c>
      <c r="C13" s="95"/>
      <c r="D13" s="95"/>
      <c r="E13" s="95"/>
      <c r="F13" s="95"/>
      <c r="G13" s="95"/>
      <c r="H13" s="95"/>
      <c r="I13" s="95"/>
      <c r="J13" s="95"/>
    </row>
    <row r="14" spans="1:10" ht="18.95" customHeight="1">
      <c r="A14" s="70">
        <v>1</v>
      </c>
      <c r="B14" s="78" t="s">
        <v>1712</v>
      </c>
      <c r="C14" s="86">
        <f>'JURISSEP B'!$E$288</f>
        <v>268608149.42999887</v>
      </c>
      <c r="D14" s="86">
        <f>'JURISSEP B'!$E$290</f>
        <v>938978.68124335003</v>
      </c>
      <c r="E14" s="86">
        <v>0</v>
      </c>
      <c r="F14" s="86">
        <f>SUM(C14:E14)</f>
        <v>269547128.11124223</v>
      </c>
      <c r="G14" s="130">
        <f>H14/F14</f>
        <v>0.87368116089969527</v>
      </c>
      <c r="H14" s="86">
        <f>'JURISSEP B'!G$291</f>
        <v>235498247.80540901</v>
      </c>
      <c r="I14" s="86">
        <f>'SCH B-4.1'!E12</f>
        <v>-218710512.64279905</v>
      </c>
      <c r="J14" s="86">
        <f>SUM(H14:I14)</f>
        <v>16787735.162609965</v>
      </c>
    </row>
    <row r="15" spans="1:10" ht="18.95" customHeight="1">
      <c r="A15" s="70"/>
      <c r="B15" s="78"/>
      <c r="C15" s="86"/>
      <c r="D15" s="86"/>
      <c r="E15" s="86"/>
      <c r="F15" s="86"/>
      <c r="G15" s="130"/>
      <c r="H15" s="86"/>
      <c r="I15" s="86"/>
      <c r="J15" s="86"/>
    </row>
    <row r="16" spans="1:10" ht="18.95" customHeight="1">
      <c r="A16" s="70">
        <v>2</v>
      </c>
      <c r="B16" s="78" t="s">
        <v>245</v>
      </c>
      <c r="C16" s="86">
        <f>'JURISSEP B'!E$299</f>
        <v>24933751.1599999</v>
      </c>
      <c r="D16" s="86">
        <v>0</v>
      </c>
      <c r="E16" s="86">
        <v>0</v>
      </c>
      <c r="F16" s="86">
        <f>SUM(C16:E16)</f>
        <v>24933751.1599999</v>
      </c>
      <c r="G16" s="130">
        <f>H16/F16</f>
        <v>0.93309776574195091</v>
      </c>
      <c r="H16" s="86">
        <f>'JURISSEP B'!G$299</f>
        <v>23265627.498961683</v>
      </c>
      <c r="I16" s="86"/>
      <c r="J16" s="86">
        <f>SUM(H16:I16)</f>
        <v>23265627.498961683</v>
      </c>
    </row>
    <row r="17" spans="1:10" ht="18.95" customHeight="1">
      <c r="A17" s="70"/>
      <c r="B17" s="78"/>
      <c r="C17" s="86"/>
      <c r="D17" s="86"/>
      <c r="E17" s="86"/>
      <c r="F17" s="86"/>
      <c r="G17" s="86"/>
      <c r="H17" s="86"/>
      <c r="I17" s="86"/>
      <c r="J17" s="86"/>
    </row>
    <row r="18" spans="1:10" ht="18.95" customHeight="1">
      <c r="A18" s="70">
        <v>3</v>
      </c>
      <c r="B18" s="78" t="s">
        <v>1170</v>
      </c>
      <c r="C18" s="86">
        <f>'JURISSEP B'!E$303</f>
        <v>6996198.7000000002</v>
      </c>
      <c r="D18" s="86">
        <v>0</v>
      </c>
      <c r="E18" s="86">
        <v>0</v>
      </c>
      <c r="F18" s="86">
        <f>SUM(C18:E18)</f>
        <v>6996198.7000000002</v>
      </c>
      <c r="G18" s="130">
        <f>H18/F18</f>
        <v>1</v>
      </c>
      <c r="H18" s="86">
        <f>'JURISSEP B'!G$303</f>
        <v>6996198.7000000002</v>
      </c>
      <c r="I18" s="86"/>
      <c r="J18" s="86">
        <f>SUM(H18:I18)</f>
        <v>6996198.7000000002</v>
      </c>
    </row>
    <row r="19" spans="1:10" ht="18.95" customHeight="1">
      <c r="A19" s="70"/>
      <c r="B19" s="78"/>
      <c r="C19" s="86"/>
      <c r="D19" s="86"/>
      <c r="E19" s="86"/>
      <c r="F19" s="86"/>
      <c r="G19" s="86"/>
      <c r="H19" s="86"/>
      <c r="I19" s="86"/>
      <c r="J19" s="86"/>
    </row>
    <row r="20" spans="1:10" ht="18.95" customHeight="1">
      <c r="A20" s="70">
        <v>4</v>
      </c>
      <c r="B20" s="78" t="s">
        <v>1171</v>
      </c>
      <c r="C20" s="131">
        <f>'JURISSEP B'!E$305</f>
        <v>19824841.989999987</v>
      </c>
      <c r="D20" s="131">
        <v>0</v>
      </c>
      <c r="E20" s="131">
        <v>0</v>
      </c>
      <c r="F20" s="131">
        <f>SUM(C20:E20)</f>
        <v>19824841.989999987</v>
      </c>
      <c r="G20" s="130">
        <f>H20/F20</f>
        <v>0.90848299807617505</v>
      </c>
      <c r="H20" s="131">
        <f>'JURISSEP B'!G$305</f>
        <v>18010531.887461632</v>
      </c>
      <c r="I20" s="131"/>
      <c r="J20" s="131">
        <f>SUM(H20:I20)</f>
        <v>18010531.887461632</v>
      </c>
    </row>
    <row r="21" spans="1:10" ht="18.95" customHeight="1">
      <c r="A21" s="70"/>
      <c r="B21" s="78"/>
      <c r="C21" s="86"/>
      <c r="D21" s="86"/>
      <c r="E21" s="86"/>
      <c r="F21" s="86"/>
      <c r="G21" s="86"/>
      <c r="H21" s="86"/>
      <c r="I21" s="86"/>
      <c r="J21" s="86"/>
    </row>
    <row r="22" spans="1:10" ht="18.95" customHeight="1" thickBot="1">
      <c r="A22" s="70">
        <v>5</v>
      </c>
      <c r="B22" s="78" t="s">
        <v>1174</v>
      </c>
      <c r="C22" s="94">
        <f>SUM(C14:C20)</f>
        <v>320362941.27999878</v>
      </c>
      <c r="D22" s="94">
        <f>SUM(D14:D20)</f>
        <v>938978.68124335003</v>
      </c>
      <c r="E22" s="94">
        <f>SUM(E14:E20)</f>
        <v>0</v>
      </c>
      <c r="F22" s="94">
        <f>SUM(F14:F20)</f>
        <v>321301919.96124214</v>
      </c>
      <c r="G22" s="86"/>
      <c r="H22" s="94">
        <f>SUM(H14:H20)</f>
        <v>283770605.89183235</v>
      </c>
      <c r="I22" s="94">
        <f>SUM(I14:I20)</f>
        <v>-218710512.64279905</v>
      </c>
      <c r="J22" s="94">
        <f>SUM(J14:J20)</f>
        <v>65060093.249033287</v>
      </c>
    </row>
    <row r="23" spans="1:10" ht="18.95" customHeight="1" thickTop="1">
      <c r="A23" s="70"/>
      <c r="B23" s="78"/>
      <c r="C23" s="86"/>
      <c r="D23" s="86"/>
      <c r="E23" s="86"/>
      <c r="F23" s="86"/>
      <c r="G23" s="86"/>
      <c r="H23" s="86"/>
      <c r="I23" s="86"/>
      <c r="J23" s="86"/>
    </row>
    <row r="24" spans="1:10" ht="18.95" customHeight="1">
      <c r="A24" s="70"/>
      <c r="B24" s="67"/>
      <c r="C24" s="86"/>
      <c r="D24" s="86"/>
      <c r="E24" s="86"/>
      <c r="F24" s="86"/>
      <c r="G24" s="86"/>
      <c r="H24" s="86"/>
      <c r="I24" s="86"/>
      <c r="J24" s="86"/>
    </row>
    <row r="25" spans="1:10" ht="18.95" customHeight="1">
      <c r="A25" s="70"/>
      <c r="B25" s="78"/>
      <c r="C25" s="86"/>
      <c r="D25" s="86"/>
      <c r="E25" s="86"/>
      <c r="F25" s="86"/>
      <c r="G25" s="86"/>
      <c r="H25" s="86"/>
      <c r="I25" s="86"/>
      <c r="J25" s="86"/>
    </row>
    <row r="26" spans="1:10" s="68" customFormat="1" ht="20.100000000000001" customHeight="1">
      <c r="A26" s="767" t="str">
        <f>$A$1</f>
        <v>KENTUCKY UTILITIES COMPANY</v>
      </c>
      <c r="B26" s="767"/>
      <c r="C26" s="767"/>
      <c r="D26" s="767"/>
      <c r="E26" s="767"/>
      <c r="F26" s="767"/>
      <c r="G26" s="767"/>
      <c r="H26" s="767"/>
      <c r="I26" s="767"/>
      <c r="J26" s="767"/>
    </row>
    <row r="27" spans="1:10" s="68" customFormat="1" ht="20.100000000000001" customHeight="1">
      <c r="A27" s="767" t="str">
        <f>$A$2</f>
        <v>CASE NO. 2018-00294</v>
      </c>
      <c r="B27" s="767"/>
      <c r="C27" s="767"/>
      <c r="D27" s="767"/>
      <c r="E27" s="767"/>
      <c r="F27" s="767"/>
      <c r="G27" s="767"/>
      <c r="H27" s="767"/>
      <c r="I27" s="767"/>
      <c r="J27" s="767"/>
    </row>
    <row r="28" spans="1:10" s="68" customFormat="1" ht="20.100000000000001" customHeight="1">
      <c r="A28" s="767" t="str">
        <f>$A$3</f>
        <v>CONSTRUCTION WORK IN PROGRESS</v>
      </c>
      <c r="B28" s="767"/>
      <c r="C28" s="767"/>
      <c r="D28" s="767"/>
      <c r="E28" s="767"/>
      <c r="F28" s="767"/>
      <c r="G28" s="767"/>
      <c r="H28" s="767"/>
      <c r="I28" s="767"/>
      <c r="J28" s="767"/>
    </row>
    <row r="29" spans="1:10" s="68" customFormat="1" ht="20.100000000000001" customHeight="1">
      <c r="A29" s="766" t="str">
        <f>'Rate Case Constants'!C18</f>
        <v>AS OF APRIL 30, 2020</v>
      </c>
      <c r="B29" s="770"/>
      <c r="C29" s="770"/>
      <c r="D29" s="770"/>
      <c r="E29" s="770"/>
      <c r="F29" s="770"/>
      <c r="G29" s="770"/>
      <c r="H29" s="770"/>
      <c r="I29" s="770"/>
      <c r="J29" s="770"/>
    </row>
    <row r="30" spans="1:10" s="68" customFormat="1" ht="20.100000000000001" customHeight="1">
      <c r="A30" s="92"/>
      <c r="B30" s="92"/>
      <c r="C30" s="92"/>
      <c r="D30" s="92"/>
      <c r="E30" s="92"/>
      <c r="F30" s="92"/>
      <c r="G30" s="92"/>
      <c r="H30" s="223"/>
      <c r="I30" s="223"/>
      <c r="J30" s="92"/>
    </row>
    <row r="31" spans="1:10" s="68" customFormat="1" ht="20.100000000000001" customHeight="1">
      <c r="A31" s="67" t="s">
        <v>161</v>
      </c>
      <c r="D31" s="74"/>
      <c r="E31" s="74"/>
      <c r="F31" s="74"/>
      <c r="H31" s="74"/>
      <c r="I31" s="74"/>
      <c r="J31" s="74" t="s">
        <v>1212</v>
      </c>
    </row>
    <row r="32" spans="1:10" s="68" customFormat="1" ht="20.100000000000001" customHeight="1">
      <c r="A32" s="67" t="str">
        <f>$A$7</f>
        <v>TYPE OF FILING: __X__ ORIGINAL  _____ UPDATED  _____ REVISED</v>
      </c>
      <c r="D32" s="74"/>
      <c r="E32" s="74"/>
      <c r="F32" s="74"/>
      <c r="H32" s="74"/>
      <c r="I32" s="74"/>
      <c r="J32" s="74" t="s">
        <v>185</v>
      </c>
    </row>
    <row r="33" spans="1:10" s="68" customFormat="1" ht="20.100000000000001" customHeight="1">
      <c r="A33" s="67" t="str">
        <f>$A$8</f>
        <v>WORKPAPER REFERENCE NO(S).:</v>
      </c>
      <c r="D33" s="75"/>
      <c r="E33" s="75"/>
      <c r="F33" s="75"/>
      <c r="H33" s="75"/>
      <c r="I33" s="75"/>
      <c r="J33" s="75" t="str">
        <f>$J$8</f>
        <v>WITNESS:   C. M. GARRETT</v>
      </c>
    </row>
    <row r="34" spans="1:10" s="68" customFormat="1" ht="20.100000000000001" customHeight="1"/>
    <row r="35" spans="1:10" s="68" customFormat="1" ht="20.100000000000001" customHeight="1">
      <c r="A35" s="96"/>
      <c r="B35" s="96"/>
      <c r="C35" s="96"/>
      <c r="D35" s="769" t="s">
        <v>1217</v>
      </c>
      <c r="E35" s="769"/>
      <c r="F35" s="96"/>
      <c r="G35" s="96"/>
      <c r="H35" s="96"/>
      <c r="I35" s="96"/>
      <c r="J35" s="96"/>
    </row>
    <row r="36" spans="1:10" ht="51" customHeight="1">
      <c r="A36" s="71" t="s">
        <v>131</v>
      </c>
      <c r="B36" s="78" t="s">
        <v>1165</v>
      </c>
      <c r="C36" s="71" t="s">
        <v>2264</v>
      </c>
      <c r="D36" s="71" t="s">
        <v>1214</v>
      </c>
      <c r="E36" s="71" t="s">
        <v>1215</v>
      </c>
      <c r="F36" s="71" t="s">
        <v>1216</v>
      </c>
      <c r="G36" s="71" t="s">
        <v>224</v>
      </c>
      <c r="H36" s="71" t="s">
        <v>225</v>
      </c>
      <c r="I36" s="71" t="s">
        <v>226</v>
      </c>
      <c r="J36" s="71" t="s">
        <v>227</v>
      </c>
    </row>
    <row r="37" spans="1:10" ht="23.1" customHeight="1">
      <c r="A37" s="80"/>
      <c r="B37" s="81"/>
      <c r="C37" s="82" t="s">
        <v>142</v>
      </c>
      <c r="D37" s="82" t="s">
        <v>142</v>
      </c>
      <c r="E37" s="82" t="s">
        <v>142</v>
      </c>
      <c r="F37" s="82" t="s">
        <v>142</v>
      </c>
      <c r="G37" s="82"/>
      <c r="H37" s="82" t="s">
        <v>142</v>
      </c>
      <c r="I37" s="82" t="s">
        <v>142</v>
      </c>
      <c r="J37" s="82" t="s">
        <v>142</v>
      </c>
    </row>
    <row r="38" spans="1:10" ht="23.1" customHeight="1">
      <c r="A38" s="73"/>
      <c r="B38" s="132" t="s">
        <v>1172</v>
      </c>
      <c r="C38" s="95"/>
      <c r="D38" s="95"/>
      <c r="E38" s="95"/>
      <c r="F38" s="95"/>
      <c r="G38" s="95"/>
      <c r="H38" s="95"/>
      <c r="I38" s="95"/>
      <c r="J38" s="95"/>
    </row>
    <row r="39" spans="1:10" ht="18.95" customHeight="1">
      <c r="A39" s="70">
        <v>1</v>
      </c>
      <c r="B39" s="78" t="s">
        <v>1712</v>
      </c>
      <c r="C39" s="86">
        <f>'JURISSEP F'!$E$288</f>
        <v>127711609.27796942</v>
      </c>
      <c r="D39" s="86">
        <f>'JURISSEP F'!$E$290</f>
        <v>961676.92</v>
      </c>
      <c r="E39" s="86">
        <v>0</v>
      </c>
      <c r="F39" s="86">
        <f>SUM(C39:E39)</f>
        <v>128673286.19796942</v>
      </c>
      <c r="G39" s="130">
        <f>H39/F39</f>
        <v>0.93623073642832577</v>
      </c>
      <c r="H39" s="86">
        <f>'JURISSEP F'!G$291</f>
        <v>120467885.49577764</v>
      </c>
      <c r="I39" s="86">
        <f>'SCH B-4.1'!E30</f>
        <v>-88299057.391647965</v>
      </c>
      <c r="J39" s="86">
        <f>SUM(H39:I39)</f>
        <v>32168828.104129672</v>
      </c>
    </row>
    <row r="40" spans="1:10" ht="18.95" customHeight="1">
      <c r="A40" s="70"/>
      <c r="B40" s="78"/>
      <c r="C40" s="86"/>
      <c r="D40" s="86"/>
      <c r="E40" s="86"/>
      <c r="F40" s="86"/>
      <c r="G40" s="130"/>
      <c r="H40" s="86"/>
      <c r="I40" s="86"/>
      <c r="J40" s="86"/>
    </row>
    <row r="41" spans="1:10" ht="18.95" customHeight="1">
      <c r="A41" s="70">
        <v>2</v>
      </c>
      <c r="B41" s="78" t="s">
        <v>245</v>
      </c>
      <c r="C41" s="86">
        <f>'JURISSEP F'!E$299</f>
        <v>64937195.607692219</v>
      </c>
      <c r="D41" s="86">
        <v>0</v>
      </c>
      <c r="E41" s="86">
        <v>0</v>
      </c>
      <c r="F41" s="86">
        <f>SUM(C41:E41)</f>
        <v>64937195.607692219</v>
      </c>
      <c r="G41" s="130">
        <f>H41/F41</f>
        <v>0.90373478123624273</v>
      </c>
      <c r="H41" s="86">
        <f>'JURISSEP F'!G$299</f>
        <v>58686002.266612828</v>
      </c>
      <c r="I41" s="86"/>
      <c r="J41" s="86">
        <f>SUM(H41:I41)</f>
        <v>58686002.266612828</v>
      </c>
    </row>
    <row r="42" spans="1:10" ht="18.95" customHeight="1">
      <c r="A42" s="70"/>
      <c r="B42" s="78"/>
      <c r="C42" s="86"/>
      <c r="D42" s="86"/>
      <c r="E42" s="86"/>
      <c r="F42" s="86"/>
      <c r="G42" s="86"/>
      <c r="H42" s="86"/>
      <c r="I42" s="86"/>
      <c r="J42" s="86"/>
    </row>
    <row r="43" spans="1:10" ht="18.95" customHeight="1">
      <c r="A43" s="70">
        <v>3</v>
      </c>
      <c r="B43" s="78" t="s">
        <v>1170</v>
      </c>
      <c r="C43" s="86">
        <f>'JURISSEP F'!E$303</f>
        <v>21064190.996153846</v>
      </c>
      <c r="D43" s="86">
        <v>0</v>
      </c>
      <c r="E43" s="86">
        <v>0</v>
      </c>
      <c r="F43" s="86">
        <f>SUM(C43:E43)</f>
        <v>21064190.996153846</v>
      </c>
      <c r="G43" s="130">
        <f>H43/F43</f>
        <v>0.99956689676653443</v>
      </c>
      <c r="H43" s="86">
        <f>'JURISSEP F'!G$303</f>
        <v>21055068.026923075</v>
      </c>
      <c r="I43" s="86"/>
      <c r="J43" s="86">
        <f>SUM(H43:I43)</f>
        <v>21055068.026923075</v>
      </c>
    </row>
    <row r="44" spans="1:10" ht="18.95" customHeight="1">
      <c r="A44" s="70"/>
      <c r="B44" s="78"/>
      <c r="C44" s="86"/>
      <c r="D44" s="86"/>
      <c r="E44" s="86"/>
      <c r="F44" s="86"/>
      <c r="G44" s="86"/>
      <c r="H44" s="86"/>
      <c r="I44" s="86"/>
      <c r="J44" s="86"/>
    </row>
    <row r="45" spans="1:10" ht="18.95" customHeight="1">
      <c r="A45" s="70">
        <v>4</v>
      </c>
      <c r="B45" s="78" t="s">
        <v>1171</v>
      </c>
      <c r="C45" s="131">
        <f>'JURISSEP F'!E$305</f>
        <v>23939501.055384547</v>
      </c>
      <c r="D45" s="131">
        <v>0</v>
      </c>
      <c r="E45" s="131">
        <v>0</v>
      </c>
      <c r="F45" s="131">
        <f>SUM(C45:E45)</f>
        <v>23939501.055384547</v>
      </c>
      <c r="G45" s="130">
        <f>H45/F45</f>
        <v>0.94276900725831281</v>
      </c>
      <c r="H45" s="131">
        <f>'JURISSEP F'!G$305</f>
        <v>22569419.64424422</v>
      </c>
      <c r="I45" s="131"/>
      <c r="J45" s="131">
        <f>SUM(H45:I45)</f>
        <v>22569419.64424422</v>
      </c>
    </row>
    <row r="46" spans="1:10" ht="18.95" customHeight="1">
      <c r="A46" s="70"/>
      <c r="B46" s="78"/>
      <c r="C46" s="86"/>
      <c r="D46" s="86"/>
      <c r="E46" s="86"/>
      <c r="F46" s="86"/>
      <c r="G46" s="86"/>
      <c r="H46" s="86"/>
      <c r="I46" s="86"/>
      <c r="J46" s="86"/>
    </row>
    <row r="47" spans="1:10" ht="18.95" customHeight="1" thickBot="1">
      <c r="A47" s="70">
        <v>5</v>
      </c>
      <c r="B47" s="78" t="s">
        <v>1174</v>
      </c>
      <c r="C47" s="94">
        <f>SUM(C39:C45)</f>
        <v>237652496.93720004</v>
      </c>
      <c r="D47" s="94">
        <f>SUM(D39:D45)</f>
        <v>961676.92</v>
      </c>
      <c r="E47" s="94">
        <f>SUM(E39:E45)</f>
        <v>0</v>
      </c>
      <c r="F47" s="94">
        <f>SUM(F39:F45)</f>
        <v>238614173.85720006</v>
      </c>
      <c r="G47" s="86"/>
      <c r="H47" s="94">
        <f>SUM(H39:H45)</f>
        <v>222778375.43355778</v>
      </c>
      <c r="I47" s="94">
        <f>SUM(I39:I45)</f>
        <v>-88299057.391647965</v>
      </c>
      <c r="J47" s="94">
        <f>SUM(J39:J45)</f>
        <v>134479318.04190978</v>
      </c>
    </row>
    <row r="48" spans="1:10" ht="18.95" customHeight="1" thickTop="1">
      <c r="B48" s="78"/>
    </row>
    <row r="49" spans="2:2">
      <c r="B49" s="188"/>
    </row>
  </sheetData>
  <mergeCells count="10">
    <mergeCell ref="A28:J28"/>
    <mergeCell ref="A29:J29"/>
    <mergeCell ref="D10:E10"/>
    <mergeCell ref="D35:E35"/>
    <mergeCell ref="A1:J1"/>
    <mergeCell ref="A2:J2"/>
    <mergeCell ref="A3:J3"/>
    <mergeCell ref="A4:J4"/>
    <mergeCell ref="A26:J26"/>
    <mergeCell ref="A27:J27"/>
  </mergeCells>
  <pageMargins left="0.95" right="0.5" top="0.75" bottom="0.75" header="0.3" footer="0.3"/>
  <pageSetup scale="56" fitToHeight="0" orientation="portrait" r:id="rId1"/>
  <rowBreaks count="1" manualBreakCount="1">
    <brk id="2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46"/>
  <sheetViews>
    <sheetView zoomScaleNormal="100" workbookViewId="0">
      <selection sqref="A1:G1"/>
    </sheetView>
  </sheetViews>
  <sheetFormatPr defaultColWidth="9" defaultRowHeight="12.75"/>
  <cols>
    <col min="1" max="1" width="6" style="69" customWidth="1"/>
    <col min="2" max="2" width="29.77734375" style="69" customWidth="1"/>
    <col min="3" max="3" width="14.77734375" style="69" customWidth="1"/>
    <col min="4" max="5" width="15.77734375" style="69" customWidth="1"/>
    <col min="6" max="6" width="15.33203125" style="69" customWidth="1"/>
    <col min="7" max="7" width="23.21875" style="69" customWidth="1"/>
    <col min="8" max="8" width="1.6640625" style="69" customWidth="1"/>
    <col min="9" max="16384" width="9" style="69"/>
  </cols>
  <sheetData>
    <row r="1" spans="1:9" s="68" customFormat="1" ht="20.100000000000001" customHeight="1">
      <c r="A1" s="766" t="str">
        <f>'Rate Case Constants'!C9</f>
        <v>KENTUCKY UTILITIES COMPANY</v>
      </c>
      <c r="B1" s="767"/>
      <c r="C1" s="767"/>
      <c r="D1" s="767"/>
      <c r="E1" s="767"/>
      <c r="F1" s="767"/>
      <c r="G1" s="767"/>
    </row>
    <row r="2" spans="1:9" s="68" customFormat="1" ht="20.100000000000001" customHeight="1">
      <c r="A2" s="766" t="str">
        <f>'Rate Case Constants'!C10</f>
        <v>CASE NO. 2018-00294</v>
      </c>
      <c r="B2" s="767"/>
      <c r="C2" s="767"/>
      <c r="D2" s="767"/>
      <c r="E2" s="767"/>
      <c r="F2" s="767"/>
      <c r="G2" s="767"/>
    </row>
    <row r="3" spans="1:9" s="68" customFormat="1" ht="20.100000000000001" customHeight="1">
      <c r="A3" s="767" t="s">
        <v>1713</v>
      </c>
      <c r="B3" s="767"/>
      <c r="C3" s="767"/>
      <c r="D3" s="767"/>
      <c r="E3" s="767"/>
      <c r="F3" s="767"/>
      <c r="G3" s="767"/>
      <c r="H3" s="767"/>
    </row>
    <row r="4" spans="1:9" s="68" customFormat="1" ht="20.100000000000001" customHeight="1">
      <c r="A4" s="766" t="str">
        <f>'Rate Case Constants'!C12</f>
        <v>AS OF DECEMBER 31, 2018</v>
      </c>
      <c r="B4" s="767"/>
      <c r="C4" s="767"/>
      <c r="D4" s="767"/>
      <c r="E4" s="767"/>
      <c r="F4" s="767"/>
      <c r="G4" s="767"/>
    </row>
    <row r="5" spans="1:9" s="68" customFormat="1" ht="20.100000000000001" customHeight="1">
      <c r="A5" s="223"/>
      <c r="B5" s="223"/>
      <c r="C5" s="223"/>
      <c r="D5" s="223"/>
      <c r="E5" s="223"/>
      <c r="F5" s="223"/>
      <c r="G5" s="223"/>
    </row>
    <row r="6" spans="1:9" s="68" customFormat="1" ht="20.100000000000001" customHeight="1">
      <c r="A6" s="67" t="s">
        <v>133</v>
      </c>
      <c r="F6" s="74"/>
      <c r="G6" s="74" t="s">
        <v>1218</v>
      </c>
    </row>
    <row r="7" spans="1:9" s="68" customFormat="1" ht="20.100000000000001" customHeight="1">
      <c r="A7" s="68" t="str">
        <f>'Rate Case Constants'!C29</f>
        <v>TYPE OF FILING: __X__ ORIGINAL  _____ UPDATED  _____ REVISED</v>
      </c>
      <c r="F7" s="74"/>
      <c r="G7" s="74" t="s">
        <v>177</v>
      </c>
    </row>
    <row r="8" spans="1:9" s="68" customFormat="1" ht="20.100000000000001" customHeight="1">
      <c r="A8" s="67" t="s">
        <v>1198</v>
      </c>
      <c r="E8" s="67"/>
      <c r="F8" s="75"/>
      <c r="G8" s="75" t="str">
        <f>'Rate Case Constants'!C36</f>
        <v>WITNESS:   C. M. GARRETT</v>
      </c>
    </row>
    <row r="9" spans="1:9" s="68" customFormat="1" ht="20.100000000000001" customHeight="1"/>
    <row r="10" spans="1:9" ht="58.5" customHeight="1">
      <c r="A10" s="76" t="s">
        <v>131</v>
      </c>
      <c r="B10" s="76" t="s">
        <v>1165</v>
      </c>
      <c r="C10" s="76" t="s">
        <v>216</v>
      </c>
      <c r="D10" s="76" t="s">
        <v>217</v>
      </c>
      <c r="E10" s="76" t="s">
        <v>218</v>
      </c>
      <c r="F10" s="76" t="s">
        <v>219</v>
      </c>
      <c r="G10" s="76" t="s">
        <v>220</v>
      </c>
    </row>
    <row r="11" spans="1:9" ht="23.1" customHeight="1">
      <c r="A11" s="80"/>
      <c r="B11" s="81"/>
      <c r="C11" s="82" t="s">
        <v>142</v>
      </c>
      <c r="D11" s="82"/>
      <c r="E11" s="82" t="s">
        <v>142</v>
      </c>
      <c r="F11" s="82"/>
      <c r="G11" s="82"/>
    </row>
    <row r="12" spans="1:9" ht="18.95" customHeight="1">
      <c r="A12" s="224">
        <v>1</v>
      </c>
      <c r="B12" s="68" t="s">
        <v>1712</v>
      </c>
      <c r="C12" s="396">
        <f>SUMIFS('FC CWIP &amp; RWIP B'!$P$6:$P$22,'FC CWIP &amp; RWIP B'!$C$6:$C$22,I12,'FC CWIP &amp; RWIP B'!$A$6:$A$22,B12)*-1000</f>
        <v>-250332183.44501829</v>
      </c>
      <c r="D12" s="398">
        <f>'SCH B-4'!G14</f>
        <v>0.87368116089969527</v>
      </c>
      <c r="E12" s="396">
        <f>C12*D12</f>
        <v>-218710512.64279905</v>
      </c>
      <c r="G12" s="68" t="s">
        <v>1715</v>
      </c>
      <c r="I12" s="68" t="s">
        <v>2184</v>
      </c>
    </row>
    <row r="13" spans="1:9" ht="18.95" customHeight="1">
      <c r="A13" s="224">
        <f>A12+1</f>
        <v>2</v>
      </c>
      <c r="B13" s="68" t="s">
        <v>245</v>
      </c>
      <c r="C13" s="396"/>
      <c r="D13" s="398"/>
      <c r="E13" s="396">
        <f>C13*D13</f>
        <v>0</v>
      </c>
      <c r="G13" s="68"/>
    </row>
    <row r="14" spans="1:9" ht="18.95" customHeight="1">
      <c r="A14" s="224">
        <f t="shared" ref="A14:A15" si="0">A13+1</f>
        <v>3</v>
      </c>
      <c r="B14" s="68" t="s">
        <v>1170</v>
      </c>
      <c r="C14" s="396"/>
      <c r="D14" s="398"/>
      <c r="E14" s="396">
        <f>C14*D14</f>
        <v>0</v>
      </c>
      <c r="G14" s="68"/>
    </row>
    <row r="15" spans="1:9" ht="18.95" customHeight="1">
      <c r="A15" s="224">
        <f t="shared" si="0"/>
        <v>4</v>
      </c>
      <c r="B15" s="68" t="s">
        <v>1171</v>
      </c>
      <c r="C15" s="396"/>
      <c r="D15" s="398"/>
      <c r="E15" s="396">
        <f>C15*D15</f>
        <v>0</v>
      </c>
      <c r="G15" s="68"/>
    </row>
    <row r="16" spans="1:9" ht="18.95" customHeight="1">
      <c r="A16" s="291"/>
      <c r="B16" s="68"/>
      <c r="C16" s="396"/>
      <c r="D16" s="398"/>
      <c r="E16" s="396"/>
      <c r="G16" s="68"/>
    </row>
    <row r="17" spans="1:9" ht="18.95" customHeight="1" thickBot="1">
      <c r="A17" s="224"/>
      <c r="B17" s="68" t="s">
        <v>2023</v>
      </c>
      <c r="C17" s="394">
        <f>SUM(C12:C16)</f>
        <v>-250332183.44501829</v>
      </c>
      <c r="D17" s="398"/>
      <c r="E17" s="394">
        <f>SUM(E12:E16)</f>
        <v>-218710512.64279905</v>
      </c>
      <c r="G17" s="68"/>
    </row>
    <row r="18" spans="1:9" ht="18.95" customHeight="1" thickTop="1">
      <c r="A18" s="224"/>
      <c r="B18" s="68"/>
      <c r="C18" s="88"/>
      <c r="D18" s="228"/>
      <c r="E18" s="88"/>
      <c r="G18" s="147"/>
    </row>
    <row r="19" spans="1:9" s="68" customFormat="1" ht="20.100000000000001" customHeight="1">
      <c r="A19" s="767" t="str">
        <f>$A$1</f>
        <v>KENTUCKY UTILITIES COMPANY</v>
      </c>
      <c r="B19" s="767"/>
      <c r="C19" s="767"/>
      <c r="D19" s="767"/>
      <c r="E19" s="767"/>
      <c r="F19" s="767"/>
      <c r="G19" s="767"/>
    </row>
    <row r="20" spans="1:9" s="68" customFormat="1" ht="20.100000000000001" customHeight="1">
      <c r="A20" s="767" t="str">
        <f>$A$2</f>
        <v>CASE NO. 2018-00294</v>
      </c>
      <c r="B20" s="767"/>
      <c r="C20" s="767"/>
      <c r="D20" s="767"/>
      <c r="E20" s="767"/>
      <c r="F20" s="767"/>
      <c r="G20" s="767"/>
    </row>
    <row r="21" spans="1:9" s="68" customFormat="1" ht="20.100000000000001" customHeight="1">
      <c r="A21" s="767" t="str">
        <f>$A$3</f>
        <v>ADJUSTMENTS TO CONSTRUCTION WORK IN PROGRESS</v>
      </c>
      <c r="B21" s="767"/>
      <c r="C21" s="767"/>
      <c r="D21" s="767"/>
      <c r="E21" s="767"/>
      <c r="F21" s="767"/>
      <c r="G21" s="767"/>
    </row>
    <row r="22" spans="1:9" s="68" customFormat="1" ht="20.100000000000001" customHeight="1">
      <c r="A22" s="766" t="str">
        <f>'Rate Case Constants'!C18</f>
        <v>AS OF APRIL 30, 2020</v>
      </c>
      <c r="B22" s="770"/>
      <c r="C22" s="770"/>
      <c r="D22" s="770"/>
      <c r="E22" s="770"/>
      <c r="F22" s="770"/>
      <c r="G22" s="770"/>
    </row>
    <row r="23" spans="1:9" s="68" customFormat="1" ht="20.100000000000001" customHeight="1">
      <c r="A23" s="223"/>
      <c r="B23" s="223"/>
      <c r="C23" s="223"/>
      <c r="D23" s="223"/>
      <c r="E23" s="223"/>
      <c r="F23" s="223"/>
      <c r="G23" s="223"/>
    </row>
    <row r="24" spans="1:9" s="68" customFormat="1" ht="20.100000000000001" customHeight="1">
      <c r="A24" s="67" t="s">
        <v>161</v>
      </c>
      <c r="F24" s="74"/>
      <c r="G24" s="74" t="s">
        <v>1218</v>
      </c>
    </row>
    <row r="25" spans="1:9" s="68" customFormat="1" ht="20.100000000000001" customHeight="1">
      <c r="A25" s="67" t="str">
        <f>$A$7</f>
        <v>TYPE OF FILING: __X__ ORIGINAL  _____ UPDATED  _____ REVISED</v>
      </c>
      <c r="F25" s="74"/>
      <c r="G25" s="74" t="s">
        <v>185</v>
      </c>
    </row>
    <row r="26" spans="1:9" s="68" customFormat="1" ht="20.100000000000001" customHeight="1">
      <c r="A26" s="67" t="str">
        <f>$A$8</f>
        <v>WORKPAPER REFERENCE NO(S).:</v>
      </c>
      <c r="E26" s="67"/>
      <c r="F26" s="75"/>
      <c r="G26" s="75" t="str">
        <f>$G$8</f>
        <v>WITNESS:   C. M. GARRETT</v>
      </c>
    </row>
    <row r="27" spans="1:9" s="68" customFormat="1" ht="20.100000000000001" customHeight="1"/>
    <row r="28" spans="1:9" ht="58.5" customHeight="1">
      <c r="A28" s="76" t="s">
        <v>131</v>
      </c>
      <c r="B28" s="76" t="s">
        <v>1165</v>
      </c>
      <c r="C28" s="76" t="s">
        <v>216</v>
      </c>
      <c r="D28" s="76" t="s">
        <v>217</v>
      </c>
      <c r="E28" s="76" t="s">
        <v>218</v>
      </c>
      <c r="F28" s="76" t="s">
        <v>219</v>
      </c>
      <c r="G28" s="76" t="s">
        <v>220</v>
      </c>
    </row>
    <row r="29" spans="1:9" ht="23.1" customHeight="1">
      <c r="A29" s="80"/>
      <c r="B29" s="81"/>
      <c r="C29" s="82" t="s">
        <v>142</v>
      </c>
      <c r="D29" s="82"/>
      <c r="E29" s="82" t="s">
        <v>142</v>
      </c>
      <c r="F29" s="82"/>
      <c r="G29" s="82"/>
    </row>
    <row r="30" spans="1:9" ht="18.95" customHeight="1">
      <c r="A30" s="224">
        <v>1</v>
      </c>
      <c r="B30" s="68" t="s">
        <v>1712</v>
      </c>
      <c r="C30" s="396">
        <f>SUMIFS('FC CWIP &amp; RWIP F'!$Q$6:$Q$22,'FC CWIP &amp; RWIP F'!$C$6:$C$22,I30,'FC CWIP &amp; RWIP F'!$A$6:$A$22,B30)*-1000</f>
        <v>-94313350.284252077</v>
      </c>
      <c r="D30" s="398">
        <f>'SCH B-4'!G39</f>
        <v>0.93623073642832577</v>
      </c>
      <c r="E30" s="396">
        <f>C30*D30</f>
        <v>-88299057.391647965</v>
      </c>
      <c r="G30" s="68" t="s">
        <v>1715</v>
      </c>
      <c r="I30" s="68" t="s">
        <v>2184</v>
      </c>
    </row>
    <row r="31" spans="1:9" ht="18.95" customHeight="1">
      <c r="A31" s="224">
        <f>A30+1</f>
        <v>2</v>
      </c>
      <c r="B31" s="68" t="s">
        <v>245</v>
      </c>
      <c r="C31" s="396"/>
      <c r="D31" s="398"/>
      <c r="E31" s="396">
        <f>C31*D31</f>
        <v>0</v>
      </c>
      <c r="G31" s="68"/>
    </row>
    <row r="32" spans="1:9" ht="18.95" customHeight="1">
      <c r="A32" s="224">
        <f t="shared" ref="A32:A33" si="1">A31+1</f>
        <v>3</v>
      </c>
      <c r="B32" s="68" t="s">
        <v>1170</v>
      </c>
      <c r="C32" s="396"/>
      <c r="D32" s="398"/>
      <c r="E32" s="396">
        <f>C32*D32</f>
        <v>0</v>
      </c>
      <c r="G32" s="68"/>
    </row>
    <row r="33" spans="1:7" ht="18.95" customHeight="1">
      <c r="A33" s="224">
        <f t="shared" si="1"/>
        <v>4</v>
      </c>
      <c r="B33" s="68" t="s">
        <v>1171</v>
      </c>
      <c r="C33" s="396"/>
      <c r="D33" s="398"/>
      <c r="E33" s="396">
        <f>C33*D33</f>
        <v>0</v>
      </c>
      <c r="G33" s="68"/>
    </row>
    <row r="34" spans="1:7" ht="18.95" customHeight="1">
      <c r="A34" s="291"/>
      <c r="B34" s="68"/>
      <c r="C34" s="396"/>
      <c r="D34" s="398"/>
      <c r="E34" s="396"/>
      <c r="G34" s="68"/>
    </row>
    <row r="35" spans="1:7" ht="18.95" customHeight="1" thickBot="1">
      <c r="A35" s="291"/>
      <c r="B35" s="68" t="s">
        <v>2023</v>
      </c>
      <c r="C35" s="394">
        <f>SUM(C30:C34)</f>
        <v>-94313350.284252077</v>
      </c>
      <c r="D35" s="398"/>
      <c r="E35" s="394">
        <f>SUM(E30:E34)</f>
        <v>-88299057.391647965</v>
      </c>
      <c r="G35" s="68"/>
    </row>
    <row r="36" spans="1:7" ht="18.95" customHeight="1" thickTop="1">
      <c r="A36" s="224"/>
      <c r="B36" s="68"/>
      <c r="C36" s="88"/>
      <c r="D36" s="228"/>
      <c r="E36" s="88"/>
      <c r="G36" s="147"/>
    </row>
    <row r="37" spans="1:7" ht="18.95" customHeight="1"/>
    <row r="38" spans="1:7" ht="18.95" customHeight="1"/>
    <row r="39" spans="1:7" ht="18.95" customHeight="1"/>
    <row r="40" spans="1:7" ht="18.95" customHeight="1"/>
    <row r="41" spans="1:7" ht="18.95" customHeight="1"/>
    <row r="42" spans="1:7" ht="18.95" customHeight="1"/>
    <row r="43" spans="1:7" ht="18.95" customHeight="1"/>
    <row r="44" spans="1:7" ht="18.95" customHeight="1"/>
    <row r="45" spans="1:7" ht="18.95" customHeight="1"/>
    <row r="46" spans="1:7" ht="18.95" customHeight="1"/>
  </sheetData>
  <mergeCells count="8">
    <mergeCell ref="A21:G21"/>
    <mergeCell ref="A22:G22"/>
    <mergeCell ref="A1:G1"/>
    <mergeCell ref="A2:G2"/>
    <mergeCell ref="A3:H3"/>
    <mergeCell ref="A4:G4"/>
    <mergeCell ref="A19:G19"/>
    <mergeCell ref="A20:G20"/>
  </mergeCells>
  <pageMargins left="0.95" right="0.5" top="0.75" bottom="0.75" header="0.3" footer="0.3"/>
  <pageSetup scale="74" fitToHeight="0" orientation="portrait" r:id="rId1"/>
  <rowBreaks count="1" manualBreakCount="1">
    <brk id="18"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2"/>
  <sheetViews>
    <sheetView zoomScaleNormal="100" workbookViewId="0">
      <selection activeCell="H13" sqref="H13"/>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7" t="str">
        <f>'Rate Case Constants'!C9</f>
        <v>KENTUCKY UTILITIES COMPANY</v>
      </c>
      <c r="B1" s="767"/>
      <c r="C1" s="767"/>
      <c r="D1" s="767"/>
      <c r="E1" s="767"/>
      <c r="F1" s="767"/>
      <c r="G1" s="767"/>
      <c r="H1" s="767"/>
      <c r="I1" s="767"/>
      <c r="J1" s="767"/>
    </row>
    <row r="2" spans="1:16" ht="20.100000000000001" customHeight="1">
      <c r="A2" s="767" t="str">
        <f>'Rate Case Constants'!C10</f>
        <v>CASE NO. 2018-00294</v>
      </c>
      <c r="B2" s="767"/>
      <c r="C2" s="767"/>
      <c r="D2" s="767"/>
      <c r="E2" s="767"/>
      <c r="F2" s="767"/>
      <c r="G2" s="767"/>
      <c r="H2" s="767"/>
      <c r="I2" s="767"/>
      <c r="J2" s="767"/>
    </row>
    <row r="3" spans="1:16" ht="20.100000000000001" customHeight="1">
      <c r="A3" s="767" t="s">
        <v>1219</v>
      </c>
      <c r="B3" s="767"/>
      <c r="C3" s="767"/>
      <c r="D3" s="767"/>
      <c r="E3" s="767"/>
      <c r="F3" s="767"/>
      <c r="G3" s="767"/>
      <c r="H3" s="767"/>
      <c r="I3" s="767"/>
      <c r="J3" s="767"/>
    </row>
    <row r="4" spans="1:16" ht="20.100000000000001" customHeight="1">
      <c r="A4" s="767" t="str">
        <f>'Rate Case Constants'!C12</f>
        <v>AS OF DECEMBER 31, 2018</v>
      </c>
      <c r="B4" s="767"/>
      <c r="C4" s="767"/>
      <c r="D4" s="767"/>
      <c r="E4" s="767"/>
      <c r="F4" s="767"/>
      <c r="G4" s="767"/>
      <c r="H4" s="767"/>
      <c r="I4" s="767"/>
      <c r="J4" s="767"/>
    </row>
    <row r="5" spans="1:16" ht="20.100000000000001" customHeight="1">
      <c r="A5" s="347"/>
      <c r="B5" s="347"/>
      <c r="C5" s="347"/>
      <c r="D5" s="347"/>
      <c r="E5" s="347"/>
      <c r="F5" s="347"/>
      <c r="G5" s="347"/>
      <c r="H5" s="347"/>
      <c r="I5" s="347"/>
      <c r="J5" s="347"/>
    </row>
    <row r="6" spans="1:16" ht="20.100000000000001" customHeight="1">
      <c r="A6" s="67" t="s">
        <v>133</v>
      </c>
      <c r="B6" s="348"/>
      <c r="G6" s="74"/>
      <c r="H6" s="74"/>
      <c r="I6" s="74"/>
      <c r="J6" s="74" t="s">
        <v>1714</v>
      </c>
    </row>
    <row r="7" spans="1:16" ht="20.100000000000001" customHeight="1">
      <c r="A7" s="68" t="str">
        <f>'Rate Case Constants'!C29</f>
        <v>TYPE OF FILING: __X__ ORIGINAL  _____ UPDATED  _____ REVISED</v>
      </c>
      <c r="G7" s="74"/>
      <c r="H7" s="74"/>
      <c r="I7" s="74"/>
      <c r="J7" s="74" t="s">
        <v>3406</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0.87619215824796892</v>
      </c>
      <c r="G13" s="355">
        <v>16452.849999999999</v>
      </c>
      <c r="H13" s="355">
        <v>0</v>
      </c>
      <c r="I13" s="359">
        <v>63692.34</v>
      </c>
      <c r="J13" s="353">
        <f t="shared" ref="J13:J56" si="0">IFERROR(I13/H13,0)</f>
        <v>0</v>
      </c>
      <c r="M13" s="74">
        <f t="shared" ref="M13:M88" si="1">E13-D13</f>
        <v>5662</v>
      </c>
      <c r="N13" s="146">
        <v>43465</v>
      </c>
      <c r="O13" s="74">
        <f t="shared" ref="O13:O88" si="2">E13-N13</f>
        <v>701</v>
      </c>
      <c r="P13" s="354">
        <f>(M13-O13)/M13</f>
        <v>0.87619215824796892</v>
      </c>
    </row>
    <row r="14" spans="1:16" ht="18.95" customHeight="1">
      <c r="A14" s="349">
        <f>A13+1</f>
        <v>2</v>
      </c>
      <c r="B14" s="358" t="s">
        <v>2358</v>
      </c>
      <c r="C14" s="355" t="s">
        <v>2359</v>
      </c>
      <c r="D14" s="145">
        <v>42795</v>
      </c>
      <c r="E14" s="146">
        <v>43830</v>
      </c>
      <c r="F14" s="149">
        <v>0.64734299516908211</v>
      </c>
      <c r="G14" s="355">
        <v>4530854.8899999997</v>
      </c>
      <c r="H14" s="355">
        <v>4696175.4399999995</v>
      </c>
      <c r="I14" s="359">
        <v>2081464.33</v>
      </c>
      <c r="J14" s="353">
        <f t="shared" si="0"/>
        <v>0.44322541961933182</v>
      </c>
      <c r="M14" s="74">
        <f t="shared" si="1"/>
        <v>1035</v>
      </c>
      <c r="N14" s="146">
        <v>43465</v>
      </c>
      <c r="O14" s="74">
        <f t="shared" si="2"/>
        <v>365</v>
      </c>
      <c r="P14" s="354">
        <f t="shared" ref="P14:P89" si="3">(M14-O14)/M14</f>
        <v>0.64734299516908211</v>
      </c>
    </row>
    <row r="15" spans="1:16" ht="18.95" customHeight="1">
      <c r="A15" s="349">
        <f t="shared" ref="A15:A90" si="4">A14+1</f>
        <v>3</v>
      </c>
      <c r="B15" s="358" t="s">
        <v>2360</v>
      </c>
      <c r="C15" s="355" t="s">
        <v>2719</v>
      </c>
      <c r="D15" s="145">
        <v>42736</v>
      </c>
      <c r="E15" s="146">
        <v>43465</v>
      </c>
      <c r="F15" s="149">
        <v>1</v>
      </c>
      <c r="G15" s="355">
        <v>2466361.12</v>
      </c>
      <c r="H15" s="355">
        <v>2160993.35</v>
      </c>
      <c r="I15" s="359">
        <v>-9.3132257461547852E-10</v>
      </c>
      <c r="J15" s="353">
        <f t="shared" si="0"/>
        <v>-4.3096966245429605E-16</v>
      </c>
      <c r="M15" s="74">
        <f t="shared" si="1"/>
        <v>729</v>
      </c>
      <c r="N15" s="146">
        <v>43465</v>
      </c>
      <c r="O15" s="74">
        <f t="shared" si="2"/>
        <v>0</v>
      </c>
      <c r="P15" s="354">
        <f t="shared" si="3"/>
        <v>1</v>
      </c>
    </row>
    <row r="16" spans="1:16" ht="18.95" customHeight="1">
      <c r="A16" s="349">
        <f t="shared" si="4"/>
        <v>4</v>
      </c>
      <c r="B16" s="358" t="s">
        <v>2397</v>
      </c>
      <c r="C16" s="355" t="s">
        <v>2398</v>
      </c>
      <c r="D16" s="145">
        <v>42314</v>
      </c>
      <c r="E16" s="146">
        <v>43646</v>
      </c>
      <c r="F16" s="149">
        <v>0.8641141141141141</v>
      </c>
      <c r="G16" s="355">
        <v>-533.56999999999994</v>
      </c>
      <c r="H16" s="355">
        <v>594.33000000000004</v>
      </c>
      <c r="I16" s="359">
        <v>594.32999999999993</v>
      </c>
      <c r="J16" s="353">
        <f t="shared" si="0"/>
        <v>0.99999999999999978</v>
      </c>
      <c r="M16" s="74">
        <f t="shared" si="1"/>
        <v>1332</v>
      </c>
      <c r="N16" s="146">
        <v>43465</v>
      </c>
      <c r="O16" s="74">
        <f t="shared" si="2"/>
        <v>181</v>
      </c>
      <c r="P16" s="354">
        <f t="shared" si="3"/>
        <v>0.8641141141141141</v>
      </c>
    </row>
    <row r="17" spans="1:16" ht="18.95" customHeight="1">
      <c r="A17" s="349">
        <f t="shared" si="4"/>
        <v>5</v>
      </c>
      <c r="B17" s="358" t="s">
        <v>2370</v>
      </c>
      <c r="C17" s="355" t="s">
        <v>2371</v>
      </c>
      <c r="D17" s="145">
        <v>42826</v>
      </c>
      <c r="E17" s="146">
        <v>43465</v>
      </c>
      <c r="F17" s="149">
        <v>1</v>
      </c>
      <c r="G17" s="355">
        <v>942091.2</v>
      </c>
      <c r="H17" s="355">
        <v>646806</v>
      </c>
      <c r="I17" s="359">
        <v>-1.1641532182693481E-10</v>
      </c>
      <c r="J17" s="353">
        <f t="shared" si="0"/>
        <v>-1.7998491329229291E-16</v>
      </c>
      <c r="M17" s="74">
        <f t="shared" si="1"/>
        <v>639</v>
      </c>
      <c r="N17" s="146">
        <v>43465</v>
      </c>
      <c r="O17" s="74">
        <f t="shared" si="2"/>
        <v>0</v>
      </c>
      <c r="P17" s="354">
        <f t="shared" si="3"/>
        <v>1</v>
      </c>
    </row>
    <row r="18" spans="1:16" ht="18.95" customHeight="1">
      <c r="A18" s="349">
        <f t="shared" si="4"/>
        <v>6</v>
      </c>
      <c r="B18" s="358" t="s">
        <v>2720</v>
      </c>
      <c r="C18" s="355" t="s">
        <v>2721</v>
      </c>
      <c r="D18" s="145">
        <v>42736</v>
      </c>
      <c r="E18" s="146">
        <v>43738</v>
      </c>
      <c r="F18" s="149">
        <v>0.72754491017964074</v>
      </c>
      <c r="G18" s="355">
        <v>1165120</v>
      </c>
      <c r="H18" s="355">
        <v>1572980.46</v>
      </c>
      <c r="I18" s="359">
        <v>955474.15</v>
      </c>
      <c r="J18" s="353">
        <f t="shared" si="0"/>
        <v>0.60742912852204156</v>
      </c>
      <c r="M18" s="74">
        <f t="shared" si="1"/>
        <v>1002</v>
      </c>
      <c r="N18" s="146">
        <v>43465</v>
      </c>
      <c r="O18" s="74">
        <f t="shared" si="2"/>
        <v>273</v>
      </c>
      <c r="P18" s="354">
        <f t="shared" si="3"/>
        <v>0.72754491017964074</v>
      </c>
    </row>
    <row r="19" spans="1:16" ht="18.95" customHeight="1">
      <c r="A19" s="349">
        <f t="shared" si="4"/>
        <v>7</v>
      </c>
      <c r="B19" s="358" t="s">
        <v>2722</v>
      </c>
      <c r="C19" s="355" t="s">
        <v>2723</v>
      </c>
      <c r="D19" s="145">
        <v>42887</v>
      </c>
      <c r="E19" s="146">
        <v>43830</v>
      </c>
      <c r="F19" s="149">
        <v>0.61293743372216336</v>
      </c>
      <c r="G19" s="355">
        <v>2100760</v>
      </c>
      <c r="H19" s="355">
        <v>3485332.68</v>
      </c>
      <c r="I19" s="359">
        <v>3651333.2199999997</v>
      </c>
      <c r="J19" s="353">
        <f t="shared" si="0"/>
        <v>1.0476283199456298</v>
      </c>
      <c r="M19" s="74">
        <f t="shared" si="1"/>
        <v>943</v>
      </c>
      <c r="N19" s="146">
        <v>43465</v>
      </c>
      <c r="O19" s="74">
        <f t="shared" si="2"/>
        <v>365</v>
      </c>
      <c r="P19" s="354">
        <f t="shared" si="3"/>
        <v>0.61293743372216336</v>
      </c>
    </row>
    <row r="20" spans="1:16" ht="18.95" customHeight="1">
      <c r="A20" s="349">
        <f t="shared" si="4"/>
        <v>8</v>
      </c>
      <c r="B20" s="358" t="s">
        <v>2724</v>
      </c>
      <c r="C20" s="355" t="s">
        <v>2725</v>
      </c>
      <c r="D20" s="145">
        <v>42825</v>
      </c>
      <c r="E20" s="146">
        <v>43830</v>
      </c>
      <c r="F20" s="149">
        <v>0.63681592039800994</v>
      </c>
      <c r="G20" s="355">
        <v>2371007.4700000002</v>
      </c>
      <c r="H20" s="355">
        <v>1458198.71</v>
      </c>
      <c r="I20" s="359">
        <v>2315842.62</v>
      </c>
      <c r="J20" s="353">
        <f t="shared" si="0"/>
        <v>1.5881529753924966</v>
      </c>
      <c r="M20" s="74">
        <f t="shared" si="1"/>
        <v>1005</v>
      </c>
      <c r="N20" s="146">
        <v>43465</v>
      </c>
      <c r="O20" s="74">
        <f t="shared" si="2"/>
        <v>365</v>
      </c>
      <c r="P20" s="354">
        <f t="shared" si="3"/>
        <v>0.63681592039800994</v>
      </c>
    </row>
    <row r="21" spans="1:16" ht="18.95" customHeight="1">
      <c r="A21" s="349">
        <f t="shared" si="4"/>
        <v>9</v>
      </c>
      <c r="B21" s="358" t="s">
        <v>2726</v>
      </c>
      <c r="C21" s="355" t="s">
        <v>2727</v>
      </c>
      <c r="D21" s="145">
        <v>43101</v>
      </c>
      <c r="E21" s="146">
        <v>43465</v>
      </c>
      <c r="F21" s="149">
        <v>1</v>
      </c>
      <c r="G21" s="355">
        <v>252919.08</v>
      </c>
      <c r="H21" s="355">
        <v>252919.08</v>
      </c>
      <c r="I21" s="359">
        <v>-2.9103830456733704E-11</v>
      </c>
      <c r="J21" s="353">
        <f t="shared" si="0"/>
        <v>-1.1507170774436512E-16</v>
      </c>
      <c r="M21" s="74">
        <f t="shared" si="1"/>
        <v>364</v>
      </c>
      <c r="N21" s="146">
        <v>43465</v>
      </c>
      <c r="O21" s="74">
        <f t="shared" si="2"/>
        <v>0</v>
      </c>
      <c r="P21" s="354">
        <f t="shared" si="3"/>
        <v>1</v>
      </c>
    </row>
    <row r="22" spans="1:16" ht="18.95" customHeight="1">
      <c r="A22" s="349">
        <f t="shared" si="4"/>
        <v>10</v>
      </c>
      <c r="B22" s="358" t="s">
        <v>2728</v>
      </c>
      <c r="C22" s="355" t="s">
        <v>2729</v>
      </c>
      <c r="D22" s="145">
        <v>43221</v>
      </c>
      <c r="E22" s="146">
        <v>43769</v>
      </c>
      <c r="F22" s="149">
        <v>0.44525547445255476</v>
      </c>
      <c r="G22" s="355">
        <v>1285318.94</v>
      </c>
      <c r="H22" s="355">
        <v>1285318.94</v>
      </c>
      <c r="I22" s="359">
        <v>570278.14</v>
      </c>
      <c r="J22" s="353">
        <f t="shared" si="0"/>
        <v>0.44368609397446523</v>
      </c>
      <c r="M22" s="74">
        <f t="shared" si="1"/>
        <v>548</v>
      </c>
      <c r="N22" s="146">
        <v>43465</v>
      </c>
      <c r="O22" s="74">
        <f t="shared" si="2"/>
        <v>304</v>
      </c>
      <c r="P22" s="354">
        <f t="shared" si="3"/>
        <v>0.44525547445255476</v>
      </c>
    </row>
    <row r="23" spans="1:16" ht="18.95" customHeight="1">
      <c r="A23" s="349">
        <f t="shared" si="4"/>
        <v>11</v>
      </c>
      <c r="B23" s="358" t="s">
        <v>2730</v>
      </c>
      <c r="C23" s="355" t="s">
        <v>2731</v>
      </c>
      <c r="D23" s="145">
        <v>42933</v>
      </c>
      <c r="E23" s="146">
        <v>44196</v>
      </c>
      <c r="F23" s="149">
        <v>0.42121931908155186</v>
      </c>
      <c r="G23" s="355">
        <v>194908</v>
      </c>
      <c r="H23" s="355">
        <v>194908</v>
      </c>
      <c r="I23" s="359">
        <v>198444.65</v>
      </c>
      <c r="J23" s="353">
        <f t="shared" si="0"/>
        <v>1.0181452274919449</v>
      </c>
      <c r="M23" s="74">
        <f t="shared" si="1"/>
        <v>1263</v>
      </c>
      <c r="N23" s="146">
        <v>43465</v>
      </c>
      <c r="O23" s="74">
        <f t="shared" si="2"/>
        <v>731</v>
      </c>
      <c r="P23" s="354">
        <f t="shared" si="3"/>
        <v>0.42121931908155186</v>
      </c>
    </row>
    <row r="24" spans="1:16" ht="18.95" customHeight="1">
      <c r="A24" s="349">
        <f t="shared" si="4"/>
        <v>12</v>
      </c>
      <c r="B24" s="358" t="s">
        <v>2732</v>
      </c>
      <c r="C24" s="355" t="s">
        <v>2733</v>
      </c>
      <c r="D24" s="145">
        <v>43101</v>
      </c>
      <c r="E24" s="146">
        <v>44135</v>
      </c>
      <c r="F24" s="149">
        <v>0.3520309477756286</v>
      </c>
      <c r="G24" s="355">
        <v>2000000.01</v>
      </c>
      <c r="H24" s="355">
        <v>2000000.01</v>
      </c>
      <c r="I24" s="359">
        <v>796000.01</v>
      </c>
      <c r="J24" s="353">
        <f t="shared" si="0"/>
        <v>0.39800000300999999</v>
      </c>
      <c r="M24" s="74">
        <f t="shared" si="1"/>
        <v>1034</v>
      </c>
      <c r="N24" s="146">
        <v>43465</v>
      </c>
      <c r="O24" s="74">
        <f t="shared" si="2"/>
        <v>670</v>
      </c>
      <c r="P24" s="354">
        <f t="shared" si="3"/>
        <v>0.3520309477756286</v>
      </c>
    </row>
    <row r="25" spans="1:16" ht="18.95" customHeight="1">
      <c r="A25" s="349">
        <f t="shared" si="4"/>
        <v>13</v>
      </c>
      <c r="B25" s="358" t="s">
        <v>2734</v>
      </c>
      <c r="C25" s="355" t="s">
        <v>2735</v>
      </c>
      <c r="D25" s="145">
        <v>43292</v>
      </c>
      <c r="E25" s="146">
        <v>43646</v>
      </c>
      <c r="F25" s="149">
        <v>0.48870056497175141</v>
      </c>
      <c r="G25" s="355">
        <v>230000</v>
      </c>
      <c r="H25" s="355">
        <v>230000</v>
      </c>
      <c r="I25" s="359">
        <v>230000</v>
      </c>
      <c r="J25" s="353">
        <f t="shared" si="0"/>
        <v>1</v>
      </c>
      <c r="M25" s="74">
        <f t="shared" si="1"/>
        <v>354</v>
      </c>
      <c r="N25" s="146">
        <v>43465</v>
      </c>
      <c r="O25" s="74">
        <f t="shared" si="2"/>
        <v>181</v>
      </c>
      <c r="P25" s="354">
        <f t="shared" si="3"/>
        <v>0.48870056497175141</v>
      </c>
    </row>
    <row r="26" spans="1:16" ht="18.95" customHeight="1">
      <c r="A26" s="349">
        <f t="shared" si="4"/>
        <v>14</v>
      </c>
      <c r="B26" s="358" t="s">
        <v>2736</v>
      </c>
      <c r="C26" s="355" t="s">
        <v>2737</v>
      </c>
      <c r="D26" s="145">
        <v>43292</v>
      </c>
      <c r="E26" s="146">
        <v>43646</v>
      </c>
      <c r="F26" s="149">
        <v>0.48870056497175141</v>
      </c>
      <c r="G26" s="355">
        <v>210000</v>
      </c>
      <c r="H26" s="355">
        <v>210000</v>
      </c>
      <c r="I26" s="359">
        <v>210000</v>
      </c>
      <c r="J26" s="353">
        <f t="shared" si="0"/>
        <v>1</v>
      </c>
      <c r="M26" s="74">
        <f t="shared" si="1"/>
        <v>354</v>
      </c>
      <c r="N26" s="146">
        <v>43465</v>
      </c>
      <c r="O26" s="74">
        <f t="shared" si="2"/>
        <v>181</v>
      </c>
      <c r="P26" s="354">
        <f t="shared" si="3"/>
        <v>0.48870056497175141</v>
      </c>
    </row>
    <row r="27" spans="1:16" ht="18.95" customHeight="1">
      <c r="A27" s="349">
        <f t="shared" si="4"/>
        <v>15</v>
      </c>
      <c r="B27" s="358" t="s">
        <v>2738</v>
      </c>
      <c r="C27" s="355" t="s">
        <v>2739</v>
      </c>
      <c r="D27" s="145">
        <v>42887</v>
      </c>
      <c r="E27" s="146">
        <v>47848</v>
      </c>
      <c r="F27" s="149">
        <v>0.11650876839346906</v>
      </c>
      <c r="G27" s="355">
        <v>79355.34</v>
      </c>
      <c r="H27" s="355">
        <v>779979.21999999986</v>
      </c>
      <c r="I27" s="359">
        <v>88584</v>
      </c>
      <c r="J27" s="353">
        <f t="shared" si="0"/>
        <v>0.113572256450627</v>
      </c>
      <c r="M27" s="74">
        <f t="shared" si="1"/>
        <v>4961</v>
      </c>
      <c r="N27" s="146">
        <v>43465</v>
      </c>
      <c r="O27" s="74">
        <f t="shared" si="2"/>
        <v>4383</v>
      </c>
      <c r="P27" s="354">
        <f t="shared" si="3"/>
        <v>0.11650876839346906</v>
      </c>
    </row>
    <row r="28" spans="1:16" ht="18.95" customHeight="1">
      <c r="A28" s="349">
        <f t="shared" si="4"/>
        <v>16</v>
      </c>
      <c r="B28" s="358" t="s">
        <v>2087</v>
      </c>
      <c r="C28" s="355" t="s">
        <v>2088</v>
      </c>
      <c r="D28" s="145">
        <v>43132</v>
      </c>
      <c r="E28" s="146">
        <v>47087</v>
      </c>
      <c r="F28" s="149">
        <v>8.4197218710493044E-2</v>
      </c>
      <c r="G28" s="355">
        <v>1220000</v>
      </c>
      <c r="H28" s="355">
        <v>755105.45</v>
      </c>
      <c r="I28" s="359">
        <v>70271.37</v>
      </c>
      <c r="J28" s="353">
        <f t="shared" si="0"/>
        <v>9.3061664433755575E-2</v>
      </c>
      <c r="M28" s="74">
        <f t="shared" si="1"/>
        <v>3955</v>
      </c>
      <c r="N28" s="146">
        <v>43465</v>
      </c>
      <c r="O28" s="74">
        <f t="shared" si="2"/>
        <v>3622</v>
      </c>
      <c r="P28" s="354">
        <f t="shared" si="3"/>
        <v>8.4197218710493044E-2</v>
      </c>
    </row>
    <row r="29" spans="1:16" ht="18.95" customHeight="1">
      <c r="A29" s="349">
        <f t="shared" si="4"/>
        <v>17</v>
      </c>
      <c r="B29" s="358" t="s">
        <v>2740</v>
      </c>
      <c r="C29" s="355" t="s">
        <v>2741</v>
      </c>
      <c r="D29" s="145">
        <v>43282</v>
      </c>
      <c r="E29" s="146">
        <v>43738</v>
      </c>
      <c r="F29" s="149">
        <v>0.40131578947368424</v>
      </c>
      <c r="G29" s="355">
        <v>700000</v>
      </c>
      <c r="H29" s="355">
        <v>1273089.44</v>
      </c>
      <c r="I29" s="359">
        <v>206000</v>
      </c>
      <c r="J29" s="353">
        <f t="shared" si="0"/>
        <v>0.16181109789112696</v>
      </c>
      <c r="M29" s="74">
        <f t="shared" si="1"/>
        <v>456</v>
      </c>
      <c r="N29" s="146">
        <v>43465</v>
      </c>
      <c r="O29" s="74">
        <f t="shared" si="2"/>
        <v>273</v>
      </c>
      <c r="P29" s="354">
        <f t="shared" si="3"/>
        <v>0.40131578947368424</v>
      </c>
    </row>
    <row r="30" spans="1:16" ht="18.95" customHeight="1">
      <c r="A30" s="349">
        <f t="shared" si="4"/>
        <v>18</v>
      </c>
      <c r="B30" s="358" t="s">
        <v>2742</v>
      </c>
      <c r="C30" s="355" t="s">
        <v>2743</v>
      </c>
      <c r="D30" s="145">
        <v>43282</v>
      </c>
      <c r="E30" s="146">
        <v>43585</v>
      </c>
      <c r="F30" s="149">
        <v>0.60396039603960394</v>
      </c>
      <c r="G30" s="355">
        <v>700000</v>
      </c>
      <c r="H30" s="355">
        <v>929474.98</v>
      </c>
      <c r="I30" s="359">
        <v>216000.01</v>
      </c>
      <c r="J30" s="353">
        <f t="shared" si="0"/>
        <v>0.23238926775629831</v>
      </c>
      <c r="M30" s="74">
        <f t="shared" si="1"/>
        <v>303</v>
      </c>
      <c r="N30" s="146">
        <v>43465</v>
      </c>
      <c r="O30" s="74">
        <f t="shared" si="2"/>
        <v>120</v>
      </c>
      <c r="P30" s="354">
        <f t="shared" si="3"/>
        <v>0.60396039603960394</v>
      </c>
    </row>
    <row r="31" spans="1:16" ht="18.95" customHeight="1">
      <c r="A31" s="349">
        <f t="shared" si="4"/>
        <v>19</v>
      </c>
      <c r="B31" s="358" t="s">
        <v>2744</v>
      </c>
      <c r="C31" s="355" t="s">
        <v>2745</v>
      </c>
      <c r="D31" s="145">
        <v>42736</v>
      </c>
      <c r="E31" s="146">
        <v>43830</v>
      </c>
      <c r="F31" s="149">
        <v>0.6663619744058501</v>
      </c>
      <c r="G31" s="355">
        <v>91125</v>
      </c>
      <c r="H31" s="355">
        <v>163055.40000000002</v>
      </c>
      <c r="I31" s="359">
        <v>110721.74</v>
      </c>
      <c r="J31" s="353">
        <f t="shared" si="0"/>
        <v>0.67904368699227369</v>
      </c>
      <c r="M31" s="74">
        <f t="shared" si="1"/>
        <v>1094</v>
      </c>
      <c r="N31" s="146">
        <v>43465</v>
      </c>
      <c r="O31" s="74">
        <f t="shared" si="2"/>
        <v>365</v>
      </c>
      <c r="P31" s="354">
        <f t="shared" si="3"/>
        <v>0.6663619744058501</v>
      </c>
    </row>
    <row r="32" spans="1:16" ht="18.95" customHeight="1">
      <c r="A32" s="349">
        <f t="shared" si="4"/>
        <v>20</v>
      </c>
      <c r="B32" s="358" t="s">
        <v>2746</v>
      </c>
      <c r="C32" s="355" t="s">
        <v>2747</v>
      </c>
      <c r="D32" s="145">
        <v>43101</v>
      </c>
      <c r="E32" s="146">
        <v>43677</v>
      </c>
      <c r="F32" s="149">
        <v>0.63194444444444442</v>
      </c>
      <c r="G32" s="355">
        <v>2572100</v>
      </c>
      <c r="H32" s="355">
        <v>7878209.5</v>
      </c>
      <c r="I32" s="359">
        <v>3461973.2600000002</v>
      </c>
      <c r="J32" s="353">
        <f t="shared" si="0"/>
        <v>0.4394365572532693</v>
      </c>
      <c r="M32" s="74">
        <f t="shared" si="1"/>
        <v>576</v>
      </c>
      <c r="N32" s="146">
        <v>43465</v>
      </c>
      <c r="O32" s="74">
        <f t="shared" si="2"/>
        <v>212</v>
      </c>
      <c r="P32" s="354">
        <f t="shared" si="3"/>
        <v>0.63194444444444442</v>
      </c>
    </row>
    <row r="33" spans="1:16" ht="18.95" customHeight="1">
      <c r="A33" s="349">
        <f t="shared" si="4"/>
        <v>21</v>
      </c>
      <c r="B33" s="358" t="s">
        <v>2363</v>
      </c>
      <c r="C33" s="355" t="s">
        <v>2364</v>
      </c>
      <c r="D33" s="145">
        <v>42736</v>
      </c>
      <c r="E33" s="146">
        <v>43799</v>
      </c>
      <c r="F33" s="149">
        <v>0.68579492003762932</v>
      </c>
      <c r="G33" s="355">
        <v>8572984.370000001</v>
      </c>
      <c r="H33" s="355">
        <v>5529611.5099999998</v>
      </c>
      <c r="I33" s="359">
        <v>3863359.3099999996</v>
      </c>
      <c r="J33" s="353">
        <f t="shared" si="0"/>
        <v>0.69866740240491143</v>
      </c>
      <c r="M33" s="74">
        <f t="shared" si="1"/>
        <v>1063</v>
      </c>
      <c r="N33" s="146">
        <v>43465</v>
      </c>
      <c r="O33" s="74">
        <f t="shared" si="2"/>
        <v>334</v>
      </c>
      <c r="P33" s="354">
        <f t="shared" si="3"/>
        <v>0.68579492003762932</v>
      </c>
    </row>
    <row r="34" spans="1:16" ht="18.95" customHeight="1">
      <c r="A34" s="349">
        <f t="shared" si="4"/>
        <v>22</v>
      </c>
      <c r="B34" s="358" t="s">
        <v>2748</v>
      </c>
      <c r="C34" s="355" t="s">
        <v>2749</v>
      </c>
      <c r="D34" s="145">
        <v>43252</v>
      </c>
      <c r="E34" s="146">
        <v>43830</v>
      </c>
      <c r="F34" s="149">
        <v>0.36851211072664358</v>
      </c>
      <c r="G34" s="355">
        <v>3350000</v>
      </c>
      <c r="H34" s="355">
        <v>3608796.5799999996</v>
      </c>
      <c r="I34" s="359">
        <v>20025.800000000003</v>
      </c>
      <c r="J34" s="353">
        <f t="shared" si="0"/>
        <v>5.54916287356934E-3</v>
      </c>
      <c r="M34" s="74">
        <f t="shared" si="1"/>
        <v>578</v>
      </c>
      <c r="N34" s="146">
        <v>43465</v>
      </c>
      <c r="O34" s="74">
        <f t="shared" si="2"/>
        <v>365</v>
      </c>
      <c r="P34" s="354">
        <f t="shared" si="3"/>
        <v>0.36851211072664358</v>
      </c>
    </row>
    <row r="35" spans="1:16" ht="18.95" customHeight="1">
      <c r="A35" s="349">
        <f t="shared" si="4"/>
        <v>23</v>
      </c>
      <c r="B35" s="358" t="s">
        <v>2361</v>
      </c>
      <c r="C35" s="355" t="s">
        <v>2362</v>
      </c>
      <c r="D35" s="145">
        <v>42856</v>
      </c>
      <c r="E35" s="146">
        <v>43769</v>
      </c>
      <c r="F35" s="149">
        <v>0.66703176341730563</v>
      </c>
      <c r="G35" s="355">
        <v>11000000</v>
      </c>
      <c r="H35" s="355">
        <v>20466998.399999999</v>
      </c>
      <c r="I35" s="359">
        <v>4883356.78</v>
      </c>
      <c r="J35" s="353">
        <f t="shared" si="0"/>
        <v>0.23859662685076483</v>
      </c>
      <c r="M35" s="74">
        <f t="shared" si="1"/>
        <v>913</v>
      </c>
      <c r="N35" s="146">
        <v>43465</v>
      </c>
      <c r="O35" s="74">
        <f t="shared" si="2"/>
        <v>304</v>
      </c>
      <c r="P35" s="354">
        <f t="shared" si="3"/>
        <v>0.66703176341730563</v>
      </c>
    </row>
    <row r="36" spans="1:16" ht="18.95" customHeight="1">
      <c r="A36" s="349">
        <f t="shared" si="4"/>
        <v>24</v>
      </c>
      <c r="B36" s="358" t="s">
        <v>2348</v>
      </c>
      <c r="C36" s="355" t="s">
        <v>2349</v>
      </c>
      <c r="D36" s="145">
        <v>41947</v>
      </c>
      <c r="E36" s="146">
        <v>44561</v>
      </c>
      <c r="F36" s="149">
        <v>0.58071920428462132</v>
      </c>
      <c r="G36" s="355">
        <v>5400393.2599999998</v>
      </c>
      <c r="H36" s="355">
        <v>5606040.8600000003</v>
      </c>
      <c r="I36" s="359">
        <v>216545.86</v>
      </c>
      <c r="J36" s="353">
        <f t="shared" si="0"/>
        <v>3.8627235406914241E-2</v>
      </c>
      <c r="M36" s="74">
        <f t="shared" si="1"/>
        <v>2614</v>
      </c>
      <c r="N36" s="146">
        <v>43465</v>
      </c>
      <c r="O36" s="74">
        <f t="shared" si="2"/>
        <v>1096</v>
      </c>
      <c r="P36" s="354">
        <f t="shared" si="3"/>
        <v>0.58071920428462132</v>
      </c>
    </row>
    <row r="37" spans="1:16" ht="18.95" customHeight="1">
      <c r="A37" s="349">
        <f t="shared" si="4"/>
        <v>25</v>
      </c>
      <c r="B37" s="358" t="s">
        <v>2750</v>
      </c>
      <c r="C37" s="355" t="s">
        <v>2751</v>
      </c>
      <c r="D37" s="145">
        <v>42750</v>
      </c>
      <c r="E37" s="146">
        <v>43646</v>
      </c>
      <c r="F37" s="149">
        <v>0.7979910714285714</v>
      </c>
      <c r="G37" s="355">
        <v>194492.76</v>
      </c>
      <c r="H37" s="355">
        <v>74906.97</v>
      </c>
      <c r="I37" s="359">
        <v>64335.13</v>
      </c>
      <c r="J37" s="353">
        <f t="shared" si="0"/>
        <v>0.85886707204950352</v>
      </c>
      <c r="M37" s="74">
        <f t="shared" si="1"/>
        <v>896</v>
      </c>
      <c r="N37" s="146">
        <v>43465</v>
      </c>
      <c r="O37" s="74">
        <f t="shared" si="2"/>
        <v>181</v>
      </c>
      <c r="P37" s="354">
        <f t="shared" si="3"/>
        <v>0.7979910714285714</v>
      </c>
    </row>
    <row r="38" spans="1:16" ht="18.95" customHeight="1">
      <c r="A38" s="349">
        <f t="shared" si="4"/>
        <v>26</v>
      </c>
      <c r="B38" s="358" t="s">
        <v>2752</v>
      </c>
      <c r="C38" s="355" t="s">
        <v>2753</v>
      </c>
      <c r="D38" s="145">
        <v>42750</v>
      </c>
      <c r="E38" s="146">
        <v>43646</v>
      </c>
      <c r="F38" s="149">
        <v>0.7979910714285714</v>
      </c>
      <c r="G38" s="355">
        <v>194492.76</v>
      </c>
      <c r="H38" s="355">
        <v>75795.25</v>
      </c>
      <c r="I38" s="359">
        <v>64088.59</v>
      </c>
      <c r="J38" s="353">
        <f t="shared" si="0"/>
        <v>0.84554889653375376</v>
      </c>
      <c r="M38" s="74">
        <f t="shared" si="1"/>
        <v>896</v>
      </c>
      <c r="N38" s="146">
        <v>43465</v>
      </c>
      <c r="O38" s="74">
        <f t="shared" si="2"/>
        <v>181</v>
      </c>
      <c r="P38" s="354">
        <f t="shared" si="3"/>
        <v>0.7979910714285714</v>
      </c>
    </row>
    <row r="39" spans="1:16" ht="18.95" customHeight="1">
      <c r="A39" s="349">
        <f t="shared" si="4"/>
        <v>27</v>
      </c>
      <c r="B39" s="358" t="s">
        <v>2754</v>
      </c>
      <c r="C39" s="355" t="s">
        <v>2755</v>
      </c>
      <c r="D39" s="145">
        <v>42750</v>
      </c>
      <c r="E39" s="146">
        <v>43646</v>
      </c>
      <c r="F39" s="149">
        <v>0.7979910714285714</v>
      </c>
      <c r="G39" s="355">
        <v>194492.76</v>
      </c>
      <c r="H39" s="355">
        <v>75791.510000000009</v>
      </c>
      <c r="I39" s="359">
        <v>62560.42</v>
      </c>
      <c r="J39" s="353">
        <f t="shared" si="0"/>
        <v>0.82542780847089592</v>
      </c>
      <c r="M39" s="74">
        <f t="shared" si="1"/>
        <v>896</v>
      </c>
      <c r="N39" s="146">
        <v>43465</v>
      </c>
      <c r="O39" s="74">
        <f t="shared" si="2"/>
        <v>181</v>
      </c>
      <c r="P39" s="354">
        <f t="shared" si="3"/>
        <v>0.7979910714285714</v>
      </c>
    </row>
    <row r="40" spans="1:16" ht="18.95" customHeight="1">
      <c r="A40" s="349">
        <f t="shared" si="4"/>
        <v>28</v>
      </c>
      <c r="B40" s="358" t="s">
        <v>2756</v>
      </c>
      <c r="C40" s="355" t="s">
        <v>2757</v>
      </c>
      <c r="D40" s="145">
        <v>42750</v>
      </c>
      <c r="E40" s="146">
        <v>43646</v>
      </c>
      <c r="F40" s="149">
        <v>0.7979910714285714</v>
      </c>
      <c r="G40" s="355">
        <v>201812.38</v>
      </c>
      <c r="H40" s="355">
        <v>75790.61</v>
      </c>
      <c r="I40" s="359">
        <v>62186.239999999998</v>
      </c>
      <c r="J40" s="353">
        <f t="shared" si="0"/>
        <v>0.82050058707800344</v>
      </c>
      <c r="M40" s="74">
        <f t="shared" si="1"/>
        <v>896</v>
      </c>
      <c r="N40" s="146">
        <v>43465</v>
      </c>
      <c r="O40" s="74">
        <f t="shared" si="2"/>
        <v>181</v>
      </c>
      <c r="P40" s="354">
        <f t="shared" si="3"/>
        <v>0.7979910714285714</v>
      </c>
    </row>
    <row r="41" spans="1:16" ht="18.95" customHeight="1">
      <c r="A41" s="349">
        <f t="shared" si="4"/>
        <v>29</v>
      </c>
      <c r="B41" s="358" t="s">
        <v>2758</v>
      </c>
      <c r="C41" s="355" t="s">
        <v>2759</v>
      </c>
      <c r="D41" s="145">
        <v>42750</v>
      </c>
      <c r="E41" s="146">
        <v>43646</v>
      </c>
      <c r="F41" s="149">
        <v>0.7979910714285714</v>
      </c>
      <c r="G41" s="355">
        <v>201812.38</v>
      </c>
      <c r="H41" s="355">
        <v>76848.47</v>
      </c>
      <c r="I41" s="359">
        <v>67270.38</v>
      </c>
      <c r="J41" s="353">
        <f t="shared" si="0"/>
        <v>0.87536394673830209</v>
      </c>
      <c r="M41" s="74">
        <f t="shared" si="1"/>
        <v>896</v>
      </c>
      <c r="N41" s="146">
        <v>43465</v>
      </c>
      <c r="O41" s="74">
        <f t="shared" si="2"/>
        <v>181</v>
      </c>
      <c r="P41" s="354">
        <f t="shared" si="3"/>
        <v>0.7979910714285714</v>
      </c>
    </row>
    <row r="42" spans="1:16" ht="18.95" customHeight="1">
      <c r="A42" s="349">
        <f t="shared" si="4"/>
        <v>30</v>
      </c>
      <c r="B42" s="358" t="s">
        <v>2352</v>
      </c>
      <c r="C42" s="355" t="s">
        <v>2760</v>
      </c>
      <c r="D42" s="145">
        <v>42736</v>
      </c>
      <c r="E42" s="146">
        <v>43616</v>
      </c>
      <c r="F42" s="149">
        <v>0.82840909090909087</v>
      </c>
      <c r="G42" s="355">
        <v>122320</v>
      </c>
      <c r="H42" s="355">
        <v>110659.97</v>
      </c>
      <c r="I42" s="359">
        <v>46800.01</v>
      </c>
      <c r="J42" s="353">
        <f t="shared" si="0"/>
        <v>0.4229172482154116</v>
      </c>
      <c r="M42" s="74">
        <f t="shared" si="1"/>
        <v>880</v>
      </c>
      <c r="N42" s="146">
        <v>43465</v>
      </c>
      <c r="O42" s="74">
        <f t="shared" si="2"/>
        <v>151</v>
      </c>
      <c r="P42" s="354">
        <f t="shared" si="3"/>
        <v>0.82840909090909087</v>
      </c>
    </row>
    <row r="43" spans="1:16" ht="18.95" customHeight="1">
      <c r="A43" s="349">
        <f t="shared" si="4"/>
        <v>31</v>
      </c>
      <c r="B43" s="358" t="s">
        <v>2761</v>
      </c>
      <c r="C43" s="355" t="s">
        <v>2762</v>
      </c>
      <c r="D43" s="145">
        <v>43282</v>
      </c>
      <c r="E43" s="146">
        <v>43799</v>
      </c>
      <c r="F43" s="149">
        <v>0.35396518375241781</v>
      </c>
      <c r="G43" s="355">
        <v>1883856</v>
      </c>
      <c r="H43" s="355">
        <v>1875184.96</v>
      </c>
      <c r="I43" s="359">
        <v>200000</v>
      </c>
      <c r="J43" s="353">
        <f t="shared" si="0"/>
        <v>0.10665614553563826</v>
      </c>
      <c r="M43" s="74">
        <f t="shared" si="1"/>
        <v>517</v>
      </c>
      <c r="N43" s="146">
        <v>43465</v>
      </c>
      <c r="O43" s="74">
        <f t="shared" si="2"/>
        <v>334</v>
      </c>
      <c r="P43" s="354">
        <f t="shared" si="3"/>
        <v>0.35396518375241781</v>
      </c>
    </row>
    <row r="44" spans="1:16" ht="18.95" customHeight="1">
      <c r="A44" s="349">
        <f t="shared" si="4"/>
        <v>32</v>
      </c>
      <c r="B44" s="358" t="s">
        <v>2763</v>
      </c>
      <c r="C44" s="355" t="s">
        <v>2764</v>
      </c>
      <c r="D44" s="145">
        <v>43313</v>
      </c>
      <c r="E44" s="146">
        <v>43830</v>
      </c>
      <c r="F44" s="149">
        <v>0.29400386847195359</v>
      </c>
      <c r="G44" s="355">
        <v>397852.02</v>
      </c>
      <c r="H44" s="355">
        <v>415376.9</v>
      </c>
      <c r="I44" s="359">
        <v>109752.94</v>
      </c>
      <c r="J44" s="353">
        <f t="shared" si="0"/>
        <v>0.26422494847450589</v>
      </c>
      <c r="M44" s="74">
        <f t="shared" si="1"/>
        <v>517</v>
      </c>
      <c r="N44" s="146">
        <v>43465</v>
      </c>
      <c r="O44" s="74">
        <f t="shared" si="2"/>
        <v>365</v>
      </c>
      <c r="P44" s="354">
        <f t="shared" si="3"/>
        <v>0.29400386847195359</v>
      </c>
    </row>
    <row r="45" spans="1:16" ht="18.95" customHeight="1">
      <c r="A45" s="349">
        <f t="shared" si="4"/>
        <v>33</v>
      </c>
      <c r="B45" s="358" t="s">
        <v>2765</v>
      </c>
      <c r="C45" s="355" t="s">
        <v>2766</v>
      </c>
      <c r="D45" s="145">
        <v>42736</v>
      </c>
      <c r="E45" s="146">
        <v>43373</v>
      </c>
      <c r="F45" s="149">
        <v>1.1444270015698588</v>
      </c>
      <c r="G45" s="355">
        <v>775000</v>
      </c>
      <c r="H45" s="355">
        <v>159139.21</v>
      </c>
      <c r="I45" s="359">
        <v>204.37052742269998</v>
      </c>
      <c r="J45" s="353">
        <f t="shared" si="0"/>
        <v>1.2842248457982164E-3</v>
      </c>
      <c r="M45" s="74">
        <f t="shared" si="1"/>
        <v>637</v>
      </c>
      <c r="N45" s="146">
        <v>43465</v>
      </c>
      <c r="O45" s="74">
        <f t="shared" si="2"/>
        <v>-92</v>
      </c>
      <c r="P45" s="354">
        <f t="shared" si="3"/>
        <v>1.1444270015698588</v>
      </c>
    </row>
    <row r="46" spans="1:16" ht="18.95" customHeight="1">
      <c r="A46" s="349">
        <f t="shared" si="4"/>
        <v>34</v>
      </c>
      <c r="B46" s="358" t="s">
        <v>2379</v>
      </c>
      <c r="C46" s="355" t="s">
        <v>2767</v>
      </c>
      <c r="D46" s="145">
        <v>43466</v>
      </c>
      <c r="E46" s="146">
        <v>43799</v>
      </c>
      <c r="F46" s="149">
        <v>-3.003003003003003E-3</v>
      </c>
      <c r="G46" s="355">
        <v>312614.67</v>
      </c>
      <c r="H46" s="355">
        <v>221152.7</v>
      </c>
      <c r="I46" s="359">
        <v>112866.49</v>
      </c>
      <c r="J46" s="353">
        <f t="shared" si="0"/>
        <v>0.51035546932051923</v>
      </c>
      <c r="M46" s="74">
        <f t="shared" si="1"/>
        <v>333</v>
      </c>
      <c r="N46" s="146">
        <v>43465</v>
      </c>
      <c r="O46" s="74">
        <f t="shared" si="2"/>
        <v>334</v>
      </c>
      <c r="P46" s="354">
        <f t="shared" si="3"/>
        <v>-3.003003003003003E-3</v>
      </c>
    </row>
    <row r="47" spans="1:16" ht="18.95" customHeight="1">
      <c r="A47" s="349">
        <f t="shared" si="4"/>
        <v>35</v>
      </c>
      <c r="B47" s="358" t="s">
        <v>2382</v>
      </c>
      <c r="C47" s="355" t="s">
        <v>2383</v>
      </c>
      <c r="D47" s="145">
        <v>42736</v>
      </c>
      <c r="E47" s="146">
        <v>46752</v>
      </c>
      <c r="F47" s="149">
        <v>0.18152390438247012</v>
      </c>
      <c r="G47" s="355">
        <v>430731.88000000006</v>
      </c>
      <c r="H47" s="355">
        <v>454803.88999999996</v>
      </c>
      <c r="I47" s="359">
        <v>71867.520000000004</v>
      </c>
      <c r="J47" s="353">
        <f t="shared" si="0"/>
        <v>0.15801870120328129</v>
      </c>
      <c r="M47" s="74">
        <f t="shared" si="1"/>
        <v>4016</v>
      </c>
      <c r="N47" s="146">
        <v>43465</v>
      </c>
      <c r="O47" s="74">
        <f t="shared" si="2"/>
        <v>3287</v>
      </c>
      <c r="P47" s="354">
        <f t="shared" si="3"/>
        <v>0.18152390438247012</v>
      </c>
    </row>
    <row r="48" spans="1:16" ht="18.95" customHeight="1">
      <c r="A48" s="349">
        <f t="shared" si="4"/>
        <v>36</v>
      </c>
      <c r="B48" s="358" t="s">
        <v>2768</v>
      </c>
      <c r="C48" s="355" t="s">
        <v>2769</v>
      </c>
      <c r="D48" s="145">
        <v>43101</v>
      </c>
      <c r="E48" s="146">
        <v>44561</v>
      </c>
      <c r="F48" s="149">
        <v>0.24931506849315069</v>
      </c>
      <c r="G48" s="355">
        <v>129288.45</v>
      </c>
      <c r="H48" s="355">
        <v>128441.32</v>
      </c>
      <c r="I48" s="359">
        <v>43133.72</v>
      </c>
      <c r="J48" s="353">
        <f t="shared" si="0"/>
        <v>0.33582432818348484</v>
      </c>
      <c r="M48" s="74">
        <f t="shared" si="1"/>
        <v>1460</v>
      </c>
      <c r="N48" s="146">
        <v>43465</v>
      </c>
      <c r="O48" s="74">
        <f t="shared" si="2"/>
        <v>1096</v>
      </c>
      <c r="P48" s="354">
        <f t="shared" si="3"/>
        <v>0.24931506849315069</v>
      </c>
    </row>
    <row r="49" spans="1:16" ht="18.95" customHeight="1">
      <c r="A49" s="349">
        <f t="shared" si="4"/>
        <v>37</v>
      </c>
      <c r="B49" s="358" t="s">
        <v>2770</v>
      </c>
      <c r="C49" s="355" t="s">
        <v>2771</v>
      </c>
      <c r="D49" s="145">
        <v>43101</v>
      </c>
      <c r="E49" s="146">
        <v>43861</v>
      </c>
      <c r="F49" s="149">
        <v>0.47894736842105262</v>
      </c>
      <c r="G49" s="355">
        <v>659880.80000000005</v>
      </c>
      <c r="H49" s="355">
        <v>634874.74</v>
      </c>
      <c r="I49" s="359">
        <v>248000</v>
      </c>
      <c r="J49" s="353">
        <f t="shared" si="0"/>
        <v>0.39062823636675165</v>
      </c>
      <c r="M49" s="74">
        <f t="shared" si="1"/>
        <v>760</v>
      </c>
      <c r="N49" s="146">
        <v>43465</v>
      </c>
      <c r="O49" s="74">
        <f t="shared" si="2"/>
        <v>396</v>
      </c>
      <c r="P49" s="354">
        <f t="shared" si="3"/>
        <v>0.47894736842105262</v>
      </c>
    </row>
    <row r="50" spans="1:16" ht="18.95" customHeight="1">
      <c r="A50" s="349">
        <f t="shared" si="4"/>
        <v>38</v>
      </c>
      <c r="B50" s="358" t="s">
        <v>2772</v>
      </c>
      <c r="C50" s="355" t="s">
        <v>2773</v>
      </c>
      <c r="D50" s="145">
        <v>43101</v>
      </c>
      <c r="E50" s="146">
        <v>47118</v>
      </c>
      <c r="F50" s="149">
        <v>9.0614886731391592E-2</v>
      </c>
      <c r="G50" s="355">
        <v>102166.25</v>
      </c>
      <c r="H50" s="355">
        <v>213479.72999999998</v>
      </c>
      <c r="I50" s="359">
        <v>101961.69</v>
      </c>
      <c r="J50" s="353">
        <f t="shared" si="0"/>
        <v>0.477617664215708</v>
      </c>
      <c r="M50" s="74">
        <f t="shared" si="1"/>
        <v>4017</v>
      </c>
      <c r="N50" s="146">
        <v>43465</v>
      </c>
      <c r="O50" s="74">
        <f t="shared" si="2"/>
        <v>3653</v>
      </c>
      <c r="P50" s="354">
        <f t="shared" si="3"/>
        <v>9.0614886731391592E-2</v>
      </c>
    </row>
    <row r="51" spans="1:16" ht="18.95" customHeight="1">
      <c r="A51" s="349">
        <f t="shared" si="4"/>
        <v>39</v>
      </c>
      <c r="B51" s="358" t="s">
        <v>2774</v>
      </c>
      <c r="C51" s="355" t="s">
        <v>2775</v>
      </c>
      <c r="D51" s="145">
        <v>43374</v>
      </c>
      <c r="E51" s="146">
        <v>43616</v>
      </c>
      <c r="F51" s="149">
        <v>0.37603305785123969</v>
      </c>
      <c r="G51" s="355">
        <v>566613.6</v>
      </c>
      <c r="H51" s="355">
        <v>443709.7</v>
      </c>
      <c r="I51" s="359">
        <v>93000</v>
      </c>
      <c r="J51" s="353">
        <f t="shared" si="0"/>
        <v>0.20959649969338059</v>
      </c>
      <c r="M51" s="74">
        <f t="shared" si="1"/>
        <v>242</v>
      </c>
      <c r="N51" s="146">
        <v>43465</v>
      </c>
      <c r="O51" s="74">
        <f t="shared" si="2"/>
        <v>151</v>
      </c>
      <c r="P51" s="354">
        <f t="shared" si="3"/>
        <v>0.37603305785123969</v>
      </c>
    </row>
    <row r="52" spans="1:16" ht="18.95" customHeight="1">
      <c r="A52" s="349">
        <f t="shared" si="4"/>
        <v>40</v>
      </c>
      <c r="B52" s="358" t="s">
        <v>2776</v>
      </c>
      <c r="C52" s="355" t="s">
        <v>2777</v>
      </c>
      <c r="D52" s="145">
        <v>43178</v>
      </c>
      <c r="E52" s="146">
        <v>43830</v>
      </c>
      <c r="F52" s="149">
        <v>0.44018404907975461</v>
      </c>
      <c r="G52" s="355">
        <v>256525.13</v>
      </c>
      <c r="H52" s="355">
        <v>256525.13</v>
      </c>
      <c r="I52" s="359">
        <v>118910</v>
      </c>
      <c r="J52" s="353">
        <f t="shared" si="0"/>
        <v>0.46354133023926347</v>
      </c>
      <c r="M52" s="74">
        <f t="shared" si="1"/>
        <v>652</v>
      </c>
      <c r="N52" s="146">
        <v>43465</v>
      </c>
      <c r="O52" s="74">
        <f t="shared" si="2"/>
        <v>365</v>
      </c>
      <c r="P52" s="354">
        <f t="shared" si="3"/>
        <v>0.44018404907975461</v>
      </c>
    </row>
    <row r="53" spans="1:16" ht="18.95" customHeight="1">
      <c r="A53" s="349">
        <f t="shared" si="4"/>
        <v>41</v>
      </c>
      <c r="B53" s="358" t="s">
        <v>2778</v>
      </c>
      <c r="C53" s="355" t="s">
        <v>2779</v>
      </c>
      <c r="D53" s="145">
        <v>43281</v>
      </c>
      <c r="E53" s="146">
        <v>43646</v>
      </c>
      <c r="F53" s="149">
        <v>0.50410958904109593</v>
      </c>
      <c r="G53" s="355">
        <v>708717.19000000006</v>
      </c>
      <c r="H53" s="355">
        <v>708717.19000000006</v>
      </c>
      <c r="I53" s="359">
        <v>139526.79</v>
      </c>
      <c r="J53" s="353">
        <f t="shared" si="0"/>
        <v>0.19687230953153542</v>
      </c>
      <c r="M53" s="74">
        <f t="shared" si="1"/>
        <v>365</v>
      </c>
      <c r="N53" s="146">
        <v>43465</v>
      </c>
      <c r="O53" s="74">
        <f t="shared" si="2"/>
        <v>181</v>
      </c>
      <c r="P53" s="354">
        <f t="shared" si="3"/>
        <v>0.50410958904109593</v>
      </c>
    </row>
    <row r="54" spans="1:16" ht="18.95" customHeight="1">
      <c r="A54" s="349">
        <f t="shared" si="4"/>
        <v>42</v>
      </c>
      <c r="B54" s="358" t="s">
        <v>2780</v>
      </c>
      <c r="C54" s="355" t="s">
        <v>2781</v>
      </c>
      <c r="D54" s="145">
        <v>43221</v>
      </c>
      <c r="E54" s="146">
        <v>43555</v>
      </c>
      <c r="F54" s="149">
        <v>0.73053892215568861</v>
      </c>
      <c r="G54" s="355">
        <v>421394.58999999997</v>
      </c>
      <c r="H54" s="355">
        <v>447581.06</v>
      </c>
      <c r="I54" s="359">
        <v>580.59</v>
      </c>
      <c r="J54" s="353">
        <f t="shared" si="0"/>
        <v>1.2971728517734867E-3</v>
      </c>
      <c r="M54" s="74">
        <f t="shared" si="1"/>
        <v>334</v>
      </c>
      <c r="N54" s="146">
        <v>43465</v>
      </c>
      <c r="O54" s="74">
        <f t="shared" si="2"/>
        <v>90</v>
      </c>
      <c r="P54" s="354">
        <f t="shared" si="3"/>
        <v>0.73053892215568861</v>
      </c>
    </row>
    <row r="55" spans="1:16" ht="18.95" customHeight="1">
      <c r="A55" s="349">
        <f t="shared" si="4"/>
        <v>43</v>
      </c>
      <c r="B55" s="358" t="s">
        <v>2368</v>
      </c>
      <c r="C55" s="355" t="s">
        <v>2369</v>
      </c>
      <c r="D55" s="145">
        <v>42675</v>
      </c>
      <c r="E55" s="146">
        <v>47118</v>
      </c>
      <c r="F55" s="149">
        <v>0.17780778753094756</v>
      </c>
      <c r="G55" s="355">
        <v>5000000</v>
      </c>
      <c r="H55" s="355">
        <v>2615874.4900000002</v>
      </c>
      <c r="I55" s="359">
        <v>115874.49</v>
      </c>
      <c r="J55" s="353">
        <f t="shared" si="0"/>
        <v>4.4296655073844921E-2</v>
      </c>
      <c r="M55" s="74">
        <f t="shared" si="1"/>
        <v>4443</v>
      </c>
      <c r="N55" s="146">
        <v>43465</v>
      </c>
      <c r="O55" s="74">
        <f t="shared" si="2"/>
        <v>3653</v>
      </c>
      <c r="P55" s="354">
        <f t="shared" si="3"/>
        <v>0.17780778753094756</v>
      </c>
    </row>
    <row r="56" spans="1:16" ht="18.95" customHeight="1">
      <c r="A56" s="349">
        <f t="shared" si="4"/>
        <v>44</v>
      </c>
      <c r="B56" s="358" t="s">
        <v>2782</v>
      </c>
      <c r="C56" s="355" t="s">
        <v>2783</v>
      </c>
      <c r="D56" s="145">
        <v>42186</v>
      </c>
      <c r="E56" s="146">
        <v>45412</v>
      </c>
      <c r="F56" s="149">
        <v>0.39646621202727839</v>
      </c>
      <c r="G56" s="355">
        <v>60000000</v>
      </c>
      <c r="H56" s="355">
        <v>-36380.070000000007</v>
      </c>
      <c r="I56" s="359">
        <v>36380.07</v>
      </c>
      <c r="J56" s="353">
        <f t="shared" si="0"/>
        <v>-0.99999999999999978</v>
      </c>
      <c r="M56" s="74">
        <f t="shared" si="1"/>
        <v>3226</v>
      </c>
      <c r="N56" s="146">
        <v>43465</v>
      </c>
      <c r="O56" s="74">
        <f t="shared" si="2"/>
        <v>1947</v>
      </c>
      <c r="P56" s="354">
        <f t="shared" si="3"/>
        <v>0.39646621202727839</v>
      </c>
    </row>
    <row r="57" spans="1:16" s="360" customFormat="1" ht="20.100000000000001" customHeight="1">
      <c r="A57" s="767" t="str">
        <f>$A$1</f>
        <v>KENTUCKY UTILITIES COMPANY</v>
      </c>
      <c r="B57" s="767"/>
      <c r="C57" s="767"/>
      <c r="D57" s="767"/>
      <c r="E57" s="767"/>
      <c r="F57" s="767"/>
      <c r="G57" s="767"/>
      <c r="H57" s="767"/>
      <c r="I57" s="767"/>
      <c r="J57" s="767"/>
    </row>
    <row r="58" spans="1:16" s="360" customFormat="1" ht="20.100000000000001" customHeight="1">
      <c r="A58" s="767" t="str">
        <f>$A$2</f>
        <v>CASE NO. 2018-00294</v>
      </c>
      <c r="B58" s="767"/>
      <c r="C58" s="767"/>
      <c r="D58" s="767"/>
      <c r="E58" s="767"/>
      <c r="F58" s="767"/>
      <c r="G58" s="767"/>
      <c r="H58" s="767"/>
      <c r="I58" s="767"/>
      <c r="J58" s="767"/>
    </row>
    <row r="59" spans="1:16" s="360" customFormat="1" ht="20.100000000000001" customHeight="1">
      <c r="A59" s="767" t="s">
        <v>1219</v>
      </c>
      <c r="B59" s="767"/>
      <c r="C59" s="767"/>
      <c r="D59" s="767"/>
      <c r="E59" s="767"/>
      <c r="F59" s="767"/>
      <c r="G59" s="767"/>
      <c r="H59" s="767"/>
      <c r="I59" s="767"/>
      <c r="J59" s="767"/>
    </row>
    <row r="60" spans="1:16" s="360" customFormat="1" ht="20.100000000000001" customHeight="1">
      <c r="A60" s="767" t="str">
        <f>$A$4</f>
        <v>AS OF DECEMBER 31, 2018</v>
      </c>
      <c r="B60" s="767"/>
      <c r="C60" s="767"/>
      <c r="D60" s="767"/>
      <c r="E60" s="767"/>
      <c r="F60" s="767"/>
      <c r="G60" s="767"/>
      <c r="H60" s="767"/>
      <c r="I60" s="767"/>
      <c r="J60" s="767"/>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DATA:__X__BASE  PERIOD____FORECASTED  PERIOD</v>
      </c>
      <c r="B62" s="348"/>
      <c r="C62" s="68"/>
      <c r="D62" s="144"/>
      <c r="E62" s="144"/>
      <c r="F62" s="68"/>
      <c r="G62" s="74"/>
      <c r="H62" s="74"/>
      <c r="I62" s="74"/>
      <c r="J62" s="74" t="s">
        <v>1714</v>
      </c>
    </row>
    <row r="63" spans="1:16" s="360" customFormat="1" ht="20.100000000000001" customHeight="1">
      <c r="A63" s="67" t="str">
        <f>$A$7</f>
        <v>TYPE OF FILING: __X__ ORIGINAL  _____ UPDATED  _____ REVISED</v>
      </c>
      <c r="B63" s="349"/>
      <c r="C63" s="68"/>
      <c r="D63" s="144"/>
      <c r="E63" s="144"/>
      <c r="F63" s="68"/>
      <c r="G63" s="74"/>
      <c r="H63" s="74"/>
      <c r="I63" s="74"/>
      <c r="J63" s="74" t="s">
        <v>3407</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2784</v>
      </c>
      <c r="C69" s="355" t="s">
        <v>2785</v>
      </c>
      <c r="D69" s="145">
        <v>42186</v>
      </c>
      <c r="E69" s="146">
        <v>46022</v>
      </c>
      <c r="F69" s="149">
        <v>0.33342022940563087</v>
      </c>
      <c r="G69" s="355">
        <v>7200000</v>
      </c>
      <c r="H69" s="355">
        <v>-1346080.2599999998</v>
      </c>
      <c r="I69" s="359">
        <v>1636245.17</v>
      </c>
      <c r="J69" s="353">
        <f t="shared" ref="J69:J89" si="5">I69/H69</f>
        <v>-1.2155628595281533</v>
      </c>
      <c r="M69" s="74">
        <f t="shared" si="1"/>
        <v>3836</v>
      </c>
      <c r="N69" s="146">
        <v>43465</v>
      </c>
      <c r="O69" s="74">
        <f t="shared" si="2"/>
        <v>2557</v>
      </c>
      <c r="P69" s="354">
        <f t="shared" si="3"/>
        <v>0.33342022940563087</v>
      </c>
    </row>
    <row r="70" spans="1:16" ht="18.95" customHeight="1">
      <c r="A70" s="349">
        <f t="shared" si="4"/>
        <v>46</v>
      </c>
      <c r="B70" s="358" t="s">
        <v>2786</v>
      </c>
      <c r="C70" s="355" t="s">
        <v>2787</v>
      </c>
      <c r="D70" s="145">
        <v>42458</v>
      </c>
      <c r="E70" s="146">
        <v>43830</v>
      </c>
      <c r="F70" s="149">
        <v>0.73396501457725949</v>
      </c>
      <c r="G70" s="355">
        <v>28466808.599999998</v>
      </c>
      <c r="H70" s="355">
        <v>7514764.0099999998</v>
      </c>
      <c r="I70" s="359">
        <v>17350.363576643398</v>
      </c>
      <c r="J70" s="353">
        <f t="shared" si="5"/>
        <v>2.3088367849682348E-3</v>
      </c>
      <c r="M70" s="74">
        <f t="shared" si="1"/>
        <v>1372</v>
      </c>
      <c r="N70" s="146">
        <v>43465</v>
      </c>
      <c r="O70" s="74">
        <f t="shared" si="2"/>
        <v>365</v>
      </c>
      <c r="P70" s="354">
        <f t="shared" si="3"/>
        <v>0.73396501457725949</v>
      </c>
    </row>
    <row r="71" spans="1:16" ht="18.95" customHeight="1">
      <c r="A71" s="349">
        <f t="shared" si="4"/>
        <v>47</v>
      </c>
      <c r="B71" s="358" t="s">
        <v>2788</v>
      </c>
      <c r="C71" s="355" t="s">
        <v>2789</v>
      </c>
      <c r="D71" s="145">
        <v>42458</v>
      </c>
      <c r="E71" s="146">
        <v>44012</v>
      </c>
      <c r="F71" s="149">
        <v>0.64800514800514797</v>
      </c>
      <c r="G71" s="355">
        <v>19864569.939999998</v>
      </c>
      <c r="H71" s="355">
        <v>20377040.710000001</v>
      </c>
      <c r="I71" s="359">
        <v>13219770.906385113</v>
      </c>
      <c r="J71" s="353">
        <f t="shared" si="5"/>
        <v>0.64875813394716975</v>
      </c>
      <c r="M71" s="74">
        <f t="shared" si="1"/>
        <v>1554</v>
      </c>
      <c r="N71" s="146">
        <v>43465</v>
      </c>
      <c r="O71" s="74">
        <f t="shared" si="2"/>
        <v>547</v>
      </c>
      <c r="P71" s="354">
        <f t="shared" si="3"/>
        <v>0.64800514800514797</v>
      </c>
    </row>
    <row r="72" spans="1:16" ht="18.95" customHeight="1">
      <c r="A72" s="349">
        <f t="shared" si="4"/>
        <v>48</v>
      </c>
      <c r="B72" s="358" t="s">
        <v>2790</v>
      </c>
      <c r="C72" s="355" t="s">
        <v>2791</v>
      </c>
      <c r="D72" s="145">
        <v>42458</v>
      </c>
      <c r="E72" s="146">
        <v>46022</v>
      </c>
      <c r="F72" s="149">
        <v>0.2825476992143659</v>
      </c>
      <c r="G72" s="355">
        <v>35870036.200000003</v>
      </c>
      <c r="H72" s="355">
        <v>16366188.84</v>
      </c>
      <c r="I72" s="359">
        <v>32055471.984838523</v>
      </c>
      <c r="J72" s="353">
        <f t="shared" si="5"/>
        <v>1.9586399923782454</v>
      </c>
      <c r="M72" s="74">
        <f t="shared" si="1"/>
        <v>3564</v>
      </c>
      <c r="N72" s="146">
        <v>43465</v>
      </c>
      <c r="O72" s="74">
        <f t="shared" si="2"/>
        <v>2557</v>
      </c>
      <c r="P72" s="354">
        <f t="shared" si="3"/>
        <v>0.2825476992143659</v>
      </c>
    </row>
    <row r="73" spans="1:16" ht="18.95" customHeight="1">
      <c r="A73" s="349">
        <f t="shared" si="4"/>
        <v>49</v>
      </c>
      <c r="B73" s="358" t="s">
        <v>2792</v>
      </c>
      <c r="C73" s="355" t="s">
        <v>2793</v>
      </c>
      <c r="D73" s="145">
        <v>42543</v>
      </c>
      <c r="E73" s="146">
        <v>43982</v>
      </c>
      <c r="F73" s="149">
        <v>0.64072272411396802</v>
      </c>
      <c r="G73" s="355">
        <v>69569801.929999992</v>
      </c>
      <c r="H73" s="355">
        <v>22850505.010000002</v>
      </c>
      <c r="I73" s="359">
        <v>4915943.7329727467</v>
      </c>
      <c r="J73" s="353">
        <f t="shared" si="5"/>
        <v>0.21513501477632097</v>
      </c>
      <c r="M73" s="74">
        <f t="shared" si="1"/>
        <v>1439</v>
      </c>
      <c r="N73" s="146">
        <v>43465</v>
      </c>
      <c r="O73" s="74">
        <f t="shared" si="2"/>
        <v>517</v>
      </c>
      <c r="P73" s="354">
        <f t="shared" si="3"/>
        <v>0.64072272411396802</v>
      </c>
    </row>
    <row r="74" spans="1:16" ht="18.95" customHeight="1">
      <c r="A74" s="349">
        <f t="shared" si="4"/>
        <v>50</v>
      </c>
      <c r="B74" s="358" t="s">
        <v>2794</v>
      </c>
      <c r="C74" s="355" t="s">
        <v>2795</v>
      </c>
      <c r="D74" s="145">
        <v>42543</v>
      </c>
      <c r="E74" s="146">
        <v>43830</v>
      </c>
      <c r="F74" s="149">
        <v>0.71639471639471641</v>
      </c>
      <c r="G74" s="355">
        <v>114666966.84</v>
      </c>
      <c r="H74" s="355">
        <v>97554185.799999997</v>
      </c>
      <c r="I74" s="359">
        <v>127613705.3562693</v>
      </c>
      <c r="J74" s="353">
        <f t="shared" si="5"/>
        <v>1.3081315200343695</v>
      </c>
      <c r="M74" s="74">
        <f t="shared" si="1"/>
        <v>1287</v>
      </c>
      <c r="N74" s="146">
        <v>43465</v>
      </c>
      <c r="O74" s="74">
        <f t="shared" si="2"/>
        <v>365</v>
      </c>
      <c r="P74" s="354">
        <f t="shared" si="3"/>
        <v>0.71639471639471641</v>
      </c>
    </row>
    <row r="75" spans="1:16" ht="18.95" customHeight="1">
      <c r="A75" s="349">
        <f t="shared" si="4"/>
        <v>51</v>
      </c>
      <c r="B75" s="358" t="s">
        <v>2796</v>
      </c>
      <c r="C75" s="355" t="s">
        <v>2797</v>
      </c>
      <c r="D75" s="145">
        <v>42543</v>
      </c>
      <c r="E75" s="146">
        <v>43830</v>
      </c>
      <c r="F75" s="149">
        <v>0.71639471639471641</v>
      </c>
      <c r="G75" s="355">
        <v>39271680.980000004</v>
      </c>
      <c r="H75" s="355">
        <v>24795138.43</v>
      </c>
      <c r="I75" s="359">
        <v>33426505.813691333</v>
      </c>
      <c r="J75" s="353">
        <f t="shared" si="5"/>
        <v>1.3481072472355353</v>
      </c>
      <c r="M75" s="74">
        <f t="shared" si="1"/>
        <v>1287</v>
      </c>
      <c r="N75" s="146">
        <v>43465</v>
      </c>
      <c r="O75" s="74">
        <f t="shared" si="2"/>
        <v>365</v>
      </c>
      <c r="P75" s="354">
        <f t="shared" si="3"/>
        <v>0.71639471639471641</v>
      </c>
    </row>
    <row r="76" spans="1:16" ht="18.95" customHeight="1">
      <c r="A76" s="349">
        <f t="shared" si="4"/>
        <v>52</v>
      </c>
      <c r="B76" s="358" t="s">
        <v>2798</v>
      </c>
      <c r="C76" s="355" t="s">
        <v>2799</v>
      </c>
      <c r="D76" s="145">
        <v>42558</v>
      </c>
      <c r="E76" s="146">
        <v>43830</v>
      </c>
      <c r="F76" s="149">
        <v>0.71305031446540879</v>
      </c>
      <c r="G76" s="355">
        <v>752000.02</v>
      </c>
      <c r="H76" s="355">
        <v>7840929.4500000002</v>
      </c>
      <c r="I76" s="359">
        <v>5742447.7599999998</v>
      </c>
      <c r="J76" s="353">
        <f t="shared" si="5"/>
        <v>0.73236824749137353</v>
      </c>
      <c r="M76" s="74">
        <f t="shared" si="1"/>
        <v>1272</v>
      </c>
      <c r="N76" s="146">
        <v>43465</v>
      </c>
      <c r="O76" s="74">
        <f t="shared" si="2"/>
        <v>365</v>
      </c>
      <c r="P76" s="354">
        <f t="shared" si="3"/>
        <v>0.71305031446540879</v>
      </c>
    </row>
    <row r="77" spans="1:16" ht="18.95" customHeight="1">
      <c r="A77" s="349">
        <f t="shared" si="4"/>
        <v>53</v>
      </c>
      <c r="B77" s="358" t="s">
        <v>2800</v>
      </c>
      <c r="C77" s="355" t="s">
        <v>2801</v>
      </c>
      <c r="D77" s="145">
        <v>42558</v>
      </c>
      <c r="E77" s="146">
        <v>44377</v>
      </c>
      <c r="F77" s="149">
        <v>0.49862561847168774</v>
      </c>
      <c r="G77" s="355">
        <v>1133000</v>
      </c>
      <c r="H77" s="355">
        <v>36354569.850000001</v>
      </c>
      <c r="I77" s="359">
        <v>25118092.397285584</v>
      </c>
      <c r="J77" s="353">
        <f t="shared" si="5"/>
        <v>0.69091980735636682</v>
      </c>
      <c r="M77" s="74">
        <f t="shared" si="1"/>
        <v>1819</v>
      </c>
      <c r="N77" s="146">
        <v>43465</v>
      </c>
      <c r="O77" s="74">
        <f t="shared" si="2"/>
        <v>912</v>
      </c>
      <c r="P77" s="354">
        <f t="shared" si="3"/>
        <v>0.49862561847168774</v>
      </c>
    </row>
    <row r="78" spans="1:16" ht="18.95" customHeight="1">
      <c r="A78" s="349">
        <f t="shared" si="4"/>
        <v>54</v>
      </c>
      <c r="B78" s="358" t="s">
        <v>2802</v>
      </c>
      <c r="C78" s="355" t="s">
        <v>2803</v>
      </c>
      <c r="D78" s="145">
        <v>42916</v>
      </c>
      <c r="E78" s="146">
        <v>43830</v>
      </c>
      <c r="F78" s="149">
        <v>0.60065645514223198</v>
      </c>
      <c r="G78" s="355">
        <v>3600000</v>
      </c>
      <c r="H78" s="355">
        <v>3732959.5700000003</v>
      </c>
      <c r="I78" s="359">
        <v>2212924.36</v>
      </c>
      <c r="J78" s="353">
        <f t="shared" si="5"/>
        <v>0.59280694540176859</v>
      </c>
      <c r="M78" s="74">
        <f t="shared" si="1"/>
        <v>914</v>
      </c>
      <c r="N78" s="146">
        <v>43465</v>
      </c>
      <c r="O78" s="74">
        <f t="shared" si="2"/>
        <v>365</v>
      </c>
      <c r="P78" s="354">
        <f t="shared" si="3"/>
        <v>0.60065645514223198</v>
      </c>
    </row>
    <row r="79" spans="1:16" ht="18.95" customHeight="1">
      <c r="A79" s="349">
        <f t="shared" si="4"/>
        <v>55</v>
      </c>
      <c r="B79" s="358" t="s">
        <v>2804</v>
      </c>
      <c r="C79" s="355" t="s">
        <v>2805</v>
      </c>
      <c r="D79" s="145">
        <v>43207</v>
      </c>
      <c r="E79" s="146">
        <v>43646</v>
      </c>
      <c r="F79" s="149">
        <v>0.58769931662870156</v>
      </c>
      <c r="G79" s="355">
        <v>5875000</v>
      </c>
      <c r="H79" s="355">
        <v>5875000</v>
      </c>
      <c r="I79" s="359">
        <v>2125000</v>
      </c>
      <c r="J79" s="353">
        <f t="shared" si="5"/>
        <v>0.36170212765957449</v>
      </c>
      <c r="M79" s="74">
        <f t="shared" si="1"/>
        <v>439</v>
      </c>
      <c r="N79" s="146">
        <v>43465</v>
      </c>
      <c r="O79" s="74">
        <f t="shared" si="2"/>
        <v>181</v>
      </c>
      <c r="P79" s="354">
        <f t="shared" si="3"/>
        <v>0.58769931662870156</v>
      </c>
    </row>
    <row r="80" spans="1:16" ht="18.95" customHeight="1">
      <c r="A80" s="349">
        <f t="shared" si="4"/>
        <v>56</v>
      </c>
      <c r="B80" s="358" t="s">
        <v>2806</v>
      </c>
      <c r="C80" s="355" t="s">
        <v>2807</v>
      </c>
      <c r="D80" s="145">
        <v>43220</v>
      </c>
      <c r="E80" s="146">
        <v>43343</v>
      </c>
      <c r="F80" s="149">
        <v>1.9918699186991871</v>
      </c>
      <c r="G80" s="355">
        <v>367148.65</v>
      </c>
      <c r="H80" s="355">
        <v>367148.65</v>
      </c>
      <c r="I80" s="359">
        <v>69.925696671300003</v>
      </c>
      <c r="J80" s="353">
        <f t="shared" si="5"/>
        <v>1.9045609093564691E-4</v>
      </c>
      <c r="M80" s="74">
        <f t="shared" si="1"/>
        <v>123</v>
      </c>
      <c r="N80" s="146">
        <v>43465</v>
      </c>
      <c r="O80" s="74">
        <f t="shared" si="2"/>
        <v>-122</v>
      </c>
      <c r="P80" s="354">
        <f t="shared" si="3"/>
        <v>1.9918699186991871</v>
      </c>
    </row>
    <row r="81" spans="1:16" ht="18.95" customHeight="1">
      <c r="A81" s="349">
        <f t="shared" si="4"/>
        <v>57</v>
      </c>
      <c r="B81" s="358" t="s">
        <v>2808</v>
      </c>
      <c r="C81" s="355" t="s">
        <v>2809</v>
      </c>
      <c r="D81" s="145">
        <v>42940</v>
      </c>
      <c r="E81" s="146">
        <v>43830</v>
      </c>
      <c r="F81" s="149">
        <v>0.5898876404494382</v>
      </c>
      <c r="G81" s="355">
        <v>17358000</v>
      </c>
      <c r="H81" s="355">
        <v>17358000</v>
      </c>
      <c r="I81" s="359">
        <v>6009970.7700000005</v>
      </c>
      <c r="J81" s="353">
        <f t="shared" si="5"/>
        <v>0.34623636190805396</v>
      </c>
      <c r="M81" s="74">
        <f t="shared" si="1"/>
        <v>890</v>
      </c>
      <c r="N81" s="146">
        <v>43465</v>
      </c>
      <c r="O81" s="74">
        <f t="shared" si="2"/>
        <v>365</v>
      </c>
      <c r="P81" s="354">
        <f t="shared" si="3"/>
        <v>0.5898876404494382</v>
      </c>
    </row>
    <row r="82" spans="1:16" ht="18.95" customHeight="1">
      <c r="A82" s="349">
        <f t="shared" si="4"/>
        <v>58</v>
      </c>
      <c r="B82" s="358" t="s">
        <v>2385</v>
      </c>
      <c r="C82" s="355" t="s">
        <v>2386</v>
      </c>
      <c r="D82" s="145">
        <v>43282</v>
      </c>
      <c r="E82" s="146">
        <v>43646</v>
      </c>
      <c r="F82" s="149">
        <v>0.50274725274725274</v>
      </c>
      <c r="G82" s="355">
        <v>526092.56000000006</v>
      </c>
      <c r="H82" s="355">
        <v>854607.87</v>
      </c>
      <c r="I82" s="359">
        <v>213236.02999999997</v>
      </c>
      <c r="J82" s="353">
        <f t="shared" si="5"/>
        <v>0.24951330017590403</v>
      </c>
      <c r="M82" s="74">
        <f t="shared" si="1"/>
        <v>364</v>
      </c>
      <c r="N82" s="146">
        <v>43465</v>
      </c>
      <c r="O82" s="74">
        <f t="shared" si="2"/>
        <v>181</v>
      </c>
      <c r="P82" s="354">
        <f t="shared" si="3"/>
        <v>0.50274725274725274</v>
      </c>
    </row>
    <row r="83" spans="1:16" ht="18.95" customHeight="1">
      <c r="A83" s="349">
        <f t="shared" si="4"/>
        <v>59</v>
      </c>
      <c r="B83" s="358" t="s">
        <v>2356</v>
      </c>
      <c r="C83" s="355" t="s">
        <v>2357</v>
      </c>
      <c r="D83" s="145">
        <v>42767</v>
      </c>
      <c r="E83" s="146">
        <v>43921</v>
      </c>
      <c r="F83" s="149">
        <v>0.6048526863084922</v>
      </c>
      <c r="G83" s="355">
        <v>11388000</v>
      </c>
      <c r="H83" s="355">
        <v>9368878.0199999996</v>
      </c>
      <c r="I83" s="359">
        <v>4629059.0299999993</v>
      </c>
      <c r="J83" s="353">
        <f t="shared" si="5"/>
        <v>0.49408894214635102</v>
      </c>
      <c r="M83" s="74">
        <f t="shared" si="1"/>
        <v>1154</v>
      </c>
      <c r="N83" s="146">
        <v>43465</v>
      </c>
      <c r="O83" s="74">
        <f t="shared" si="2"/>
        <v>456</v>
      </c>
      <c r="P83" s="354">
        <f t="shared" si="3"/>
        <v>0.6048526863084922</v>
      </c>
    </row>
    <row r="84" spans="1:16" ht="18.95" customHeight="1">
      <c r="A84" s="349">
        <f t="shared" si="4"/>
        <v>60</v>
      </c>
      <c r="B84" s="358" t="s">
        <v>2810</v>
      </c>
      <c r="C84" s="355" t="s">
        <v>2811</v>
      </c>
      <c r="D84" s="145">
        <v>43101</v>
      </c>
      <c r="E84" s="146">
        <v>43404</v>
      </c>
      <c r="F84" s="149">
        <v>1.2013201320132014</v>
      </c>
      <c r="G84" s="355">
        <v>608238.64</v>
      </c>
      <c r="H84" s="355">
        <v>432477.03</v>
      </c>
      <c r="I84" s="359">
        <v>-5.8207660913467407E-11</v>
      </c>
      <c r="J84" s="353">
        <f t="shared" si="5"/>
        <v>-1.3459133520563485E-16</v>
      </c>
      <c r="M84" s="74">
        <f t="shared" si="1"/>
        <v>303</v>
      </c>
      <c r="N84" s="146">
        <v>43465</v>
      </c>
      <c r="O84" s="74">
        <f t="shared" si="2"/>
        <v>-61</v>
      </c>
      <c r="P84" s="354">
        <f t="shared" si="3"/>
        <v>1.2013201320132014</v>
      </c>
    </row>
    <row r="85" spans="1:16" ht="18.95" customHeight="1">
      <c r="A85" s="349">
        <f t="shared" si="4"/>
        <v>61</v>
      </c>
      <c r="B85" s="358" t="s">
        <v>2812</v>
      </c>
      <c r="C85" s="355" t="s">
        <v>2813</v>
      </c>
      <c r="D85" s="145">
        <v>43374</v>
      </c>
      <c r="E85" s="146">
        <v>43677</v>
      </c>
      <c r="F85" s="149">
        <v>0.30033003300330036</v>
      </c>
      <c r="G85" s="355">
        <v>5162572.63</v>
      </c>
      <c r="H85" s="355">
        <v>3762247.34</v>
      </c>
      <c r="I85" s="359">
        <v>156311.9</v>
      </c>
      <c r="J85" s="353">
        <f t="shared" si="5"/>
        <v>4.1547481032972171E-2</v>
      </c>
      <c r="M85" s="74">
        <f t="shared" si="1"/>
        <v>303</v>
      </c>
      <c r="N85" s="146">
        <v>43465</v>
      </c>
      <c r="O85" s="74">
        <f t="shared" si="2"/>
        <v>212</v>
      </c>
      <c r="P85" s="354">
        <f t="shared" si="3"/>
        <v>0.30033003300330036</v>
      </c>
    </row>
    <row r="86" spans="1:16" ht="18.95" customHeight="1">
      <c r="A86" s="349">
        <f t="shared" si="4"/>
        <v>62</v>
      </c>
      <c r="B86" s="358" t="s">
        <v>2814</v>
      </c>
      <c r="C86" s="355" t="s">
        <v>2815</v>
      </c>
      <c r="D86" s="145">
        <v>43040</v>
      </c>
      <c r="E86" s="146">
        <v>43830</v>
      </c>
      <c r="F86" s="149">
        <v>0.53797468354430378</v>
      </c>
      <c r="G86" s="355">
        <v>300000</v>
      </c>
      <c r="H86" s="355">
        <v>883375.55</v>
      </c>
      <c r="I86" s="359">
        <v>130561.55</v>
      </c>
      <c r="J86" s="353">
        <f t="shared" si="5"/>
        <v>0.14779846465073659</v>
      </c>
      <c r="M86" s="74">
        <f t="shared" si="1"/>
        <v>790</v>
      </c>
      <c r="N86" s="146">
        <v>43465</v>
      </c>
      <c r="O86" s="74">
        <f t="shared" si="2"/>
        <v>365</v>
      </c>
      <c r="P86" s="354">
        <f t="shared" si="3"/>
        <v>0.53797468354430378</v>
      </c>
    </row>
    <row r="87" spans="1:16" ht="18.95" customHeight="1">
      <c r="A87" s="349">
        <f t="shared" si="4"/>
        <v>63</v>
      </c>
      <c r="B87" s="358" t="s">
        <v>2816</v>
      </c>
      <c r="C87" s="355" t="s">
        <v>2817</v>
      </c>
      <c r="D87" s="145">
        <v>42736</v>
      </c>
      <c r="E87" s="146">
        <v>44012</v>
      </c>
      <c r="F87" s="149">
        <v>0.57131661442006265</v>
      </c>
      <c r="G87" s="355">
        <v>1499925.46</v>
      </c>
      <c r="H87" s="355">
        <v>5185367.03</v>
      </c>
      <c r="I87" s="359">
        <v>684074.14</v>
      </c>
      <c r="J87" s="353">
        <f t="shared" si="5"/>
        <v>0.13192395756024236</v>
      </c>
      <c r="M87" s="74">
        <f t="shared" si="1"/>
        <v>1276</v>
      </c>
      <c r="N87" s="146">
        <v>43465</v>
      </c>
      <c r="O87" s="74">
        <f t="shared" si="2"/>
        <v>547</v>
      </c>
      <c r="P87" s="354">
        <f t="shared" si="3"/>
        <v>0.57131661442006265</v>
      </c>
    </row>
    <row r="88" spans="1:16" ht="18.95" customHeight="1">
      <c r="A88" s="349">
        <f t="shared" si="4"/>
        <v>64</v>
      </c>
      <c r="B88" s="358" t="s">
        <v>2818</v>
      </c>
      <c r="C88" s="355" t="s">
        <v>2819</v>
      </c>
      <c r="D88" s="145">
        <v>43191</v>
      </c>
      <c r="E88" s="146">
        <v>43434</v>
      </c>
      <c r="F88" s="149">
        <v>1.1275720164609053</v>
      </c>
      <c r="G88" s="355">
        <v>351461.39</v>
      </c>
      <c r="H88" s="355">
        <v>503888.78</v>
      </c>
      <c r="I88" s="359">
        <v>-5.8207660913467407E-11</v>
      </c>
      <c r="J88" s="353">
        <f t="shared" si="5"/>
        <v>-1.1551688234349534E-16</v>
      </c>
      <c r="M88" s="74">
        <f t="shared" si="1"/>
        <v>243</v>
      </c>
      <c r="N88" s="146">
        <v>43465</v>
      </c>
      <c r="O88" s="74">
        <f t="shared" si="2"/>
        <v>-31</v>
      </c>
      <c r="P88" s="354">
        <f t="shared" si="3"/>
        <v>1.1275720164609053</v>
      </c>
    </row>
    <row r="89" spans="1:16" ht="18.95" customHeight="1">
      <c r="A89" s="349">
        <f t="shared" si="4"/>
        <v>65</v>
      </c>
      <c r="B89" s="358" t="s">
        <v>2820</v>
      </c>
      <c r="C89" s="355" t="s">
        <v>2821</v>
      </c>
      <c r="D89" s="145">
        <v>43191</v>
      </c>
      <c r="E89" s="146">
        <v>44196</v>
      </c>
      <c r="F89" s="149">
        <v>0.27263681592039801</v>
      </c>
      <c r="G89" s="355">
        <v>39330847.25</v>
      </c>
      <c r="H89" s="355">
        <v>21583429.91</v>
      </c>
      <c r="I89" s="359">
        <v>2980947.77</v>
      </c>
      <c r="J89" s="353">
        <f t="shared" si="5"/>
        <v>0.13811279219429679</v>
      </c>
      <c r="M89" s="74">
        <f t="shared" ref="M89:M164" si="6">E89-D89</f>
        <v>1005</v>
      </c>
      <c r="N89" s="146">
        <v>43465</v>
      </c>
      <c r="O89" s="74">
        <f t="shared" ref="O89:O164" si="7">E89-N89</f>
        <v>731</v>
      </c>
      <c r="P89" s="354">
        <f t="shared" si="3"/>
        <v>0.27263681592039801</v>
      </c>
    </row>
    <row r="90" spans="1:16" ht="18.95" customHeight="1">
      <c r="A90" s="349">
        <f t="shared" si="4"/>
        <v>66</v>
      </c>
      <c r="B90" s="358" t="s">
        <v>2822</v>
      </c>
      <c r="C90" s="355" t="s">
        <v>2823</v>
      </c>
      <c r="D90" s="145">
        <v>43252</v>
      </c>
      <c r="E90" s="146">
        <v>44926</v>
      </c>
      <c r="F90" s="149">
        <v>0.12724014336917563</v>
      </c>
      <c r="G90" s="355">
        <v>33225000</v>
      </c>
      <c r="H90" s="355">
        <v>32007465.530000001</v>
      </c>
      <c r="I90" s="359">
        <v>29899.8</v>
      </c>
      <c r="J90" s="353">
        <f t="shared" ref="J90:J165" si="8">I90/H90</f>
        <v>9.3415081465839502E-4</v>
      </c>
      <c r="M90" s="74">
        <f t="shared" si="6"/>
        <v>1674</v>
      </c>
      <c r="N90" s="146">
        <v>43465</v>
      </c>
      <c r="O90" s="74">
        <f t="shared" si="7"/>
        <v>1461</v>
      </c>
      <c r="P90" s="354">
        <f t="shared" ref="P90:P165" si="9">(M90-O90)/M90</f>
        <v>0.12724014336917563</v>
      </c>
    </row>
    <row r="91" spans="1:16" ht="18.95" customHeight="1">
      <c r="A91" s="349">
        <f t="shared" ref="A91:A166" si="10">A90+1</f>
        <v>67</v>
      </c>
      <c r="B91" s="358" t="s">
        <v>2824</v>
      </c>
      <c r="C91" s="355" t="s">
        <v>2825</v>
      </c>
      <c r="D91" s="145">
        <v>43009</v>
      </c>
      <c r="E91" s="146">
        <v>43951</v>
      </c>
      <c r="F91" s="149">
        <v>0.48407643312101911</v>
      </c>
      <c r="G91" s="355">
        <v>3260000</v>
      </c>
      <c r="H91" s="355">
        <v>4732898.07</v>
      </c>
      <c r="I91" s="359">
        <v>2856194.7199999997</v>
      </c>
      <c r="J91" s="353">
        <f t="shared" si="8"/>
        <v>0.60347691367035916</v>
      </c>
      <c r="M91" s="74">
        <f t="shared" si="6"/>
        <v>942</v>
      </c>
      <c r="N91" s="146">
        <v>43465</v>
      </c>
      <c r="O91" s="74">
        <f t="shared" si="7"/>
        <v>486</v>
      </c>
      <c r="P91" s="354">
        <f t="shared" si="9"/>
        <v>0.48407643312101911</v>
      </c>
    </row>
    <row r="92" spans="1:16" ht="18.95" customHeight="1">
      <c r="A92" s="349">
        <f t="shared" si="10"/>
        <v>68</v>
      </c>
      <c r="B92" s="358" t="s">
        <v>2454</v>
      </c>
      <c r="C92" s="355" t="s">
        <v>2455</v>
      </c>
      <c r="D92" s="145">
        <v>42948</v>
      </c>
      <c r="E92" s="146">
        <v>43830</v>
      </c>
      <c r="F92" s="149">
        <v>0.58616780045351469</v>
      </c>
      <c r="G92" s="355">
        <v>3959725.31</v>
      </c>
      <c r="H92" s="355">
        <v>-1014.78</v>
      </c>
      <c r="I92" s="359">
        <v>179.9800000000032</v>
      </c>
      <c r="J92" s="353">
        <f t="shared" si="8"/>
        <v>-0.17735863931098683</v>
      </c>
      <c r="M92" s="74">
        <f t="shared" si="6"/>
        <v>882</v>
      </c>
      <c r="N92" s="146">
        <v>43465</v>
      </c>
      <c r="O92" s="74">
        <f t="shared" si="7"/>
        <v>365</v>
      </c>
      <c r="P92" s="354">
        <f t="shared" si="9"/>
        <v>0.58616780045351469</v>
      </c>
    </row>
    <row r="93" spans="1:16" ht="18.95" customHeight="1">
      <c r="A93" s="349">
        <f t="shared" si="10"/>
        <v>69</v>
      </c>
      <c r="B93" s="358" t="s">
        <v>2375</v>
      </c>
      <c r="C93" s="355" t="s">
        <v>2376</v>
      </c>
      <c r="D93" s="145">
        <v>43040</v>
      </c>
      <c r="E93" s="146">
        <v>43465</v>
      </c>
      <c r="F93" s="149">
        <v>1</v>
      </c>
      <c r="G93" s="355">
        <v>246563</v>
      </c>
      <c r="H93" s="355">
        <v>216227.9</v>
      </c>
      <c r="I93" s="359">
        <v>-2.9103830456733704E-11</v>
      </c>
      <c r="J93" s="353">
        <f t="shared" si="8"/>
        <v>-1.3459794252607413E-16</v>
      </c>
      <c r="M93" s="74">
        <f t="shared" si="6"/>
        <v>425</v>
      </c>
      <c r="N93" s="146">
        <v>43465</v>
      </c>
      <c r="O93" s="74">
        <f t="shared" si="7"/>
        <v>0</v>
      </c>
      <c r="P93" s="354">
        <f t="shared" si="9"/>
        <v>1</v>
      </c>
    </row>
    <row r="94" spans="1:16" ht="18.95" customHeight="1">
      <c r="A94" s="349">
        <f t="shared" si="10"/>
        <v>70</v>
      </c>
      <c r="B94" s="358" t="s">
        <v>2393</v>
      </c>
      <c r="C94" s="355" t="s">
        <v>2394</v>
      </c>
      <c r="D94" s="145">
        <v>43101</v>
      </c>
      <c r="E94" s="146">
        <v>44196</v>
      </c>
      <c r="F94" s="149">
        <v>0.33242009132420092</v>
      </c>
      <c r="G94" s="355">
        <v>1708181.81</v>
      </c>
      <c r="H94" s="355">
        <v>2973687.1</v>
      </c>
      <c r="I94" s="359">
        <v>351650.86</v>
      </c>
      <c r="J94" s="353">
        <f t="shared" si="8"/>
        <v>0.11825415659905844</v>
      </c>
      <c r="M94" s="74">
        <f t="shared" si="6"/>
        <v>1095</v>
      </c>
      <c r="N94" s="146">
        <v>43465</v>
      </c>
      <c r="O94" s="74">
        <f t="shared" si="7"/>
        <v>731</v>
      </c>
      <c r="P94" s="354">
        <f t="shared" si="9"/>
        <v>0.33242009132420092</v>
      </c>
    </row>
    <row r="95" spans="1:16" ht="18.95" customHeight="1">
      <c r="A95" s="349">
        <f t="shared" si="10"/>
        <v>71</v>
      </c>
      <c r="B95" s="358" t="s">
        <v>2826</v>
      </c>
      <c r="C95" s="355" t="s">
        <v>2827</v>
      </c>
      <c r="D95" s="145">
        <v>43132</v>
      </c>
      <c r="E95" s="146">
        <v>43465</v>
      </c>
      <c r="F95" s="149">
        <v>1</v>
      </c>
      <c r="G95" s="355">
        <v>247298.15</v>
      </c>
      <c r="H95" s="355">
        <v>430955.54</v>
      </c>
      <c r="I95" s="359">
        <v>-5.8207660913467407E-11</v>
      </c>
      <c r="J95" s="353">
        <f t="shared" si="8"/>
        <v>-1.3506651037243287E-16</v>
      </c>
      <c r="M95" s="74">
        <f t="shared" si="6"/>
        <v>333</v>
      </c>
      <c r="N95" s="146">
        <v>43465</v>
      </c>
      <c r="O95" s="74">
        <f t="shared" si="7"/>
        <v>0</v>
      </c>
      <c r="P95" s="354">
        <f t="shared" si="9"/>
        <v>1</v>
      </c>
    </row>
    <row r="96" spans="1:16" ht="18.95" customHeight="1">
      <c r="A96" s="349">
        <f t="shared" si="10"/>
        <v>72</v>
      </c>
      <c r="B96" s="358" t="s">
        <v>2828</v>
      </c>
      <c r="C96" s="355" t="s">
        <v>2829</v>
      </c>
      <c r="D96" s="145">
        <v>43282</v>
      </c>
      <c r="E96" s="146">
        <v>44926</v>
      </c>
      <c r="F96" s="149">
        <v>0.11131386861313869</v>
      </c>
      <c r="G96" s="355">
        <v>9093001.4700000007</v>
      </c>
      <c r="H96" s="355">
        <v>11992518.560000001</v>
      </c>
      <c r="I96" s="359">
        <v>33248.699999999997</v>
      </c>
      <c r="J96" s="353">
        <f t="shared" si="8"/>
        <v>2.7724534953732019E-3</v>
      </c>
      <c r="M96" s="74">
        <f t="shared" si="6"/>
        <v>1644</v>
      </c>
      <c r="N96" s="146">
        <v>43465</v>
      </c>
      <c r="O96" s="74">
        <f t="shared" si="7"/>
        <v>1461</v>
      </c>
      <c r="P96" s="354">
        <f t="shared" si="9"/>
        <v>0.11131386861313869</v>
      </c>
    </row>
    <row r="97" spans="1:16" ht="18.95" customHeight="1">
      <c r="A97" s="349">
        <f t="shared" si="10"/>
        <v>73</v>
      </c>
      <c r="B97" s="358" t="s">
        <v>2830</v>
      </c>
      <c r="C97" s="355" t="s">
        <v>2831</v>
      </c>
      <c r="D97" s="145">
        <v>42767</v>
      </c>
      <c r="E97" s="146">
        <v>43830</v>
      </c>
      <c r="F97" s="149">
        <v>0.65663217309501409</v>
      </c>
      <c r="G97" s="355">
        <v>2173814.1399999997</v>
      </c>
      <c r="H97" s="355">
        <v>2564368.5099999998</v>
      </c>
      <c r="I97" s="359">
        <v>1593962.29</v>
      </c>
      <c r="J97" s="353">
        <f t="shared" si="8"/>
        <v>0.62158082342073373</v>
      </c>
      <c r="M97" s="74">
        <f t="shared" si="6"/>
        <v>1063</v>
      </c>
      <c r="N97" s="146">
        <v>43465</v>
      </c>
      <c r="O97" s="74">
        <f t="shared" si="7"/>
        <v>365</v>
      </c>
      <c r="P97" s="354">
        <f t="shared" si="9"/>
        <v>0.65663217309501409</v>
      </c>
    </row>
    <row r="98" spans="1:16" ht="18.95" customHeight="1">
      <c r="A98" s="349">
        <f t="shared" si="10"/>
        <v>74</v>
      </c>
      <c r="B98" s="358" t="s">
        <v>2832</v>
      </c>
      <c r="C98" s="355" t="s">
        <v>2833</v>
      </c>
      <c r="D98" s="145">
        <v>42767</v>
      </c>
      <c r="E98" s="146">
        <v>43646</v>
      </c>
      <c r="F98" s="149">
        <v>0.79408418657565416</v>
      </c>
      <c r="G98" s="355">
        <v>132639.13</v>
      </c>
      <c r="H98" s="355">
        <v>132639.13</v>
      </c>
      <c r="I98" s="359">
        <v>157658.72</v>
      </c>
      <c r="J98" s="353">
        <f t="shared" si="8"/>
        <v>1.1886290267434656</v>
      </c>
      <c r="M98" s="74">
        <f t="shared" si="6"/>
        <v>879</v>
      </c>
      <c r="N98" s="146">
        <v>43465</v>
      </c>
      <c r="O98" s="74">
        <f t="shared" si="7"/>
        <v>181</v>
      </c>
      <c r="P98" s="354">
        <f t="shared" si="9"/>
        <v>0.79408418657565416</v>
      </c>
    </row>
    <row r="99" spans="1:16" ht="18.95" customHeight="1">
      <c r="A99" s="349">
        <f t="shared" si="10"/>
        <v>75</v>
      </c>
      <c r="B99" s="358" t="s">
        <v>2834</v>
      </c>
      <c r="C99" s="355" t="s">
        <v>2835</v>
      </c>
      <c r="D99" s="145">
        <v>42767</v>
      </c>
      <c r="E99" s="146">
        <v>43677</v>
      </c>
      <c r="F99" s="149">
        <v>0.76703296703296708</v>
      </c>
      <c r="G99" s="355">
        <v>404666.23</v>
      </c>
      <c r="H99" s="355">
        <v>404666.23</v>
      </c>
      <c r="I99" s="359">
        <v>159702.68</v>
      </c>
      <c r="J99" s="353">
        <f t="shared" si="8"/>
        <v>0.39465284760727376</v>
      </c>
      <c r="M99" s="74">
        <f t="shared" si="6"/>
        <v>910</v>
      </c>
      <c r="N99" s="146">
        <v>43465</v>
      </c>
      <c r="O99" s="74">
        <f t="shared" si="7"/>
        <v>212</v>
      </c>
      <c r="P99" s="354">
        <f t="shared" si="9"/>
        <v>0.76703296703296708</v>
      </c>
    </row>
    <row r="100" spans="1:16" ht="18.95" customHeight="1">
      <c r="A100" s="349">
        <f t="shared" si="10"/>
        <v>76</v>
      </c>
      <c r="B100" s="358" t="s">
        <v>2836</v>
      </c>
      <c r="C100" s="355" t="s">
        <v>2837</v>
      </c>
      <c r="D100" s="145">
        <v>42826</v>
      </c>
      <c r="E100" s="146">
        <v>43830</v>
      </c>
      <c r="F100" s="149">
        <v>0.63645418326693226</v>
      </c>
      <c r="G100" s="355">
        <v>298768.87</v>
      </c>
      <c r="H100" s="355">
        <v>290523.48</v>
      </c>
      <c r="I100" s="359">
        <v>117461.78</v>
      </c>
      <c r="J100" s="353">
        <f t="shared" si="8"/>
        <v>0.40431079787423724</v>
      </c>
      <c r="M100" s="74">
        <f t="shared" si="6"/>
        <v>1004</v>
      </c>
      <c r="N100" s="146">
        <v>43465</v>
      </c>
      <c r="O100" s="74">
        <f t="shared" si="7"/>
        <v>365</v>
      </c>
      <c r="P100" s="354">
        <f t="shared" si="9"/>
        <v>0.63645418326693226</v>
      </c>
    </row>
    <row r="101" spans="1:16" ht="18.95" customHeight="1">
      <c r="A101" s="349">
        <f t="shared" si="10"/>
        <v>77</v>
      </c>
      <c r="B101" s="358" t="s">
        <v>2838</v>
      </c>
      <c r="C101" s="355" t="s">
        <v>2839</v>
      </c>
      <c r="D101" s="145">
        <v>42887</v>
      </c>
      <c r="E101" s="146">
        <v>43555</v>
      </c>
      <c r="F101" s="149">
        <v>0.8652694610778443</v>
      </c>
      <c r="G101" s="355">
        <v>503610.03</v>
      </c>
      <c r="H101" s="355">
        <v>477283.87</v>
      </c>
      <c r="I101" s="359">
        <v>3696.4399999999996</v>
      </c>
      <c r="J101" s="353">
        <f t="shared" si="8"/>
        <v>7.7447410908732355E-3</v>
      </c>
      <c r="M101" s="74">
        <f t="shared" si="6"/>
        <v>668</v>
      </c>
      <c r="N101" s="146">
        <v>43465</v>
      </c>
      <c r="O101" s="74">
        <f t="shared" si="7"/>
        <v>90</v>
      </c>
      <c r="P101" s="354">
        <f t="shared" si="9"/>
        <v>0.8652694610778443</v>
      </c>
    </row>
    <row r="102" spans="1:16" ht="18.95" customHeight="1">
      <c r="A102" s="349">
        <f t="shared" si="10"/>
        <v>78</v>
      </c>
      <c r="B102" s="358" t="s">
        <v>2840</v>
      </c>
      <c r="C102" s="355" t="s">
        <v>2841</v>
      </c>
      <c r="D102" s="145">
        <v>43101</v>
      </c>
      <c r="E102" s="146">
        <v>44196</v>
      </c>
      <c r="F102" s="149">
        <v>0.33242009132420092</v>
      </c>
      <c r="G102" s="355">
        <v>10000295.18</v>
      </c>
      <c r="H102" s="355">
        <v>9428163.5499999989</v>
      </c>
      <c r="I102" s="359">
        <v>98820.28</v>
      </c>
      <c r="J102" s="353">
        <f t="shared" si="8"/>
        <v>1.0481392211317761E-2</v>
      </c>
      <c r="M102" s="74">
        <f t="shared" si="6"/>
        <v>1095</v>
      </c>
      <c r="N102" s="146">
        <v>43465</v>
      </c>
      <c r="O102" s="74">
        <f t="shared" si="7"/>
        <v>731</v>
      </c>
      <c r="P102" s="354">
        <f t="shared" si="9"/>
        <v>0.33242009132420092</v>
      </c>
    </row>
    <row r="103" spans="1:16" ht="18.95" customHeight="1">
      <c r="A103" s="349">
        <f t="shared" si="10"/>
        <v>79</v>
      </c>
      <c r="B103" s="358" t="s">
        <v>2842</v>
      </c>
      <c r="C103" s="355" t="s">
        <v>2843</v>
      </c>
      <c r="D103" s="145">
        <v>42856</v>
      </c>
      <c r="E103" s="146">
        <v>43465</v>
      </c>
      <c r="F103" s="149">
        <v>1</v>
      </c>
      <c r="G103" s="355">
        <v>195928.06</v>
      </c>
      <c r="H103" s="355">
        <v>195928.06</v>
      </c>
      <c r="I103" s="359">
        <v>-2.9103830456733704E-11</v>
      </c>
      <c r="J103" s="353">
        <f t="shared" si="8"/>
        <v>-1.4854345241173575E-16</v>
      </c>
      <c r="M103" s="74">
        <f t="shared" si="6"/>
        <v>609</v>
      </c>
      <c r="N103" s="146">
        <v>43465</v>
      </c>
      <c r="O103" s="74">
        <f t="shared" si="7"/>
        <v>0</v>
      </c>
      <c r="P103" s="354">
        <f t="shared" si="9"/>
        <v>1</v>
      </c>
    </row>
    <row r="104" spans="1:16" ht="18.95" customHeight="1">
      <c r="A104" s="349">
        <f t="shared" si="10"/>
        <v>80</v>
      </c>
      <c r="B104" s="358" t="s">
        <v>2844</v>
      </c>
      <c r="C104" s="355" t="s">
        <v>2845</v>
      </c>
      <c r="D104" s="145">
        <v>42948</v>
      </c>
      <c r="E104" s="146">
        <v>43830</v>
      </c>
      <c r="F104" s="149">
        <v>0.58616780045351469</v>
      </c>
      <c r="G104" s="355">
        <v>295251.44</v>
      </c>
      <c r="H104" s="355">
        <v>295251.44</v>
      </c>
      <c r="I104" s="359">
        <v>161815.06</v>
      </c>
      <c r="J104" s="353">
        <f t="shared" si="8"/>
        <v>0.54805849549793895</v>
      </c>
      <c r="M104" s="74">
        <f t="shared" si="6"/>
        <v>882</v>
      </c>
      <c r="N104" s="146">
        <v>43465</v>
      </c>
      <c r="O104" s="74">
        <f t="shared" si="7"/>
        <v>365</v>
      </c>
      <c r="P104" s="354">
        <f t="shared" si="9"/>
        <v>0.58616780045351469</v>
      </c>
    </row>
    <row r="105" spans="1:16" ht="18.95" customHeight="1">
      <c r="A105" s="349">
        <f t="shared" si="10"/>
        <v>81</v>
      </c>
      <c r="B105" s="358" t="s">
        <v>2846</v>
      </c>
      <c r="C105" s="355" t="s">
        <v>2847</v>
      </c>
      <c r="D105" s="145">
        <v>43252</v>
      </c>
      <c r="E105" s="146">
        <v>43889</v>
      </c>
      <c r="F105" s="149">
        <v>0.33437990580847726</v>
      </c>
      <c r="G105" s="355">
        <v>4713336.78</v>
      </c>
      <c r="H105" s="355">
        <v>4713336.78</v>
      </c>
      <c r="I105" s="359">
        <v>447129.89</v>
      </c>
      <c r="J105" s="353">
        <f t="shared" si="8"/>
        <v>9.4864829497713077E-2</v>
      </c>
      <c r="M105" s="74">
        <f t="shared" si="6"/>
        <v>637</v>
      </c>
      <c r="N105" s="146">
        <v>43465</v>
      </c>
      <c r="O105" s="74">
        <f t="shared" si="7"/>
        <v>424</v>
      </c>
      <c r="P105" s="354">
        <f t="shared" si="9"/>
        <v>0.33437990580847726</v>
      </c>
    </row>
    <row r="106" spans="1:16" ht="18.95" customHeight="1">
      <c r="A106" s="349">
        <f t="shared" si="10"/>
        <v>82</v>
      </c>
      <c r="B106" s="358" t="s">
        <v>2848</v>
      </c>
      <c r="C106" s="355" t="s">
        <v>2849</v>
      </c>
      <c r="D106" s="145">
        <v>43191</v>
      </c>
      <c r="E106" s="146">
        <v>43555</v>
      </c>
      <c r="F106" s="149">
        <v>0.75274725274725274</v>
      </c>
      <c r="G106" s="355">
        <v>2279624.62</v>
      </c>
      <c r="H106" s="355">
        <v>2279624.62</v>
      </c>
      <c r="I106" s="359">
        <v>317912.78000000003</v>
      </c>
      <c r="J106" s="353">
        <f t="shared" si="8"/>
        <v>0.13945839030287363</v>
      </c>
      <c r="M106" s="74">
        <f t="shared" si="6"/>
        <v>364</v>
      </c>
      <c r="N106" s="146">
        <v>43465</v>
      </c>
      <c r="O106" s="74">
        <f t="shared" si="7"/>
        <v>90</v>
      </c>
      <c r="P106" s="354">
        <f t="shared" si="9"/>
        <v>0.75274725274725274</v>
      </c>
    </row>
    <row r="107" spans="1:16" ht="18.95" customHeight="1">
      <c r="A107" s="349">
        <f t="shared" si="10"/>
        <v>83</v>
      </c>
      <c r="B107" s="358" t="s">
        <v>2850</v>
      </c>
      <c r="C107" s="355" t="s">
        <v>2851</v>
      </c>
      <c r="D107" s="145">
        <v>43374</v>
      </c>
      <c r="E107" s="146">
        <v>43555</v>
      </c>
      <c r="F107" s="149">
        <v>0.50276243093922657</v>
      </c>
      <c r="G107" s="355">
        <v>335760.69999999995</v>
      </c>
      <c r="H107" s="355">
        <v>335760.69999999995</v>
      </c>
      <c r="I107" s="359">
        <v>12829.099999999999</v>
      </c>
      <c r="J107" s="353">
        <f t="shared" si="8"/>
        <v>3.8209057820048624E-2</v>
      </c>
      <c r="M107" s="74">
        <f t="shared" si="6"/>
        <v>181</v>
      </c>
      <c r="N107" s="146">
        <v>43465</v>
      </c>
      <c r="O107" s="74">
        <f t="shared" si="7"/>
        <v>90</v>
      </c>
      <c r="P107" s="354">
        <f t="shared" si="9"/>
        <v>0.50276243093922657</v>
      </c>
    </row>
    <row r="108" spans="1:16" ht="18.95" customHeight="1">
      <c r="A108" s="349">
        <f t="shared" si="10"/>
        <v>84</v>
      </c>
      <c r="B108" s="358" t="s">
        <v>2852</v>
      </c>
      <c r="C108" s="355" t="s">
        <v>2853</v>
      </c>
      <c r="D108" s="145">
        <v>43221</v>
      </c>
      <c r="E108" s="146">
        <v>44196</v>
      </c>
      <c r="F108" s="149">
        <v>0.25025641025641027</v>
      </c>
      <c r="G108" s="355">
        <v>1672535.26</v>
      </c>
      <c r="H108" s="355">
        <v>1672535.26</v>
      </c>
      <c r="I108" s="359">
        <v>230650.92</v>
      </c>
      <c r="J108" s="353">
        <f t="shared" si="8"/>
        <v>0.13790496709767422</v>
      </c>
      <c r="M108" s="74">
        <f t="shared" si="6"/>
        <v>975</v>
      </c>
      <c r="N108" s="146">
        <v>43465</v>
      </c>
      <c r="O108" s="74">
        <f t="shared" si="7"/>
        <v>731</v>
      </c>
      <c r="P108" s="354">
        <f t="shared" si="9"/>
        <v>0.25025641025641027</v>
      </c>
    </row>
    <row r="109" spans="1:16" ht="18.95" customHeight="1">
      <c r="A109" s="349">
        <f t="shared" si="10"/>
        <v>85</v>
      </c>
      <c r="B109" s="358" t="s">
        <v>2854</v>
      </c>
      <c r="C109" s="355" t="s">
        <v>2855</v>
      </c>
      <c r="D109" s="145">
        <v>43252</v>
      </c>
      <c r="E109" s="146">
        <v>43830</v>
      </c>
      <c r="F109" s="149">
        <v>0.36851211072664358</v>
      </c>
      <c r="G109" s="355">
        <v>14944.439999999999</v>
      </c>
      <c r="H109" s="355">
        <v>14944.439999999999</v>
      </c>
      <c r="I109" s="359">
        <v>9787.74</v>
      </c>
      <c r="J109" s="353">
        <f t="shared" si="8"/>
        <v>0.65494190481543646</v>
      </c>
      <c r="M109" s="74">
        <f t="shared" si="6"/>
        <v>578</v>
      </c>
      <c r="N109" s="146">
        <v>43465</v>
      </c>
      <c r="O109" s="74">
        <f t="shared" si="7"/>
        <v>365</v>
      </c>
      <c r="P109" s="354">
        <f t="shared" si="9"/>
        <v>0.36851211072664358</v>
      </c>
    </row>
    <row r="110" spans="1:16" ht="18.95" customHeight="1">
      <c r="A110" s="349">
        <f t="shared" si="10"/>
        <v>86</v>
      </c>
      <c r="B110" s="358" t="s">
        <v>2856</v>
      </c>
      <c r="C110" s="355" t="s">
        <v>2857</v>
      </c>
      <c r="D110" s="145">
        <v>43191</v>
      </c>
      <c r="E110" s="146">
        <v>43465</v>
      </c>
      <c r="F110" s="149">
        <v>1</v>
      </c>
      <c r="G110" s="355">
        <v>1800000.0000000002</v>
      </c>
      <c r="H110" s="355">
        <v>818029.42</v>
      </c>
      <c r="I110" s="359">
        <v>-1.1641532182693481E-10</v>
      </c>
      <c r="J110" s="353">
        <f t="shared" si="8"/>
        <v>-1.4231190099120739E-16</v>
      </c>
      <c r="M110" s="74">
        <f t="shared" si="6"/>
        <v>274</v>
      </c>
      <c r="N110" s="146">
        <v>43465</v>
      </c>
      <c r="O110" s="74">
        <f t="shared" si="7"/>
        <v>0</v>
      </c>
      <c r="P110" s="354">
        <f t="shared" si="9"/>
        <v>1</v>
      </c>
    </row>
    <row r="111" spans="1:16" ht="18.95" customHeight="1">
      <c r="A111" s="349">
        <f t="shared" si="10"/>
        <v>87</v>
      </c>
      <c r="B111" s="358" t="s">
        <v>2858</v>
      </c>
      <c r="C111" s="355" t="s">
        <v>2859</v>
      </c>
      <c r="D111" s="145">
        <v>43191</v>
      </c>
      <c r="E111" s="146">
        <v>43830</v>
      </c>
      <c r="F111" s="149">
        <v>0.42879499217527389</v>
      </c>
      <c r="G111" s="355">
        <v>1549999.8800000001</v>
      </c>
      <c r="H111" s="355">
        <v>8045726.2400000002</v>
      </c>
      <c r="I111" s="359">
        <v>4479462.3</v>
      </c>
      <c r="J111" s="353">
        <f t="shared" si="8"/>
        <v>0.55675052398998848</v>
      </c>
      <c r="M111" s="74">
        <f t="shared" si="6"/>
        <v>639</v>
      </c>
      <c r="N111" s="146">
        <v>43465</v>
      </c>
      <c r="O111" s="74">
        <f t="shared" si="7"/>
        <v>365</v>
      </c>
      <c r="P111" s="354">
        <f t="shared" si="9"/>
        <v>0.42879499217527389</v>
      </c>
    </row>
    <row r="112" spans="1:16" ht="18.95" customHeight="1">
      <c r="A112" s="349">
        <f t="shared" si="10"/>
        <v>88</v>
      </c>
      <c r="B112" s="358" t="s">
        <v>2860</v>
      </c>
      <c r="C112" s="355" t="s">
        <v>2861</v>
      </c>
      <c r="D112" s="145">
        <v>43374</v>
      </c>
      <c r="E112" s="146">
        <v>43769</v>
      </c>
      <c r="F112" s="149">
        <v>0.23037974683544304</v>
      </c>
      <c r="G112" s="355">
        <v>2499999.64</v>
      </c>
      <c r="H112" s="355">
        <v>1429262.93</v>
      </c>
      <c r="I112" s="359">
        <v>62787.509999999995</v>
      </c>
      <c r="J112" s="353">
        <f t="shared" si="8"/>
        <v>4.3929992643131098E-2</v>
      </c>
      <c r="M112" s="74">
        <f t="shared" si="6"/>
        <v>395</v>
      </c>
      <c r="N112" s="146">
        <v>43465</v>
      </c>
      <c r="O112" s="74">
        <f t="shared" si="7"/>
        <v>304</v>
      </c>
      <c r="P112" s="354">
        <f t="shared" si="9"/>
        <v>0.23037974683544304</v>
      </c>
    </row>
    <row r="113" spans="1:16" s="360" customFormat="1" ht="20.100000000000001" customHeight="1">
      <c r="A113" s="767" t="str">
        <f>$A$1</f>
        <v>KENTUCKY UTILITIES COMPANY</v>
      </c>
      <c r="B113" s="767"/>
      <c r="C113" s="767"/>
      <c r="D113" s="767"/>
      <c r="E113" s="767"/>
      <c r="F113" s="767"/>
      <c r="G113" s="767"/>
      <c r="H113" s="767"/>
      <c r="I113" s="767"/>
      <c r="J113" s="767"/>
    </row>
    <row r="114" spans="1:16" s="360" customFormat="1" ht="20.100000000000001" customHeight="1">
      <c r="A114" s="767" t="str">
        <f>$A$2</f>
        <v>CASE NO. 2018-00294</v>
      </c>
      <c r="B114" s="767"/>
      <c r="C114" s="767"/>
      <c r="D114" s="767"/>
      <c r="E114" s="767"/>
      <c r="F114" s="767"/>
      <c r="G114" s="767"/>
      <c r="H114" s="767"/>
      <c r="I114" s="767"/>
      <c r="J114" s="767"/>
    </row>
    <row r="115" spans="1:16" s="360" customFormat="1" ht="20.100000000000001" customHeight="1">
      <c r="A115" s="767" t="s">
        <v>1219</v>
      </c>
      <c r="B115" s="767"/>
      <c r="C115" s="767"/>
      <c r="D115" s="767"/>
      <c r="E115" s="767"/>
      <c r="F115" s="767"/>
      <c r="G115" s="767"/>
      <c r="H115" s="767"/>
      <c r="I115" s="767"/>
      <c r="J115" s="767"/>
    </row>
    <row r="116" spans="1:16" s="360" customFormat="1" ht="20.100000000000001" customHeight="1">
      <c r="A116" s="767" t="str">
        <f>$A$4</f>
        <v>AS OF DECEMBER 31, 2018</v>
      </c>
      <c r="B116" s="767"/>
      <c r="C116" s="767"/>
      <c r="D116" s="767"/>
      <c r="E116" s="767"/>
      <c r="F116" s="767"/>
      <c r="G116" s="767"/>
      <c r="H116" s="767"/>
      <c r="I116" s="767"/>
      <c r="J116" s="767"/>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DATA:__X__BASE  PERIOD____FORECASTED  PERIOD</v>
      </c>
      <c r="B118" s="348"/>
      <c r="C118" s="68"/>
      <c r="D118" s="144"/>
      <c r="E118" s="144"/>
      <c r="F118" s="68"/>
      <c r="G118" s="74"/>
      <c r="H118" s="74"/>
      <c r="I118" s="74"/>
      <c r="J118" s="74" t="s">
        <v>1714</v>
      </c>
    </row>
    <row r="119" spans="1:16" s="360" customFormat="1" ht="20.100000000000001" customHeight="1">
      <c r="A119" s="67" t="str">
        <f>$A$7</f>
        <v>TYPE OF FILING: __X__ ORIGINAL  _____ UPDATED  _____ REVISED</v>
      </c>
      <c r="B119" s="349"/>
      <c r="C119" s="68"/>
      <c r="D119" s="144"/>
      <c r="E119" s="144"/>
      <c r="F119" s="68"/>
      <c r="G119" s="74"/>
      <c r="H119" s="74"/>
      <c r="I119" s="74"/>
      <c r="J119" s="74" t="s">
        <v>3408</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95" customHeight="1">
      <c r="A125" s="349">
        <f>A112+1</f>
        <v>89</v>
      </c>
      <c r="B125" s="358" t="s">
        <v>2862</v>
      </c>
      <c r="C125" s="355" t="s">
        <v>2863</v>
      </c>
      <c r="D125" s="145">
        <v>43374</v>
      </c>
      <c r="E125" s="146">
        <v>43830</v>
      </c>
      <c r="F125" s="149">
        <v>0.19956140350877194</v>
      </c>
      <c r="G125" s="355">
        <v>3499999.7600000002</v>
      </c>
      <c r="H125" s="355">
        <v>1132760.3400000001</v>
      </c>
      <c r="I125" s="359">
        <v>87703.18</v>
      </c>
      <c r="J125" s="353">
        <f t="shared" si="8"/>
        <v>7.7424303184908463E-2</v>
      </c>
      <c r="M125" s="74">
        <f t="shared" si="6"/>
        <v>456</v>
      </c>
      <c r="N125" s="146">
        <v>43465</v>
      </c>
      <c r="O125" s="74">
        <f t="shared" si="7"/>
        <v>365</v>
      </c>
      <c r="P125" s="354">
        <f t="shared" si="9"/>
        <v>0.19956140350877194</v>
      </c>
    </row>
    <row r="126" spans="1:16" ht="18.95" customHeight="1">
      <c r="A126" s="349">
        <f t="shared" si="10"/>
        <v>90</v>
      </c>
      <c r="B126" s="358" t="s">
        <v>2864</v>
      </c>
      <c r="C126" s="355" t="s">
        <v>2865</v>
      </c>
      <c r="D126" s="145">
        <v>43374</v>
      </c>
      <c r="E126" s="146">
        <v>43708</v>
      </c>
      <c r="F126" s="149">
        <v>0.27245508982035926</v>
      </c>
      <c r="G126" s="355">
        <v>1999999.9100000001</v>
      </c>
      <c r="H126" s="355">
        <v>1394999.4500000002</v>
      </c>
      <c r="I126" s="359">
        <v>49831.37</v>
      </c>
      <c r="J126" s="353">
        <f t="shared" si="8"/>
        <v>3.5721426270096376E-2</v>
      </c>
      <c r="M126" s="74">
        <f t="shared" si="6"/>
        <v>334</v>
      </c>
      <c r="N126" s="146">
        <v>43465</v>
      </c>
      <c r="O126" s="74">
        <f t="shared" si="7"/>
        <v>243</v>
      </c>
      <c r="P126" s="354">
        <f t="shared" si="9"/>
        <v>0.27245508982035926</v>
      </c>
    </row>
    <row r="127" spans="1:16" ht="18.95" customHeight="1">
      <c r="A127" s="349">
        <f t="shared" si="10"/>
        <v>91</v>
      </c>
      <c r="B127" s="358" t="s">
        <v>2866</v>
      </c>
      <c r="C127" s="355" t="s">
        <v>2867</v>
      </c>
      <c r="D127" s="145">
        <v>43374</v>
      </c>
      <c r="E127" s="146">
        <v>43555</v>
      </c>
      <c r="F127" s="149">
        <v>0.50276243093922657</v>
      </c>
      <c r="G127" s="355">
        <v>750000.00000000012</v>
      </c>
      <c r="H127" s="355">
        <v>255243.07</v>
      </c>
      <c r="I127" s="359">
        <v>18935.89</v>
      </c>
      <c r="J127" s="353">
        <f t="shared" si="8"/>
        <v>7.4187675301037551E-2</v>
      </c>
      <c r="M127" s="74">
        <f t="shared" si="6"/>
        <v>181</v>
      </c>
      <c r="N127" s="146">
        <v>43465</v>
      </c>
      <c r="O127" s="74">
        <f t="shared" si="7"/>
        <v>90</v>
      </c>
      <c r="P127" s="354">
        <f t="shared" si="9"/>
        <v>0.50276243093922657</v>
      </c>
    </row>
    <row r="128" spans="1:16" ht="18.95" customHeight="1">
      <c r="A128" s="349">
        <f t="shared" si="10"/>
        <v>92</v>
      </c>
      <c r="B128" s="358" t="s">
        <v>2868</v>
      </c>
      <c r="C128" s="355" t="s">
        <v>2869</v>
      </c>
      <c r="D128" s="145">
        <v>43374</v>
      </c>
      <c r="E128" s="146">
        <v>43799</v>
      </c>
      <c r="F128" s="149">
        <v>0.21411764705882352</v>
      </c>
      <c r="G128" s="355">
        <v>999999.93999999983</v>
      </c>
      <c r="H128" s="355">
        <v>2162962.39</v>
      </c>
      <c r="I128" s="359">
        <v>24915.699999999997</v>
      </c>
      <c r="J128" s="353">
        <f t="shared" si="8"/>
        <v>1.1519247914430909E-2</v>
      </c>
      <c r="M128" s="74">
        <f t="shared" si="6"/>
        <v>425</v>
      </c>
      <c r="N128" s="146">
        <v>43465</v>
      </c>
      <c r="O128" s="74">
        <f t="shared" si="7"/>
        <v>334</v>
      </c>
      <c r="P128" s="354">
        <f t="shared" si="9"/>
        <v>0.21411764705882352</v>
      </c>
    </row>
    <row r="129" spans="1:16" ht="18.95" customHeight="1">
      <c r="A129" s="349">
        <f t="shared" si="10"/>
        <v>93</v>
      </c>
      <c r="B129" s="358" t="s">
        <v>2870</v>
      </c>
      <c r="C129" s="355" t="s">
        <v>2871</v>
      </c>
      <c r="D129" s="145">
        <v>43374</v>
      </c>
      <c r="E129" s="146">
        <v>43585</v>
      </c>
      <c r="F129" s="149">
        <v>0.43127962085308058</v>
      </c>
      <c r="G129" s="355">
        <v>999999.94</v>
      </c>
      <c r="H129" s="355">
        <v>234809.19</v>
      </c>
      <c r="I129" s="359">
        <v>24915.699999999997</v>
      </c>
      <c r="J129" s="353">
        <f t="shared" si="8"/>
        <v>0.10611041245872871</v>
      </c>
      <c r="M129" s="74">
        <f t="shared" si="6"/>
        <v>211</v>
      </c>
      <c r="N129" s="146">
        <v>43465</v>
      </c>
      <c r="O129" s="74">
        <f t="shared" si="7"/>
        <v>120</v>
      </c>
      <c r="P129" s="354">
        <f t="shared" si="9"/>
        <v>0.43127962085308058</v>
      </c>
    </row>
    <row r="130" spans="1:16" ht="18.95" customHeight="1">
      <c r="A130" s="349">
        <f t="shared" si="10"/>
        <v>94</v>
      </c>
      <c r="B130" s="358" t="s">
        <v>2872</v>
      </c>
      <c r="C130" s="355" t="s">
        <v>2873</v>
      </c>
      <c r="D130" s="145">
        <v>43374</v>
      </c>
      <c r="E130" s="146">
        <v>43585</v>
      </c>
      <c r="F130" s="149">
        <v>0.43127962085308058</v>
      </c>
      <c r="G130" s="355">
        <v>999999.94000000006</v>
      </c>
      <c r="H130" s="355">
        <v>325358.38</v>
      </c>
      <c r="I130" s="359">
        <v>24915.699999999997</v>
      </c>
      <c r="J130" s="353">
        <f t="shared" si="8"/>
        <v>7.6579247782091853E-2</v>
      </c>
      <c r="M130" s="74">
        <f t="shared" si="6"/>
        <v>211</v>
      </c>
      <c r="N130" s="146">
        <v>43465</v>
      </c>
      <c r="O130" s="74">
        <f t="shared" si="7"/>
        <v>120</v>
      </c>
      <c r="P130" s="354">
        <f t="shared" si="9"/>
        <v>0.43127962085308058</v>
      </c>
    </row>
    <row r="131" spans="1:16" ht="18.95" customHeight="1">
      <c r="A131" s="349">
        <f t="shared" si="10"/>
        <v>95</v>
      </c>
      <c r="B131" s="358" t="s">
        <v>2874</v>
      </c>
      <c r="C131" s="355" t="s">
        <v>2875</v>
      </c>
      <c r="D131" s="145">
        <v>43101</v>
      </c>
      <c r="E131" s="146">
        <v>43830</v>
      </c>
      <c r="F131" s="149">
        <v>0.4993141289437586</v>
      </c>
      <c r="G131" s="355">
        <v>1268000.04</v>
      </c>
      <c r="H131" s="355">
        <v>1916553.27</v>
      </c>
      <c r="I131" s="359">
        <v>514843.46</v>
      </c>
      <c r="J131" s="353">
        <f t="shared" si="8"/>
        <v>0.26862987220803941</v>
      </c>
      <c r="M131" s="74">
        <f t="shared" si="6"/>
        <v>729</v>
      </c>
      <c r="N131" s="146">
        <v>43465</v>
      </c>
      <c r="O131" s="74">
        <f t="shared" si="7"/>
        <v>365</v>
      </c>
      <c r="P131" s="354">
        <f t="shared" si="9"/>
        <v>0.4993141289437586</v>
      </c>
    </row>
    <row r="132" spans="1:16" ht="18.95" customHeight="1">
      <c r="A132" s="349">
        <f t="shared" si="10"/>
        <v>96</v>
      </c>
      <c r="B132" s="358" t="s">
        <v>2876</v>
      </c>
      <c r="C132" s="355" t="s">
        <v>2877</v>
      </c>
      <c r="D132" s="145">
        <v>43039</v>
      </c>
      <c r="E132" s="146">
        <v>44196</v>
      </c>
      <c r="F132" s="149">
        <v>0.36819360414866031</v>
      </c>
      <c r="G132" s="355">
        <v>150000</v>
      </c>
      <c r="H132" s="355">
        <v>285090.21000000002</v>
      </c>
      <c r="I132" s="359">
        <v>11305.21</v>
      </c>
      <c r="J132" s="353">
        <f t="shared" si="8"/>
        <v>3.965485170465867E-2</v>
      </c>
      <c r="M132" s="74">
        <f t="shared" si="6"/>
        <v>1157</v>
      </c>
      <c r="N132" s="146">
        <v>43465</v>
      </c>
      <c r="O132" s="74">
        <f t="shared" si="7"/>
        <v>731</v>
      </c>
      <c r="P132" s="354">
        <f t="shared" si="9"/>
        <v>0.36819360414866031</v>
      </c>
    </row>
    <row r="133" spans="1:16" ht="18.95" customHeight="1">
      <c r="A133" s="349">
        <f t="shared" si="10"/>
        <v>97</v>
      </c>
      <c r="B133" s="358" t="s">
        <v>2878</v>
      </c>
      <c r="C133" s="355" t="s">
        <v>2879</v>
      </c>
      <c r="D133" s="145">
        <v>43101</v>
      </c>
      <c r="E133" s="146">
        <v>43830</v>
      </c>
      <c r="F133" s="149">
        <v>0.4993141289437586</v>
      </c>
      <c r="G133" s="355">
        <v>600000</v>
      </c>
      <c r="H133" s="355">
        <v>669304.76</v>
      </c>
      <c r="I133" s="359">
        <v>372886.46</v>
      </c>
      <c r="J133" s="353">
        <f t="shared" si="8"/>
        <v>0.55712506810798723</v>
      </c>
      <c r="M133" s="74">
        <f t="shared" si="6"/>
        <v>729</v>
      </c>
      <c r="N133" s="146">
        <v>43465</v>
      </c>
      <c r="O133" s="74">
        <f t="shared" si="7"/>
        <v>365</v>
      </c>
      <c r="P133" s="354">
        <f t="shared" si="9"/>
        <v>0.4993141289437586</v>
      </c>
    </row>
    <row r="134" spans="1:16" ht="18.95" customHeight="1">
      <c r="A134" s="349">
        <f t="shared" si="10"/>
        <v>98</v>
      </c>
      <c r="B134" s="358" t="s">
        <v>2880</v>
      </c>
      <c r="C134" s="355" t="s">
        <v>2881</v>
      </c>
      <c r="D134" s="145">
        <v>43101</v>
      </c>
      <c r="E134" s="146">
        <v>43830</v>
      </c>
      <c r="F134" s="149">
        <v>0.4993141289437586</v>
      </c>
      <c r="G134" s="355">
        <v>250000.08000000002</v>
      </c>
      <c r="H134" s="355">
        <v>277580.34000000003</v>
      </c>
      <c r="I134" s="359">
        <v>77580.299999999988</v>
      </c>
      <c r="J134" s="353">
        <f t="shared" si="8"/>
        <v>0.27948773317303371</v>
      </c>
      <c r="M134" s="74">
        <f t="shared" si="6"/>
        <v>729</v>
      </c>
      <c r="N134" s="146">
        <v>43465</v>
      </c>
      <c r="O134" s="74">
        <f t="shared" si="7"/>
        <v>365</v>
      </c>
      <c r="P134" s="354">
        <f t="shared" si="9"/>
        <v>0.4993141289437586</v>
      </c>
    </row>
    <row r="135" spans="1:16" ht="18.95" customHeight="1">
      <c r="A135" s="349">
        <f t="shared" si="10"/>
        <v>99</v>
      </c>
      <c r="B135" s="358" t="s">
        <v>2882</v>
      </c>
      <c r="C135" s="355" t="s">
        <v>2883</v>
      </c>
      <c r="D135" s="145">
        <v>42948</v>
      </c>
      <c r="E135" s="146">
        <v>43830</v>
      </c>
      <c r="F135" s="149">
        <v>0.58616780045351469</v>
      </c>
      <c r="G135" s="355">
        <v>3202777.2</v>
      </c>
      <c r="H135" s="355">
        <v>2212286.9500000002</v>
      </c>
      <c r="I135" s="359">
        <v>924057.13000000012</v>
      </c>
      <c r="J135" s="353">
        <f t="shared" si="8"/>
        <v>0.41769316136860096</v>
      </c>
      <c r="M135" s="74">
        <f t="shared" si="6"/>
        <v>882</v>
      </c>
      <c r="N135" s="146">
        <v>43465</v>
      </c>
      <c r="O135" s="74">
        <f t="shared" si="7"/>
        <v>365</v>
      </c>
      <c r="P135" s="354">
        <f t="shared" si="9"/>
        <v>0.58616780045351469</v>
      </c>
    </row>
    <row r="136" spans="1:16" ht="18.95" customHeight="1">
      <c r="A136" s="349">
        <f t="shared" si="10"/>
        <v>100</v>
      </c>
      <c r="B136" s="358" t="s">
        <v>2884</v>
      </c>
      <c r="C136" s="355" t="s">
        <v>2885</v>
      </c>
      <c r="D136" s="145">
        <v>43040</v>
      </c>
      <c r="E136" s="146">
        <v>44561</v>
      </c>
      <c r="F136" s="149">
        <v>0.27942143326758712</v>
      </c>
      <c r="G136" s="355">
        <v>2322000</v>
      </c>
      <c r="H136" s="355">
        <v>2011.77</v>
      </c>
      <c r="I136" s="359">
        <v>5176.3700000000008</v>
      </c>
      <c r="J136" s="353">
        <f t="shared" si="8"/>
        <v>2.573042644039826</v>
      </c>
      <c r="M136" s="74">
        <f t="shared" si="6"/>
        <v>1521</v>
      </c>
      <c r="N136" s="146">
        <v>43465</v>
      </c>
      <c r="O136" s="74">
        <f t="shared" si="7"/>
        <v>1096</v>
      </c>
      <c r="P136" s="354">
        <f t="shared" si="9"/>
        <v>0.27942143326758712</v>
      </c>
    </row>
    <row r="137" spans="1:16" ht="18.95" customHeight="1">
      <c r="A137" s="349">
        <f t="shared" si="10"/>
        <v>101</v>
      </c>
      <c r="B137" s="358" t="s">
        <v>2886</v>
      </c>
      <c r="C137" s="355" t="s">
        <v>2887</v>
      </c>
      <c r="D137" s="145">
        <v>43101</v>
      </c>
      <c r="E137" s="146">
        <v>43830</v>
      </c>
      <c r="F137" s="149">
        <v>0.4993141289437586</v>
      </c>
      <c r="G137" s="355">
        <v>120000</v>
      </c>
      <c r="H137" s="355">
        <v>372995.54000000004</v>
      </c>
      <c r="I137" s="359">
        <v>362175.83999999997</v>
      </c>
      <c r="J137" s="353">
        <f t="shared" si="8"/>
        <v>0.97099241454736951</v>
      </c>
      <c r="M137" s="74">
        <f t="shared" si="6"/>
        <v>729</v>
      </c>
      <c r="N137" s="146">
        <v>43465</v>
      </c>
      <c r="O137" s="74">
        <f t="shared" si="7"/>
        <v>365</v>
      </c>
      <c r="P137" s="354">
        <f t="shared" si="9"/>
        <v>0.4993141289437586</v>
      </c>
    </row>
    <row r="138" spans="1:16" ht="18.95" customHeight="1">
      <c r="A138" s="349">
        <f t="shared" si="10"/>
        <v>102</v>
      </c>
      <c r="B138" s="358" t="s">
        <v>2888</v>
      </c>
      <c r="C138" s="355" t="s">
        <v>2889</v>
      </c>
      <c r="D138" s="145">
        <v>43101</v>
      </c>
      <c r="E138" s="146">
        <v>44196</v>
      </c>
      <c r="F138" s="149">
        <v>0.33242009132420092</v>
      </c>
      <c r="G138" s="355">
        <v>2639999.7000000002</v>
      </c>
      <c r="H138" s="355">
        <v>3219557.1799999997</v>
      </c>
      <c r="I138" s="359">
        <v>250000.00000000003</v>
      </c>
      <c r="J138" s="353">
        <f t="shared" si="8"/>
        <v>7.765043017499694E-2</v>
      </c>
      <c r="M138" s="74">
        <f t="shared" si="6"/>
        <v>1095</v>
      </c>
      <c r="N138" s="146">
        <v>43465</v>
      </c>
      <c r="O138" s="74">
        <f t="shared" si="7"/>
        <v>731</v>
      </c>
      <c r="P138" s="354">
        <f t="shared" si="9"/>
        <v>0.33242009132420092</v>
      </c>
    </row>
    <row r="139" spans="1:16" ht="18.95" customHeight="1">
      <c r="A139" s="349">
        <f t="shared" si="10"/>
        <v>103</v>
      </c>
      <c r="B139" s="358" t="s">
        <v>2890</v>
      </c>
      <c r="C139" s="355" t="s">
        <v>2891</v>
      </c>
      <c r="D139" s="145">
        <v>43101</v>
      </c>
      <c r="E139" s="146">
        <v>43830</v>
      </c>
      <c r="F139" s="149">
        <v>0.4993141289437586</v>
      </c>
      <c r="G139" s="355">
        <v>210000</v>
      </c>
      <c r="H139" s="355">
        <v>202878.23</v>
      </c>
      <c r="I139" s="359">
        <v>198934.13</v>
      </c>
      <c r="J139" s="353">
        <f t="shared" si="8"/>
        <v>0.98055927439824364</v>
      </c>
      <c r="M139" s="74">
        <f t="shared" si="6"/>
        <v>729</v>
      </c>
      <c r="N139" s="146">
        <v>43465</v>
      </c>
      <c r="O139" s="74">
        <f t="shared" si="7"/>
        <v>365</v>
      </c>
      <c r="P139" s="354">
        <f t="shared" si="9"/>
        <v>0.4993141289437586</v>
      </c>
    </row>
    <row r="140" spans="1:16" ht="18.95" customHeight="1">
      <c r="A140" s="349">
        <f t="shared" si="10"/>
        <v>104</v>
      </c>
      <c r="B140" s="358" t="s">
        <v>2892</v>
      </c>
      <c r="C140" s="355" t="s">
        <v>2893</v>
      </c>
      <c r="D140" s="145">
        <v>42736</v>
      </c>
      <c r="E140" s="146">
        <v>43830</v>
      </c>
      <c r="F140" s="149">
        <v>0.6663619744058501</v>
      </c>
      <c r="G140" s="355">
        <v>837500.00000000012</v>
      </c>
      <c r="H140" s="355">
        <v>767371.04</v>
      </c>
      <c r="I140" s="359">
        <v>464225.34000000008</v>
      </c>
      <c r="J140" s="353">
        <f t="shared" si="8"/>
        <v>0.60495551148242455</v>
      </c>
      <c r="M140" s="74">
        <f t="shared" si="6"/>
        <v>1094</v>
      </c>
      <c r="N140" s="146">
        <v>43465</v>
      </c>
      <c r="O140" s="74">
        <f t="shared" si="7"/>
        <v>365</v>
      </c>
      <c r="P140" s="354">
        <f t="shared" si="9"/>
        <v>0.6663619744058501</v>
      </c>
    </row>
    <row r="141" spans="1:16" ht="18.95" customHeight="1">
      <c r="A141" s="349">
        <f t="shared" si="10"/>
        <v>105</v>
      </c>
      <c r="B141" s="358" t="s">
        <v>2894</v>
      </c>
      <c r="C141" s="355" t="s">
        <v>2895</v>
      </c>
      <c r="D141" s="145">
        <v>42736</v>
      </c>
      <c r="E141" s="146">
        <v>43830</v>
      </c>
      <c r="F141" s="149">
        <v>0.6663619744058501</v>
      </c>
      <c r="G141" s="355">
        <v>537500</v>
      </c>
      <c r="H141" s="355">
        <v>585478.73</v>
      </c>
      <c r="I141" s="359">
        <v>335309.53000000003</v>
      </c>
      <c r="J141" s="353">
        <f t="shared" si="8"/>
        <v>0.57271001117324971</v>
      </c>
      <c r="M141" s="74">
        <f t="shared" si="6"/>
        <v>1094</v>
      </c>
      <c r="N141" s="146">
        <v>43465</v>
      </c>
      <c r="O141" s="74">
        <f t="shared" si="7"/>
        <v>365</v>
      </c>
      <c r="P141" s="354">
        <f t="shared" si="9"/>
        <v>0.6663619744058501</v>
      </c>
    </row>
    <row r="142" spans="1:16" ht="18.95" customHeight="1">
      <c r="A142" s="349">
        <f t="shared" si="10"/>
        <v>106</v>
      </c>
      <c r="B142" s="358" t="s">
        <v>2896</v>
      </c>
      <c r="C142" s="355" t="s">
        <v>2897</v>
      </c>
      <c r="D142" s="145">
        <v>43101</v>
      </c>
      <c r="E142" s="146">
        <v>43830</v>
      </c>
      <c r="F142" s="149">
        <v>0.4993141289437586</v>
      </c>
      <c r="G142" s="355">
        <v>49999.999999999985</v>
      </c>
      <c r="H142" s="355">
        <v>261703.21</v>
      </c>
      <c r="I142" s="359">
        <v>-2.9103830456733704E-11</v>
      </c>
      <c r="J142" s="353">
        <f t="shared" si="8"/>
        <v>-1.1120929871946814E-16</v>
      </c>
      <c r="M142" s="74">
        <f t="shared" si="6"/>
        <v>729</v>
      </c>
      <c r="N142" s="146">
        <v>43465</v>
      </c>
      <c r="O142" s="74">
        <f t="shared" si="7"/>
        <v>365</v>
      </c>
      <c r="P142" s="354">
        <f t="shared" si="9"/>
        <v>0.4993141289437586</v>
      </c>
    </row>
    <row r="143" spans="1:16" ht="18.95" customHeight="1">
      <c r="A143" s="349">
        <f t="shared" si="10"/>
        <v>107</v>
      </c>
      <c r="B143" s="358" t="s">
        <v>2898</v>
      </c>
      <c r="C143" s="355" t="s">
        <v>2899</v>
      </c>
      <c r="D143" s="145">
        <v>43101</v>
      </c>
      <c r="E143" s="146">
        <v>43769</v>
      </c>
      <c r="F143" s="149">
        <v>0.54491017964071853</v>
      </c>
      <c r="G143" s="355">
        <v>240000</v>
      </c>
      <c r="H143" s="355">
        <v>90939.57</v>
      </c>
      <c r="I143" s="359">
        <v>90939.570000000022</v>
      </c>
      <c r="J143" s="353">
        <f t="shared" si="8"/>
        <v>1.0000000000000002</v>
      </c>
      <c r="M143" s="74">
        <f t="shared" si="6"/>
        <v>668</v>
      </c>
      <c r="N143" s="146">
        <v>43465</v>
      </c>
      <c r="O143" s="74">
        <f t="shared" si="7"/>
        <v>304</v>
      </c>
      <c r="P143" s="354">
        <f t="shared" si="9"/>
        <v>0.54491017964071853</v>
      </c>
    </row>
    <row r="144" spans="1:16" ht="18.95" customHeight="1">
      <c r="A144" s="349">
        <f t="shared" si="10"/>
        <v>108</v>
      </c>
      <c r="B144" s="358" t="s">
        <v>2900</v>
      </c>
      <c r="C144" s="355" t="s">
        <v>2901</v>
      </c>
      <c r="D144" s="145">
        <v>43101</v>
      </c>
      <c r="E144" s="146">
        <v>43830</v>
      </c>
      <c r="F144" s="149">
        <v>0.4993141289437586</v>
      </c>
      <c r="G144" s="355">
        <v>1875000</v>
      </c>
      <c r="H144" s="355">
        <v>470046.17</v>
      </c>
      <c r="I144" s="359">
        <v>-5.8207660913467407E-11</v>
      </c>
      <c r="J144" s="353">
        <f t="shared" si="8"/>
        <v>-1.2383392234313367E-16</v>
      </c>
      <c r="M144" s="74">
        <f t="shared" si="6"/>
        <v>729</v>
      </c>
      <c r="N144" s="146">
        <v>43465</v>
      </c>
      <c r="O144" s="74">
        <f t="shared" si="7"/>
        <v>365</v>
      </c>
      <c r="P144" s="354">
        <f t="shared" si="9"/>
        <v>0.4993141289437586</v>
      </c>
    </row>
    <row r="145" spans="1:16" ht="18.95" customHeight="1">
      <c r="A145" s="349">
        <f t="shared" si="10"/>
        <v>109</v>
      </c>
      <c r="B145" s="358" t="s">
        <v>2902</v>
      </c>
      <c r="C145" s="355" t="s">
        <v>2903</v>
      </c>
      <c r="D145" s="145">
        <v>43009</v>
      </c>
      <c r="E145" s="146">
        <v>43830</v>
      </c>
      <c r="F145" s="149">
        <v>0.55542021924482343</v>
      </c>
      <c r="G145" s="355">
        <v>1175040</v>
      </c>
      <c r="H145" s="355">
        <v>1393059.08</v>
      </c>
      <c r="I145" s="359">
        <v>1002162.4299999999</v>
      </c>
      <c r="J145" s="353">
        <f t="shared" si="8"/>
        <v>0.71939693325856635</v>
      </c>
      <c r="M145" s="74">
        <f t="shared" si="6"/>
        <v>821</v>
      </c>
      <c r="N145" s="146">
        <v>43465</v>
      </c>
      <c r="O145" s="74">
        <f t="shared" si="7"/>
        <v>365</v>
      </c>
      <c r="P145" s="354">
        <f t="shared" si="9"/>
        <v>0.55542021924482343</v>
      </c>
    </row>
    <row r="146" spans="1:16" ht="18.95" customHeight="1">
      <c r="A146" s="349">
        <f t="shared" si="10"/>
        <v>110</v>
      </c>
      <c r="B146" s="358" t="s">
        <v>2904</v>
      </c>
      <c r="C146" s="355" t="s">
        <v>2905</v>
      </c>
      <c r="D146" s="145">
        <v>43101</v>
      </c>
      <c r="E146" s="146">
        <v>43830</v>
      </c>
      <c r="F146" s="149">
        <v>0.4993141289437586</v>
      </c>
      <c r="G146" s="355">
        <v>534618.44999999995</v>
      </c>
      <c r="H146" s="355">
        <v>534618.44999999995</v>
      </c>
      <c r="I146" s="359">
        <v>164264.07999999999</v>
      </c>
      <c r="J146" s="353">
        <f t="shared" si="8"/>
        <v>0.30725479077648743</v>
      </c>
      <c r="M146" s="74">
        <f t="shared" si="6"/>
        <v>729</v>
      </c>
      <c r="N146" s="146">
        <v>43465</v>
      </c>
      <c r="O146" s="74">
        <f t="shared" si="7"/>
        <v>365</v>
      </c>
      <c r="P146" s="354">
        <f t="shared" si="9"/>
        <v>0.4993141289437586</v>
      </c>
    </row>
    <row r="147" spans="1:16" ht="18.95" customHeight="1">
      <c r="A147" s="349">
        <f t="shared" si="10"/>
        <v>111</v>
      </c>
      <c r="B147" s="358" t="s">
        <v>2906</v>
      </c>
      <c r="C147" s="355" t="s">
        <v>2907</v>
      </c>
      <c r="D147" s="145">
        <v>43191</v>
      </c>
      <c r="E147" s="146">
        <v>43830</v>
      </c>
      <c r="F147" s="149">
        <v>0.42879499217527389</v>
      </c>
      <c r="G147" s="355">
        <v>45213.619999999995</v>
      </c>
      <c r="H147" s="355">
        <v>45213.619999999995</v>
      </c>
      <c r="I147" s="359">
        <v>9631.7999999999993</v>
      </c>
      <c r="J147" s="353">
        <f t="shared" si="8"/>
        <v>0.21302872895379757</v>
      </c>
      <c r="M147" s="74">
        <f t="shared" si="6"/>
        <v>639</v>
      </c>
      <c r="N147" s="146">
        <v>43465</v>
      </c>
      <c r="O147" s="74">
        <f t="shared" si="7"/>
        <v>365</v>
      </c>
      <c r="P147" s="354">
        <f t="shared" si="9"/>
        <v>0.42879499217527389</v>
      </c>
    </row>
    <row r="148" spans="1:16" ht="18.95" customHeight="1">
      <c r="A148" s="349">
        <f t="shared" si="10"/>
        <v>112</v>
      </c>
      <c r="B148" s="358" t="s">
        <v>2908</v>
      </c>
      <c r="C148" s="355" t="s">
        <v>2909</v>
      </c>
      <c r="D148" s="145">
        <v>42948</v>
      </c>
      <c r="E148" s="146">
        <v>43524</v>
      </c>
      <c r="F148" s="149">
        <v>0.89756944444444442</v>
      </c>
      <c r="G148" s="355">
        <v>663671.29</v>
      </c>
      <c r="H148" s="355">
        <v>663671.29</v>
      </c>
      <c r="I148" s="359">
        <v>663671.29</v>
      </c>
      <c r="J148" s="353">
        <f t="shared" si="8"/>
        <v>1</v>
      </c>
      <c r="M148" s="74">
        <f t="shared" si="6"/>
        <v>576</v>
      </c>
      <c r="N148" s="146">
        <v>43465</v>
      </c>
      <c r="O148" s="74">
        <f t="shared" si="7"/>
        <v>59</v>
      </c>
      <c r="P148" s="354">
        <f t="shared" si="9"/>
        <v>0.89756944444444442</v>
      </c>
    </row>
    <row r="149" spans="1:16" ht="18.95" customHeight="1">
      <c r="A149" s="349">
        <f t="shared" si="10"/>
        <v>113</v>
      </c>
      <c r="B149" s="358" t="s">
        <v>2344</v>
      </c>
      <c r="C149" s="355" t="s">
        <v>2345</v>
      </c>
      <c r="D149" s="145">
        <v>42250</v>
      </c>
      <c r="E149" s="146">
        <v>43677</v>
      </c>
      <c r="F149" s="149">
        <v>0.85143658023826208</v>
      </c>
      <c r="G149" s="355">
        <v>2869600.05</v>
      </c>
      <c r="H149" s="355">
        <v>4592560.5</v>
      </c>
      <c r="I149" s="359">
        <v>2312126.12</v>
      </c>
      <c r="J149" s="353">
        <f t="shared" si="8"/>
        <v>0.50345033451382948</v>
      </c>
      <c r="M149" s="74">
        <f t="shared" si="6"/>
        <v>1427</v>
      </c>
      <c r="N149" s="146">
        <v>43465</v>
      </c>
      <c r="O149" s="74">
        <f t="shared" si="7"/>
        <v>212</v>
      </c>
      <c r="P149" s="354">
        <f t="shared" si="9"/>
        <v>0.85143658023826208</v>
      </c>
    </row>
    <row r="150" spans="1:16" ht="18.95" customHeight="1">
      <c r="A150" s="349">
        <f t="shared" si="10"/>
        <v>114</v>
      </c>
      <c r="B150" s="358" t="s">
        <v>2910</v>
      </c>
      <c r="C150" s="355" t="s">
        <v>2911</v>
      </c>
      <c r="D150" s="145">
        <v>42736</v>
      </c>
      <c r="E150" s="146">
        <v>45291</v>
      </c>
      <c r="F150" s="149">
        <v>0.28532289628180041</v>
      </c>
      <c r="G150" s="355">
        <v>2500000.08</v>
      </c>
      <c r="H150" s="355">
        <v>3846492</v>
      </c>
      <c r="I150" s="359">
        <v>557492</v>
      </c>
      <c r="J150" s="353">
        <f t="shared" si="8"/>
        <v>0.14493517729921185</v>
      </c>
      <c r="M150" s="74">
        <f t="shared" si="6"/>
        <v>2555</v>
      </c>
      <c r="N150" s="146">
        <v>43465</v>
      </c>
      <c r="O150" s="74">
        <f t="shared" si="7"/>
        <v>1826</v>
      </c>
      <c r="P150" s="354">
        <f t="shared" si="9"/>
        <v>0.28532289628180041</v>
      </c>
    </row>
    <row r="151" spans="1:16" ht="18.95" customHeight="1">
      <c r="A151" s="349">
        <f t="shared" si="10"/>
        <v>115</v>
      </c>
      <c r="B151" s="358" t="s">
        <v>2912</v>
      </c>
      <c r="C151" s="355" t="s">
        <v>2913</v>
      </c>
      <c r="D151" s="145">
        <v>42705</v>
      </c>
      <c r="E151" s="146">
        <v>43830</v>
      </c>
      <c r="F151" s="149">
        <v>0.67555555555555558</v>
      </c>
      <c r="G151" s="355">
        <v>4810892.05</v>
      </c>
      <c r="H151" s="355">
        <v>6506032.4399999995</v>
      </c>
      <c r="I151" s="359">
        <v>5046748.67</v>
      </c>
      <c r="J151" s="353">
        <f t="shared" si="8"/>
        <v>0.77570296744477962</v>
      </c>
      <c r="M151" s="74">
        <f t="shared" si="6"/>
        <v>1125</v>
      </c>
      <c r="N151" s="146">
        <v>43465</v>
      </c>
      <c r="O151" s="74">
        <f t="shared" si="7"/>
        <v>365</v>
      </c>
      <c r="P151" s="354">
        <f t="shared" si="9"/>
        <v>0.67555555555555558</v>
      </c>
    </row>
    <row r="152" spans="1:16" ht="18.95" customHeight="1">
      <c r="A152" s="349">
        <f t="shared" si="10"/>
        <v>116</v>
      </c>
      <c r="B152" s="358" t="s">
        <v>2914</v>
      </c>
      <c r="C152" s="355" t="s">
        <v>2915</v>
      </c>
      <c r="D152" s="145">
        <v>43101</v>
      </c>
      <c r="E152" s="146">
        <v>43830</v>
      </c>
      <c r="F152" s="149">
        <v>0.4993141289437586</v>
      </c>
      <c r="G152" s="355">
        <v>1157999.4100000001</v>
      </c>
      <c r="H152" s="355">
        <v>851558.02</v>
      </c>
      <c r="I152" s="359">
        <v>414099.94</v>
      </c>
      <c r="J152" s="353">
        <f t="shared" si="8"/>
        <v>0.48628505665415495</v>
      </c>
      <c r="M152" s="74">
        <f t="shared" si="6"/>
        <v>729</v>
      </c>
      <c r="N152" s="146">
        <v>43465</v>
      </c>
      <c r="O152" s="74">
        <f t="shared" si="7"/>
        <v>365</v>
      </c>
      <c r="P152" s="354">
        <f t="shared" si="9"/>
        <v>0.4993141289437586</v>
      </c>
    </row>
    <row r="153" spans="1:16" ht="18.95" customHeight="1">
      <c r="A153" s="349">
        <f t="shared" si="10"/>
        <v>117</v>
      </c>
      <c r="B153" s="358" t="s">
        <v>2916</v>
      </c>
      <c r="C153" s="355" t="s">
        <v>2917</v>
      </c>
      <c r="D153" s="145">
        <v>43293</v>
      </c>
      <c r="E153" s="146">
        <v>43830</v>
      </c>
      <c r="F153" s="149">
        <v>0.32029795158286778</v>
      </c>
      <c r="G153" s="355">
        <v>20000.54</v>
      </c>
      <c r="H153" s="355">
        <v>20000.54</v>
      </c>
      <c r="I153" s="359">
        <v>20000.54</v>
      </c>
      <c r="J153" s="353">
        <f t="shared" si="8"/>
        <v>1</v>
      </c>
      <c r="M153" s="74">
        <f t="shared" si="6"/>
        <v>537</v>
      </c>
      <c r="N153" s="146">
        <v>43465</v>
      </c>
      <c r="O153" s="74">
        <f t="shared" si="7"/>
        <v>365</v>
      </c>
      <c r="P153" s="354">
        <f t="shared" si="9"/>
        <v>0.32029795158286778</v>
      </c>
    </row>
    <row r="154" spans="1:16" ht="18.95" customHeight="1">
      <c r="A154" s="349">
        <f t="shared" si="10"/>
        <v>118</v>
      </c>
      <c r="B154" s="358" t="s">
        <v>2918</v>
      </c>
      <c r="C154" s="355" t="s">
        <v>2919</v>
      </c>
      <c r="D154" s="145">
        <v>42370</v>
      </c>
      <c r="E154" s="146">
        <v>44196</v>
      </c>
      <c r="F154" s="149">
        <v>0.59967141292442494</v>
      </c>
      <c r="G154" s="355">
        <v>261250</v>
      </c>
      <c r="H154" s="355">
        <v>153414.75</v>
      </c>
      <c r="I154" s="359">
        <v>74453.94</v>
      </c>
      <c r="J154" s="353">
        <f t="shared" si="8"/>
        <v>0.48531148406525448</v>
      </c>
      <c r="M154" s="74">
        <f t="shared" si="6"/>
        <v>1826</v>
      </c>
      <c r="N154" s="146">
        <v>43465</v>
      </c>
      <c r="O154" s="74">
        <f t="shared" si="7"/>
        <v>731</v>
      </c>
      <c r="P154" s="354">
        <f t="shared" si="9"/>
        <v>0.59967141292442494</v>
      </c>
    </row>
    <row r="155" spans="1:16" ht="18.95" customHeight="1">
      <c r="A155" s="349">
        <f t="shared" si="10"/>
        <v>119</v>
      </c>
      <c r="B155" s="358" t="s">
        <v>2920</v>
      </c>
      <c r="C155" s="355" t="s">
        <v>2921</v>
      </c>
      <c r="D155" s="145">
        <v>42583</v>
      </c>
      <c r="E155" s="146">
        <v>46022</v>
      </c>
      <c r="F155" s="149">
        <v>0.25646990404187264</v>
      </c>
      <c r="G155" s="355">
        <v>2120249.84</v>
      </c>
      <c r="H155" s="355">
        <v>2120249.84</v>
      </c>
      <c r="I155" s="359">
        <v>2120249.84</v>
      </c>
      <c r="J155" s="353">
        <f t="shared" si="8"/>
        <v>1</v>
      </c>
      <c r="M155" s="74">
        <f t="shared" si="6"/>
        <v>3439</v>
      </c>
      <c r="N155" s="146">
        <v>43465</v>
      </c>
      <c r="O155" s="74">
        <f t="shared" si="7"/>
        <v>2557</v>
      </c>
      <c r="P155" s="354">
        <f t="shared" si="9"/>
        <v>0.25646990404187264</v>
      </c>
    </row>
    <row r="156" spans="1:16" ht="18.95" customHeight="1">
      <c r="A156" s="349">
        <f t="shared" si="10"/>
        <v>120</v>
      </c>
      <c r="B156" s="358" t="s">
        <v>2922</v>
      </c>
      <c r="C156" s="355" t="s">
        <v>2923</v>
      </c>
      <c r="D156" s="145">
        <v>42887</v>
      </c>
      <c r="E156" s="146">
        <v>43465</v>
      </c>
      <c r="F156" s="149">
        <v>1</v>
      </c>
      <c r="G156" s="355">
        <v>42000</v>
      </c>
      <c r="H156" s="355">
        <v>61030.49</v>
      </c>
      <c r="I156" s="359">
        <v>-1.4551915228366852E-11</v>
      </c>
      <c r="J156" s="353">
        <f t="shared" si="8"/>
        <v>-2.3843680803426045E-16</v>
      </c>
      <c r="M156" s="74">
        <f t="shared" si="6"/>
        <v>578</v>
      </c>
      <c r="N156" s="146">
        <v>43465</v>
      </c>
      <c r="O156" s="74">
        <f t="shared" si="7"/>
        <v>0</v>
      </c>
      <c r="P156" s="354">
        <f t="shared" si="9"/>
        <v>1</v>
      </c>
    </row>
    <row r="157" spans="1:16" ht="18.95" customHeight="1">
      <c r="A157" s="349">
        <f t="shared" si="10"/>
        <v>121</v>
      </c>
      <c r="B157" s="358" t="s">
        <v>2346</v>
      </c>
      <c r="C157" s="355" t="s">
        <v>2347</v>
      </c>
      <c r="D157" s="145">
        <v>42736</v>
      </c>
      <c r="E157" s="146">
        <v>44196</v>
      </c>
      <c r="F157" s="149">
        <v>0.49931506849315066</v>
      </c>
      <c r="G157" s="355">
        <v>7941117.8500000006</v>
      </c>
      <c r="H157" s="355">
        <v>5589845.5999999996</v>
      </c>
      <c r="I157" s="359">
        <v>1516336.22</v>
      </c>
      <c r="J157" s="353">
        <f t="shared" si="8"/>
        <v>0.2712662081399887</v>
      </c>
      <c r="M157" s="74">
        <f t="shared" si="6"/>
        <v>1460</v>
      </c>
      <c r="N157" s="146">
        <v>43465</v>
      </c>
      <c r="O157" s="74">
        <f t="shared" si="7"/>
        <v>731</v>
      </c>
      <c r="P157" s="354">
        <f t="shared" si="9"/>
        <v>0.49931506849315066</v>
      </c>
    </row>
    <row r="158" spans="1:16" ht="18.95" customHeight="1">
      <c r="A158" s="349">
        <f t="shared" si="10"/>
        <v>122</v>
      </c>
      <c r="B158" s="358" t="s">
        <v>2377</v>
      </c>
      <c r="C158" s="355" t="s">
        <v>2378</v>
      </c>
      <c r="D158" s="145">
        <v>43101</v>
      </c>
      <c r="E158" s="146">
        <v>43830</v>
      </c>
      <c r="F158" s="149">
        <v>0.4993141289437586</v>
      </c>
      <c r="G158" s="355">
        <v>573999.99</v>
      </c>
      <c r="H158" s="355">
        <v>307999.93</v>
      </c>
      <c r="I158" s="359">
        <v>251999.93</v>
      </c>
      <c r="J158" s="353">
        <f t="shared" si="8"/>
        <v>0.81818177685949478</v>
      </c>
      <c r="M158" s="74">
        <f t="shared" si="6"/>
        <v>729</v>
      </c>
      <c r="N158" s="146">
        <v>43465</v>
      </c>
      <c r="O158" s="74">
        <f t="shared" si="7"/>
        <v>365</v>
      </c>
      <c r="P158" s="354">
        <f t="shared" si="9"/>
        <v>0.4993141289437586</v>
      </c>
    </row>
    <row r="159" spans="1:16" ht="18.95" customHeight="1">
      <c r="A159" s="349">
        <f t="shared" si="10"/>
        <v>123</v>
      </c>
      <c r="B159" s="358" t="s">
        <v>2387</v>
      </c>
      <c r="C159" s="355" t="s">
        <v>2388</v>
      </c>
      <c r="D159" s="145">
        <v>43101</v>
      </c>
      <c r="E159" s="146">
        <v>43465</v>
      </c>
      <c r="F159" s="149">
        <v>1</v>
      </c>
      <c r="G159" s="355">
        <v>57086.89</v>
      </c>
      <c r="H159" s="355">
        <v>58209.35</v>
      </c>
      <c r="I159" s="359">
        <v>-7.2759576141834259E-12</v>
      </c>
      <c r="J159" s="353">
        <f t="shared" si="8"/>
        <v>-1.2499637281954576E-16</v>
      </c>
      <c r="M159" s="74">
        <f t="shared" si="6"/>
        <v>364</v>
      </c>
      <c r="N159" s="146">
        <v>43465</v>
      </c>
      <c r="O159" s="74">
        <f t="shared" si="7"/>
        <v>0</v>
      </c>
      <c r="P159" s="354">
        <f t="shared" si="9"/>
        <v>1</v>
      </c>
    </row>
    <row r="160" spans="1:16" ht="18.95" customHeight="1">
      <c r="A160" s="349">
        <f t="shared" si="10"/>
        <v>124</v>
      </c>
      <c r="B160" s="358" t="s">
        <v>2380</v>
      </c>
      <c r="C160" s="355" t="s">
        <v>2381</v>
      </c>
      <c r="D160" s="145">
        <v>43101</v>
      </c>
      <c r="E160" s="146">
        <v>43830</v>
      </c>
      <c r="F160" s="149">
        <v>0.4993141289437586</v>
      </c>
      <c r="G160" s="355">
        <v>223099.21</v>
      </c>
      <c r="H160" s="355">
        <v>590447.73</v>
      </c>
      <c r="I160" s="359">
        <v>350447.73</v>
      </c>
      <c r="J160" s="353">
        <f t="shared" si="8"/>
        <v>0.59352879551251725</v>
      </c>
      <c r="M160" s="74">
        <f t="shared" si="6"/>
        <v>729</v>
      </c>
      <c r="N160" s="146">
        <v>43465</v>
      </c>
      <c r="O160" s="74">
        <f t="shared" si="7"/>
        <v>365</v>
      </c>
      <c r="P160" s="354">
        <f t="shared" si="9"/>
        <v>0.4993141289437586</v>
      </c>
    </row>
    <row r="161" spans="1:16" ht="18.95" customHeight="1">
      <c r="A161" s="349">
        <f t="shared" si="10"/>
        <v>125</v>
      </c>
      <c r="B161" s="358" t="s">
        <v>2395</v>
      </c>
      <c r="C161" s="355" t="s">
        <v>2396</v>
      </c>
      <c r="D161" s="145">
        <v>43101</v>
      </c>
      <c r="E161" s="146">
        <v>43465</v>
      </c>
      <c r="F161" s="149">
        <v>1</v>
      </c>
      <c r="G161" s="355">
        <v>23000</v>
      </c>
      <c r="H161" s="355">
        <v>24471.84</v>
      </c>
      <c r="I161" s="359">
        <v>-3.637978807091713E-12</v>
      </c>
      <c r="J161" s="353">
        <f t="shared" si="8"/>
        <v>-1.4865979865395135E-16</v>
      </c>
      <c r="M161" s="74">
        <f t="shared" si="6"/>
        <v>364</v>
      </c>
      <c r="N161" s="146">
        <v>43465</v>
      </c>
      <c r="O161" s="74">
        <f t="shared" si="7"/>
        <v>0</v>
      </c>
      <c r="P161" s="354">
        <f t="shared" si="9"/>
        <v>1</v>
      </c>
    </row>
    <row r="162" spans="1:16" ht="18.95" customHeight="1">
      <c r="A162" s="349">
        <f t="shared" si="10"/>
        <v>126</v>
      </c>
      <c r="B162" s="358" t="s">
        <v>2391</v>
      </c>
      <c r="C162" s="355" t="s">
        <v>2392</v>
      </c>
      <c r="D162" s="145">
        <v>43101</v>
      </c>
      <c r="E162" s="146">
        <v>43830</v>
      </c>
      <c r="F162" s="149">
        <v>0.4993141289437586</v>
      </c>
      <c r="G162" s="355">
        <v>447999.99</v>
      </c>
      <c r="H162" s="355">
        <v>266859.56</v>
      </c>
      <c r="I162" s="359">
        <v>56860.72</v>
      </c>
      <c r="J162" s="353">
        <f t="shared" si="8"/>
        <v>0.2130735732308035</v>
      </c>
      <c r="M162" s="74">
        <f t="shared" si="6"/>
        <v>729</v>
      </c>
      <c r="N162" s="146">
        <v>43465</v>
      </c>
      <c r="O162" s="74">
        <f t="shared" si="7"/>
        <v>365</v>
      </c>
      <c r="P162" s="354">
        <f t="shared" si="9"/>
        <v>0.4993141289437586</v>
      </c>
    </row>
    <row r="163" spans="1:16" ht="18.95" customHeight="1">
      <c r="A163" s="349">
        <f t="shared" si="10"/>
        <v>127</v>
      </c>
      <c r="B163" s="358" t="s">
        <v>2366</v>
      </c>
      <c r="C163" s="355" t="s">
        <v>2367</v>
      </c>
      <c r="D163" s="145">
        <v>43101</v>
      </c>
      <c r="E163" s="146">
        <v>43465</v>
      </c>
      <c r="F163" s="149">
        <v>1</v>
      </c>
      <c r="G163" s="355">
        <v>1313322.76</v>
      </c>
      <c r="H163" s="355">
        <v>1246539.1200000001</v>
      </c>
      <c r="I163" s="359">
        <v>-2.3283064365386963E-10</v>
      </c>
      <c r="J163" s="353">
        <f t="shared" si="8"/>
        <v>-1.8678165804685664E-16</v>
      </c>
      <c r="M163" s="74">
        <f t="shared" si="6"/>
        <v>364</v>
      </c>
      <c r="N163" s="146">
        <v>43465</v>
      </c>
      <c r="O163" s="74">
        <f t="shared" si="7"/>
        <v>0</v>
      </c>
      <c r="P163" s="354">
        <f t="shared" si="9"/>
        <v>1</v>
      </c>
    </row>
    <row r="164" spans="1:16" ht="18.95" customHeight="1">
      <c r="A164" s="349">
        <f t="shared" si="10"/>
        <v>128</v>
      </c>
      <c r="B164" s="358" t="s">
        <v>2389</v>
      </c>
      <c r="C164" s="355" t="s">
        <v>2390</v>
      </c>
      <c r="D164" s="145">
        <v>43101</v>
      </c>
      <c r="E164" s="146">
        <v>43465</v>
      </c>
      <c r="F164" s="149">
        <v>1</v>
      </c>
      <c r="G164" s="355">
        <v>97999.69</v>
      </c>
      <c r="H164" s="355">
        <v>252000.24</v>
      </c>
      <c r="I164" s="359">
        <v>-2.9103830456733704E-11</v>
      </c>
      <c r="J164" s="353">
        <f t="shared" si="8"/>
        <v>-1.154912807096283E-16</v>
      </c>
      <c r="M164" s="74">
        <f t="shared" si="6"/>
        <v>364</v>
      </c>
      <c r="N164" s="146">
        <v>43465</v>
      </c>
      <c r="O164" s="74">
        <f t="shared" si="7"/>
        <v>0</v>
      </c>
      <c r="P164" s="354">
        <f t="shared" si="9"/>
        <v>1</v>
      </c>
    </row>
    <row r="165" spans="1:16" ht="18.95" customHeight="1">
      <c r="A165" s="349">
        <f t="shared" si="10"/>
        <v>129</v>
      </c>
      <c r="B165" s="358" t="s">
        <v>2924</v>
      </c>
      <c r="C165" s="355" t="s">
        <v>2925</v>
      </c>
      <c r="D165" s="145">
        <v>43101</v>
      </c>
      <c r="E165" s="146">
        <v>43830</v>
      </c>
      <c r="F165" s="149">
        <v>0.4993141289437586</v>
      </c>
      <c r="G165" s="355">
        <v>1120000.2</v>
      </c>
      <c r="H165" s="355">
        <v>1609926.2599999998</v>
      </c>
      <c r="I165" s="359">
        <v>1095820.8800000001</v>
      </c>
      <c r="J165" s="353">
        <f t="shared" si="8"/>
        <v>0.68066526227108082</v>
      </c>
      <c r="M165" s="74">
        <f t="shared" ref="M165:M182" si="11">E165-D165</f>
        <v>729</v>
      </c>
      <c r="N165" s="146">
        <v>43465</v>
      </c>
      <c r="O165" s="74">
        <f t="shared" ref="O165:O182" si="12">E165-N165</f>
        <v>365</v>
      </c>
      <c r="P165" s="354">
        <f t="shared" si="9"/>
        <v>0.4993141289437586</v>
      </c>
    </row>
    <row r="166" spans="1:16" ht="18.95" customHeight="1">
      <c r="A166" s="349">
        <f t="shared" si="10"/>
        <v>130</v>
      </c>
      <c r="B166" s="358" t="s">
        <v>2926</v>
      </c>
      <c r="C166" s="355" t="s">
        <v>2927</v>
      </c>
      <c r="D166" s="145">
        <v>43101</v>
      </c>
      <c r="E166" s="146">
        <v>43830</v>
      </c>
      <c r="F166" s="149">
        <v>0.4993141289437586</v>
      </c>
      <c r="G166" s="355">
        <v>84000</v>
      </c>
      <c r="H166" s="355">
        <v>309651.32999999996</v>
      </c>
      <c r="I166" s="359">
        <v>85651.43</v>
      </c>
      <c r="J166" s="353">
        <f t="shared" ref="J166:J182" si="13">I166/H166</f>
        <v>0.27660604590330679</v>
      </c>
      <c r="M166" s="74">
        <f t="shared" si="11"/>
        <v>729</v>
      </c>
      <c r="N166" s="146">
        <v>43465</v>
      </c>
      <c r="O166" s="74">
        <f t="shared" si="12"/>
        <v>365</v>
      </c>
      <c r="P166" s="354">
        <f t="shared" ref="P166:P182" si="14">(M166-O166)/M166</f>
        <v>0.4993141289437586</v>
      </c>
    </row>
    <row r="167" spans="1:16" ht="18.95" customHeight="1">
      <c r="A167" s="349">
        <f t="shared" ref="A167:A182" si="15">A166+1</f>
        <v>131</v>
      </c>
      <c r="B167" s="358" t="s">
        <v>2928</v>
      </c>
      <c r="C167" s="355" t="s">
        <v>2929</v>
      </c>
      <c r="D167" s="145">
        <v>43101</v>
      </c>
      <c r="E167" s="146">
        <v>43830</v>
      </c>
      <c r="F167" s="149">
        <v>0.4993141289437586</v>
      </c>
      <c r="G167" s="355">
        <v>168000</v>
      </c>
      <c r="H167" s="355">
        <v>557718.49</v>
      </c>
      <c r="I167" s="359">
        <v>333199.92</v>
      </c>
      <c r="J167" s="353">
        <f t="shared" si="13"/>
        <v>0.59743387743877741</v>
      </c>
      <c r="M167" s="74">
        <f t="shared" si="11"/>
        <v>729</v>
      </c>
      <c r="N167" s="146">
        <v>43465</v>
      </c>
      <c r="O167" s="74">
        <f t="shared" si="12"/>
        <v>365</v>
      </c>
      <c r="P167" s="354">
        <f t="shared" si="14"/>
        <v>0.4993141289437586</v>
      </c>
    </row>
    <row r="168" spans="1:16" ht="18.95" customHeight="1">
      <c r="A168" s="349">
        <f t="shared" si="15"/>
        <v>132</v>
      </c>
      <c r="B168" s="358" t="s">
        <v>2355</v>
      </c>
      <c r="C168" s="355" t="s">
        <v>2091</v>
      </c>
      <c r="D168" s="145">
        <v>42005</v>
      </c>
      <c r="E168" s="146">
        <v>45291</v>
      </c>
      <c r="F168" s="149">
        <v>0.44430919050517348</v>
      </c>
      <c r="G168" s="355">
        <v>51000</v>
      </c>
      <c r="H168" s="355">
        <v>60000</v>
      </c>
      <c r="I168" s="359">
        <v>10000</v>
      </c>
      <c r="J168" s="353">
        <f t="shared" si="13"/>
        <v>0.16666666666666666</v>
      </c>
      <c r="M168" s="74">
        <f t="shared" si="11"/>
        <v>3286</v>
      </c>
      <c r="N168" s="146">
        <v>43465</v>
      </c>
      <c r="O168" s="74">
        <f t="shared" si="12"/>
        <v>1826</v>
      </c>
      <c r="P168" s="354">
        <f t="shared" si="14"/>
        <v>0.44430919050517348</v>
      </c>
    </row>
    <row r="169" spans="1:16" s="360" customFormat="1" ht="20.100000000000001" customHeight="1">
      <c r="A169" s="767" t="str">
        <f>$A$1</f>
        <v>KENTUCKY UTILITIES COMPANY</v>
      </c>
      <c r="B169" s="767"/>
      <c r="C169" s="767"/>
      <c r="D169" s="767"/>
      <c r="E169" s="767"/>
      <c r="F169" s="767"/>
      <c r="G169" s="767"/>
      <c r="H169" s="767"/>
      <c r="I169" s="767"/>
      <c r="J169" s="767"/>
    </row>
    <row r="170" spans="1:16" s="360" customFormat="1" ht="20.100000000000001" customHeight="1">
      <c r="A170" s="767" t="str">
        <f>$A$2</f>
        <v>CASE NO. 2018-00294</v>
      </c>
      <c r="B170" s="767"/>
      <c r="C170" s="767"/>
      <c r="D170" s="767"/>
      <c r="E170" s="767"/>
      <c r="F170" s="767"/>
      <c r="G170" s="767"/>
      <c r="H170" s="767"/>
      <c r="I170" s="767"/>
      <c r="J170" s="767"/>
    </row>
    <row r="171" spans="1:16" s="360" customFormat="1" ht="20.100000000000001" customHeight="1">
      <c r="A171" s="767" t="s">
        <v>1219</v>
      </c>
      <c r="B171" s="767"/>
      <c r="C171" s="767"/>
      <c r="D171" s="767"/>
      <c r="E171" s="767"/>
      <c r="F171" s="767"/>
      <c r="G171" s="767"/>
      <c r="H171" s="767"/>
      <c r="I171" s="767"/>
      <c r="J171" s="767"/>
    </row>
    <row r="172" spans="1:16" s="360" customFormat="1" ht="20.100000000000001" customHeight="1">
      <c r="A172" s="767" t="str">
        <f>$A$4</f>
        <v>AS OF DECEMBER 31, 2018</v>
      </c>
      <c r="B172" s="767"/>
      <c r="C172" s="767"/>
      <c r="D172" s="767"/>
      <c r="E172" s="767"/>
      <c r="F172" s="767"/>
      <c r="G172" s="767"/>
      <c r="H172" s="767"/>
      <c r="I172" s="767"/>
      <c r="J172" s="767"/>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DATA:__X__BASE  PERIOD____FORECASTED  PERIOD</v>
      </c>
      <c r="B174" s="348"/>
      <c r="C174" s="68"/>
      <c r="D174" s="144"/>
      <c r="E174" s="144"/>
      <c r="F174" s="68"/>
      <c r="G174" s="74"/>
      <c r="H174" s="74"/>
      <c r="I174" s="74"/>
      <c r="J174" s="74" t="s">
        <v>1714</v>
      </c>
    </row>
    <row r="175" spans="1:16" s="360" customFormat="1" ht="20.100000000000001" customHeight="1">
      <c r="A175" s="67" t="str">
        <f>$A$7</f>
        <v>TYPE OF FILING: __X__ ORIGINAL  _____ UPDATED  _____ REVISED</v>
      </c>
      <c r="B175" s="349"/>
      <c r="C175" s="68"/>
      <c r="D175" s="144"/>
      <c r="E175" s="144"/>
      <c r="F175" s="68"/>
      <c r="G175" s="74"/>
      <c r="H175" s="74"/>
      <c r="I175" s="74"/>
      <c r="J175" s="74" t="s">
        <v>3409</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95" customHeight="1">
      <c r="A181" s="349">
        <f>A168+1</f>
        <v>133</v>
      </c>
      <c r="B181" s="358" t="s">
        <v>2372</v>
      </c>
      <c r="C181" s="355" t="s">
        <v>2373</v>
      </c>
      <c r="D181" s="145">
        <v>42370</v>
      </c>
      <c r="E181" s="146">
        <v>45291</v>
      </c>
      <c r="F181" s="149">
        <v>0.37487161930845603</v>
      </c>
      <c r="G181" s="355">
        <v>69500</v>
      </c>
      <c r="H181" s="355">
        <v>1261249.73</v>
      </c>
      <c r="I181" s="359">
        <v>311249.73</v>
      </c>
      <c r="J181" s="353">
        <f t="shared" si="13"/>
        <v>0.24677882785354491</v>
      </c>
      <c r="M181" s="74">
        <f t="shared" si="11"/>
        <v>2921</v>
      </c>
      <c r="N181" s="146">
        <v>43465</v>
      </c>
      <c r="O181" s="74">
        <f t="shared" si="12"/>
        <v>1826</v>
      </c>
      <c r="P181" s="354">
        <f t="shared" si="14"/>
        <v>0.37487161930845603</v>
      </c>
    </row>
    <row r="182" spans="1:16" ht="18.95" customHeight="1">
      <c r="A182" s="349">
        <f t="shared" si="15"/>
        <v>134</v>
      </c>
      <c r="B182" s="358" t="s">
        <v>2930</v>
      </c>
      <c r="C182" s="355" t="s">
        <v>2931</v>
      </c>
      <c r="D182" s="145">
        <v>42736</v>
      </c>
      <c r="E182" s="146">
        <v>45291</v>
      </c>
      <c r="F182" s="149">
        <v>0.28532289628180041</v>
      </c>
      <c r="G182" s="355">
        <v>125000</v>
      </c>
      <c r="H182" s="355">
        <v>11935000</v>
      </c>
      <c r="I182" s="359">
        <v>1085000</v>
      </c>
      <c r="J182" s="353">
        <f t="shared" si="13"/>
        <v>9.0909090909090912E-2</v>
      </c>
      <c r="M182" s="74">
        <f t="shared" si="11"/>
        <v>2555</v>
      </c>
      <c r="N182" s="146">
        <v>43465</v>
      </c>
      <c r="O182" s="74">
        <f t="shared" si="12"/>
        <v>1826</v>
      </c>
      <c r="P182" s="354">
        <f t="shared" si="14"/>
        <v>0.28532289628180041</v>
      </c>
    </row>
  </sheetData>
  <mergeCells count="16">
    <mergeCell ref="A169:J169"/>
    <mergeCell ref="A170:J170"/>
    <mergeCell ref="A171:J171"/>
    <mergeCell ref="A172:J172"/>
    <mergeCell ref="A59:J59"/>
    <mergeCell ref="A60:J60"/>
    <mergeCell ref="A113:J113"/>
    <mergeCell ref="A114:J114"/>
    <mergeCell ref="A115:J115"/>
    <mergeCell ref="A116:J116"/>
    <mergeCell ref="A58:J58"/>
    <mergeCell ref="A1:J1"/>
    <mergeCell ref="A2:J2"/>
    <mergeCell ref="A3:J3"/>
    <mergeCell ref="A4:J4"/>
    <mergeCell ref="A57:J57"/>
  </mergeCells>
  <pageMargins left="0.95" right="0.5" top="0.75" bottom="0.75" header="0.3" footer="0.3"/>
  <pageSetup scale="57" fitToHeight="0" orientation="portrait" r:id="rId1"/>
  <rowBreaks count="3" manualBreakCount="3">
    <brk id="56" max="9" man="1"/>
    <brk id="112" max="9" man="1"/>
    <brk id="168"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0"/>
  <sheetViews>
    <sheetView zoomScaleNormal="100" workbookViewId="0">
      <selection activeCell="F20" sqref="F20"/>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7" t="str">
        <f>'Rate Case Constants'!C9</f>
        <v>KENTUCKY UTILITIES COMPANY</v>
      </c>
      <c r="B1" s="767"/>
      <c r="C1" s="767"/>
      <c r="D1" s="767"/>
      <c r="E1" s="767"/>
      <c r="F1" s="767"/>
      <c r="G1" s="767"/>
      <c r="H1" s="767"/>
      <c r="I1" s="767"/>
      <c r="J1" s="767"/>
    </row>
    <row r="2" spans="1:16" ht="20.100000000000001" customHeight="1">
      <c r="A2" s="767" t="str">
        <f>'Rate Case Constants'!C10</f>
        <v>CASE NO. 2018-00294</v>
      </c>
      <c r="B2" s="767"/>
      <c r="C2" s="767"/>
      <c r="D2" s="767"/>
      <c r="E2" s="767"/>
      <c r="F2" s="767"/>
      <c r="G2" s="767"/>
      <c r="H2" s="767"/>
      <c r="I2" s="767"/>
      <c r="J2" s="767"/>
    </row>
    <row r="3" spans="1:16" ht="20.100000000000001" customHeight="1">
      <c r="A3" s="767" t="s">
        <v>1219</v>
      </c>
      <c r="B3" s="767"/>
      <c r="C3" s="767"/>
      <c r="D3" s="767"/>
      <c r="E3" s="767"/>
      <c r="F3" s="767"/>
      <c r="G3" s="767"/>
      <c r="H3" s="767"/>
      <c r="I3" s="767"/>
      <c r="J3" s="767"/>
    </row>
    <row r="4" spans="1:16" ht="20.100000000000001" customHeight="1">
      <c r="A4" s="766" t="str">
        <f>'Rate Case Constants'!C18</f>
        <v>AS OF APRIL 30, 2020</v>
      </c>
      <c r="B4" s="767"/>
      <c r="C4" s="767"/>
      <c r="D4" s="767"/>
      <c r="E4" s="767"/>
      <c r="F4" s="767"/>
      <c r="G4" s="767"/>
      <c r="H4" s="767"/>
      <c r="I4" s="767"/>
      <c r="J4" s="767"/>
    </row>
    <row r="5" spans="1:16" ht="20.100000000000001" customHeight="1">
      <c r="A5" s="347"/>
      <c r="B5" s="347"/>
      <c r="C5" s="347"/>
      <c r="D5" s="347"/>
      <c r="E5" s="347"/>
      <c r="F5" s="347"/>
      <c r="G5" s="347"/>
      <c r="H5" s="347"/>
      <c r="I5" s="347"/>
      <c r="J5" s="347"/>
    </row>
    <row r="6" spans="1:16" ht="20.100000000000001" customHeight="1">
      <c r="A6" s="67" t="s">
        <v>161</v>
      </c>
      <c r="B6" s="348"/>
      <c r="G6" s="74"/>
      <c r="H6" s="74"/>
      <c r="I6" s="74"/>
      <c r="J6" s="74" t="s">
        <v>1714</v>
      </c>
    </row>
    <row r="7" spans="1:16" ht="20.100000000000001" customHeight="1">
      <c r="A7" s="68" t="str">
        <f>'Rate Case Constants'!C29</f>
        <v>TYPE OF FILING: __X__ ORIGINAL  _____ UPDATED  _____ REVISED</v>
      </c>
      <c r="G7" s="74"/>
      <c r="H7" s="74"/>
      <c r="I7" s="74"/>
      <c r="J7" s="74" t="s">
        <v>3405</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0.96202755210173085</v>
      </c>
      <c r="G13" s="355">
        <v>16452.849999999999</v>
      </c>
      <c r="H13" s="355">
        <v>0</v>
      </c>
      <c r="I13" s="359">
        <v>63692.34</v>
      </c>
      <c r="J13" s="353">
        <f t="shared" ref="J13:J56" si="0">IFERROR(I13/H13,0)</f>
        <v>0</v>
      </c>
      <c r="M13" s="74">
        <f t="shared" ref="M13:M88" si="1">E13-D13</f>
        <v>5662</v>
      </c>
      <c r="N13" s="146">
        <v>43951</v>
      </c>
      <c r="O13" s="74">
        <f t="shared" ref="O13:O88" si="2">E13-N13</f>
        <v>215</v>
      </c>
      <c r="P13" s="354">
        <f t="shared" ref="P13:P88" si="3">(M13-O13)/M13</f>
        <v>0.96202755210173085</v>
      </c>
    </row>
    <row r="14" spans="1:16" ht="18.95" customHeight="1">
      <c r="A14" s="349">
        <f t="shared" ref="A14:A89" si="4">A13+1</f>
        <v>2</v>
      </c>
      <c r="B14" s="358" t="s">
        <v>2932</v>
      </c>
      <c r="C14" s="355" t="s">
        <v>2933</v>
      </c>
      <c r="D14" s="145">
        <v>43831</v>
      </c>
      <c r="E14" s="146">
        <v>44561</v>
      </c>
      <c r="F14" s="149">
        <v>0.16438356164383561</v>
      </c>
      <c r="G14" s="355">
        <v>1900000</v>
      </c>
      <c r="H14" s="355">
        <v>5126433.3900000006</v>
      </c>
      <c r="I14" s="359">
        <v>20484.39</v>
      </c>
      <c r="J14" s="353">
        <f t="shared" si="0"/>
        <v>3.9958365673800353E-3</v>
      </c>
      <c r="M14" s="74">
        <f t="shared" si="1"/>
        <v>730</v>
      </c>
      <c r="N14" s="146">
        <v>43951</v>
      </c>
      <c r="O14" s="74">
        <f t="shared" si="2"/>
        <v>610</v>
      </c>
      <c r="P14" s="354">
        <f t="shared" si="3"/>
        <v>0.16438356164383561</v>
      </c>
    </row>
    <row r="15" spans="1:16" ht="18.95" customHeight="1">
      <c r="A15" s="349">
        <f t="shared" si="4"/>
        <v>3</v>
      </c>
      <c r="B15" s="358" t="s">
        <v>2934</v>
      </c>
      <c r="C15" s="355" t="s">
        <v>2935</v>
      </c>
      <c r="D15" s="145">
        <v>42736</v>
      </c>
      <c r="E15" s="146">
        <v>44196</v>
      </c>
      <c r="F15" s="149">
        <v>0.8321917808219178</v>
      </c>
      <c r="G15" s="355">
        <v>456578.15</v>
      </c>
      <c r="H15" s="355">
        <v>4997491.25</v>
      </c>
      <c r="I15" s="359">
        <v>4766865.9499999993</v>
      </c>
      <c r="J15" s="353">
        <f t="shared" si="0"/>
        <v>0.95385178513319047</v>
      </c>
      <c r="M15" s="74">
        <f t="shared" si="1"/>
        <v>1460</v>
      </c>
      <c r="N15" s="146">
        <v>43951</v>
      </c>
      <c r="O15" s="74">
        <f t="shared" si="2"/>
        <v>245</v>
      </c>
      <c r="P15" s="354">
        <f t="shared" si="3"/>
        <v>0.8321917808219178</v>
      </c>
    </row>
    <row r="16" spans="1:16" ht="18.95" customHeight="1">
      <c r="A16" s="349">
        <f t="shared" si="4"/>
        <v>4</v>
      </c>
      <c r="B16" s="358" t="s">
        <v>2936</v>
      </c>
      <c r="C16" s="355" t="s">
        <v>2937</v>
      </c>
      <c r="D16" s="145">
        <v>43497</v>
      </c>
      <c r="E16" s="146">
        <v>44926</v>
      </c>
      <c r="F16" s="149">
        <v>0.31770468859342199</v>
      </c>
      <c r="G16" s="355">
        <v>1817329.9100000001</v>
      </c>
      <c r="H16" s="355">
        <v>8656464.4299999997</v>
      </c>
      <c r="I16" s="359">
        <v>7624172.4400000013</v>
      </c>
      <c r="J16" s="353">
        <f t="shared" si="0"/>
        <v>0.88074900574621795</v>
      </c>
      <c r="M16" s="74">
        <f t="shared" si="1"/>
        <v>1429</v>
      </c>
      <c r="N16" s="146">
        <v>43951</v>
      </c>
      <c r="O16" s="74">
        <f t="shared" si="2"/>
        <v>975</v>
      </c>
      <c r="P16" s="354">
        <f t="shared" si="3"/>
        <v>0.31770468859342199</v>
      </c>
    </row>
    <row r="17" spans="1:16" ht="18.95" customHeight="1">
      <c r="A17" s="349">
        <f t="shared" si="4"/>
        <v>5</v>
      </c>
      <c r="B17" s="358" t="s">
        <v>2938</v>
      </c>
      <c r="C17" s="355" t="s">
        <v>2939</v>
      </c>
      <c r="D17" s="145">
        <v>43101</v>
      </c>
      <c r="E17" s="146">
        <v>44104</v>
      </c>
      <c r="F17" s="149">
        <v>0.84745762711864403</v>
      </c>
      <c r="G17" s="355">
        <v>308097.69</v>
      </c>
      <c r="H17" s="355">
        <v>314146.2</v>
      </c>
      <c r="I17" s="359">
        <v>151299.4</v>
      </c>
      <c r="J17" s="353">
        <f t="shared" si="0"/>
        <v>0.48162097774857687</v>
      </c>
      <c r="M17" s="74">
        <f t="shared" si="1"/>
        <v>1003</v>
      </c>
      <c r="N17" s="146">
        <v>43951</v>
      </c>
      <c r="O17" s="74">
        <f t="shared" si="2"/>
        <v>153</v>
      </c>
      <c r="P17" s="354">
        <f t="shared" si="3"/>
        <v>0.84745762711864403</v>
      </c>
    </row>
    <row r="18" spans="1:16" ht="18.95" customHeight="1">
      <c r="A18" s="349">
        <f t="shared" si="4"/>
        <v>6</v>
      </c>
      <c r="B18" s="358" t="s">
        <v>2940</v>
      </c>
      <c r="C18" s="355" t="s">
        <v>2941</v>
      </c>
      <c r="D18" s="145">
        <v>43466</v>
      </c>
      <c r="E18" s="146">
        <v>44196</v>
      </c>
      <c r="F18" s="149">
        <v>0.66438356164383561</v>
      </c>
      <c r="G18" s="355">
        <v>160465</v>
      </c>
      <c r="H18" s="355">
        <v>264230.49</v>
      </c>
      <c r="I18" s="359">
        <v>264230.49</v>
      </c>
      <c r="J18" s="353">
        <f t="shared" si="0"/>
        <v>1</v>
      </c>
      <c r="M18" s="74">
        <f t="shared" si="1"/>
        <v>730</v>
      </c>
      <c r="N18" s="146">
        <v>43951</v>
      </c>
      <c r="O18" s="74">
        <f t="shared" si="2"/>
        <v>245</v>
      </c>
      <c r="P18" s="354">
        <f t="shared" si="3"/>
        <v>0.66438356164383561</v>
      </c>
    </row>
    <row r="19" spans="1:16" ht="18.95" customHeight="1">
      <c r="A19" s="349">
        <f t="shared" si="4"/>
        <v>7</v>
      </c>
      <c r="B19" s="358" t="s">
        <v>2942</v>
      </c>
      <c r="C19" s="355" t="s">
        <v>2943</v>
      </c>
      <c r="D19" s="145">
        <v>43466</v>
      </c>
      <c r="E19" s="146">
        <v>45291</v>
      </c>
      <c r="F19" s="149">
        <v>0.26575342465753427</v>
      </c>
      <c r="G19" s="355">
        <v>136766.98000000001</v>
      </c>
      <c r="H19" s="355">
        <v>717037.07</v>
      </c>
      <c r="I19" s="359">
        <v>138053.39000000001</v>
      </c>
      <c r="J19" s="353">
        <f t="shared" si="0"/>
        <v>0.19253312802921058</v>
      </c>
      <c r="M19" s="74">
        <f t="shared" si="1"/>
        <v>1825</v>
      </c>
      <c r="N19" s="146">
        <v>43951</v>
      </c>
      <c r="O19" s="74">
        <f t="shared" si="2"/>
        <v>1340</v>
      </c>
      <c r="P19" s="354">
        <f t="shared" si="3"/>
        <v>0.26575342465753427</v>
      </c>
    </row>
    <row r="20" spans="1:16" ht="18.95" customHeight="1">
      <c r="A20" s="349">
        <f t="shared" si="4"/>
        <v>8</v>
      </c>
      <c r="B20" s="358" t="s">
        <v>2944</v>
      </c>
      <c r="C20" s="355" t="s">
        <v>2945</v>
      </c>
      <c r="D20" s="145">
        <v>43466</v>
      </c>
      <c r="E20" s="146">
        <v>44196</v>
      </c>
      <c r="F20" s="149">
        <v>0.66438356164383561</v>
      </c>
      <c r="G20" s="355">
        <v>100704.96000000001</v>
      </c>
      <c r="H20" s="355">
        <v>394632.53</v>
      </c>
      <c r="I20" s="359">
        <v>198562.58000000002</v>
      </c>
      <c r="J20" s="353">
        <f t="shared" si="0"/>
        <v>0.50315816590183282</v>
      </c>
      <c r="M20" s="74">
        <f t="shared" si="1"/>
        <v>730</v>
      </c>
      <c r="N20" s="146">
        <v>43951</v>
      </c>
      <c r="O20" s="74">
        <f t="shared" si="2"/>
        <v>245</v>
      </c>
      <c r="P20" s="354">
        <f t="shared" si="3"/>
        <v>0.66438356164383561</v>
      </c>
    </row>
    <row r="21" spans="1:16" ht="18.95" customHeight="1">
      <c r="A21" s="349">
        <f t="shared" si="4"/>
        <v>9</v>
      </c>
      <c r="B21" s="358" t="s">
        <v>2946</v>
      </c>
      <c r="C21" s="355" t="s">
        <v>2947</v>
      </c>
      <c r="D21" s="145">
        <v>43101</v>
      </c>
      <c r="E21" s="146">
        <v>44196</v>
      </c>
      <c r="F21" s="149">
        <v>0.77625570776255703</v>
      </c>
      <c r="G21" s="355">
        <v>189435.87000000002</v>
      </c>
      <c r="H21" s="355">
        <v>200198.68</v>
      </c>
      <c r="I21" s="359">
        <v>129261.31000000003</v>
      </c>
      <c r="J21" s="353">
        <f t="shared" si="0"/>
        <v>0.64566514624372162</v>
      </c>
      <c r="M21" s="74">
        <f t="shared" si="1"/>
        <v>1095</v>
      </c>
      <c r="N21" s="146">
        <v>43951</v>
      </c>
      <c r="O21" s="74">
        <f t="shared" si="2"/>
        <v>245</v>
      </c>
      <c r="P21" s="354">
        <f t="shared" si="3"/>
        <v>0.77625570776255703</v>
      </c>
    </row>
    <row r="22" spans="1:16" ht="18.95" customHeight="1">
      <c r="A22" s="349">
        <f t="shared" si="4"/>
        <v>10</v>
      </c>
      <c r="B22" s="358" t="s">
        <v>2948</v>
      </c>
      <c r="C22" s="355" t="s">
        <v>2949</v>
      </c>
      <c r="D22" s="145">
        <v>43101</v>
      </c>
      <c r="E22" s="146">
        <v>45291</v>
      </c>
      <c r="F22" s="149">
        <v>0.38812785388127852</v>
      </c>
      <c r="G22" s="355">
        <v>1743646.76</v>
      </c>
      <c r="H22" s="355">
        <v>3486937.5300000003</v>
      </c>
      <c r="I22" s="359">
        <v>1197364.1299999999</v>
      </c>
      <c r="J22" s="353">
        <f t="shared" si="0"/>
        <v>0.34338559830752108</v>
      </c>
      <c r="M22" s="74">
        <f t="shared" si="1"/>
        <v>2190</v>
      </c>
      <c r="N22" s="146">
        <v>43951</v>
      </c>
      <c r="O22" s="74">
        <f t="shared" si="2"/>
        <v>1340</v>
      </c>
      <c r="P22" s="354">
        <f t="shared" si="3"/>
        <v>0.38812785388127852</v>
      </c>
    </row>
    <row r="23" spans="1:16" ht="18.95" customHeight="1">
      <c r="A23" s="349">
        <f t="shared" si="4"/>
        <v>11</v>
      </c>
      <c r="B23" s="358" t="s">
        <v>2950</v>
      </c>
      <c r="C23" s="355" t="s">
        <v>2951</v>
      </c>
      <c r="D23" s="145">
        <v>43831</v>
      </c>
      <c r="E23" s="146">
        <v>44196</v>
      </c>
      <c r="F23" s="149">
        <v>0.32876712328767121</v>
      </c>
      <c r="G23" s="355">
        <v>14902.580000000002</v>
      </c>
      <c r="H23" s="355">
        <v>32325.72</v>
      </c>
      <c r="I23" s="359">
        <v>17926.739999999998</v>
      </c>
      <c r="J23" s="353">
        <f t="shared" si="0"/>
        <v>0.55456583797669468</v>
      </c>
      <c r="M23" s="74">
        <f t="shared" si="1"/>
        <v>365</v>
      </c>
      <c r="N23" s="146">
        <v>43951</v>
      </c>
      <c r="O23" s="74">
        <f t="shared" si="2"/>
        <v>245</v>
      </c>
      <c r="P23" s="354">
        <f t="shared" si="3"/>
        <v>0.32876712328767121</v>
      </c>
    </row>
    <row r="24" spans="1:16" ht="18.95" customHeight="1">
      <c r="A24" s="349">
        <f t="shared" si="4"/>
        <v>12</v>
      </c>
      <c r="B24" s="358" t="s">
        <v>2952</v>
      </c>
      <c r="C24" s="355" t="s">
        <v>2953</v>
      </c>
      <c r="D24" s="145">
        <v>43831</v>
      </c>
      <c r="E24" s="146">
        <v>44196</v>
      </c>
      <c r="F24" s="149">
        <v>0.32876712328767121</v>
      </c>
      <c r="G24" s="355">
        <v>73375.92</v>
      </c>
      <c r="H24" s="355">
        <v>72923.320000000007</v>
      </c>
      <c r="I24" s="359">
        <v>13415.649999999998</v>
      </c>
      <c r="J24" s="353">
        <f t="shared" si="0"/>
        <v>0.18396927073534222</v>
      </c>
      <c r="M24" s="74">
        <f t="shared" si="1"/>
        <v>365</v>
      </c>
      <c r="N24" s="146">
        <v>43951</v>
      </c>
      <c r="O24" s="74">
        <f t="shared" si="2"/>
        <v>245</v>
      </c>
      <c r="P24" s="354">
        <f t="shared" si="3"/>
        <v>0.32876712328767121</v>
      </c>
    </row>
    <row r="25" spans="1:16" ht="18.95" customHeight="1">
      <c r="A25" s="349">
        <f t="shared" si="4"/>
        <v>13</v>
      </c>
      <c r="B25" s="358" t="s">
        <v>2954</v>
      </c>
      <c r="C25" s="355" t="s">
        <v>2955</v>
      </c>
      <c r="D25" s="145">
        <v>43831</v>
      </c>
      <c r="E25" s="146">
        <v>44196</v>
      </c>
      <c r="F25" s="149">
        <v>0.32876712328767121</v>
      </c>
      <c r="G25" s="355">
        <v>218914.25</v>
      </c>
      <c r="H25" s="355">
        <v>217397.43</v>
      </c>
      <c r="I25" s="359">
        <v>35110.18</v>
      </c>
      <c r="J25" s="353">
        <f t="shared" si="0"/>
        <v>0.16150227718883339</v>
      </c>
      <c r="M25" s="74">
        <f t="shared" si="1"/>
        <v>365</v>
      </c>
      <c r="N25" s="146">
        <v>43951</v>
      </c>
      <c r="O25" s="74">
        <f t="shared" si="2"/>
        <v>245</v>
      </c>
      <c r="P25" s="354">
        <f t="shared" si="3"/>
        <v>0.32876712328767121</v>
      </c>
    </row>
    <row r="26" spans="1:16" ht="18.95" customHeight="1">
      <c r="A26" s="349">
        <f t="shared" si="4"/>
        <v>14</v>
      </c>
      <c r="B26" s="358" t="s">
        <v>2956</v>
      </c>
      <c r="C26" s="355" t="s">
        <v>2957</v>
      </c>
      <c r="D26" s="145">
        <v>43831</v>
      </c>
      <c r="E26" s="146">
        <v>44196</v>
      </c>
      <c r="F26" s="149">
        <v>0.32876712328767121</v>
      </c>
      <c r="G26" s="355">
        <v>58045.960000000006</v>
      </c>
      <c r="H26" s="355">
        <v>50967.19</v>
      </c>
      <c r="I26" s="359">
        <v>50967.19</v>
      </c>
      <c r="J26" s="353">
        <f t="shared" si="0"/>
        <v>1</v>
      </c>
      <c r="M26" s="74">
        <f t="shared" si="1"/>
        <v>365</v>
      </c>
      <c r="N26" s="146">
        <v>43951</v>
      </c>
      <c r="O26" s="74">
        <f t="shared" si="2"/>
        <v>245</v>
      </c>
      <c r="P26" s="354">
        <f t="shared" si="3"/>
        <v>0.32876712328767121</v>
      </c>
    </row>
    <row r="27" spans="1:16" ht="18.95" customHeight="1">
      <c r="A27" s="349">
        <f t="shared" si="4"/>
        <v>15</v>
      </c>
      <c r="B27" s="358" t="s">
        <v>2958</v>
      </c>
      <c r="C27" s="355" t="s">
        <v>2959</v>
      </c>
      <c r="D27" s="145">
        <v>43831</v>
      </c>
      <c r="E27" s="146">
        <v>44196</v>
      </c>
      <c r="F27" s="149">
        <v>0.32876712328767121</v>
      </c>
      <c r="G27" s="355">
        <v>163877.16</v>
      </c>
      <c r="H27" s="355">
        <v>167827.26</v>
      </c>
      <c r="I27" s="359">
        <v>51038.259999999995</v>
      </c>
      <c r="J27" s="353">
        <f t="shared" si="0"/>
        <v>0.30411185882436498</v>
      </c>
      <c r="M27" s="74">
        <f t="shared" si="1"/>
        <v>365</v>
      </c>
      <c r="N27" s="146">
        <v>43951</v>
      </c>
      <c r="O27" s="74">
        <f t="shared" si="2"/>
        <v>245</v>
      </c>
      <c r="P27" s="354">
        <f t="shared" si="3"/>
        <v>0.32876712328767121</v>
      </c>
    </row>
    <row r="28" spans="1:16" ht="18.95" customHeight="1">
      <c r="A28" s="349">
        <f t="shared" si="4"/>
        <v>16</v>
      </c>
      <c r="B28" s="358" t="s">
        <v>2960</v>
      </c>
      <c r="C28" s="355" t="s">
        <v>2961</v>
      </c>
      <c r="D28" s="145">
        <v>43831</v>
      </c>
      <c r="E28" s="146">
        <v>44196</v>
      </c>
      <c r="F28" s="149">
        <v>0.32876712328767121</v>
      </c>
      <c r="G28" s="355">
        <v>135352.79</v>
      </c>
      <c r="H28" s="355">
        <v>134086.10999999999</v>
      </c>
      <c r="I28" s="359">
        <v>68239.66</v>
      </c>
      <c r="J28" s="353">
        <f t="shared" si="0"/>
        <v>0.50892415329223895</v>
      </c>
      <c r="M28" s="74">
        <f t="shared" si="1"/>
        <v>365</v>
      </c>
      <c r="N28" s="146">
        <v>43951</v>
      </c>
      <c r="O28" s="74">
        <f t="shared" si="2"/>
        <v>245</v>
      </c>
      <c r="P28" s="354">
        <f t="shared" si="3"/>
        <v>0.32876712328767121</v>
      </c>
    </row>
    <row r="29" spans="1:16" ht="18.95" customHeight="1">
      <c r="A29" s="349">
        <f t="shared" si="4"/>
        <v>17</v>
      </c>
      <c r="B29" s="358" t="s">
        <v>2962</v>
      </c>
      <c r="C29" s="355" t="s">
        <v>2963</v>
      </c>
      <c r="D29" s="145">
        <v>43831</v>
      </c>
      <c r="E29" s="146">
        <v>44196</v>
      </c>
      <c r="F29" s="149">
        <v>0.32876712328767121</v>
      </c>
      <c r="G29" s="355">
        <v>104261.53000000001</v>
      </c>
      <c r="H29" s="355">
        <v>105726.57</v>
      </c>
      <c r="I29" s="359">
        <v>36406.82</v>
      </c>
      <c r="J29" s="353">
        <f t="shared" si="0"/>
        <v>0.34434882357386604</v>
      </c>
      <c r="M29" s="74">
        <f t="shared" si="1"/>
        <v>365</v>
      </c>
      <c r="N29" s="146">
        <v>43951</v>
      </c>
      <c r="O29" s="74">
        <f t="shared" si="2"/>
        <v>245</v>
      </c>
      <c r="P29" s="354">
        <f t="shared" si="3"/>
        <v>0.32876712328767121</v>
      </c>
    </row>
    <row r="30" spans="1:16" ht="18.95" customHeight="1">
      <c r="A30" s="349">
        <f t="shared" si="4"/>
        <v>18</v>
      </c>
      <c r="B30" s="358" t="s">
        <v>2964</v>
      </c>
      <c r="C30" s="355" t="s">
        <v>2965</v>
      </c>
      <c r="D30" s="145">
        <v>43831</v>
      </c>
      <c r="E30" s="146">
        <v>44196</v>
      </c>
      <c r="F30" s="149">
        <v>0.32876712328767121</v>
      </c>
      <c r="G30" s="355">
        <v>83899.82</v>
      </c>
      <c r="H30" s="355">
        <v>83786.03</v>
      </c>
      <c r="I30" s="359">
        <v>26888.55</v>
      </c>
      <c r="J30" s="353">
        <f t="shared" si="0"/>
        <v>0.32091925109711011</v>
      </c>
      <c r="M30" s="74">
        <f t="shared" si="1"/>
        <v>365</v>
      </c>
      <c r="N30" s="146">
        <v>43951</v>
      </c>
      <c r="O30" s="74">
        <f t="shared" si="2"/>
        <v>245</v>
      </c>
      <c r="P30" s="354">
        <f t="shared" si="3"/>
        <v>0.32876712328767121</v>
      </c>
    </row>
    <row r="31" spans="1:16" ht="18.95" customHeight="1">
      <c r="A31" s="349">
        <f t="shared" si="4"/>
        <v>19</v>
      </c>
      <c r="B31" s="358" t="s">
        <v>2966</v>
      </c>
      <c r="C31" s="355" t="s">
        <v>2967</v>
      </c>
      <c r="D31" s="145">
        <v>43831</v>
      </c>
      <c r="E31" s="146">
        <v>44196</v>
      </c>
      <c r="F31" s="149">
        <v>0.32876712328767121</v>
      </c>
      <c r="G31" s="355">
        <v>30771.719999999998</v>
      </c>
      <c r="H31" s="355">
        <v>65577.39</v>
      </c>
      <c r="I31" s="359">
        <v>60486</v>
      </c>
      <c r="J31" s="353">
        <f t="shared" si="0"/>
        <v>0.92236058800144383</v>
      </c>
      <c r="M31" s="74">
        <f t="shared" si="1"/>
        <v>365</v>
      </c>
      <c r="N31" s="146">
        <v>43951</v>
      </c>
      <c r="O31" s="74">
        <f t="shared" si="2"/>
        <v>245</v>
      </c>
      <c r="P31" s="354">
        <f t="shared" si="3"/>
        <v>0.32876712328767121</v>
      </c>
    </row>
    <row r="32" spans="1:16" ht="18.95" customHeight="1">
      <c r="A32" s="349">
        <f t="shared" si="4"/>
        <v>20</v>
      </c>
      <c r="B32" s="358" t="s">
        <v>2968</v>
      </c>
      <c r="C32" s="355" t="s">
        <v>2969</v>
      </c>
      <c r="D32" s="145">
        <v>43831</v>
      </c>
      <c r="E32" s="146">
        <v>44196</v>
      </c>
      <c r="F32" s="149">
        <v>0.32876712328767121</v>
      </c>
      <c r="G32" s="355">
        <v>149297.85999999999</v>
      </c>
      <c r="H32" s="355">
        <v>211102.99</v>
      </c>
      <c r="I32" s="359">
        <v>115437.92000000001</v>
      </c>
      <c r="J32" s="353">
        <f t="shared" si="0"/>
        <v>0.54683223577269091</v>
      </c>
      <c r="M32" s="74">
        <f t="shared" si="1"/>
        <v>365</v>
      </c>
      <c r="N32" s="146">
        <v>43951</v>
      </c>
      <c r="O32" s="74">
        <f t="shared" si="2"/>
        <v>245</v>
      </c>
      <c r="P32" s="354">
        <f t="shared" si="3"/>
        <v>0.32876712328767121</v>
      </c>
    </row>
    <row r="33" spans="1:16" ht="18.95" customHeight="1">
      <c r="A33" s="349">
        <f t="shared" si="4"/>
        <v>21</v>
      </c>
      <c r="B33" s="358" t="s">
        <v>2970</v>
      </c>
      <c r="C33" s="355" t="s">
        <v>2971</v>
      </c>
      <c r="D33" s="145">
        <v>43831</v>
      </c>
      <c r="E33" s="146">
        <v>44196</v>
      </c>
      <c r="F33" s="149">
        <v>0.32876712328767121</v>
      </c>
      <c r="G33" s="355">
        <v>102592.84</v>
      </c>
      <c r="H33" s="355">
        <v>107036.55</v>
      </c>
      <c r="I33" s="359">
        <v>55341.83</v>
      </c>
      <c r="J33" s="353">
        <f t="shared" si="0"/>
        <v>0.5170367505305431</v>
      </c>
      <c r="M33" s="74">
        <f t="shared" si="1"/>
        <v>365</v>
      </c>
      <c r="N33" s="146">
        <v>43951</v>
      </c>
      <c r="O33" s="74">
        <f t="shared" si="2"/>
        <v>245</v>
      </c>
      <c r="P33" s="354">
        <f t="shared" si="3"/>
        <v>0.32876712328767121</v>
      </c>
    </row>
    <row r="34" spans="1:16" ht="18.95" customHeight="1">
      <c r="A34" s="349">
        <f t="shared" si="4"/>
        <v>22</v>
      </c>
      <c r="B34" s="358" t="s">
        <v>2972</v>
      </c>
      <c r="C34" s="355" t="s">
        <v>2973</v>
      </c>
      <c r="D34" s="145">
        <v>43831</v>
      </c>
      <c r="E34" s="146">
        <v>44196</v>
      </c>
      <c r="F34" s="149">
        <v>0.32876712328767121</v>
      </c>
      <c r="G34" s="355">
        <v>156856.12</v>
      </c>
      <c r="H34" s="355">
        <v>153418.88</v>
      </c>
      <c r="I34" s="359">
        <v>63559.43</v>
      </c>
      <c r="J34" s="353">
        <f t="shared" si="0"/>
        <v>0.4142868856818665</v>
      </c>
      <c r="M34" s="74">
        <f t="shared" si="1"/>
        <v>365</v>
      </c>
      <c r="N34" s="146">
        <v>43951</v>
      </c>
      <c r="O34" s="74">
        <f t="shared" si="2"/>
        <v>245</v>
      </c>
      <c r="P34" s="354">
        <f t="shared" si="3"/>
        <v>0.32876712328767121</v>
      </c>
    </row>
    <row r="35" spans="1:16" ht="18.95" customHeight="1">
      <c r="A35" s="349">
        <f t="shared" si="4"/>
        <v>23</v>
      </c>
      <c r="B35" s="358" t="s">
        <v>2974</v>
      </c>
      <c r="C35" s="355" t="s">
        <v>2975</v>
      </c>
      <c r="D35" s="145">
        <v>43831</v>
      </c>
      <c r="E35" s="146">
        <v>44561</v>
      </c>
      <c r="F35" s="149">
        <v>0.16438356164383561</v>
      </c>
      <c r="G35" s="355">
        <v>628790.72</v>
      </c>
      <c r="H35" s="355">
        <v>447339.18</v>
      </c>
      <c r="I35" s="359">
        <v>69021.25</v>
      </c>
      <c r="J35" s="353">
        <f t="shared" si="0"/>
        <v>0.15429287906326469</v>
      </c>
      <c r="M35" s="74">
        <f t="shared" si="1"/>
        <v>730</v>
      </c>
      <c r="N35" s="146">
        <v>43951</v>
      </c>
      <c r="O35" s="74">
        <f t="shared" si="2"/>
        <v>610</v>
      </c>
      <c r="P35" s="354">
        <f t="shared" si="3"/>
        <v>0.16438356164383561</v>
      </c>
    </row>
    <row r="36" spans="1:16" ht="18.95" customHeight="1">
      <c r="A36" s="349">
        <f t="shared" si="4"/>
        <v>24</v>
      </c>
      <c r="B36" s="358" t="s">
        <v>2976</v>
      </c>
      <c r="C36" s="355" t="s">
        <v>2977</v>
      </c>
      <c r="D36" s="145">
        <v>43831</v>
      </c>
      <c r="E36" s="146">
        <v>44196</v>
      </c>
      <c r="F36" s="149">
        <v>0.32876712328767121</v>
      </c>
      <c r="G36" s="355">
        <v>87118.55</v>
      </c>
      <c r="H36" s="355">
        <v>87276.39</v>
      </c>
      <c r="I36" s="359">
        <v>54037.11</v>
      </c>
      <c r="J36" s="353">
        <f t="shared" si="0"/>
        <v>0.61914923383059273</v>
      </c>
      <c r="M36" s="74">
        <f t="shared" si="1"/>
        <v>365</v>
      </c>
      <c r="N36" s="146">
        <v>43951</v>
      </c>
      <c r="O36" s="74">
        <f t="shared" si="2"/>
        <v>245</v>
      </c>
      <c r="P36" s="354">
        <f t="shared" si="3"/>
        <v>0.32876712328767121</v>
      </c>
    </row>
    <row r="37" spans="1:16" ht="18.95" customHeight="1">
      <c r="A37" s="349">
        <f t="shared" si="4"/>
        <v>25</v>
      </c>
      <c r="B37" s="358" t="s">
        <v>2978</v>
      </c>
      <c r="C37" s="355" t="s">
        <v>2979</v>
      </c>
      <c r="D37" s="145">
        <v>43831</v>
      </c>
      <c r="E37" s="146">
        <v>44196</v>
      </c>
      <c r="F37" s="149">
        <v>0.32876712328767121</v>
      </c>
      <c r="G37" s="355">
        <v>51784.99</v>
      </c>
      <c r="H37" s="355">
        <v>107215.23</v>
      </c>
      <c r="I37" s="359">
        <v>26746.510000000002</v>
      </c>
      <c r="J37" s="353">
        <f t="shared" si="0"/>
        <v>0.24946558432043658</v>
      </c>
      <c r="M37" s="74">
        <f t="shared" si="1"/>
        <v>365</v>
      </c>
      <c r="N37" s="146">
        <v>43951</v>
      </c>
      <c r="O37" s="74">
        <f t="shared" si="2"/>
        <v>245</v>
      </c>
      <c r="P37" s="354">
        <f t="shared" si="3"/>
        <v>0.32876712328767121</v>
      </c>
    </row>
    <row r="38" spans="1:16" ht="18.95" customHeight="1">
      <c r="A38" s="349">
        <f t="shared" si="4"/>
        <v>26</v>
      </c>
      <c r="B38" s="358" t="s">
        <v>2980</v>
      </c>
      <c r="C38" s="355" t="s">
        <v>2981</v>
      </c>
      <c r="D38" s="145">
        <v>43831</v>
      </c>
      <c r="E38" s="146">
        <v>44196</v>
      </c>
      <c r="F38" s="149">
        <v>0.32876712328767121</v>
      </c>
      <c r="G38" s="355">
        <v>68371.03</v>
      </c>
      <c r="H38" s="355">
        <v>129597.64</v>
      </c>
      <c r="I38" s="359">
        <v>12351.4</v>
      </c>
      <c r="J38" s="353">
        <f t="shared" si="0"/>
        <v>9.5305747851581246E-2</v>
      </c>
      <c r="M38" s="74">
        <f t="shared" si="1"/>
        <v>365</v>
      </c>
      <c r="N38" s="146">
        <v>43951</v>
      </c>
      <c r="O38" s="74">
        <f t="shared" si="2"/>
        <v>245</v>
      </c>
      <c r="P38" s="354">
        <f t="shared" si="3"/>
        <v>0.32876712328767121</v>
      </c>
    </row>
    <row r="39" spans="1:16" ht="18.95" customHeight="1">
      <c r="A39" s="349">
        <f t="shared" si="4"/>
        <v>27</v>
      </c>
      <c r="B39" s="358" t="s">
        <v>2982</v>
      </c>
      <c r="C39" s="355" t="s">
        <v>2983</v>
      </c>
      <c r="D39" s="145">
        <v>43831</v>
      </c>
      <c r="E39" s="146">
        <v>44196</v>
      </c>
      <c r="F39" s="149">
        <v>0.32876712328767121</v>
      </c>
      <c r="G39" s="355">
        <v>64022.890000000007</v>
      </c>
      <c r="H39" s="355">
        <v>65074.96</v>
      </c>
      <c r="I39" s="359">
        <v>16793.73</v>
      </c>
      <c r="J39" s="353">
        <f t="shared" si="0"/>
        <v>0.25806746558123123</v>
      </c>
      <c r="M39" s="74">
        <f t="shared" si="1"/>
        <v>365</v>
      </c>
      <c r="N39" s="146">
        <v>43951</v>
      </c>
      <c r="O39" s="74">
        <f t="shared" si="2"/>
        <v>245</v>
      </c>
      <c r="P39" s="354">
        <f t="shared" si="3"/>
        <v>0.32876712328767121</v>
      </c>
    </row>
    <row r="40" spans="1:16" ht="18.95" customHeight="1">
      <c r="A40" s="349">
        <f t="shared" si="4"/>
        <v>28</v>
      </c>
      <c r="B40" s="358" t="s">
        <v>2984</v>
      </c>
      <c r="C40" s="355" t="s">
        <v>2985</v>
      </c>
      <c r="D40" s="145">
        <v>43831</v>
      </c>
      <c r="E40" s="146">
        <v>44196</v>
      </c>
      <c r="F40" s="149">
        <v>0.32876712328767121</v>
      </c>
      <c r="G40" s="355">
        <v>29792.32</v>
      </c>
      <c r="H40" s="355">
        <v>28556.61</v>
      </c>
      <c r="I40" s="359">
        <v>19988.739999999998</v>
      </c>
      <c r="J40" s="353">
        <f t="shared" si="0"/>
        <v>0.69996893889015532</v>
      </c>
      <c r="M40" s="74">
        <f t="shared" si="1"/>
        <v>365</v>
      </c>
      <c r="N40" s="146">
        <v>43951</v>
      </c>
      <c r="O40" s="74">
        <f t="shared" si="2"/>
        <v>245</v>
      </c>
      <c r="P40" s="354">
        <f t="shared" si="3"/>
        <v>0.32876712328767121</v>
      </c>
    </row>
    <row r="41" spans="1:16" ht="18.95" customHeight="1">
      <c r="A41" s="349">
        <f t="shared" si="4"/>
        <v>29</v>
      </c>
      <c r="B41" s="358" t="s">
        <v>2730</v>
      </c>
      <c r="C41" s="355" t="s">
        <v>2731</v>
      </c>
      <c r="D41" s="145">
        <v>42933</v>
      </c>
      <c r="E41" s="146">
        <v>44196</v>
      </c>
      <c r="F41" s="149">
        <v>0.80601741884402212</v>
      </c>
      <c r="G41" s="355">
        <v>194908</v>
      </c>
      <c r="H41" s="355">
        <v>194908</v>
      </c>
      <c r="I41" s="359">
        <v>198444.65</v>
      </c>
      <c r="J41" s="353">
        <f t="shared" si="0"/>
        <v>1.0181452274919449</v>
      </c>
      <c r="M41" s="74">
        <f t="shared" si="1"/>
        <v>1263</v>
      </c>
      <c r="N41" s="146">
        <v>43951</v>
      </c>
      <c r="O41" s="74">
        <f t="shared" si="2"/>
        <v>245</v>
      </c>
      <c r="P41" s="354">
        <f t="shared" si="3"/>
        <v>0.80601741884402212</v>
      </c>
    </row>
    <row r="42" spans="1:16" ht="18.95" customHeight="1">
      <c r="A42" s="349">
        <f t="shared" si="4"/>
        <v>30</v>
      </c>
      <c r="B42" s="358" t="s">
        <v>2986</v>
      </c>
      <c r="C42" s="355" t="s">
        <v>2987</v>
      </c>
      <c r="D42" s="145">
        <v>43466</v>
      </c>
      <c r="E42" s="146">
        <v>44196</v>
      </c>
      <c r="F42" s="149">
        <v>0.66438356164383561</v>
      </c>
      <c r="G42" s="355">
        <v>6665160.7400000002</v>
      </c>
      <c r="H42" s="355">
        <v>6665160.7400000002</v>
      </c>
      <c r="I42" s="359">
        <v>5918697.96</v>
      </c>
      <c r="J42" s="353">
        <f t="shared" si="0"/>
        <v>0.8880052846257388</v>
      </c>
      <c r="M42" s="74">
        <f t="shared" si="1"/>
        <v>730</v>
      </c>
      <c r="N42" s="146">
        <v>43951</v>
      </c>
      <c r="O42" s="74">
        <f t="shared" si="2"/>
        <v>245</v>
      </c>
      <c r="P42" s="354">
        <f t="shared" si="3"/>
        <v>0.66438356164383561</v>
      </c>
    </row>
    <row r="43" spans="1:16" ht="18.95" customHeight="1">
      <c r="A43" s="349">
        <f t="shared" si="4"/>
        <v>31</v>
      </c>
      <c r="B43" s="358" t="s">
        <v>2988</v>
      </c>
      <c r="C43" s="355" t="s">
        <v>2989</v>
      </c>
      <c r="D43" s="145">
        <v>43466</v>
      </c>
      <c r="E43" s="146">
        <v>45291</v>
      </c>
      <c r="F43" s="149">
        <v>0.26575342465753427</v>
      </c>
      <c r="G43" s="355">
        <v>675002.64</v>
      </c>
      <c r="H43" s="355">
        <v>675002.64</v>
      </c>
      <c r="I43" s="359">
        <v>168237.51</v>
      </c>
      <c r="J43" s="353">
        <f t="shared" si="0"/>
        <v>0.24923978075107975</v>
      </c>
      <c r="M43" s="74">
        <f t="shared" si="1"/>
        <v>1825</v>
      </c>
      <c r="N43" s="146">
        <v>43951</v>
      </c>
      <c r="O43" s="74">
        <f t="shared" si="2"/>
        <v>1340</v>
      </c>
      <c r="P43" s="354">
        <f t="shared" si="3"/>
        <v>0.26575342465753427</v>
      </c>
    </row>
    <row r="44" spans="1:16" ht="18.95" customHeight="1">
      <c r="A44" s="349">
        <f t="shared" si="4"/>
        <v>32</v>
      </c>
      <c r="B44" s="358" t="s">
        <v>2732</v>
      </c>
      <c r="C44" s="355" t="s">
        <v>2733</v>
      </c>
      <c r="D44" s="145">
        <v>43101</v>
      </c>
      <c r="E44" s="146">
        <v>44135</v>
      </c>
      <c r="F44" s="149">
        <v>0.82205029013539654</v>
      </c>
      <c r="G44" s="355">
        <v>2000000.01</v>
      </c>
      <c r="H44" s="355">
        <v>2000000.01</v>
      </c>
      <c r="I44" s="359">
        <v>1443921.59</v>
      </c>
      <c r="J44" s="353">
        <f t="shared" si="0"/>
        <v>0.72196079139019609</v>
      </c>
      <c r="M44" s="74">
        <f t="shared" si="1"/>
        <v>1034</v>
      </c>
      <c r="N44" s="146">
        <v>43951</v>
      </c>
      <c r="O44" s="74">
        <f t="shared" si="2"/>
        <v>184</v>
      </c>
      <c r="P44" s="354">
        <f t="shared" si="3"/>
        <v>0.82205029013539654</v>
      </c>
    </row>
    <row r="45" spans="1:16" ht="18.95" customHeight="1">
      <c r="A45" s="349">
        <f t="shared" si="4"/>
        <v>33</v>
      </c>
      <c r="B45" s="358" t="s">
        <v>2990</v>
      </c>
      <c r="C45" s="355" t="s">
        <v>2991</v>
      </c>
      <c r="D45" s="145">
        <v>43831</v>
      </c>
      <c r="E45" s="146">
        <v>44196</v>
      </c>
      <c r="F45" s="149">
        <v>0.32876712328767121</v>
      </c>
      <c r="G45" s="355">
        <v>277679.59999999998</v>
      </c>
      <c r="H45" s="355">
        <v>277679.59999999998</v>
      </c>
      <c r="I45" s="359">
        <v>65451.600000000006</v>
      </c>
      <c r="J45" s="353">
        <f t="shared" si="0"/>
        <v>0.23570906901335212</v>
      </c>
      <c r="M45" s="74">
        <f t="shared" si="1"/>
        <v>365</v>
      </c>
      <c r="N45" s="146">
        <v>43951</v>
      </c>
      <c r="O45" s="74">
        <f t="shared" si="2"/>
        <v>245</v>
      </c>
      <c r="P45" s="354">
        <f t="shared" si="3"/>
        <v>0.32876712328767121</v>
      </c>
    </row>
    <row r="46" spans="1:16" ht="18.95" customHeight="1">
      <c r="A46" s="349">
        <f t="shared" si="4"/>
        <v>34</v>
      </c>
      <c r="B46" s="358" t="s">
        <v>2992</v>
      </c>
      <c r="C46" s="355" t="s">
        <v>2993</v>
      </c>
      <c r="D46" s="145">
        <v>43466</v>
      </c>
      <c r="E46" s="146">
        <v>45291</v>
      </c>
      <c r="F46" s="149">
        <v>0.26575342465753427</v>
      </c>
      <c r="G46" s="355">
        <v>4324800.18</v>
      </c>
      <c r="H46" s="355">
        <v>4324800.18</v>
      </c>
      <c r="I46" s="359">
        <v>1188000.1499999999</v>
      </c>
      <c r="J46" s="353">
        <f t="shared" si="0"/>
        <v>0.27469480682457798</v>
      </c>
      <c r="M46" s="74">
        <f t="shared" si="1"/>
        <v>1825</v>
      </c>
      <c r="N46" s="146">
        <v>43951</v>
      </c>
      <c r="O46" s="74">
        <f t="shared" si="2"/>
        <v>1340</v>
      </c>
      <c r="P46" s="354">
        <f t="shared" si="3"/>
        <v>0.26575342465753427</v>
      </c>
    </row>
    <row r="47" spans="1:16" ht="18.95" customHeight="1">
      <c r="A47" s="349">
        <f t="shared" si="4"/>
        <v>35</v>
      </c>
      <c r="B47" s="358" t="s">
        <v>2994</v>
      </c>
      <c r="C47" s="355" t="s">
        <v>2995</v>
      </c>
      <c r="D47" s="145">
        <v>43831</v>
      </c>
      <c r="E47" s="146">
        <v>44165</v>
      </c>
      <c r="F47" s="149">
        <v>0.3592814371257485</v>
      </c>
      <c r="G47" s="355">
        <v>228518.22</v>
      </c>
      <c r="H47" s="355">
        <v>227768.91</v>
      </c>
      <c r="I47" s="359">
        <v>151845.94</v>
      </c>
      <c r="J47" s="353">
        <f t="shared" si="0"/>
        <v>0.66666666666666663</v>
      </c>
      <c r="M47" s="74">
        <f t="shared" si="1"/>
        <v>334</v>
      </c>
      <c r="N47" s="146">
        <v>43951</v>
      </c>
      <c r="O47" s="74">
        <f t="shared" si="2"/>
        <v>214</v>
      </c>
      <c r="P47" s="354">
        <f t="shared" si="3"/>
        <v>0.3592814371257485</v>
      </c>
    </row>
    <row r="48" spans="1:16" ht="18.95" customHeight="1">
      <c r="A48" s="349">
        <f t="shared" si="4"/>
        <v>36</v>
      </c>
      <c r="B48" s="358" t="s">
        <v>2996</v>
      </c>
      <c r="C48" s="355" t="s">
        <v>2997</v>
      </c>
      <c r="D48" s="145">
        <v>43831</v>
      </c>
      <c r="E48" s="146">
        <v>44439</v>
      </c>
      <c r="F48" s="149">
        <v>0.19736842105263158</v>
      </c>
      <c r="G48" s="355">
        <v>9648545.7299999986</v>
      </c>
      <c r="H48" s="355">
        <v>10224751.26</v>
      </c>
      <c r="I48" s="359">
        <v>1000000</v>
      </c>
      <c r="J48" s="353">
        <f t="shared" si="0"/>
        <v>9.7801890194832972E-2</v>
      </c>
      <c r="M48" s="74">
        <f t="shared" si="1"/>
        <v>608</v>
      </c>
      <c r="N48" s="146">
        <v>43951</v>
      </c>
      <c r="O48" s="74">
        <f t="shared" si="2"/>
        <v>488</v>
      </c>
      <c r="P48" s="354">
        <f t="shared" si="3"/>
        <v>0.19736842105263158</v>
      </c>
    </row>
    <row r="49" spans="1:16" ht="18.95" customHeight="1">
      <c r="A49" s="349">
        <f t="shared" si="4"/>
        <v>37</v>
      </c>
      <c r="B49" s="358" t="s">
        <v>2998</v>
      </c>
      <c r="C49" s="355" t="s">
        <v>2999</v>
      </c>
      <c r="D49" s="145">
        <v>43922</v>
      </c>
      <c r="E49" s="146">
        <v>43982</v>
      </c>
      <c r="F49" s="149">
        <v>0.48333333333333334</v>
      </c>
      <c r="G49" s="355">
        <v>850000.48</v>
      </c>
      <c r="H49" s="355">
        <v>456753.23</v>
      </c>
      <c r="I49" s="359">
        <v>456753.23</v>
      </c>
      <c r="J49" s="353">
        <f t="shared" si="0"/>
        <v>1</v>
      </c>
      <c r="M49" s="74">
        <f t="shared" si="1"/>
        <v>60</v>
      </c>
      <c r="N49" s="146">
        <v>43951</v>
      </c>
      <c r="O49" s="74">
        <f t="shared" si="2"/>
        <v>31</v>
      </c>
      <c r="P49" s="354">
        <f t="shared" si="3"/>
        <v>0.48333333333333334</v>
      </c>
    </row>
    <row r="50" spans="1:16" ht="18.95" customHeight="1">
      <c r="A50" s="349">
        <f t="shared" si="4"/>
        <v>38</v>
      </c>
      <c r="B50" s="358" t="s">
        <v>3000</v>
      </c>
      <c r="C50" s="355" t="s">
        <v>3001</v>
      </c>
      <c r="D50" s="145">
        <v>43466</v>
      </c>
      <c r="E50" s="146">
        <v>44377</v>
      </c>
      <c r="F50" s="149">
        <v>0.53238199780461026</v>
      </c>
      <c r="G50" s="355">
        <v>5600000</v>
      </c>
      <c r="H50" s="355">
        <v>8368220</v>
      </c>
      <c r="I50" s="359">
        <v>1712186</v>
      </c>
      <c r="J50" s="353">
        <f t="shared" si="0"/>
        <v>0.20460575845281315</v>
      </c>
      <c r="M50" s="74">
        <f t="shared" si="1"/>
        <v>911</v>
      </c>
      <c r="N50" s="146">
        <v>43951</v>
      </c>
      <c r="O50" s="74">
        <f t="shared" si="2"/>
        <v>426</v>
      </c>
      <c r="P50" s="354">
        <f t="shared" si="3"/>
        <v>0.53238199780461026</v>
      </c>
    </row>
    <row r="51" spans="1:16" ht="18.95" customHeight="1">
      <c r="A51" s="349">
        <f t="shared" si="4"/>
        <v>39</v>
      </c>
      <c r="B51" s="358" t="s">
        <v>3002</v>
      </c>
      <c r="C51" s="355" t="s">
        <v>3003</v>
      </c>
      <c r="D51" s="145">
        <v>43466</v>
      </c>
      <c r="E51" s="146">
        <v>44012</v>
      </c>
      <c r="F51" s="149">
        <v>0.88827838827838823</v>
      </c>
      <c r="G51" s="355">
        <v>5500000</v>
      </c>
      <c r="H51" s="355">
        <v>1599733.94</v>
      </c>
      <c r="I51" s="359">
        <v>1178219.68</v>
      </c>
      <c r="J51" s="353">
        <f t="shared" si="0"/>
        <v>0.7365097723687728</v>
      </c>
      <c r="M51" s="74">
        <f t="shared" si="1"/>
        <v>546</v>
      </c>
      <c r="N51" s="146">
        <v>43951</v>
      </c>
      <c r="O51" s="74">
        <f t="shared" si="2"/>
        <v>61</v>
      </c>
      <c r="P51" s="354">
        <f t="shared" si="3"/>
        <v>0.88827838827838823</v>
      </c>
    </row>
    <row r="52" spans="1:16" ht="18.95" customHeight="1">
      <c r="A52" s="349">
        <f t="shared" si="4"/>
        <v>40</v>
      </c>
      <c r="B52" s="358" t="s">
        <v>3004</v>
      </c>
      <c r="C52" s="355" t="s">
        <v>3005</v>
      </c>
      <c r="D52" s="145">
        <v>43466</v>
      </c>
      <c r="E52" s="146">
        <v>44012</v>
      </c>
      <c r="F52" s="149">
        <v>0.88827838827838823</v>
      </c>
      <c r="G52" s="355">
        <v>5750000</v>
      </c>
      <c r="H52" s="355">
        <v>3788029.15</v>
      </c>
      <c r="I52" s="359">
        <v>2478182.2999999998</v>
      </c>
      <c r="J52" s="353">
        <f t="shared" si="0"/>
        <v>0.65421415777647851</v>
      </c>
      <c r="M52" s="74">
        <f t="shared" si="1"/>
        <v>546</v>
      </c>
      <c r="N52" s="146">
        <v>43951</v>
      </c>
      <c r="O52" s="74">
        <f t="shared" si="2"/>
        <v>61</v>
      </c>
      <c r="P52" s="354">
        <f t="shared" si="3"/>
        <v>0.88827838827838823</v>
      </c>
    </row>
    <row r="53" spans="1:16" ht="18.95" customHeight="1">
      <c r="A53" s="349">
        <f t="shared" si="4"/>
        <v>41</v>
      </c>
      <c r="B53" s="358" t="s">
        <v>3006</v>
      </c>
      <c r="C53" s="355" t="s">
        <v>3007</v>
      </c>
      <c r="D53" s="145">
        <v>43831</v>
      </c>
      <c r="E53" s="146">
        <v>43982</v>
      </c>
      <c r="F53" s="149">
        <v>0.79470198675496684</v>
      </c>
      <c r="G53" s="355">
        <v>80000</v>
      </c>
      <c r="H53" s="355">
        <v>10286</v>
      </c>
      <c r="I53" s="359">
        <v>10286</v>
      </c>
      <c r="J53" s="353">
        <f t="shared" si="0"/>
        <v>1</v>
      </c>
      <c r="M53" s="74">
        <f t="shared" si="1"/>
        <v>151</v>
      </c>
      <c r="N53" s="146">
        <v>43951</v>
      </c>
      <c r="O53" s="74">
        <f t="shared" si="2"/>
        <v>31</v>
      </c>
      <c r="P53" s="354">
        <f t="shared" si="3"/>
        <v>0.79470198675496684</v>
      </c>
    </row>
    <row r="54" spans="1:16" ht="18.95" customHeight="1">
      <c r="A54" s="349">
        <f t="shared" si="4"/>
        <v>42</v>
      </c>
      <c r="B54" s="358" t="s">
        <v>3008</v>
      </c>
      <c r="C54" s="355" t="s">
        <v>3009</v>
      </c>
      <c r="D54" s="145">
        <v>43831</v>
      </c>
      <c r="E54" s="146">
        <v>44135</v>
      </c>
      <c r="F54" s="149">
        <v>0.39473684210526316</v>
      </c>
      <c r="G54" s="355">
        <v>400000</v>
      </c>
      <c r="H54" s="355">
        <v>328067.96000000002</v>
      </c>
      <c r="I54" s="359">
        <v>170000</v>
      </c>
      <c r="J54" s="353">
        <f t="shared" si="0"/>
        <v>0.51818531745678542</v>
      </c>
      <c r="M54" s="74">
        <f t="shared" si="1"/>
        <v>304</v>
      </c>
      <c r="N54" s="146">
        <v>43951</v>
      </c>
      <c r="O54" s="74">
        <f t="shared" si="2"/>
        <v>184</v>
      </c>
      <c r="P54" s="354">
        <f t="shared" si="3"/>
        <v>0.39473684210526316</v>
      </c>
    </row>
    <row r="55" spans="1:16" ht="18.95" customHeight="1">
      <c r="A55" s="349">
        <f t="shared" si="4"/>
        <v>43</v>
      </c>
      <c r="B55" s="358" t="s">
        <v>3010</v>
      </c>
      <c r="C55" s="355" t="s">
        <v>3011</v>
      </c>
      <c r="D55" s="145">
        <v>43831</v>
      </c>
      <c r="E55" s="146">
        <v>44165</v>
      </c>
      <c r="F55" s="149">
        <v>0.3592814371257485</v>
      </c>
      <c r="G55" s="355">
        <v>680000</v>
      </c>
      <c r="H55" s="355">
        <v>712811.34</v>
      </c>
      <c r="I55" s="359">
        <v>177751.37</v>
      </c>
      <c r="J55" s="353">
        <f t="shared" si="0"/>
        <v>0.24936664166987019</v>
      </c>
      <c r="M55" s="74">
        <f t="shared" si="1"/>
        <v>334</v>
      </c>
      <c r="N55" s="146">
        <v>43951</v>
      </c>
      <c r="O55" s="74">
        <f t="shared" si="2"/>
        <v>214</v>
      </c>
      <c r="P55" s="354">
        <f t="shared" si="3"/>
        <v>0.3592814371257485</v>
      </c>
    </row>
    <row r="56" spans="1:16" ht="18.95" customHeight="1">
      <c r="A56" s="349">
        <f t="shared" si="4"/>
        <v>44</v>
      </c>
      <c r="B56" s="358" t="s">
        <v>3012</v>
      </c>
      <c r="C56" s="355" t="s">
        <v>3013</v>
      </c>
      <c r="D56" s="145">
        <v>43613</v>
      </c>
      <c r="E56" s="146">
        <v>44012</v>
      </c>
      <c r="F56" s="149">
        <v>0.84711779448621549</v>
      </c>
      <c r="G56" s="355">
        <v>1375000</v>
      </c>
      <c r="H56" s="355">
        <v>1392069.37</v>
      </c>
      <c r="I56" s="359">
        <v>1130324.4700000002</v>
      </c>
      <c r="J56" s="353">
        <f t="shared" si="0"/>
        <v>0.81197424091013515</v>
      </c>
      <c r="M56" s="74">
        <f t="shared" si="1"/>
        <v>399</v>
      </c>
      <c r="N56" s="146">
        <v>43951</v>
      </c>
      <c r="O56" s="74">
        <f t="shared" si="2"/>
        <v>61</v>
      </c>
      <c r="P56" s="354">
        <f t="shared" si="3"/>
        <v>0.84711779448621549</v>
      </c>
    </row>
    <row r="57" spans="1:16" s="360" customFormat="1" ht="20.100000000000001" customHeight="1">
      <c r="A57" s="767" t="str">
        <f>$A$1</f>
        <v>KENTUCKY UTILITIES COMPANY</v>
      </c>
      <c r="B57" s="767"/>
      <c r="C57" s="767"/>
      <c r="D57" s="767"/>
      <c r="E57" s="767"/>
      <c r="F57" s="767"/>
      <c r="G57" s="767"/>
      <c r="H57" s="767"/>
      <c r="I57" s="767"/>
      <c r="J57" s="767"/>
    </row>
    <row r="58" spans="1:16" s="360" customFormat="1" ht="20.100000000000001" customHeight="1">
      <c r="A58" s="767" t="str">
        <f>$A$2</f>
        <v>CASE NO. 2018-00294</v>
      </c>
      <c r="B58" s="767"/>
      <c r="C58" s="767"/>
      <c r="D58" s="767"/>
      <c r="E58" s="767"/>
      <c r="F58" s="767"/>
      <c r="G58" s="767"/>
      <c r="H58" s="767"/>
      <c r="I58" s="767"/>
      <c r="J58" s="767"/>
    </row>
    <row r="59" spans="1:16" s="360" customFormat="1" ht="20.100000000000001" customHeight="1">
      <c r="A59" s="767" t="s">
        <v>1219</v>
      </c>
      <c r="B59" s="767"/>
      <c r="C59" s="767"/>
      <c r="D59" s="767"/>
      <c r="E59" s="767"/>
      <c r="F59" s="767"/>
      <c r="G59" s="767"/>
      <c r="H59" s="767"/>
      <c r="I59" s="767"/>
      <c r="J59" s="767"/>
    </row>
    <row r="60" spans="1:16" s="360" customFormat="1" ht="20.100000000000001" customHeight="1">
      <c r="A60" s="767" t="str">
        <f>$A$4</f>
        <v>AS OF APRIL 30, 2020</v>
      </c>
      <c r="B60" s="767"/>
      <c r="C60" s="767"/>
      <c r="D60" s="767"/>
      <c r="E60" s="767"/>
      <c r="F60" s="767"/>
      <c r="G60" s="767"/>
      <c r="H60" s="767"/>
      <c r="I60" s="767"/>
      <c r="J60" s="767"/>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DATA:____BASE  PERIOD__X__FORECASTED  PERIOD</v>
      </c>
      <c r="B62" s="348"/>
      <c r="C62" s="68"/>
      <c r="D62" s="144"/>
      <c r="E62" s="144"/>
      <c r="F62" s="68"/>
      <c r="G62" s="74"/>
      <c r="H62" s="74"/>
      <c r="I62" s="74"/>
      <c r="J62" s="74" t="s">
        <v>1714</v>
      </c>
    </row>
    <row r="63" spans="1:16" s="360" customFormat="1" ht="20.100000000000001" customHeight="1">
      <c r="A63" s="67" t="str">
        <f>$A$7</f>
        <v>TYPE OF FILING: __X__ ORIGINAL  _____ UPDATED  _____ REVISED</v>
      </c>
      <c r="B63" s="349"/>
      <c r="C63" s="68"/>
      <c r="D63" s="144"/>
      <c r="E63" s="144"/>
      <c r="F63" s="68"/>
      <c r="G63" s="74"/>
      <c r="H63" s="74"/>
      <c r="I63" s="74"/>
      <c r="J63" s="74" t="s">
        <v>3404</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2090</v>
      </c>
      <c r="C69" s="355" t="s">
        <v>3014</v>
      </c>
      <c r="D69" s="145">
        <v>42491</v>
      </c>
      <c r="E69" s="146">
        <v>45291</v>
      </c>
      <c r="F69" s="149">
        <v>0.52142857142857146</v>
      </c>
      <c r="G69" s="355">
        <v>50955.5</v>
      </c>
      <c r="H69" s="355">
        <v>224633.44</v>
      </c>
      <c r="I69" s="359">
        <v>48903.86</v>
      </c>
      <c r="J69" s="353">
        <f t="shared" ref="J69:J112" si="5">IFERROR(I69/H69,0)</f>
        <v>0.21770516446705351</v>
      </c>
      <c r="M69" s="74">
        <f t="shared" si="1"/>
        <v>2800</v>
      </c>
      <c r="N69" s="146">
        <v>43951</v>
      </c>
      <c r="O69" s="74">
        <f t="shared" si="2"/>
        <v>1340</v>
      </c>
      <c r="P69" s="354">
        <f t="shared" si="3"/>
        <v>0.52142857142857146</v>
      </c>
    </row>
    <row r="70" spans="1:16" ht="18.95" customHeight="1">
      <c r="A70" s="349">
        <f t="shared" si="4"/>
        <v>46</v>
      </c>
      <c r="B70" s="358" t="s">
        <v>3015</v>
      </c>
      <c r="C70" s="355" t="s">
        <v>3016</v>
      </c>
      <c r="D70" s="145">
        <v>43831</v>
      </c>
      <c r="E70" s="146">
        <v>44012</v>
      </c>
      <c r="F70" s="149">
        <v>0.66298342541436461</v>
      </c>
      <c r="G70" s="355">
        <v>173664.23</v>
      </c>
      <c r="H70" s="355">
        <v>176062.45</v>
      </c>
      <c r="I70" s="359">
        <v>176062.45</v>
      </c>
      <c r="J70" s="353">
        <f t="shared" si="5"/>
        <v>1</v>
      </c>
      <c r="M70" s="74">
        <f t="shared" si="1"/>
        <v>181</v>
      </c>
      <c r="N70" s="146">
        <v>43951</v>
      </c>
      <c r="O70" s="74">
        <f t="shared" si="2"/>
        <v>61</v>
      </c>
      <c r="P70" s="354">
        <f t="shared" si="3"/>
        <v>0.66298342541436461</v>
      </c>
    </row>
    <row r="71" spans="1:16" ht="18.95" customHeight="1">
      <c r="A71" s="349">
        <f t="shared" si="4"/>
        <v>47</v>
      </c>
      <c r="B71" s="358" t="s">
        <v>3017</v>
      </c>
      <c r="C71" s="355" t="s">
        <v>3018</v>
      </c>
      <c r="D71" s="145">
        <v>43646</v>
      </c>
      <c r="E71" s="146">
        <v>44347</v>
      </c>
      <c r="F71" s="149">
        <v>0.43509272467902993</v>
      </c>
      <c r="G71" s="355">
        <v>3663000</v>
      </c>
      <c r="H71" s="355">
        <v>3939390</v>
      </c>
      <c r="I71" s="359">
        <v>287150</v>
      </c>
      <c r="J71" s="353">
        <f t="shared" si="5"/>
        <v>7.2891995968919043E-2</v>
      </c>
      <c r="M71" s="74">
        <f t="shared" si="1"/>
        <v>701</v>
      </c>
      <c r="N71" s="146">
        <v>43951</v>
      </c>
      <c r="O71" s="74">
        <f t="shared" si="2"/>
        <v>396</v>
      </c>
      <c r="P71" s="354">
        <f t="shared" si="3"/>
        <v>0.43509272467902993</v>
      </c>
    </row>
    <row r="72" spans="1:16" ht="18.95" customHeight="1">
      <c r="A72" s="349">
        <f t="shared" si="4"/>
        <v>48</v>
      </c>
      <c r="B72" s="358" t="s">
        <v>3019</v>
      </c>
      <c r="C72" s="355" t="s">
        <v>3020</v>
      </c>
      <c r="D72" s="145">
        <v>43466</v>
      </c>
      <c r="E72" s="146">
        <v>44012</v>
      </c>
      <c r="F72" s="149">
        <v>0.88827838827838823</v>
      </c>
      <c r="G72" s="355">
        <v>2836608</v>
      </c>
      <c r="H72" s="355">
        <v>2138029.2400000002</v>
      </c>
      <c r="I72" s="359">
        <v>2138029.2400000002</v>
      </c>
      <c r="J72" s="353">
        <f t="shared" si="5"/>
        <v>1</v>
      </c>
      <c r="M72" s="74">
        <f t="shared" si="1"/>
        <v>546</v>
      </c>
      <c r="N72" s="146">
        <v>43951</v>
      </c>
      <c r="O72" s="74">
        <f t="shared" si="2"/>
        <v>61</v>
      </c>
      <c r="P72" s="354">
        <f t="shared" si="3"/>
        <v>0.88827838827838823</v>
      </c>
    </row>
    <row r="73" spans="1:16" ht="18.95" customHeight="1">
      <c r="A73" s="349">
        <f t="shared" si="4"/>
        <v>49</v>
      </c>
      <c r="B73" s="358" t="s">
        <v>3021</v>
      </c>
      <c r="C73" s="355" t="s">
        <v>3022</v>
      </c>
      <c r="D73" s="145">
        <v>43831</v>
      </c>
      <c r="E73" s="146">
        <v>44043</v>
      </c>
      <c r="F73" s="149">
        <v>0.56603773584905659</v>
      </c>
      <c r="G73" s="355">
        <v>1390000</v>
      </c>
      <c r="H73" s="355">
        <v>209860.5</v>
      </c>
      <c r="I73" s="359">
        <v>100000</v>
      </c>
      <c r="J73" s="353">
        <f t="shared" si="5"/>
        <v>0.47650701299196369</v>
      </c>
      <c r="M73" s="74">
        <f t="shared" si="1"/>
        <v>212</v>
      </c>
      <c r="N73" s="146">
        <v>43951</v>
      </c>
      <c r="O73" s="74">
        <f t="shared" si="2"/>
        <v>92</v>
      </c>
      <c r="P73" s="354">
        <f t="shared" si="3"/>
        <v>0.56603773584905659</v>
      </c>
    </row>
    <row r="74" spans="1:16" ht="18.95" customHeight="1">
      <c r="A74" s="349">
        <f t="shared" si="4"/>
        <v>50</v>
      </c>
      <c r="B74" s="358" t="s">
        <v>3023</v>
      </c>
      <c r="C74" s="355" t="s">
        <v>3024</v>
      </c>
      <c r="D74" s="145">
        <v>43831</v>
      </c>
      <c r="E74" s="146">
        <v>43982</v>
      </c>
      <c r="F74" s="149">
        <v>0.79470198675496684</v>
      </c>
      <c r="G74" s="355">
        <v>171000</v>
      </c>
      <c r="H74" s="355">
        <v>178779.95</v>
      </c>
      <c r="I74" s="359">
        <v>178779.95</v>
      </c>
      <c r="J74" s="353">
        <f t="shared" si="5"/>
        <v>1</v>
      </c>
      <c r="M74" s="74">
        <f t="shared" si="1"/>
        <v>151</v>
      </c>
      <c r="N74" s="146">
        <v>43951</v>
      </c>
      <c r="O74" s="74">
        <f t="shared" si="2"/>
        <v>31</v>
      </c>
      <c r="P74" s="354">
        <f t="shared" si="3"/>
        <v>0.79470198675496684</v>
      </c>
    </row>
    <row r="75" spans="1:16" ht="18.95" customHeight="1">
      <c r="A75" s="349">
        <f t="shared" si="4"/>
        <v>51</v>
      </c>
      <c r="B75" s="358" t="s">
        <v>2361</v>
      </c>
      <c r="C75" s="355" t="s">
        <v>2362</v>
      </c>
      <c r="D75" s="145">
        <v>42856</v>
      </c>
      <c r="E75" s="146">
        <v>43769</v>
      </c>
      <c r="F75" s="149">
        <v>1.1993428258488499</v>
      </c>
      <c r="G75" s="355">
        <v>11000000</v>
      </c>
      <c r="H75" s="355">
        <v>20466998.399999999</v>
      </c>
      <c r="I75" s="359">
        <v>4300.6686684131773</v>
      </c>
      <c r="J75" s="353">
        <f t="shared" si="5"/>
        <v>2.1012698512807708E-4</v>
      </c>
      <c r="M75" s="74">
        <f t="shared" si="1"/>
        <v>913</v>
      </c>
      <c r="N75" s="146">
        <v>43951</v>
      </c>
      <c r="O75" s="74">
        <f t="shared" si="2"/>
        <v>-182</v>
      </c>
      <c r="P75" s="354">
        <f t="shared" si="3"/>
        <v>1.1993428258488499</v>
      </c>
    </row>
    <row r="76" spans="1:16" ht="18.95" customHeight="1">
      <c r="A76" s="349">
        <f t="shared" si="4"/>
        <v>52</v>
      </c>
      <c r="B76" s="358" t="s">
        <v>2348</v>
      </c>
      <c r="C76" s="355" t="s">
        <v>2349</v>
      </c>
      <c r="D76" s="145">
        <v>41947</v>
      </c>
      <c r="E76" s="146">
        <v>44561</v>
      </c>
      <c r="F76" s="149">
        <v>0.7666411629686305</v>
      </c>
      <c r="G76" s="355">
        <v>5400393.2599999998</v>
      </c>
      <c r="H76" s="355">
        <v>5606040.8600000003</v>
      </c>
      <c r="I76" s="359">
        <v>216545.86</v>
      </c>
      <c r="J76" s="353">
        <f t="shared" si="5"/>
        <v>3.8627235406914241E-2</v>
      </c>
      <c r="M76" s="74">
        <f t="shared" si="1"/>
        <v>2614</v>
      </c>
      <c r="N76" s="146">
        <v>43951</v>
      </c>
      <c r="O76" s="74">
        <f t="shared" si="2"/>
        <v>610</v>
      </c>
      <c r="P76" s="354">
        <f t="shared" si="3"/>
        <v>0.7666411629686305</v>
      </c>
    </row>
    <row r="77" spans="1:16" ht="18.95" customHeight="1">
      <c r="A77" s="349">
        <f t="shared" si="4"/>
        <v>53</v>
      </c>
      <c r="B77" s="358" t="s">
        <v>3025</v>
      </c>
      <c r="C77" s="355" t="s">
        <v>3026</v>
      </c>
      <c r="D77" s="145">
        <v>43831</v>
      </c>
      <c r="E77" s="146">
        <v>43982</v>
      </c>
      <c r="F77" s="149">
        <v>0.79470198675496684</v>
      </c>
      <c r="G77" s="355">
        <v>315000</v>
      </c>
      <c r="H77" s="355">
        <v>320229.08</v>
      </c>
      <c r="I77" s="359">
        <v>320229.08</v>
      </c>
      <c r="J77" s="353">
        <f t="shared" si="5"/>
        <v>1</v>
      </c>
      <c r="M77" s="74">
        <f t="shared" si="1"/>
        <v>151</v>
      </c>
      <c r="N77" s="146">
        <v>43951</v>
      </c>
      <c r="O77" s="74">
        <f t="shared" si="2"/>
        <v>31</v>
      </c>
      <c r="P77" s="354">
        <f t="shared" si="3"/>
        <v>0.79470198675496684</v>
      </c>
    </row>
    <row r="78" spans="1:16" ht="18.95" customHeight="1">
      <c r="A78" s="349">
        <f t="shared" si="4"/>
        <v>54</v>
      </c>
      <c r="B78" s="358" t="s">
        <v>3027</v>
      </c>
      <c r="C78" s="355" t="s">
        <v>3028</v>
      </c>
      <c r="D78" s="145">
        <v>43834</v>
      </c>
      <c r="E78" s="146">
        <v>43982</v>
      </c>
      <c r="F78" s="149">
        <v>0.79054054054054057</v>
      </c>
      <c r="G78" s="355">
        <v>2900000</v>
      </c>
      <c r="H78" s="355">
        <v>2920303.33</v>
      </c>
      <c r="I78" s="359">
        <v>2920303.33</v>
      </c>
      <c r="J78" s="353">
        <f t="shared" si="5"/>
        <v>1</v>
      </c>
      <c r="M78" s="74">
        <f t="shared" si="1"/>
        <v>148</v>
      </c>
      <c r="N78" s="146">
        <v>43951</v>
      </c>
      <c r="O78" s="74">
        <f t="shared" si="2"/>
        <v>31</v>
      </c>
      <c r="P78" s="354">
        <f t="shared" si="3"/>
        <v>0.79054054054054057</v>
      </c>
    </row>
    <row r="79" spans="1:16" ht="18.75" customHeight="1">
      <c r="A79" s="349">
        <f t="shared" si="4"/>
        <v>55</v>
      </c>
      <c r="B79" s="358" t="s">
        <v>3029</v>
      </c>
      <c r="C79" s="355" t="s">
        <v>3030</v>
      </c>
      <c r="D79" s="145">
        <v>43831</v>
      </c>
      <c r="E79" s="146">
        <v>44196</v>
      </c>
      <c r="F79" s="149">
        <v>0.32876712328767121</v>
      </c>
      <c r="G79" s="355">
        <v>127047.69</v>
      </c>
      <c r="H79" s="355">
        <v>137124.9</v>
      </c>
      <c r="I79" s="359">
        <v>137124.9</v>
      </c>
      <c r="J79" s="353">
        <f t="shared" si="5"/>
        <v>1</v>
      </c>
      <c r="M79" s="74">
        <f t="shared" si="1"/>
        <v>365</v>
      </c>
      <c r="N79" s="146">
        <v>43951</v>
      </c>
      <c r="O79" s="74">
        <f t="shared" si="2"/>
        <v>245</v>
      </c>
      <c r="P79" s="354">
        <f t="shared" si="3"/>
        <v>0.32876712328767121</v>
      </c>
    </row>
    <row r="80" spans="1:16" ht="18.75" customHeight="1">
      <c r="A80" s="349">
        <f t="shared" si="4"/>
        <v>56</v>
      </c>
      <c r="B80" s="358" t="s">
        <v>3031</v>
      </c>
      <c r="C80" s="355" t="s">
        <v>3032</v>
      </c>
      <c r="D80" s="145">
        <v>43466</v>
      </c>
      <c r="E80" s="146">
        <v>44196</v>
      </c>
      <c r="F80" s="149">
        <v>0.66438356164383561</v>
      </c>
      <c r="G80" s="355">
        <v>571714.61</v>
      </c>
      <c r="H80" s="355">
        <v>742275.5</v>
      </c>
      <c r="I80" s="359">
        <v>742275.5</v>
      </c>
      <c r="J80" s="353">
        <f t="shared" si="5"/>
        <v>1</v>
      </c>
      <c r="M80" s="74">
        <f t="shared" si="1"/>
        <v>730</v>
      </c>
      <c r="N80" s="146">
        <v>43951</v>
      </c>
      <c r="O80" s="74">
        <f t="shared" si="2"/>
        <v>245</v>
      </c>
      <c r="P80" s="354">
        <f t="shared" si="3"/>
        <v>0.66438356164383561</v>
      </c>
    </row>
    <row r="81" spans="1:16" ht="18.75" customHeight="1">
      <c r="A81" s="349">
        <f t="shared" si="4"/>
        <v>57</v>
      </c>
      <c r="B81" s="358" t="s">
        <v>3033</v>
      </c>
      <c r="C81" s="355" t="s">
        <v>3034</v>
      </c>
      <c r="D81" s="145">
        <v>42522</v>
      </c>
      <c r="E81" s="146">
        <v>44196</v>
      </c>
      <c r="F81" s="149">
        <v>0.85364396654719232</v>
      </c>
      <c r="G81" s="355">
        <v>321630.75</v>
      </c>
      <c r="H81" s="355">
        <v>320537.25</v>
      </c>
      <c r="I81" s="359">
        <v>320537.25</v>
      </c>
      <c r="J81" s="353">
        <f t="shared" si="5"/>
        <v>1</v>
      </c>
      <c r="M81" s="74">
        <f t="shared" si="1"/>
        <v>1674</v>
      </c>
      <c r="N81" s="146">
        <v>43951</v>
      </c>
      <c r="O81" s="74">
        <f t="shared" si="2"/>
        <v>245</v>
      </c>
      <c r="P81" s="354">
        <f t="shared" si="3"/>
        <v>0.85364396654719232</v>
      </c>
    </row>
    <row r="82" spans="1:16" ht="18.75" customHeight="1">
      <c r="A82" s="349">
        <f t="shared" si="4"/>
        <v>58</v>
      </c>
      <c r="B82" s="358" t="s">
        <v>3035</v>
      </c>
      <c r="C82" s="355" t="s">
        <v>3036</v>
      </c>
      <c r="D82" s="145">
        <v>43831</v>
      </c>
      <c r="E82" s="146">
        <v>43982</v>
      </c>
      <c r="F82" s="149">
        <v>0.79470198675496684</v>
      </c>
      <c r="G82" s="355">
        <v>400000</v>
      </c>
      <c r="H82" s="355">
        <v>351511.54</v>
      </c>
      <c r="I82" s="359">
        <v>106471.7</v>
      </c>
      <c r="J82" s="353">
        <f t="shared" si="5"/>
        <v>0.30289674131324396</v>
      </c>
      <c r="M82" s="74">
        <f t="shared" si="1"/>
        <v>151</v>
      </c>
      <c r="N82" s="146">
        <v>43951</v>
      </c>
      <c r="O82" s="74">
        <f t="shared" si="2"/>
        <v>31</v>
      </c>
      <c r="P82" s="354">
        <f t="shared" si="3"/>
        <v>0.79470198675496684</v>
      </c>
    </row>
    <row r="83" spans="1:16" ht="18.75" customHeight="1">
      <c r="A83" s="349">
        <f t="shared" si="4"/>
        <v>59</v>
      </c>
      <c r="B83" s="358" t="s">
        <v>3037</v>
      </c>
      <c r="C83" s="355" t="s">
        <v>3038</v>
      </c>
      <c r="D83" s="145">
        <v>43891</v>
      </c>
      <c r="E83" s="146">
        <v>43982</v>
      </c>
      <c r="F83" s="149">
        <v>0.65934065934065933</v>
      </c>
      <c r="G83" s="355">
        <v>150000</v>
      </c>
      <c r="H83" s="355">
        <v>157901.70000000001</v>
      </c>
      <c r="I83" s="359">
        <v>157901.70000000001</v>
      </c>
      <c r="J83" s="353">
        <f t="shared" si="5"/>
        <v>1</v>
      </c>
      <c r="M83" s="74">
        <f t="shared" si="1"/>
        <v>91</v>
      </c>
      <c r="N83" s="146">
        <v>43951</v>
      </c>
      <c r="O83" s="74">
        <f t="shared" si="2"/>
        <v>31</v>
      </c>
      <c r="P83" s="354">
        <f t="shared" si="3"/>
        <v>0.65934065934065933</v>
      </c>
    </row>
    <row r="84" spans="1:16" ht="18.75" customHeight="1">
      <c r="A84" s="349">
        <f t="shared" si="4"/>
        <v>60</v>
      </c>
      <c r="B84" s="358" t="s">
        <v>2765</v>
      </c>
      <c r="C84" s="355" t="s">
        <v>2766</v>
      </c>
      <c r="D84" s="145">
        <v>42736</v>
      </c>
      <c r="E84" s="146">
        <v>43373</v>
      </c>
      <c r="F84" s="149">
        <v>1.9073783359497645</v>
      </c>
      <c r="G84" s="355">
        <v>775000</v>
      </c>
      <c r="H84" s="355">
        <v>159139.21</v>
      </c>
      <c r="I84" s="359">
        <v>204.37052742269998</v>
      </c>
      <c r="J84" s="353">
        <f t="shared" si="5"/>
        <v>1.2842248457982164E-3</v>
      </c>
      <c r="M84" s="74">
        <f t="shared" si="1"/>
        <v>637</v>
      </c>
      <c r="N84" s="146">
        <v>43951</v>
      </c>
      <c r="O84" s="74">
        <f t="shared" si="2"/>
        <v>-578</v>
      </c>
      <c r="P84" s="354">
        <f t="shared" si="3"/>
        <v>1.9073783359497645</v>
      </c>
    </row>
    <row r="85" spans="1:16" ht="18.75" customHeight="1">
      <c r="A85" s="349">
        <f t="shared" si="4"/>
        <v>61</v>
      </c>
      <c r="B85" s="358" t="s">
        <v>3039</v>
      </c>
      <c r="C85" s="355" t="s">
        <v>3040</v>
      </c>
      <c r="D85" s="145">
        <v>43831</v>
      </c>
      <c r="E85" s="146">
        <v>44196</v>
      </c>
      <c r="F85" s="149">
        <v>0.32876712328767121</v>
      </c>
      <c r="G85" s="355">
        <v>1015542</v>
      </c>
      <c r="H85" s="355">
        <v>658798.27</v>
      </c>
      <c r="I85" s="359">
        <v>658798.27</v>
      </c>
      <c r="J85" s="353">
        <f t="shared" si="5"/>
        <v>1</v>
      </c>
      <c r="M85" s="74">
        <f t="shared" si="1"/>
        <v>365</v>
      </c>
      <c r="N85" s="146">
        <v>43951</v>
      </c>
      <c r="O85" s="74">
        <f t="shared" si="2"/>
        <v>245</v>
      </c>
      <c r="P85" s="354">
        <f t="shared" si="3"/>
        <v>0.32876712328767121</v>
      </c>
    </row>
    <row r="86" spans="1:16" ht="18.75" customHeight="1">
      <c r="A86" s="349">
        <f t="shared" si="4"/>
        <v>62</v>
      </c>
      <c r="B86" s="358" t="s">
        <v>3041</v>
      </c>
      <c r="C86" s="355" t="s">
        <v>3042</v>
      </c>
      <c r="D86" s="145">
        <v>43831</v>
      </c>
      <c r="E86" s="146">
        <v>44196</v>
      </c>
      <c r="F86" s="149">
        <v>0.32876712328767121</v>
      </c>
      <c r="G86" s="355">
        <v>141153.35</v>
      </c>
      <c r="H86" s="355">
        <v>140661.04999999999</v>
      </c>
      <c r="I86" s="359">
        <v>140661.04999999999</v>
      </c>
      <c r="J86" s="353">
        <f t="shared" si="5"/>
        <v>1</v>
      </c>
      <c r="M86" s="74">
        <f t="shared" si="1"/>
        <v>365</v>
      </c>
      <c r="N86" s="146">
        <v>43951</v>
      </c>
      <c r="O86" s="74">
        <f t="shared" si="2"/>
        <v>245</v>
      </c>
      <c r="P86" s="354">
        <f t="shared" si="3"/>
        <v>0.32876712328767121</v>
      </c>
    </row>
    <row r="87" spans="1:16" ht="18.75" customHeight="1">
      <c r="A87" s="349">
        <f t="shared" si="4"/>
        <v>63</v>
      </c>
      <c r="B87" s="358" t="s">
        <v>3043</v>
      </c>
      <c r="C87" s="355" t="s">
        <v>3044</v>
      </c>
      <c r="D87" s="145">
        <v>43466</v>
      </c>
      <c r="E87" s="146">
        <v>44196</v>
      </c>
      <c r="F87" s="149">
        <v>0.66438356164383561</v>
      </c>
      <c r="G87" s="355">
        <v>546750</v>
      </c>
      <c r="H87" s="355">
        <v>486040.88</v>
      </c>
      <c r="I87" s="359">
        <v>486040.88</v>
      </c>
      <c r="J87" s="353">
        <f t="shared" si="5"/>
        <v>1</v>
      </c>
      <c r="M87" s="74">
        <f t="shared" si="1"/>
        <v>730</v>
      </c>
      <c r="N87" s="146">
        <v>43951</v>
      </c>
      <c r="O87" s="74">
        <f t="shared" si="2"/>
        <v>245</v>
      </c>
      <c r="P87" s="354">
        <f t="shared" si="3"/>
        <v>0.66438356164383561</v>
      </c>
    </row>
    <row r="88" spans="1:16" ht="18.75" customHeight="1">
      <c r="A88" s="349">
        <f t="shared" si="4"/>
        <v>64</v>
      </c>
      <c r="B88" s="358" t="s">
        <v>3045</v>
      </c>
      <c r="C88" s="355" t="s">
        <v>3046</v>
      </c>
      <c r="D88" s="145">
        <v>43466</v>
      </c>
      <c r="E88" s="146">
        <v>44196</v>
      </c>
      <c r="F88" s="149">
        <v>0.66438356164383561</v>
      </c>
      <c r="G88" s="355">
        <v>1831605.24</v>
      </c>
      <c r="H88" s="355">
        <v>2371070.71</v>
      </c>
      <c r="I88" s="359">
        <v>2145350.71</v>
      </c>
      <c r="J88" s="353">
        <f t="shared" si="5"/>
        <v>0.90480250165124765</v>
      </c>
      <c r="M88" s="74">
        <f t="shared" si="1"/>
        <v>730</v>
      </c>
      <c r="N88" s="146">
        <v>43951</v>
      </c>
      <c r="O88" s="74">
        <f t="shared" si="2"/>
        <v>245</v>
      </c>
      <c r="P88" s="354">
        <f t="shared" si="3"/>
        <v>0.66438356164383561</v>
      </c>
    </row>
    <row r="89" spans="1:16" ht="18.75" customHeight="1">
      <c r="A89" s="349">
        <f t="shared" si="4"/>
        <v>65</v>
      </c>
      <c r="B89" s="358" t="s">
        <v>3047</v>
      </c>
      <c r="C89" s="355" t="s">
        <v>3048</v>
      </c>
      <c r="D89" s="145">
        <v>43831</v>
      </c>
      <c r="E89" s="146">
        <v>45657</v>
      </c>
      <c r="F89" s="149">
        <v>6.5717415115005479E-2</v>
      </c>
      <c r="G89" s="355">
        <v>160975.90000000002</v>
      </c>
      <c r="H89" s="355">
        <v>160975.90000000002</v>
      </c>
      <c r="I89" s="359">
        <v>78108.800000000003</v>
      </c>
      <c r="J89" s="353">
        <f t="shared" si="5"/>
        <v>0.48522045846614303</v>
      </c>
      <c r="M89" s="74">
        <f t="shared" ref="M89:M164" si="6">E89-D89</f>
        <v>1826</v>
      </c>
      <c r="N89" s="146">
        <v>43951</v>
      </c>
      <c r="O89" s="74">
        <f t="shared" ref="O89:O164" si="7">E89-N89</f>
        <v>1706</v>
      </c>
      <c r="P89" s="354">
        <f t="shared" ref="P89:P164" si="8">(M89-O89)/M89</f>
        <v>6.5717415115005479E-2</v>
      </c>
    </row>
    <row r="90" spans="1:16" ht="18.75" customHeight="1">
      <c r="A90" s="349">
        <f t="shared" ref="A90:A165" si="9">A89+1</f>
        <v>66</v>
      </c>
      <c r="B90" s="358" t="s">
        <v>3049</v>
      </c>
      <c r="C90" s="355" t="s">
        <v>3050</v>
      </c>
      <c r="D90" s="145">
        <v>43831</v>
      </c>
      <c r="E90" s="146">
        <v>44012</v>
      </c>
      <c r="F90" s="149">
        <v>0.66298342541436461</v>
      </c>
      <c r="G90" s="355">
        <v>412218.38999999996</v>
      </c>
      <c r="H90" s="355">
        <v>410866.71</v>
      </c>
      <c r="I90" s="359">
        <v>44251.6</v>
      </c>
      <c r="J90" s="353">
        <f t="shared" si="5"/>
        <v>0.1077030553290628</v>
      </c>
      <c r="M90" s="74">
        <f t="shared" si="6"/>
        <v>181</v>
      </c>
      <c r="N90" s="146">
        <v>43951</v>
      </c>
      <c r="O90" s="74">
        <f t="shared" si="7"/>
        <v>61</v>
      </c>
      <c r="P90" s="354">
        <f t="shared" si="8"/>
        <v>0.66298342541436461</v>
      </c>
    </row>
    <row r="91" spans="1:16" ht="18.75" customHeight="1">
      <c r="A91" s="349">
        <f t="shared" si="9"/>
        <v>67</v>
      </c>
      <c r="B91" s="358" t="s">
        <v>3051</v>
      </c>
      <c r="C91" s="355" t="s">
        <v>3052</v>
      </c>
      <c r="D91" s="145">
        <v>43831</v>
      </c>
      <c r="E91" s="146">
        <v>44012</v>
      </c>
      <c r="F91" s="149">
        <v>0.66298342541436461</v>
      </c>
      <c r="G91" s="355">
        <v>846886.37</v>
      </c>
      <c r="H91" s="355">
        <v>844109.44</v>
      </c>
      <c r="I91" s="359">
        <v>90938.6</v>
      </c>
      <c r="J91" s="353">
        <f t="shared" si="5"/>
        <v>0.10773318682468473</v>
      </c>
      <c r="M91" s="74">
        <f t="shared" si="6"/>
        <v>181</v>
      </c>
      <c r="N91" s="146">
        <v>43951</v>
      </c>
      <c r="O91" s="74">
        <f t="shared" si="7"/>
        <v>61</v>
      </c>
      <c r="P91" s="354">
        <f t="shared" si="8"/>
        <v>0.66298342541436461</v>
      </c>
    </row>
    <row r="92" spans="1:16" ht="18.75" customHeight="1">
      <c r="A92" s="349">
        <f t="shared" si="9"/>
        <v>68</v>
      </c>
      <c r="B92" s="358" t="s">
        <v>3053</v>
      </c>
      <c r="C92" s="355" t="s">
        <v>3054</v>
      </c>
      <c r="D92" s="145">
        <v>43831</v>
      </c>
      <c r="E92" s="146">
        <v>43982</v>
      </c>
      <c r="F92" s="149">
        <v>0.79470198675496684</v>
      </c>
      <c r="G92" s="355">
        <v>178021.26</v>
      </c>
      <c r="H92" s="355">
        <v>249596.43</v>
      </c>
      <c r="I92" s="359">
        <v>97750.53</v>
      </c>
      <c r="J92" s="353">
        <f t="shared" si="5"/>
        <v>0.39163432746213556</v>
      </c>
      <c r="M92" s="74">
        <f t="shared" si="6"/>
        <v>151</v>
      </c>
      <c r="N92" s="146">
        <v>43951</v>
      </c>
      <c r="O92" s="74">
        <f t="shared" si="7"/>
        <v>31</v>
      </c>
      <c r="P92" s="354">
        <f t="shared" si="8"/>
        <v>0.79470198675496684</v>
      </c>
    </row>
    <row r="93" spans="1:16" ht="18.75" customHeight="1">
      <c r="A93" s="349">
        <f t="shared" si="9"/>
        <v>69</v>
      </c>
      <c r="B93" s="358" t="s">
        <v>3055</v>
      </c>
      <c r="C93" s="355" t="s">
        <v>3056</v>
      </c>
      <c r="D93" s="145">
        <v>43466</v>
      </c>
      <c r="E93" s="146">
        <v>43982</v>
      </c>
      <c r="F93" s="149">
        <v>0.93992248062015504</v>
      </c>
      <c r="G93" s="355">
        <v>548443.64</v>
      </c>
      <c r="H93" s="355">
        <v>707305</v>
      </c>
      <c r="I93" s="359">
        <v>707305</v>
      </c>
      <c r="J93" s="353">
        <f t="shared" si="5"/>
        <v>1</v>
      </c>
      <c r="M93" s="74">
        <f t="shared" si="6"/>
        <v>516</v>
      </c>
      <c r="N93" s="146">
        <v>43951</v>
      </c>
      <c r="O93" s="74">
        <f t="shared" si="7"/>
        <v>31</v>
      </c>
      <c r="P93" s="354">
        <f t="shared" si="8"/>
        <v>0.93992248062015504</v>
      </c>
    </row>
    <row r="94" spans="1:16" ht="18.75" customHeight="1">
      <c r="A94" s="349">
        <f t="shared" si="9"/>
        <v>70</v>
      </c>
      <c r="B94" s="358" t="s">
        <v>3057</v>
      </c>
      <c r="C94" s="355" t="s">
        <v>3058</v>
      </c>
      <c r="D94" s="145">
        <v>43466</v>
      </c>
      <c r="E94" s="146">
        <v>43982</v>
      </c>
      <c r="F94" s="149">
        <v>0.93992248062015504</v>
      </c>
      <c r="G94" s="355">
        <v>4570363.7799999993</v>
      </c>
      <c r="H94" s="355">
        <v>4560239.71</v>
      </c>
      <c r="I94" s="359">
        <v>4560239.71</v>
      </c>
      <c r="J94" s="353">
        <f t="shared" si="5"/>
        <v>1</v>
      </c>
      <c r="M94" s="74">
        <f t="shared" si="6"/>
        <v>516</v>
      </c>
      <c r="N94" s="146">
        <v>43951</v>
      </c>
      <c r="O94" s="74">
        <f t="shared" si="7"/>
        <v>31</v>
      </c>
      <c r="P94" s="354">
        <f t="shared" si="8"/>
        <v>0.93992248062015504</v>
      </c>
    </row>
    <row r="95" spans="1:16" ht="18.75" customHeight="1">
      <c r="A95" s="349">
        <f t="shared" si="9"/>
        <v>71</v>
      </c>
      <c r="B95" s="358" t="s">
        <v>3059</v>
      </c>
      <c r="C95" s="355" t="s">
        <v>3060</v>
      </c>
      <c r="D95" s="145">
        <v>43466</v>
      </c>
      <c r="E95" s="146">
        <v>44074</v>
      </c>
      <c r="F95" s="149">
        <v>0.79769736842105265</v>
      </c>
      <c r="G95" s="355">
        <v>437935.82</v>
      </c>
      <c r="H95" s="355">
        <v>274902.83999999997</v>
      </c>
      <c r="I95" s="359">
        <v>133179.98000000001</v>
      </c>
      <c r="J95" s="353">
        <f t="shared" si="5"/>
        <v>0.48446200119285793</v>
      </c>
      <c r="M95" s="74">
        <f t="shared" si="6"/>
        <v>608</v>
      </c>
      <c r="N95" s="146">
        <v>43951</v>
      </c>
      <c r="O95" s="74">
        <f t="shared" si="7"/>
        <v>123</v>
      </c>
      <c r="P95" s="354">
        <f t="shared" si="8"/>
        <v>0.79769736842105265</v>
      </c>
    </row>
    <row r="96" spans="1:16" ht="18.75" customHeight="1">
      <c r="A96" s="349">
        <f t="shared" si="9"/>
        <v>72</v>
      </c>
      <c r="B96" s="358" t="s">
        <v>2772</v>
      </c>
      <c r="C96" s="355" t="s">
        <v>2773</v>
      </c>
      <c r="D96" s="145">
        <v>43101</v>
      </c>
      <c r="E96" s="146">
        <v>47118</v>
      </c>
      <c r="F96" s="149">
        <v>0.21160069703759024</v>
      </c>
      <c r="G96" s="355">
        <v>102166.25</v>
      </c>
      <c r="H96" s="355">
        <v>213479.72999999998</v>
      </c>
      <c r="I96" s="359">
        <v>101961.69</v>
      </c>
      <c r="J96" s="353">
        <f t="shared" si="5"/>
        <v>0.477617664215708</v>
      </c>
      <c r="M96" s="74">
        <f t="shared" si="6"/>
        <v>4017</v>
      </c>
      <c r="N96" s="146">
        <v>43951</v>
      </c>
      <c r="O96" s="74">
        <f t="shared" si="7"/>
        <v>3167</v>
      </c>
      <c r="P96" s="354">
        <f t="shared" si="8"/>
        <v>0.21160069703759024</v>
      </c>
    </row>
    <row r="97" spans="1:16" ht="18.75" customHeight="1">
      <c r="A97" s="349">
        <f t="shared" si="9"/>
        <v>73</v>
      </c>
      <c r="B97" s="358" t="s">
        <v>3061</v>
      </c>
      <c r="C97" s="355" t="s">
        <v>3062</v>
      </c>
      <c r="D97" s="145">
        <v>43466</v>
      </c>
      <c r="E97" s="146">
        <v>44196</v>
      </c>
      <c r="F97" s="149">
        <v>0.66438356164383561</v>
      </c>
      <c r="G97" s="355">
        <v>865684.8</v>
      </c>
      <c r="H97" s="355">
        <v>1948550.4</v>
      </c>
      <c r="I97" s="359">
        <v>783912.95999999996</v>
      </c>
      <c r="J97" s="353">
        <f t="shared" si="5"/>
        <v>0.40230571403233911</v>
      </c>
      <c r="M97" s="74">
        <f t="shared" si="6"/>
        <v>730</v>
      </c>
      <c r="N97" s="146">
        <v>43951</v>
      </c>
      <c r="O97" s="74">
        <f t="shared" si="7"/>
        <v>245</v>
      </c>
      <c r="P97" s="354">
        <f t="shared" si="8"/>
        <v>0.66438356164383561</v>
      </c>
    </row>
    <row r="98" spans="1:16" ht="18.75" customHeight="1">
      <c r="A98" s="349">
        <f t="shared" si="9"/>
        <v>74</v>
      </c>
      <c r="B98" s="358" t="s">
        <v>3063</v>
      </c>
      <c r="C98" s="355" t="s">
        <v>3064</v>
      </c>
      <c r="D98" s="145">
        <v>43831</v>
      </c>
      <c r="E98" s="146">
        <v>44196</v>
      </c>
      <c r="F98" s="149">
        <v>0.32876712328767121</v>
      </c>
      <c r="G98" s="355">
        <v>1385674.94</v>
      </c>
      <c r="H98" s="355">
        <v>1365438.99</v>
      </c>
      <c r="I98" s="359">
        <v>1365438.99</v>
      </c>
      <c r="J98" s="353">
        <f t="shared" si="5"/>
        <v>1</v>
      </c>
      <c r="M98" s="74">
        <f t="shared" si="6"/>
        <v>365</v>
      </c>
      <c r="N98" s="146">
        <v>43951</v>
      </c>
      <c r="O98" s="74">
        <f t="shared" si="7"/>
        <v>245</v>
      </c>
      <c r="P98" s="354">
        <f t="shared" si="8"/>
        <v>0.32876712328767121</v>
      </c>
    </row>
    <row r="99" spans="1:16" ht="18.75" customHeight="1">
      <c r="A99" s="349">
        <f t="shared" si="9"/>
        <v>75</v>
      </c>
      <c r="B99" s="358" t="s">
        <v>3065</v>
      </c>
      <c r="C99" s="355" t="s">
        <v>3066</v>
      </c>
      <c r="D99" s="145">
        <v>43831</v>
      </c>
      <c r="E99" s="146">
        <v>44196</v>
      </c>
      <c r="F99" s="149">
        <v>0.32876712328767121</v>
      </c>
      <c r="G99" s="355">
        <v>346092.75</v>
      </c>
      <c r="H99" s="355">
        <v>475194.1</v>
      </c>
      <c r="I99" s="359">
        <v>475194.1</v>
      </c>
      <c r="J99" s="353">
        <f t="shared" si="5"/>
        <v>1</v>
      </c>
      <c r="M99" s="74">
        <f t="shared" si="6"/>
        <v>365</v>
      </c>
      <c r="N99" s="146">
        <v>43951</v>
      </c>
      <c r="O99" s="74">
        <f t="shared" si="7"/>
        <v>245</v>
      </c>
      <c r="P99" s="354">
        <f t="shared" si="8"/>
        <v>0.32876712328767121</v>
      </c>
    </row>
    <row r="100" spans="1:16" ht="18.75" customHeight="1">
      <c r="A100" s="349">
        <f t="shared" si="9"/>
        <v>76</v>
      </c>
      <c r="B100" s="358" t="s">
        <v>3067</v>
      </c>
      <c r="C100" s="355" t="s">
        <v>3068</v>
      </c>
      <c r="D100" s="145">
        <v>43831</v>
      </c>
      <c r="E100" s="146">
        <v>44196</v>
      </c>
      <c r="F100" s="149">
        <v>0.32876712328767121</v>
      </c>
      <c r="G100" s="355">
        <v>201943.72999999998</v>
      </c>
      <c r="H100" s="355">
        <v>199205.42</v>
      </c>
      <c r="I100" s="359">
        <v>199205.42</v>
      </c>
      <c r="J100" s="353">
        <f t="shared" si="5"/>
        <v>1</v>
      </c>
      <c r="M100" s="74">
        <f t="shared" si="6"/>
        <v>365</v>
      </c>
      <c r="N100" s="146">
        <v>43951</v>
      </c>
      <c r="O100" s="74">
        <f t="shared" si="7"/>
        <v>245</v>
      </c>
      <c r="P100" s="354">
        <f t="shared" si="8"/>
        <v>0.32876712328767121</v>
      </c>
    </row>
    <row r="101" spans="1:16" ht="18.75" customHeight="1">
      <c r="A101" s="349">
        <f t="shared" si="9"/>
        <v>77</v>
      </c>
      <c r="B101" s="358" t="s">
        <v>3069</v>
      </c>
      <c r="C101" s="355" t="s">
        <v>3070</v>
      </c>
      <c r="D101" s="145">
        <v>43831</v>
      </c>
      <c r="E101" s="146">
        <v>44377</v>
      </c>
      <c r="F101" s="149">
        <v>0.21978021978021978</v>
      </c>
      <c r="G101" s="355">
        <v>4407260</v>
      </c>
      <c r="H101" s="355">
        <v>4407260</v>
      </c>
      <c r="I101" s="359">
        <v>169290</v>
      </c>
      <c r="J101" s="353">
        <f t="shared" si="5"/>
        <v>3.8411620825637698E-2</v>
      </c>
      <c r="M101" s="74">
        <f t="shared" si="6"/>
        <v>546</v>
      </c>
      <c r="N101" s="146">
        <v>43951</v>
      </c>
      <c r="O101" s="74">
        <f t="shared" si="7"/>
        <v>426</v>
      </c>
      <c r="P101" s="354">
        <f t="shared" si="8"/>
        <v>0.21978021978021978</v>
      </c>
    </row>
    <row r="102" spans="1:16" ht="18.75" customHeight="1">
      <c r="A102" s="349">
        <f t="shared" si="9"/>
        <v>78</v>
      </c>
      <c r="B102" s="358" t="s">
        <v>3071</v>
      </c>
      <c r="C102" s="355" t="s">
        <v>3072</v>
      </c>
      <c r="D102" s="145">
        <v>43466</v>
      </c>
      <c r="E102" s="146">
        <v>44012</v>
      </c>
      <c r="F102" s="149">
        <v>0.88827838827838823</v>
      </c>
      <c r="G102" s="355">
        <v>2394262.9900000002</v>
      </c>
      <c r="H102" s="355">
        <v>2394262.9900000002</v>
      </c>
      <c r="I102" s="359">
        <v>1894002.16</v>
      </c>
      <c r="J102" s="353">
        <f t="shared" si="5"/>
        <v>0.79105852945586386</v>
      </c>
      <c r="M102" s="74">
        <f t="shared" si="6"/>
        <v>546</v>
      </c>
      <c r="N102" s="146">
        <v>43951</v>
      </c>
      <c r="O102" s="74">
        <f t="shared" si="7"/>
        <v>61</v>
      </c>
      <c r="P102" s="354">
        <f t="shared" si="8"/>
        <v>0.88827838827838823</v>
      </c>
    </row>
    <row r="103" spans="1:16" ht="18.75" customHeight="1">
      <c r="A103" s="349">
        <f t="shared" si="9"/>
        <v>79</v>
      </c>
      <c r="B103" s="358" t="s">
        <v>3073</v>
      </c>
      <c r="C103" s="355" t="s">
        <v>3074</v>
      </c>
      <c r="D103" s="145">
        <v>43831</v>
      </c>
      <c r="E103" s="146">
        <v>44196</v>
      </c>
      <c r="F103" s="149">
        <v>0.32876712328767121</v>
      </c>
      <c r="G103" s="355">
        <v>126718.43</v>
      </c>
      <c r="H103" s="355">
        <v>126718.43</v>
      </c>
      <c r="I103" s="359">
        <v>126718.43</v>
      </c>
      <c r="J103" s="353">
        <f t="shared" si="5"/>
        <v>1</v>
      </c>
      <c r="M103" s="74">
        <f t="shared" si="6"/>
        <v>365</v>
      </c>
      <c r="N103" s="146">
        <v>43951</v>
      </c>
      <c r="O103" s="74">
        <f t="shared" si="7"/>
        <v>245</v>
      </c>
      <c r="P103" s="354">
        <f t="shared" si="8"/>
        <v>0.32876712328767121</v>
      </c>
    </row>
    <row r="104" spans="1:16" ht="18.75" customHeight="1">
      <c r="A104" s="349">
        <f t="shared" si="9"/>
        <v>80</v>
      </c>
      <c r="B104" s="358" t="s">
        <v>3075</v>
      </c>
      <c r="C104" s="355" t="s">
        <v>3076</v>
      </c>
      <c r="D104" s="145">
        <v>43831</v>
      </c>
      <c r="E104" s="146">
        <v>44926</v>
      </c>
      <c r="F104" s="149">
        <v>0.1095890410958904</v>
      </c>
      <c r="G104" s="355">
        <v>374151.32999999996</v>
      </c>
      <c r="H104" s="355">
        <v>374151.32999999996</v>
      </c>
      <c r="I104" s="359">
        <v>184311</v>
      </c>
      <c r="J104" s="353">
        <f t="shared" si="5"/>
        <v>0.49261083743842371</v>
      </c>
      <c r="M104" s="74">
        <f t="shared" si="6"/>
        <v>1095</v>
      </c>
      <c r="N104" s="146">
        <v>43951</v>
      </c>
      <c r="O104" s="74">
        <f t="shared" si="7"/>
        <v>975</v>
      </c>
      <c r="P104" s="354">
        <f t="shared" si="8"/>
        <v>0.1095890410958904</v>
      </c>
    </row>
    <row r="105" spans="1:16" ht="18.75" customHeight="1">
      <c r="A105" s="349">
        <f t="shared" si="9"/>
        <v>81</v>
      </c>
      <c r="B105" s="358" t="s">
        <v>3077</v>
      </c>
      <c r="C105" s="355" t="s">
        <v>3078</v>
      </c>
      <c r="D105" s="145">
        <v>43831</v>
      </c>
      <c r="E105" s="146">
        <v>47118</v>
      </c>
      <c r="F105" s="149">
        <v>3.6507453605111047E-2</v>
      </c>
      <c r="G105" s="355">
        <v>176162.32</v>
      </c>
      <c r="H105" s="355">
        <v>176162.32</v>
      </c>
      <c r="I105" s="359">
        <v>85349.96</v>
      </c>
      <c r="J105" s="353">
        <f t="shared" si="5"/>
        <v>0.48449611699028489</v>
      </c>
      <c r="M105" s="74">
        <f t="shared" si="6"/>
        <v>3287</v>
      </c>
      <c r="N105" s="146">
        <v>43951</v>
      </c>
      <c r="O105" s="74">
        <f t="shared" si="7"/>
        <v>3167</v>
      </c>
      <c r="P105" s="354">
        <f t="shared" si="8"/>
        <v>3.6507453605111047E-2</v>
      </c>
    </row>
    <row r="106" spans="1:16" ht="18.75" customHeight="1">
      <c r="A106" s="349">
        <f t="shared" si="9"/>
        <v>82</v>
      </c>
      <c r="B106" s="358" t="s">
        <v>3079</v>
      </c>
      <c r="C106" s="355" t="s">
        <v>3080</v>
      </c>
      <c r="D106" s="145">
        <v>43466</v>
      </c>
      <c r="E106" s="146">
        <v>44196</v>
      </c>
      <c r="F106" s="149">
        <v>0.66438356164383561</v>
      </c>
      <c r="G106" s="355">
        <v>759046.95</v>
      </c>
      <c r="H106" s="355">
        <v>759046.95</v>
      </c>
      <c r="I106" s="359">
        <v>759046.95</v>
      </c>
      <c r="J106" s="353">
        <f t="shared" si="5"/>
        <v>1</v>
      </c>
      <c r="M106" s="74">
        <f t="shared" si="6"/>
        <v>730</v>
      </c>
      <c r="N106" s="146">
        <v>43951</v>
      </c>
      <c r="O106" s="74">
        <f t="shared" si="7"/>
        <v>245</v>
      </c>
      <c r="P106" s="354">
        <f t="shared" si="8"/>
        <v>0.66438356164383561</v>
      </c>
    </row>
    <row r="107" spans="1:16" ht="18.75" customHeight="1">
      <c r="A107" s="349">
        <f t="shared" si="9"/>
        <v>83</v>
      </c>
      <c r="B107" s="358" t="s">
        <v>3081</v>
      </c>
      <c r="C107" s="355" t="s">
        <v>3082</v>
      </c>
      <c r="D107" s="145">
        <v>43466</v>
      </c>
      <c r="E107" s="146">
        <v>44074</v>
      </c>
      <c r="F107" s="149">
        <v>0.79769736842105265</v>
      </c>
      <c r="G107" s="355">
        <v>9648545.7300000004</v>
      </c>
      <c r="H107" s="355">
        <v>10546505.199999999</v>
      </c>
      <c r="I107" s="359">
        <v>7509586.7999999998</v>
      </c>
      <c r="J107" s="353">
        <f t="shared" si="5"/>
        <v>0.71204504787045475</v>
      </c>
      <c r="M107" s="74">
        <f t="shared" si="6"/>
        <v>608</v>
      </c>
      <c r="N107" s="146">
        <v>43951</v>
      </c>
      <c r="O107" s="74">
        <f t="shared" si="7"/>
        <v>123</v>
      </c>
      <c r="P107" s="354">
        <f t="shared" si="8"/>
        <v>0.79769736842105265</v>
      </c>
    </row>
    <row r="108" spans="1:16" ht="18.75" customHeight="1">
      <c r="A108" s="349">
        <f t="shared" si="9"/>
        <v>84</v>
      </c>
      <c r="B108" s="358" t="s">
        <v>2368</v>
      </c>
      <c r="C108" s="355" t="s">
        <v>2369</v>
      </c>
      <c r="D108" s="145">
        <v>42675</v>
      </c>
      <c r="E108" s="146">
        <v>47118</v>
      </c>
      <c r="F108" s="149">
        <v>0.28719333783479634</v>
      </c>
      <c r="G108" s="355">
        <v>5000000</v>
      </c>
      <c r="H108" s="355">
        <v>2615874.4900000002</v>
      </c>
      <c r="I108" s="359">
        <v>615874.49</v>
      </c>
      <c r="J108" s="353">
        <f t="shared" si="5"/>
        <v>0.23543732405907591</v>
      </c>
      <c r="M108" s="74">
        <f t="shared" si="6"/>
        <v>4443</v>
      </c>
      <c r="N108" s="146">
        <v>43951</v>
      </c>
      <c r="O108" s="74">
        <f t="shared" si="7"/>
        <v>3167</v>
      </c>
      <c r="P108" s="354">
        <f t="shared" si="8"/>
        <v>0.28719333783479634</v>
      </c>
    </row>
    <row r="109" spans="1:16" ht="18.75" customHeight="1">
      <c r="A109" s="349">
        <f t="shared" si="9"/>
        <v>85</v>
      </c>
      <c r="B109" s="358" t="s">
        <v>2782</v>
      </c>
      <c r="C109" s="355" t="s">
        <v>2783</v>
      </c>
      <c r="D109" s="145">
        <v>42186</v>
      </c>
      <c r="E109" s="146">
        <v>45412</v>
      </c>
      <c r="F109" s="149">
        <v>0.54711717296962181</v>
      </c>
      <c r="G109" s="355">
        <v>60000000</v>
      </c>
      <c r="H109" s="355">
        <v>-36380.070000000007</v>
      </c>
      <c r="I109" s="359">
        <v>558379.76</v>
      </c>
      <c r="J109" s="353">
        <f t="shared" si="5"/>
        <v>-15.34850702596229</v>
      </c>
      <c r="M109" s="74">
        <f t="shared" si="6"/>
        <v>3226</v>
      </c>
      <c r="N109" s="146">
        <v>43951</v>
      </c>
      <c r="O109" s="74">
        <f t="shared" si="7"/>
        <v>1461</v>
      </c>
      <c r="P109" s="354">
        <f t="shared" si="8"/>
        <v>0.54711717296962181</v>
      </c>
    </row>
    <row r="110" spans="1:16" ht="18.75" customHeight="1">
      <c r="A110" s="349">
        <f t="shared" si="9"/>
        <v>86</v>
      </c>
      <c r="B110" s="358" t="s">
        <v>2784</v>
      </c>
      <c r="C110" s="355" t="s">
        <v>2785</v>
      </c>
      <c r="D110" s="145">
        <v>42186</v>
      </c>
      <c r="E110" s="146">
        <v>46022</v>
      </c>
      <c r="F110" s="149">
        <v>0.46011470281543276</v>
      </c>
      <c r="G110" s="355">
        <v>7200000</v>
      </c>
      <c r="H110" s="355">
        <v>-1346080.2599999998</v>
      </c>
      <c r="I110" s="359">
        <v>1824165.17</v>
      </c>
      <c r="J110" s="353">
        <f t="shared" si="5"/>
        <v>-1.3551682052004836</v>
      </c>
      <c r="M110" s="74">
        <f t="shared" si="6"/>
        <v>3836</v>
      </c>
      <c r="N110" s="146">
        <v>43951</v>
      </c>
      <c r="O110" s="74">
        <f t="shared" si="7"/>
        <v>2071</v>
      </c>
      <c r="P110" s="354">
        <f t="shared" si="8"/>
        <v>0.46011470281543276</v>
      </c>
    </row>
    <row r="111" spans="1:16" ht="18.75" customHeight="1">
      <c r="A111" s="349">
        <f t="shared" si="9"/>
        <v>87</v>
      </c>
      <c r="B111" s="358" t="s">
        <v>2786</v>
      </c>
      <c r="C111" s="355" t="s">
        <v>2787</v>
      </c>
      <c r="D111" s="145">
        <v>42458</v>
      </c>
      <c r="E111" s="146">
        <v>43830</v>
      </c>
      <c r="F111" s="149">
        <v>1.088192419825073</v>
      </c>
      <c r="G111" s="355">
        <v>28466808.599999998</v>
      </c>
      <c r="H111" s="355">
        <v>7514764.0099999998</v>
      </c>
      <c r="I111" s="359">
        <v>17350.363576643398</v>
      </c>
      <c r="J111" s="353">
        <f t="shared" si="5"/>
        <v>2.3088367849682348E-3</v>
      </c>
      <c r="M111" s="74">
        <f t="shared" si="6"/>
        <v>1372</v>
      </c>
      <c r="N111" s="146">
        <v>43951</v>
      </c>
      <c r="O111" s="74">
        <f t="shared" si="7"/>
        <v>-121</v>
      </c>
      <c r="P111" s="354">
        <f t="shared" si="8"/>
        <v>1.088192419825073</v>
      </c>
    </row>
    <row r="112" spans="1:16" ht="18.75" customHeight="1">
      <c r="A112" s="349">
        <f t="shared" si="9"/>
        <v>88</v>
      </c>
      <c r="B112" s="358" t="s">
        <v>2788</v>
      </c>
      <c r="C112" s="355" t="s">
        <v>2789</v>
      </c>
      <c r="D112" s="145">
        <v>42458</v>
      </c>
      <c r="E112" s="146">
        <v>44012</v>
      </c>
      <c r="F112" s="149">
        <v>0.96074646074646075</v>
      </c>
      <c r="G112" s="355">
        <v>19864569.939999998</v>
      </c>
      <c r="H112" s="355">
        <v>20377040.710000001</v>
      </c>
      <c r="I112" s="359">
        <v>10414.187462671878</v>
      </c>
      <c r="J112" s="353">
        <f t="shared" si="5"/>
        <v>5.1107457706364256E-4</v>
      </c>
      <c r="M112" s="74">
        <f t="shared" si="6"/>
        <v>1554</v>
      </c>
      <c r="N112" s="146">
        <v>43951</v>
      </c>
      <c r="O112" s="74">
        <f t="shared" si="7"/>
        <v>61</v>
      </c>
      <c r="P112" s="354">
        <f t="shared" si="8"/>
        <v>0.96074646074646075</v>
      </c>
    </row>
    <row r="113" spans="1:16" s="360" customFormat="1" ht="20.100000000000001" customHeight="1">
      <c r="A113" s="767" t="str">
        <f>$A$1</f>
        <v>KENTUCKY UTILITIES COMPANY</v>
      </c>
      <c r="B113" s="767"/>
      <c r="C113" s="767"/>
      <c r="D113" s="767"/>
      <c r="E113" s="767"/>
      <c r="F113" s="767"/>
      <c r="G113" s="767"/>
      <c r="H113" s="767"/>
      <c r="I113" s="767"/>
      <c r="J113" s="767"/>
    </row>
    <row r="114" spans="1:16" s="360" customFormat="1" ht="20.100000000000001" customHeight="1">
      <c r="A114" s="767" t="str">
        <f>$A$2</f>
        <v>CASE NO. 2018-00294</v>
      </c>
      <c r="B114" s="767"/>
      <c r="C114" s="767"/>
      <c r="D114" s="767"/>
      <c r="E114" s="767"/>
      <c r="F114" s="767"/>
      <c r="G114" s="767"/>
      <c r="H114" s="767"/>
      <c r="I114" s="767"/>
      <c r="J114" s="767"/>
    </row>
    <row r="115" spans="1:16" s="360" customFormat="1" ht="20.100000000000001" customHeight="1">
      <c r="A115" s="767" t="s">
        <v>1219</v>
      </c>
      <c r="B115" s="767"/>
      <c r="C115" s="767"/>
      <c r="D115" s="767"/>
      <c r="E115" s="767"/>
      <c r="F115" s="767"/>
      <c r="G115" s="767"/>
      <c r="H115" s="767"/>
      <c r="I115" s="767"/>
      <c r="J115" s="767"/>
    </row>
    <row r="116" spans="1:16" s="360" customFormat="1" ht="20.100000000000001" customHeight="1">
      <c r="A116" s="767" t="str">
        <f>$A$4</f>
        <v>AS OF APRIL 30, 2020</v>
      </c>
      <c r="B116" s="767"/>
      <c r="C116" s="767"/>
      <c r="D116" s="767"/>
      <c r="E116" s="767"/>
      <c r="F116" s="767"/>
      <c r="G116" s="767"/>
      <c r="H116" s="767"/>
      <c r="I116" s="767"/>
      <c r="J116" s="767"/>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DATA:____BASE  PERIOD__X__FORECASTED  PERIOD</v>
      </c>
      <c r="B118" s="348"/>
      <c r="C118" s="68"/>
      <c r="D118" s="144"/>
      <c r="E118" s="144"/>
      <c r="F118" s="68"/>
      <c r="G118" s="74"/>
      <c r="H118" s="74"/>
      <c r="I118" s="74"/>
      <c r="J118" s="74" t="s">
        <v>1714</v>
      </c>
    </row>
    <row r="119" spans="1:16" s="360" customFormat="1" ht="20.100000000000001" customHeight="1">
      <c r="A119" s="67" t="str">
        <f>$A$7</f>
        <v>TYPE OF FILING: __X__ ORIGINAL  _____ UPDATED  _____ REVISED</v>
      </c>
      <c r="B119" s="349"/>
      <c r="C119" s="68"/>
      <c r="D119" s="144"/>
      <c r="E119" s="144"/>
      <c r="F119" s="68"/>
      <c r="G119" s="74"/>
      <c r="H119" s="74"/>
      <c r="I119" s="74"/>
      <c r="J119" s="74" t="s">
        <v>3403</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75" customHeight="1">
      <c r="A125" s="349">
        <f>A112+1</f>
        <v>89</v>
      </c>
      <c r="B125" s="358" t="s">
        <v>2790</v>
      </c>
      <c r="C125" s="355" t="s">
        <v>2791</v>
      </c>
      <c r="D125" s="145">
        <v>42458</v>
      </c>
      <c r="E125" s="146">
        <v>46022</v>
      </c>
      <c r="F125" s="149">
        <v>0.41891133557800225</v>
      </c>
      <c r="G125" s="355">
        <v>35870036.200000003</v>
      </c>
      <c r="H125" s="355">
        <v>16366188.84</v>
      </c>
      <c r="I125" s="359">
        <v>18919.460820609424</v>
      </c>
      <c r="J125" s="353">
        <f t="shared" ref="J125:J168" si="10">IFERROR(I125/H125,0)</f>
        <v>1.1560089526994255E-3</v>
      </c>
      <c r="M125" s="74">
        <f t="shared" si="6"/>
        <v>3564</v>
      </c>
      <c r="N125" s="146">
        <v>43951</v>
      </c>
      <c r="O125" s="74">
        <f t="shared" si="7"/>
        <v>2071</v>
      </c>
      <c r="P125" s="354">
        <f t="shared" si="8"/>
        <v>0.41891133557800225</v>
      </c>
    </row>
    <row r="126" spans="1:16" ht="18.75" customHeight="1">
      <c r="A126" s="349">
        <f t="shared" si="9"/>
        <v>90</v>
      </c>
      <c r="B126" s="358" t="s">
        <v>2792</v>
      </c>
      <c r="C126" s="355" t="s">
        <v>2793</v>
      </c>
      <c r="D126" s="145">
        <v>42543</v>
      </c>
      <c r="E126" s="146">
        <v>43982</v>
      </c>
      <c r="F126" s="149">
        <v>0.97845726198749128</v>
      </c>
      <c r="G126" s="355">
        <v>69569801.929999992</v>
      </c>
      <c r="H126" s="355">
        <v>22850505.010000002</v>
      </c>
      <c r="I126" s="359">
        <v>5179.9874719593772</v>
      </c>
      <c r="J126" s="353">
        <f t="shared" si="10"/>
        <v>2.266902840743552E-4</v>
      </c>
      <c r="M126" s="74">
        <f t="shared" si="6"/>
        <v>1439</v>
      </c>
      <c r="N126" s="146">
        <v>43951</v>
      </c>
      <c r="O126" s="74">
        <f t="shared" si="7"/>
        <v>31</v>
      </c>
      <c r="P126" s="354">
        <f t="shared" si="8"/>
        <v>0.97845726198749128</v>
      </c>
    </row>
    <row r="127" spans="1:16" ht="18.75" customHeight="1">
      <c r="A127" s="349">
        <f t="shared" si="9"/>
        <v>91</v>
      </c>
      <c r="B127" s="358" t="s">
        <v>2794</v>
      </c>
      <c r="C127" s="355" t="s">
        <v>2795</v>
      </c>
      <c r="D127" s="145">
        <v>42543</v>
      </c>
      <c r="E127" s="146">
        <v>43830</v>
      </c>
      <c r="F127" s="149">
        <v>1.0940170940170941</v>
      </c>
      <c r="G127" s="355">
        <v>114666966.84</v>
      </c>
      <c r="H127" s="355">
        <v>97554185.799999997</v>
      </c>
      <c r="I127" s="359">
        <v>16044.080799695896</v>
      </c>
      <c r="J127" s="353">
        <f t="shared" si="10"/>
        <v>1.6446327410889934E-4</v>
      </c>
      <c r="M127" s="74">
        <f t="shared" si="6"/>
        <v>1287</v>
      </c>
      <c r="N127" s="146">
        <v>43951</v>
      </c>
      <c r="O127" s="74">
        <f t="shared" si="7"/>
        <v>-121</v>
      </c>
      <c r="P127" s="354">
        <f t="shared" si="8"/>
        <v>1.0940170940170941</v>
      </c>
    </row>
    <row r="128" spans="1:16" ht="18.75" customHeight="1">
      <c r="A128" s="349">
        <f t="shared" si="9"/>
        <v>92</v>
      </c>
      <c r="B128" s="358" t="s">
        <v>2796</v>
      </c>
      <c r="C128" s="355" t="s">
        <v>2797</v>
      </c>
      <c r="D128" s="145">
        <v>42543</v>
      </c>
      <c r="E128" s="146">
        <v>43830</v>
      </c>
      <c r="F128" s="149">
        <v>1.0940170940170941</v>
      </c>
      <c r="G128" s="355">
        <v>39271680.980000004</v>
      </c>
      <c r="H128" s="355">
        <v>24795138.43</v>
      </c>
      <c r="I128" s="359">
        <v>21126.950111985283</v>
      </c>
      <c r="J128" s="353">
        <f t="shared" si="10"/>
        <v>8.5206017992718597E-4</v>
      </c>
      <c r="M128" s="74">
        <f t="shared" si="6"/>
        <v>1287</v>
      </c>
      <c r="N128" s="146">
        <v>43951</v>
      </c>
      <c r="O128" s="74">
        <f t="shared" si="7"/>
        <v>-121</v>
      </c>
      <c r="P128" s="354">
        <f t="shared" si="8"/>
        <v>1.0940170940170941</v>
      </c>
    </row>
    <row r="129" spans="1:16" ht="18.75" customHeight="1">
      <c r="A129" s="349">
        <f t="shared" si="9"/>
        <v>93</v>
      </c>
      <c r="B129" s="358" t="s">
        <v>2800</v>
      </c>
      <c r="C129" s="355" t="s">
        <v>2801</v>
      </c>
      <c r="D129" s="145">
        <v>42558</v>
      </c>
      <c r="E129" s="146">
        <v>44377</v>
      </c>
      <c r="F129" s="149">
        <v>0.76580538757559102</v>
      </c>
      <c r="G129" s="355">
        <v>1133000</v>
      </c>
      <c r="H129" s="355">
        <v>36354569.850000001</v>
      </c>
      <c r="I129" s="359">
        <v>33272116.926876649</v>
      </c>
      <c r="J129" s="353">
        <f t="shared" si="10"/>
        <v>0.91521140434774384</v>
      </c>
      <c r="M129" s="74">
        <f t="shared" si="6"/>
        <v>1819</v>
      </c>
      <c r="N129" s="146">
        <v>43951</v>
      </c>
      <c r="O129" s="74">
        <f t="shared" si="7"/>
        <v>426</v>
      </c>
      <c r="P129" s="354">
        <f t="shared" si="8"/>
        <v>0.76580538757559102</v>
      </c>
    </row>
    <row r="130" spans="1:16" ht="18.75" customHeight="1">
      <c r="A130" s="349">
        <f t="shared" si="9"/>
        <v>94</v>
      </c>
      <c r="B130" s="358" t="s">
        <v>2806</v>
      </c>
      <c r="C130" s="355" t="s">
        <v>2807</v>
      </c>
      <c r="D130" s="145">
        <v>43220</v>
      </c>
      <c r="E130" s="146">
        <v>43343</v>
      </c>
      <c r="F130" s="149">
        <v>5.9430894308943092</v>
      </c>
      <c r="G130" s="355">
        <v>367148.65</v>
      </c>
      <c r="H130" s="355">
        <v>367148.65</v>
      </c>
      <c r="I130" s="359">
        <v>69.925696671300003</v>
      </c>
      <c r="J130" s="353">
        <f t="shared" si="10"/>
        <v>1.9045609093564691E-4</v>
      </c>
      <c r="M130" s="74">
        <f t="shared" si="6"/>
        <v>123</v>
      </c>
      <c r="N130" s="146">
        <v>43951</v>
      </c>
      <c r="O130" s="74">
        <f t="shared" si="7"/>
        <v>-608</v>
      </c>
      <c r="P130" s="354">
        <f t="shared" si="8"/>
        <v>5.9430894308943092</v>
      </c>
    </row>
    <row r="131" spans="1:16" ht="18.75" customHeight="1">
      <c r="A131" s="349">
        <f t="shared" si="9"/>
        <v>95</v>
      </c>
      <c r="B131" s="358" t="s">
        <v>3083</v>
      </c>
      <c r="C131" s="355" t="s">
        <v>3084</v>
      </c>
      <c r="D131" s="145">
        <v>43281</v>
      </c>
      <c r="E131" s="146">
        <v>45016</v>
      </c>
      <c r="F131" s="149">
        <v>0.3861671469740634</v>
      </c>
      <c r="G131" s="355">
        <v>0</v>
      </c>
      <c r="H131" s="355">
        <v>0</v>
      </c>
      <c r="I131" s="359">
        <v>350000</v>
      </c>
      <c r="J131" s="353">
        <f t="shared" si="10"/>
        <v>0</v>
      </c>
      <c r="M131" s="74">
        <f t="shared" si="6"/>
        <v>1735</v>
      </c>
      <c r="N131" s="146">
        <v>43951</v>
      </c>
      <c r="O131" s="74">
        <f t="shared" si="7"/>
        <v>1065</v>
      </c>
      <c r="P131" s="354">
        <f t="shared" si="8"/>
        <v>0.3861671469740634</v>
      </c>
    </row>
    <row r="132" spans="1:16" ht="18.75" customHeight="1">
      <c r="A132" s="349">
        <f t="shared" si="9"/>
        <v>96</v>
      </c>
      <c r="B132" s="358" t="s">
        <v>3085</v>
      </c>
      <c r="C132" s="355" t="s">
        <v>3086</v>
      </c>
      <c r="D132" s="145">
        <v>43281</v>
      </c>
      <c r="E132" s="146">
        <v>45016</v>
      </c>
      <c r="F132" s="149">
        <v>0.3861671469740634</v>
      </c>
      <c r="G132" s="355">
        <v>0</v>
      </c>
      <c r="H132" s="355">
        <v>0</v>
      </c>
      <c r="I132" s="359">
        <v>250000</v>
      </c>
      <c r="J132" s="353">
        <f t="shared" si="10"/>
        <v>0</v>
      </c>
      <c r="M132" s="74">
        <f t="shared" si="6"/>
        <v>1735</v>
      </c>
      <c r="N132" s="146">
        <v>43951</v>
      </c>
      <c r="O132" s="74">
        <f t="shared" si="7"/>
        <v>1065</v>
      </c>
      <c r="P132" s="354">
        <f t="shared" si="8"/>
        <v>0.3861671469740634</v>
      </c>
    </row>
    <row r="133" spans="1:16" ht="18.75" customHeight="1">
      <c r="A133" s="349">
        <f t="shared" si="9"/>
        <v>97</v>
      </c>
      <c r="B133" s="358" t="s">
        <v>3087</v>
      </c>
      <c r="C133" s="355" t="s">
        <v>3088</v>
      </c>
      <c r="D133" s="145">
        <v>43313</v>
      </c>
      <c r="E133" s="146">
        <v>44561</v>
      </c>
      <c r="F133" s="149">
        <v>0.51121794871794868</v>
      </c>
      <c r="G133" s="355">
        <v>5897715.2400000002</v>
      </c>
      <c r="H133" s="355">
        <v>7070553.9400000004</v>
      </c>
      <c r="I133" s="359">
        <v>963276.67</v>
      </c>
      <c r="J133" s="353">
        <f t="shared" si="10"/>
        <v>0.1362377938382576</v>
      </c>
      <c r="M133" s="74">
        <f t="shared" si="6"/>
        <v>1248</v>
      </c>
      <c r="N133" s="146">
        <v>43951</v>
      </c>
      <c r="O133" s="74">
        <f t="shared" si="7"/>
        <v>610</v>
      </c>
      <c r="P133" s="354">
        <f t="shared" si="8"/>
        <v>0.51121794871794868</v>
      </c>
    </row>
    <row r="134" spans="1:16" ht="18.75" customHeight="1">
      <c r="A134" s="349">
        <f t="shared" si="9"/>
        <v>98</v>
      </c>
      <c r="B134" s="358" t="s">
        <v>3089</v>
      </c>
      <c r="C134" s="355" t="s">
        <v>3090</v>
      </c>
      <c r="D134" s="145">
        <v>43831</v>
      </c>
      <c r="E134" s="146">
        <v>44561</v>
      </c>
      <c r="F134" s="149">
        <v>0.16438356164383561</v>
      </c>
      <c r="G134" s="355">
        <v>500000</v>
      </c>
      <c r="H134" s="355">
        <v>899673.89</v>
      </c>
      <c r="I134" s="359">
        <v>25017.7</v>
      </c>
      <c r="J134" s="353">
        <f t="shared" si="10"/>
        <v>2.7807520344955216E-2</v>
      </c>
      <c r="M134" s="74">
        <f t="shared" si="6"/>
        <v>730</v>
      </c>
      <c r="N134" s="146">
        <v>43951</v>
      </c>
      <c r="O134" s="74">
        <f t="shared" si="7"/>
        <v>610</v>
      </c>
      <c r="P134" s="354">
        <f t="shared" si="8"/>
        <v>0.16438356164383561</v>
      </c>
    </row>
    <row r="135" spans="1:16" ht="18.75" customHeight="1">
      <c r="A135" s="349">
        <f t="shared" si="9"/>
        <v>99</v>
      </c>
      <c r="B135" s="358" t="s">
        <v>3091</v>
      </c>
      <c r="C135" s="355" t="s">
        <v>3092</v>
      </c>
      <c r="D135" s="145">
        <v>43466</v>
      </c>
      <c r="E135" s="146">
        <v>44561</v>
      </c>
      <c r="F135" s="149">
        <v>0.44292237442922372</v>
      </c>
      <c r="G135" s="355">
        <v>34515000</v>
      </c>
      <c r="H135" s="355">
        <v>18839369.879999999</v>
      </c>
      <c r="I135" s="359">
        <v>3067071.83</v>
      </c>
      <c r="J135" s="353">
        <f t="shared" si="10"/>
        <v>0.16280118971792279</v>
      </c>
      <c r="M135" s="74">
        <f t="shared" si="6"/>
        <v>1095</v>
      </c>
      <c r="N135" s="146">
        <v>43951</v>
      </c>
      <c r="O135" s="74">
        <f t="shared" si="7"/>
        <v>610</v>
      </c>
      <c r="P135" s="354">
        <f t="shared" si="8"/>
        <v>0.44292237442922372</v>
      </c>
    </row>
    <row r="136" spans="1:16" ht="18.75" customHeight="1">
      <c r="A136" s="349">
        <f t="shared" si="9"/>
        <v>100</v>
      </c>
      <c r="B136" s="358" t="s">
        <v>3093</v>
      </c>
      <c r="C136" s="355" t="s">
        <v>3094</v>
      </c>
      <c r="D136" s="145">
        <v>43840</v>
      </c>
      <c r="E136" s="146">
        <v>44196</v>
      </c>
      <c r="F136" s="149">
        <v>0.31179775280898875</v>
      </c>
      <c r="G136" s="355">
        <v>82628</v>
      </c>
      <c r="H136" s="355">
        <v>91931.839999999997</v>
      </c>
      <c r="I136" s="359">
        <v>30643.949999999997</v>
      </c>
      <c r="J136" s="353">
        <f t="shared" si="10"/>
        <v>0.33333336959208038</v>
      </c>
      <c r="M136" s="74">
        <f t="shared" si="6"/>
        <v>356</v>
      </c>
      <c r="N136" s="146">
        <v>43951</v>
      </c>
      <c r="O136" s="74">
        <f t="shared" si="7"/>
        <v>245</v>
      </c>
      <c r="P136" s="354">
        <f t="shared" si="8"/>
        <v>0.31179775280898875</v>
      </c>
    </row>
    <row r="137" spans="1:16" ht="18.75" customHeight="1">
      <c r="A137" s="349">
        <f t="shared" si="9"/>
        <v>101</v>
      </c>
      <c r="B137" s="358" t="s">
        <v>2816</v>
      </c>
      <c r="C137" s="355" t="s">
        <v>2817</v>
      </c>
      <c r="D137" s="145">
        <v>42736</v>
      </c>
      <c r="E137" s="146">
        <v>44012</v>
      </c>
      <c r="F137" s="149">
        <v>0.95219435736677116</v>
      </c>
      <c r="G137" s="355">
        <v>1499925.46</v>
      </c>
      <c r="H137" s="355">
        <v>5185367.03</v>
      </c>
      <c r="I137" s="359">
        <v>4844318.8599999994</v>
      </c>
      <c r="J137" s="353">
        <f t="shared" si="10"/>
        <v>0.93422873096024583</v>
      </c>
      <c r="M137" s="74">
        <f t="shared" si="6"/>
        <v>1276</v>
      </c>
      <c r="N137" s="146">
        <v>43951</v>
      </c>
      <c r="O137" s="74">
        <f t="shared" si="7"/>
        <v>61</v>
      </c>
      <c r="P137" s="354">
        <f t="shared" si="8"/>
        <v>0.95219435736677116</v>
      </c>
    </row>
    <row r="138" spans="1:16" ht="18.75" customHeight="1">
      <c r="A138" s="349">
        <f t="shared" si="9"/>
        <v>102</v>
      </c>
      <c r="B138" s="358" t="s">
        <v>3095</v>
      </c>
      <c r="C138" s="355" t="s">
        <v>3096</v>
      </c>
      <c r="D138" s="145">
        <v>43862</v>
      </c>
      <c r="E138" s="146">
        <v>44012</v>
      </c>
      <c r="F138" s="149">
        <v>0.59333333333333338</v>
      </c>
      <c r="G138" s="355">
        <v>725031.38</v>
      </c>
      <c r="H138" s="355">
        <v>766476.52</v>
      </c>
      <c r="I138" s="359">
        <v>459886.04000000004</v>
      </c>
      <c r="J138" s="353">
        <f t="shared" si="10"/>
        <v>0.60000016699794012</v>
      </c>
      <c r="M138" s="74">
        <f t="shared" si="6"/>
        <v>150</v>
      </c>
      <c r="N138" s="146">
        <v>43951</v>
      </c>
      <c r="O138" s="74">
        <f t="shared" si="7"/>
        <v>61</v>
      </c>
      <c r="P138" s="354">
        <f t="shared" si="8"/>
        <v>0.59333333333333338</v>
      </c>
    </row>
    <row r="139" spans="1:16" ht="18.75" customHeight="1">
      <c r="A139" s="349">
        <f t="shared" si="9"/>
        <v>103</v>
      </c>
      <c r="B139" s="358" t="s">
        <v>3097</v>
      </c>
      <c r="C139" s="355" t="s">
        <v>3098</v>
      </c>
      <c r="D139" s="145">
        <v>43739</v>
      </c>
      <c r="E139" s="146">
        <v>44012</v>
      </c>
      <c r="F139" s="149">
        <v>0.77655677655677657</v>
      </c>
      <c r="G139" s="355">
        <v>4000000.46</v>
      </c>
      <c r="H139" s="355">
        <v>3749135.34</v>
      </c>
      <c r="I139" s="359">
        <v>2532716.14</v>
      </c>
      <c r="J139" s="353">
        <f t="shared" si="10"/>
        <v>0.6755467355307585</v>
      </c>
      <c r="M139" s="74">
        <f t="shared" si="6"/>
        <v>273</v>
      </c>
      <c r="N139" s="146">
        <v>43951</v>
      </c>
      <c r="O139" s="74">
        <f t="shared" si="7"/>
        <v>61</v>
      </c>
      <c r="P139" s="354">
        <f t="shared" si="8"/>
        <v>0.77655677655677657</v>
      </c>
    </row>
    <row r="140" spans="1:16" ht="18.75" customHeight="1">
      <c r="A140" s="349">
        <f t="shared" si="9"/>
        <v>104</v>
      </c>
      <c r="B140" s="358" t="s">
        <v>3099</v>
      </c>
      <c r="C140" s="355" t="s">
        <v>3100</v>
      </c>
      <c r="D140" s="145">
        <v>43466</v>
      </c>
      <c r="E140" s="146">
        <v>47118</v>
      </c>
      <c r="F140" s="149">
        <v>0.13280394304490689</v>
      </c>
      <c r="G140" s="355">
        <v>7.3600000021979213</v>
      </c>
      <c r="H140" s="355">
        <v>44523.869999999995</v>
      </c>
      <c r="I140" s="359">
        <v>18117.719999999998</v>
      </c>
      <c r="J140" s="353">
        <f t="shared" si="10"/>
        <v>0.40692150075903105</v>
      </c>
      <c r="M140" s="74">
        <f t="shared" si="6"/>
        <v>3652</v>
      </c>
      <c r="N140" s="146">
        <v>43951</v>
      </c>
      <c r="O140" s="74">
        <f t="shared" si="7"/>
        <v>3167</v>
      </c>
      <c r="P140" s="354">
        <f t="shared" si="8"/>
        <v>0.13280394304490689</v>
      </c>
    </row>
    <row r="141" spans="1:16" ht="18.75" customHeight="1">
      <c r="A141" s="349">
        <f t="shared" si="9"/>
        <v>105</v>
      </c>
      <c r="B141" s="358" t="s">
        <v>3101</v>
      </c>
      <c r="C141" s="355" t="s">
        <v>3102</v>
      </c>
      <c r="D141" s="145">
        <v>43922</v>
      </c>
      <c r="E141" s="146">
        <v>44012</v>
      </c>
      <c r="F141" s="149">
        <v>0.32222222222222224</v>
      </c>
      <c r="G141" s="355">
        <v>404984.62</v>
      </c>
      <c r="H141" s="355">
        <v>388130.45</v>
      </c>
      <c r="I141" s="359">
        <v>206352.32</v>
      </c>
      <c r="J141" s="353">
        <f t="shared" si="10"/>
        <v>0.53165712713341606</v>
      </c>
      <c r="M141" s="74">
        <f t="shared" si="6"/>
        <v>90</v>
      </c>
      <c r="N141" s="146">
        <v>43951</v>
      </c>
      <c r="O141" s="74">
        <f t="shared" si="7"/>
        <v>61</v>
      </c>
      <c r="P141" s="354">
        <f t="shared" si="8"/>
        <v>0.32222222222222224</v>
      </c>
    </row>
    <row r="142" spans="1:16" ht="18.75" customHeight="1">
      <c r="A142" s="349">
        <f t="shared" si="9"/>
        <v>106</v>
      </c>
      <c r="B142" s="358" t="s">
        <v>3103</v>
      </c>
      <c r="C142" s="355" t="s">
        <v>3104</v>
      </c>
      <c r="D142" s="145">
        <v>43922</v>
      </c>
      <c r="E142" s="146">
        <v>44012</v>
      </c>
      <c r="F142" s="149">
        <v>0.32222222222222224</v>
      </c>
      <c r="G142" s="355">
        <v>404984.62</v>
      </c>
      <c r="H142" s="355">
        <v>388130.45</v>
      </c>
      <c r="I142" s="359">
        <v>206352.32</v>
      </c>
      <c r="J142" s="353">
        <f t="shared" si="10"/>
        <v>0.53165712713341606</v>
      </c>
      <c r="M142" s="74">
        <f t="shared" si="6"/>
        <v>90</v>
      </c>
      <c r="N142" s="146">
        <v>43951</v>
      </c>
      <c r="O142" s="74">
        <f t="shared" si="7"/>
        <v>61</v>
      </c>
      <c r="P142" s="354">
        <f t="shared" si="8"/>
        <v>0.32222222222222224</v>
      </c>
    </row>
    <row r="143" spans="1:16" ht="18.75" customHeight="1">
      <c r="A143" s="349">
        <f t="shared" si="9"/>
        <v>107</v>
      </c>
      <c r="B143" s="358" t="s">
        <v>3105</v>
      </c>
      <c r="C143" s="355" t="s">
        <v>3106</v>
      </c>
      <c r="D143" s="145">
        <v>43922</v>
      </c>
      <c r="E143" s="146">
        <v>44012</v>
      </c>
      <c r="F143" s="149">
        <v>0.32222222222222224</v>
      </c>
      <c r="G143" s="355">
        <v>404984.62</v>
      </c>
      <c r="H143" s="355">
        <v>388130.45</v>
      </c>
      <c r="I143" s="359">
        <v>206352.32</v>
      </c>
      <c r="J143" s="353">
        <f t="shared" si="10"/>
        <v>0.53165712713341606</v>
      </c>
      <c r="M143" s="74">
        <f t="shared" si="6"/>
        <v>90</v>
      </c>
      <c r="N143" s="146">
        <v>43951</v>
      </c>
      <c r="O143" s="74">
        <f t="shared" si="7"/>
        <v>61</v>
      </c>
      <c r="P143" s="354">
        <f t="shared" si="8"/>
        <v>0.32222222222222224</v>
      </c>
    </row>
    <row r="144" spans="1:16" ht="18.75" customHeight="1">
      <c r="A144" s="349">
        <f t="shared" si="9"/>
        <v>108</v>
      </c>
      <c r="B144" s="358" t="s">
        <v>3107</v>
      </c>
      <c r="C144" s="355" t="s">
        <v>3108</v>
      </c>
      <c r="D144" s="145">
        <v>43678</v>
      </c>
      <c r="E144" s="146">
        <v>44196</v>
      </c>
      <c r="F144" s="149">
        <v>0.52702702702702697</v>
      </c>
      <c r="G144" s="355">
        <v>324401.59999999998</v>
      </c>
      <c r="H144" s="355">
        <v>326654.08000000002</v>
      </c>
      <c r="I144" s="359">
        <v>69941.850000000006</v>
      </c>
      <c r="J144" s="353">
        <f t="shared" si="10"/>
        <v>0.21411595410043555</v>
      </c>
      <c r="M144" s="74">
        <f t="shared" si="6"/>
        <v>518</v>
      </c>
      <c r="N144" s="146">
        <v>43951</v>
      </c>
      <c r="O144" s="74">
        <f t="shared" si="7"/>
        <v>245</v>
      </c>
      <c r="P144" s="354">
        <f t="shared" si="8"/>
        <v>0.52702702702702697</v>
      </c>
    </row>
    <row r="145" spans="1:16" ht="18.75" customHeight="1">
      <c r="A145" s="349">
        <f t="shared" si="9"/>
        <v>109</v>
      </c>
      <c r="B145" s="358" t="s">
        <v>2365</v>
      </c>
      <c r="C145" s="355" t="s">
        <v>3109</v>
      </c>
      <c r="D145" s="145">
        <v>42887</v>
      </c>
      <c r="E145" s="146">
        <v>47848</v>
      </c>
      <c r="F145" s="149">
        <v>0.2144728885305382</v>
      </c>
      <c r="G145" s="355">
        <v>10071197.5</v>
      </c>
      <c r="H145" s="355">
        <v>11230966.700000001</v>
      </c>
      <c r="I145" s="359">
        <v>914939.38</v>
      </c>
      <c r="J145" s="353">
        <f t="shared" si="10"/>
        <v>8.1465772665856084E-2</v>
      </c>
      <c r="M145" s="74">
        <f t="shared" si="6"/>
        <v>4961</v>
      </c>
      <c r="N145" s="146">
        <v>43951</v>
      </c>
      <c r="O145" s="74">
        <f t="shared" si="7"/>
        <v>3897</v>
      </c>
      <c r="P145" s="354">
        <f t="shared" si="8"/>
        <v>0.2144728885305382</v>
      </c>
    </row>
    <row r="146" spans="1:16" ht="18.75" customHeight="1">
      <c r="A146" s="349">
        <f t="shared" si="9"/>
        <v>110</v>
      </c>
      <c r="B146" s="358" t="s">
        <v>2820</v>
      </c>
      <c r="C146" s="355" t="s">
        <v>2821</v>
      </c>
      <c r="D146" s="145">
        <v>43191</v>
      </c>
      <c r="E146" s="146">
        <v>44196</v>
      </c>
      <c r="F146" s="149">
        <v>0.75621890547263682</v>
      </c>
      <c r="G146" s="355">
        <v>39330847.25</v>
      </c>
      <c r="H146" s="355">
        <v>21583429.91</v>
      </c>
      <c r="I146" s="359">
        <v>14460851.829999998</v>
      </c>
      <c r="J146" s="353">
        <f t="shared" si="10"/>
        <v>0.6699978590196185</v>
      </c>
      <c r="M146" s="74">
        <f t="shared" si="6"/>
        <v>1005</v>
      </c>
      <c r="N146" s="146">
        <v>43951</v>
      </c>
      <c r="O146" s="74">
        <f t="shared" si="7"/>
        <v>245</v>
      </c>
      <c r="P146" s="354">
        <f t="shared" si="8"/>
        <v>0.75621890547263682</v>
      </c>
    </row>
    <row r="147" spans="1:16" ht="18.75" customHeight="1">
      <c r="A147" s="349">
        <f t="shared" si="9"/>
        <v>111</v>
      </c>
      <c r="B147" s="358" t="s">
        <v>2822</v>
      </c>
      <c r="C147" s="355" t="s">
        <v>2823</v>
      </c>
      <c r="D147" s="145">
        <v>43252</v>
      </c>
      <c r="E147" s="146">
        <v>44926</v>
      </c>
      <c r="F147" s="149">
        <v>0.41756272401433692</v>
      </c>
      <c r="G147" s="355">
        <v>33225000</v>
      </c>
      <c r="H147" s="355">
        <v>32007465.530000001</v>
      </c>
      <c r="I147" s="359">
        <v>2896688.98</v>
      </c>
      <c r="J147" s="353">
        <f t="shared" si="10"/>
        <v>9.0500417075665904E-2</v>
      </c>
      <c r="M147" s="74">
        <f t="shared" si="6"/>
        <v>1674</v>
      </c>
      <c r="N147" s="146">
        <v>43951</v>
      </c>
      <c r="O147" s="74">
        <f t="shared" si="7"/>
        <v>975</v>
      </c>
      <c r="P147" s="354">
        <f t="shared" si="8"/>
        <v>0.41756272401433692</v>
      </c>
    </row>
    <row r="148" spans="1:16" ht="18.75" customHeight="1">
      <c r="A148" s="349">
        <f t="shared" si="9"/>
        <v>112</v>
      </c>
      <c r="B148" s="358" t="s">
        <v>3110</v>
      </c>
      <c r="C148" s="355" t="s">
        <v>3111</v>
      </c>
      <c r="D148" s="145">
        <v>43709</v>
      </c>
      <c r="E148" s="146">
        <v>44561</v>
      </c>
      <c r="F148" s="149">
        <v>0.284037558685446</v>
      </c>
      <c r="G148" s="355">
        <v>1881700</v>
      </c>
      <c r="H148" s="355">
        <v>2994035.3</v>
      </c>
      <c r="I148" s="359">
        <v>598930.5</v>
      </c>
      <c r="J148" s="353">
        <f t="shared" si="10"/>
        <v>0.20004122863882068</v>
      </c>
      <c r="M148" s="74">
        <f t="shared" si="6"/>
        <v>852</v>
      </c>
      <c r="N148" s="146">
        <v>43951</v>
      </c>
      <c r="O148" s="74">
        <f t="shared" si="7"/>
        <v>610</v>
      </c>
      <c r="P148" s="354">
        <f t="shared" si="8"/>
        <v>0.284037558685446</v>
      </c>
    </row>
    <row r="149" spans="1:16" ht="18.75" customHeight="1">
      <c r="A149" s="349">
        <f t="shared" si="9"/>
        <v>113</v>
      </c>
      <c r="B149" s="358" t="s">
        <v>2353</v>
      </c>
      <c r="C149" s="355" t="s">
        <v>2354</v>
      </c>
      <c r="D149" s="145">
        <v>42736</v>
      </c>
      <c r="E149" s="146">
        <v>46387</v>
      </c>
      <c r="F149" s="149">
        <v>0.33278553820870993</v>
      </c>
      <c r="G149" s="355">
        <v>1463879.97</v>
      </c>
      <c r="H149" s="355">
        <v>811665.03</v>
      </c>
      <c r="I149" s="359">
        <v>88044</v>
      </c>
      <c r="J149" s="353">
        <f t="shared" si="10"/>
        <v>0.10847331934455769</v>
      </c>
      <c r="M149" s="74">
        <f t="shared" si="6"/>
        <v>3651</v>
      </c>
      <c r="N149" s="146">
        <v>43951</v>
      </c>
      <c r="O149" s="74">
        <f t="shared" si="7"/>
        <v>2436</v>
      </c>
      <c r="P149" s="354">
        <f t="shared" si="8"/>
        <v>0.33278553820870993</v>
      </c>
    </row>
    <row r="150" spans="1:16" ht="18.75" customHeight="1">
      <c r="A150" s="349">
        <f t="shared" si="9"/>
        <v>114</v>
      </c>
      <c r="B150" s="358" t="s">
        <v>2393</v>
      </c>
      <c r="C150" s="355" t="s">
        <v>2394</v>
      </c>
      <c r="D150" s="145">
        <v>43101</v>
      </c>
      <c r="E150" s="146">
        <v>44196</v>
      </c>
      <c r="F150" s="149">
        <v>0.77625570776255703</v>
      </c>
      <c r="G150" s="355">
        <v>1708181.81</v>
      </c>
      <c r="H150" s="355">
        <v>2973687.1</v>
      </c>
      <c r="I150" s="359">
        <v>1405409.28</v>
      </c>
      <c r="J150" s="353">
        <f t="shared" si="10"/>
        <v>0.47261505085723376</v>
      </c>
      <c r="M150" s="74">
        <f t="shared" si="6"/>
        <v>1095</v>
      </c>
      <c r="N150" s="146">
        <v>43951</v>
      </c>
      <c r="O150" s="74">
        <f t="shared" si="7"/>
        <v>245</v>
      </c>
      <c r="P150" s="354">
        <f t="shared" si="8"/>
        <v>0.77625570776255703</v>
      </c>
    </row>
    <row r="151" spans="1:16" ht="18.75" customHeight="1">
      <c r="A151" s="349">
        <f t="shared" si="9"/>
        <v>115</v>
      </c>
      <c r="B151" s="358" t="s">
        <v>3112</v>
      </c>
      <c r="C151" s="355" t="s">
        <v>3113</v>
      </c>
      <c r="D151" s="145">
        <v>43466</v>
      </c>
      <c r="E151" s="146">
        <v>44561</v>
      </c>
      <c r="F151" s="149">
        <v>0.44292237442922372</v>
      </c>
      <c r="G151" s="355">
        <v>1541000.04</v>
      </c>
      <c r="H151" s="355">
        <v>1539331.52</v>
      </c>
      <c r="I151" s="359">
        <v>495196.19999999995</v>
      </c>
      <c r="J151" s="353">
        <f t="shared" si="10"/>
        <v>0.32169561499007043</v>
      </c>
      <c r="M151" s="74">
        <f t="shared" si="6"/>
        <v>1095</v>
      </c>
      <c r="N151" s="146">
        <v>43951</v>
      </c>
      <c r="O151" s="74">
        <f t="shared" si="7"/>
        <v>610</v>
      </c>
      <c r="P151" s="354">
        <f t="shared" si="8"/>
        <v>0.44292237442922372</v>
      </c>
    </row>
    <row r="152" spans="1:16" ht="18.75" customHeight="1">
      <c r="A152" s="349">
        <f t="shared" si="9"/>
        <v>116</v>
      </c>
      <c r="B152" s="358" t="s">
        <v>3114</v>
      </c>
      <c r="C152" s="355" t="s">
        <v>3115</v>
      </c>
      <c r="D152" s="145">
        <v>43709</v>
      </c>
      <c r="E152" s="146">
        <v>44561</v>
      </c>
      <c r="F152" s="149">
        <v>0.284037558685446</v>
      </c>
      <c r="G152" s="355">
        <v>3998996.25</v>
      </c>
      <c r="H152" s="355">
        <v>6125872.5900000008</v>
      </c>
      <c r="I152" s="359">
        <v>1204225.95</v>
      </c>
      <c r="J152" s="353">
        <f t="shared" si="10"/>
        <v>0.19658031281385169</v>
      </c>
      <c r="M152" s="74">
        <f t="shared" si="6"/>
        <v>852</v>
      </c>
      <c r="N152" s="146">
        <v>43951</v>
      </c>
      <c r="O152" s="74">
        <f t="shared" si="7"/>
        <v>610</v>
      </c>
      <c r="P152" s="354">
        <f t="shared" si="8"/>
        <v>0.284037558685446</v>
      </c>
    </row>
    <row r="153" spans="1:16" ht="18.75" customHeight="1">
      <c r="A153" s="349">
        <f t="shared" si="9"/>
        <v>117</v>
      </c>
      <c r="B153" s="358" t="s">
        <v>2828</v>
      </c>
      <c r="C153" s="355" t="s">
        <v>2829</v>
      </c>
      <c r="D153" s="145">
        <v>43282</v>
      </c>
      <c r="E153" s="146">
        <v>44926</v>
      </c>
      <c r="F153" s="149">
        <v>0.40693430656934304</v>
      </c>
      <c r="G153" s="355">
        <v>9093001.4700000007</v>
      </c>
      <c r="H153" s="355">
        <v>11992518.560000001</v>
      </c>
      <c r="I153" s="359">
        <v>1929353.1</v>
      </c>
      <c r="J153" s="353">
        <f t="shared" si="10"/>
        <v>0.16087972600144135</v>
      </c>
      <c r="M153" s="74">
        <f t="shared" si="6"/>
        <v>1644</v>
      </c>
      <c r="N153" s="146">
        <v>43951</v>
      </c>
      <c r="O153" s="74">
        <f t="shared" si="7"/>
        <v>975</v>
      </c>
      <c r="P153" s="354">
        <f t="shared" si="8"/>
        <v>0.40693430656934304</v>
      </c>
    </row>
    <row r="154" spans="1:16" ht="18.75" customHeight="1">
      <c r="A154" s="349">
        <f t="shared" si="9"/>
        <v>118</v>
      </c>
      <c r="B154" s="358" t="s">
        <v>3116</v>
      </c>
      <c r="C154" s="355" t="s">
        <v>3117</v>
      </c>
      <c r="D154" s="145">
        <v>43831</v>
      </c>
      <c r="E154" s="146">
        <v>44561</v>
      </c>
      <c r="F154" s="149">
        <v>0.16438356164383561</v>
      </c>
      <c r="G154" s="355">
        <v>11000000</v>
      </c>
      <c r="H154" s="355">
        <v>-16343.19</v>
      </c>
      <c r="I154" s="359">
        <v>-4151.26</v>
      </c>
      <c r="J154" s="353">
        <f t="shared" si="10"/>
        <v>0.25400549097208075</v>
      </c>
      <c r="M154" s="74">
        <f t="shared" si="6"/>
        <v>730</v>
      </c>
      <c r="N154" s="146">
        <v>43951</v>
      </c>
      <c r="O154" s="74">
        <f t="shared" si="7"/>
        <v>610</v>
      </c>
      <c r="P154" s="354">
        <f t="shared" si="8"/>
        <v>0.16438356164383561</v>
      </c>
    </row>
    <row r="155" spans="1:16" ht="18.75" customHeight="1">
      <c r="A155" s="349">
        <f t="shared" si="9"/>
        <v>119</v>
      </c>
      <c r="B155" s="358" t="s">
        <v>2840</v>
      </c>
      <c r="C155" s="355" t="s">
        <v>2841</v>
      </c>
      <c r="D155" s="145">
        <v>43101</v>
      </c>
      <c r="E155" s="146">
        <v>44196</v>
      </c>
      <c r="F155" s="149">
        <v>0.77625570776255703</v>
      </c>
      <c r="G155" s="355">
        <v>10000295.18</v>
      </c>
      <c r="H155" s="355">
        <v>9428163.5499999989</v>
      </c>
      <c r="I155" s="359">
        <v>8326430.0300000003</v>
      </c>
      <c r="J155" s="353">
        <f t="shared" si="10"/>
        <v>0.88314441999682969</v>
      </c>
      <c r="M155" s="74">
        <f t="shared" si="6"/>
        <v>1095</v>
      </c>
      <c r="N155" s="146">
        <v>43951</v>
      </c>
      <c r="O155" s="74">
        <f t="shared" si="7"/>
        <v>245</v>
      </c>
      <c r="P155" s="354">
        <f t="shared" si="8"/>
        <v>0.77625570776255703</v>
      </c>
    </row>
    <row r="156" spans="1:16" ht="18.75" customHeight="1">
      <c r="A156" s="349">
        <f t="shared" si="9"/>
        <v>120</v>
      </c>
      <c r="B156" s="358" t="s">
        <v>3118</v>
      </c>
      <c r="C156" s="355" t="s">
        <v>3119</v>
      </c>
      <c r="D156" s="145">
        <v>43739</v>
      </c>
      <c r="E156" s="146">
        <v>44074</v>
      </c>
      <c r="F156" s="149">
        <v>0.63283582089552237</v>
      </c>
      <c r="G156" s="355">
        <v>1019661.01</v>
      </c>
      <c r="H156" s="355">
        <v>1019661.01</v>
      </c>
      <c r="I156" s="359">
        <v>610893.94000000006</v>
      </c>
      <c r="J156" s="353">
        <f t="shared" si="10"/>
        <v>0.59911473912295621</v>
      </c>
      <c r="M156" s="74">
        <f t="shared" si="6"/>
        <v>335</v>
      </c>
      <c r="N156" s="146">
        <v>43951</v>
      </c>
      <c r="O156" s="74">
        <f t="shared" si="7"/>
        <v>123</v>
      </c>
      <c r="P156" s="354">
        <f t="shared" si="8"/>
        <v>0.63283582089552237</v>
      </c>
    </row>
    <row r="157" spans="1:16" ht="18.75" customHeight="1">
      <c r="A157" s="349">
        <f t="shared" si="9"/>
        <v>121</v>
      </c>
      <c r="B157" s="358" t="s">
        <v>3120</v>
      </c>
      <c r="C157" s="355" t="s">
        <v>3121</v>
      </c>
      <c r="D157" s="145">
        <v>43739</v>
      </c>
      <c r="E157" s="146">
        <v>44074</v>
      </c>
      <c r="F157" s="149">
        <v>0.63283582089552237</v>
      </c>
      <c r="G157" s="355">
        <v>1019661.0700000001</v>
      </c>
      <c r="H157" s="355">
        <v>1019661.0700000001</v>
      </c>
      <c r="I157" s="359">
        <v>665321.03</v>
      </c>
      <c r="J157" s="353">
        <f t="shared" si="10"/>
        <v>0.6524923325747839</v>
      </c>
      <c r="M157" s="74">
        <f t="shared" si="6"/>
        <v>335</v>
      </c>
      <c r="N157" s="146">
        <v>43951</v>
      </c>
      <c r="O157" s="74">
        <f t="shared" si="7"/>
        <v>123</v>
      </c>
      <c r="P157" s="354">
        <f t="shared" si="8"/>
        <v>0.63283582089552237</v>
      </c>
    </row>
    <row r="158" spans="1:16" ht="18.75" customHeight="1">
      <c r="A158" s="349">
        <f t="shared" si="9"/>
        <v>122</v>
      </c>
      <c r="B158" s="358" t="s">
        <v>3122</v>
      </c>
      <c r="C158" s="355" t="s">
        <v>3123</v>
      </c>
      <c r="D158" s="145">
        <v>43739</v>
      </c>
      <c r="E158" s="146">
        <v>43982</v>
      </c>
      <c r="F158" s="149">
        <v>0.87242798353909468</v>
      </c>
      <c r="G158" s="355">
        <v>510421.35</v>
      </c>
      <c r="H158" s="355">
        <v>510421.35</v>
      </c>
      <c r="I158" s="359">
        <v>411633.55</v>
      </c>
      <c r="J158" s="353">
        <f t="shared" si="10"/>
        <v>0.80645833094560015</v>
      </c>
      <c r="M158" s="74">
        <f t="shared" si="6"/>
        <v>243</v>
      </c>
      <c r="N158" s="146">
        <v>43951</v>
      </c>
      <c r="O158" s="74">
        <f t="shared" si="7"/>
        <v>31</v>
      </c>
      <c r="P158" s="354">
        <f t="shared" si="8"/>
        <v>0.87242798353909468</v>
      </c>
    </row>
    <row r="159" spans="1:16" ht="18.75" customHeight="1">
      <c r="A159" s="349">
        <f t="shared" si="9"/>
        <v>123</v>
      </c>
      <c r="B159" s="358" t="s">
        <v>3124</v>
      </c>
      <c r="C159" s="355" t="s">
        <v>3125</v>
      </c>
      <c r="D159" s="145">
        <v>43739</v>
      </c>
      <c r="E159" s="146">
        <v>44196</v>
      </c>
      <c r="F159" s="149">
        <v>0.46389496717724288</v>
      </c>
      <c r="G159" s="355">
        <v>2039321.88</v>
      </c>
      <c r="H159" s="355">
        <v>2039321.88</v>
      </c>
      <c r="I159" s="359">
        <v>1094415.2399999998</v>
      </c>
      <c r="J159" s="353">
        <f t="shared" si="10"/>
        <v>0.53665644974102855</v>
      </c>
      <c r="M159" s="74">
        <f t="shared" si="6"/>
        <v>457</v>
      </c>
      <c r="N159" s="146">
        <v>43951</v>
      </c>
      <c r="O159" s="74">
        <f t="shared" si="7"/>
        <v>245</v>
      </c>
      <c r="P159" s="354">
        <f t="shared" si="8"/>
        <v>0.46389496717724288</v>
      </c>
    </row>
    <row r="160" spans="1:16" ht="18.75" customHeight="1">
      <c r="A160" s="349">
        <f t="shared" si="9"/>
        <v>124</v>
      </c>
      <c r="B160" s="358" t="s">
        <v>3126</v>
      </c>
      <c r="C160" s="355" t="s">
        <v>3127</v>
      </c>
      <c r="D160" s="145">
        <v>43739</v>
      </c>
      <c r="E160" s="146">
        <v>44286</v>
      </c>
      <c r="F160" s="149">
        <v>0.38756855575868371</v>
      </c>
      <c r="G160" s="355">
        <v>812461.55</v>
      </c>
      <c r="H160" s="355">
        <v>812461.55</v>
      </c>
      <c r="I160" s="359">
        <v>125661.76999999999</v>
      </c>
      <c r="J160" s="353">
        <f t="shared" si="10"/>
        <v>0.15466795936373848</v>
      </c>
      <c r="M160" s="74">
        <f t="shared" si="6"/>
        <v>547</v>
      </c>
      <c r="N160" s="146">
        <v>43951</v>
      </c>
      <c r="O160" s="74">
        <f t="shared" si="7"/>
        <v>335</v>
      </c>
      <c r="P160" s="354">
        <f t="shared" si="8"/>
        <v>0.38756855575868371</v>
      </c>
    </row>
    <row r="161" spans="1:16" ht="18.75" customHeight="1">
      <c r="A161" s="349">
        <f t="shared" si="9"/>
        <v>125</v>
      </c>
      <c r="B161" s="358" t="s">
        <v>3128</v>
      </c>
      <c r="C161" s="355" t="s">
        <v>3129</v>
      </c>
      <c r="D161" s="145">
        <v>43739</v>
      </c>
      <c r="E161" s="146">
        <v>44104</v>
      </c>
      <c r="F161" s="149">
        <v>0.58082191780821912</v>
      </c>
      <c r="G161" s="355">
        <v>1530082.3699999999</v>
      </c>
      <c r="H161" s="355">
        <v>1530082.3699999999</v>
      </c>
      <c r="I161" s="359">
        <v>891019.97</v>
      </c>
      <c r="J161" s="353">
        <f t="shared" si="10"/>
        <v>0.58233464254607414</v>
      </c>
      <c r="M161" s="74">
        <f t="shared" si="6"/>
        <v>365</v>
      </c>
      <c r="N161" s="146">
        <v>43951</v>
      </c>
      <c r="O161" s="74">
        <f t="shared" si="7"/>
        <v>153</v>
      </c>
      <c r="P161" s="354">
        <f t="shared" si="8"/>
        <v>0.58082191780821912</v>
      </c>
    </row>
    <row r="162" spans="1:16" ht="18.75" customHeight="1">
      <c r="A162" s="349">
        <f t="shared" si="9"/>
        <v>126</v>
      </c>
      <c r="B162" s="358" t="s">
        <v>3130</v>
      </c>
      <c r="C162" s="355" t="s">
        <v>3131</v>
      </c>
      <c r="D162" s="145">
        <v>43739</v>
      </c>
      <c r="E162" s="146">
        <v>44926</v>
      </c>
      <c r="F162" s="149">
        <v>0.17860151642796968</v>
      </c>
      <c r="G162" s="355">
        <v>7666475.29</v>
      </c>
      <c r="H162" s="355">
        <v>7666475.29</v>
      </c>
      <c r="I162" s="359">
        <v>415494.43000000005</v>
      </c>
      <c r="J162" s="353">
        <f t="shared" si="10"/>
        <v>5.4196278509103503E-2</v>
      </c>
      <c r="M162" s="74">
        <f t="shared" si="6"/>
        <v>1187</v>
      </c>
      <c r="N162" s="146">
        <v>43951</v>
      </c>
      <c r="O162" s="74">
        <f t="shared" si="7"/>
        <v>975</v>
      </c>
      <c r="P162" s="354">
        <f t="shared" si="8"/>
        <v>0.17860151642796968</v>
      </c>
    </row>
    <row r="163" spans="1:16" ht="18.75" customHeight="1">
      <c r="A163" s="349">
        <f t="shared" si="9"/>
        <v>127</v>
      </c>
      <c r="B163" s="358" t="s">
        <v>3132</v>
      </c>
      <c r="C163" s="355" t="s">
        <v>3133</v>
      </c>
      <c r="D163" s="145">
        <v>43739</v>
      </c>
      <c r="E163" s="146">
        <v>44074</v>
      </c>
      <c r="F163" s="149">
        <v>0.63283582089552237</v>
      </c>
      <c r="G163" s="355">
        <v>1019661.0700000001</v>
      </c>
      <c r="H163" s="355">
        <v>1019661.0700000001</v>
      </c>
      <c r="I163" s="359">
        <v>665321.03</v>
      </c>
      <c r="J163" s="353">
        <f t="shared" si="10"/>
        <v>0.6524923325747839</v>
      </c>
      <c r="M163" s="74">
        <f t="shared" si="6"/>
        <v>335</v>
      </c>
      <c r="N163" s="146">
        <v>43951</v>
      </c>
      <c r="O163" s="74">
        <f t="shared" si="7"/>
        <v>123</v>
      </c>
      <c r="P163" s="354">
        <f t="shared" si="8"/>
        <v>0.63283582089552237</v>
      </c>
    </row>
    <row r="164" spans="1:16" ht="18.75" customHeight="1">
      <c r="A164" s="349">
        <f t="shared" si="9"/>
        <v>128</v>
      </c>
      <c r="B164" s="358" t="s">
        <v>3134</v>
      </c>
      <c r="C164" s="355" t="s">
        <v>3135</v>
      </c>
      <c r="D164" s="145">
        <v>43101</v>
      </c>
      <c r="E164" s="146">
        <v>47848</v>
      </c>
      <c r="F164" s="149">
        <v>0.17906045923741309</v>
      </c>
      <c r="G164" s="355">
        <v>8147658.1200000001</v>
      </c>
      <c r="H164" s="355">
        <v>8147658.1200000001</v>
      </c>
      <c r="I164" s="359">
        <v>51254.530000000006</v>
      </c>
      <c r="J164" s="353">
        <f t="shared" si="10"/>
        <v>6.2907070037936256E-3</v>
      </c>
      <c r="M164" s="74">
        <f t="shared" si="6"/>
        <v>4747</v>
      </c>
      <c r="N164" s="146">
        <v>43951</v>
      </c>
      <c r="O164" s="74">
        <f t="shared" si="7"/>
        <v>3897</v>
      </c>
      <c r="P164" s="354">
        <f t="shared" si="8"/>
        <v>0.17906045923741309</v>
      </c>
    </row>
    <row r="165" spans="1:16" ht="18.75" customHeight="1">
      <c r="A165" s="349">
        <f t="shared" si="9"/>
        <v>129</v>
      </c>
      <c r="B165" s="358" t="s">
        <v>3136</v>
      </c>
      <c r="C165" s="355" t="s">
        <v>3137</v>
      </c>
      <c r="D165" s="145">
        <v>43739</v>
      </c>
      <c r="E165" s="146">
        <v>44012</v>
      </c>
      <c r="F165" s="149">
        <v>0.77655677655677657</v>
      </c>
      <c r="G165" s="355">
        <v>749156.19</v>
      </c>
      <c r="H165" s="355">
        <v>749156.19</v>
      </c>
      <c r="I165" s="359">
        <v>524437.75</v>
      </c>
      <c r="J165" s="353">
        <f t="shared" si="10"/>
        <v>0.70003793200987907</v>
      </c>
      <c r="M165" s="74">
        <f t="shared" ref="M165:M252" si="11">E165-D165</f>
        <v>273</v>
      </c>
      <c r="N165" s="146">
        <v>43951</v>
      </c>
      <c r="O165" s="74">
        <f t="shared" ref="O165:O252" si="12">E165-N165</f>
        <v>61</v>
      </c>
      <c r="P165" s="354">
        <f t="shared" ref="P165:P252" si="13">(M165-O165)/M165</f>
        <v>0.77655677655677657</v>
      </c>
    </row>
    <row r="166" spans="1:16" ht="18.75" customHeight="1">
      <c r="A166" s="349">
        <f t="shared" ref="A166:A253" si="14">A165+1</f>
        <v>130</v>
      </c>
      <c r="B166" s="358" t="s">
        <v>3138</v>
      </c>
      <c r="C166" s="355" t="s">
        <v>3139</v>
      </c>
      <c r="D166" s="145">
        <v>43739</v>
      </c>
      <c r="E166" s="146">
        <v>44012</v>
      </c>
      <c r="F166" s="149">
        <v>0.77655677655677657</v>
      </c>
      <c r="G166" s="355">
        <v>749156.21</v>
      </c>
      <c r="H166" s="355">
        <v>749156.21</v>
      </c>
      <c r="I166" s="359">
        <v>483971.11</v>
      </c>
      <c r="J166" s="353">
        <f t="shared" si="10"/>
        <v>0.64602162211269665</v>
      </c>
      <c r="M166" s="74">
        <f t="shared" si="11"/>
        <v>273</v>
      </c>
      <c r="N166" s="146">
        <v>43951</v>
      </c>
      <c r="O166" s="74">
        <f t="shared" si="12"/>
        <v>61</v>
      </c>
      <c r="P166" s="354">
        <f t="shared" si="13"/>
        <v>0.77655677655677657</v>
      </c>
    </row>
    <row r="167" spans="1:16" ht="18.75" customHeight="1">
      <c r="A167" s="349">
        <f t="shared" si="14"/>
        <v>131</v>
      </c>
      <c r="B167" s="358" t="s">
        <v>3140</v>
      </c>
      <c r="C167" s="355" t="s">
        <v>3141</v>
      </c>
      <c r="D167" s="145">
        <v>43709</v>
      </c>
      <c r="E167" s="146">
        <v>44926</v>
      </c>
      <c r="F167" s="149">
        <v>0.19884963023829089</v>
      </c>
      <c r="G167" s="355">
        <v>3196752.76</v>
      </c>
      <c r="H167" s="355">
        <v>3196752.76</v>
      </c>
      <c r="I167" s="359">
        <v>198043.56</v>
      </c>
      <c r="J167" s="353">
        <f t="shared" si="10"/>
        <v>6.1951478537239146E-2</v>
      </c>
      <c r="M167" s="74">
        <f t="shared" si="11"/>
        <v>1217</v>
      </c>
      <c r="N167" s="146">
        <v>43951</v>
      </c>
      <c r="O167" s="74">
        <f t="shared" si="12"/>
        <v>975</v>
      </c>
      <c r="P167" s="354">
        <f t="shared" si="13"/>
        <v>0.19884963023829089</v>
      </c>
    </row>
    <row r="168" spans="1:16" ht="18.75" customHeight="1">
      <c r="A168" s="349">
        <f t="shared" si="14"/>
        <v>132</v>
      </c>
      <c r="B168" s="358" t="s">
        <v>3142</v>
      </c>
      <c r="C168" s="355" t="s">
        <v>3143</v>
      </c>
      <c r="D168" s="145">
        <v>43739</v>
      </c>
      <c r="E168" s="146">
        <v>44012</v>
      </c>
      <c r="F168" s="149">
        <v>0.77655677655677657</v>
      </c>
      <c r="G168" s="355">
        <v>4972460.0199999996</v>
      </c>
      <c r="H168" s="355">
        <v>4972460.0199999996</v>
      </c>
      <c r="I168" s="359">
        <v>3282399.58</v>
      </c>
      <c r="J168" s="353">
        <f t="shared" si="10"/>
        <v>0.66011583135866025</v>
      </c>
      <c r="M168" s="74">
        <f t="shared" si="11"/>
        <v>273</v>
      </c>
      <c r="N168" s="146">
        <v>43951</v>
      </c>
      <c r="O168" s="74">
        <f t="shared" si="12"/>
        <v>61</v>
      </c>
      <c r="P168" s="354">
        <f t="shared" si="13"/>
        <v>0.77655677655677657</v>
      </c>
    </row>
    <row r="169" spans="1:16" s="360" customFormat="1" ht="20.100000000000001" customHeight="1">
      <c r="A169" s="767" t="str">
        <f>$A$1</f>
        <v>KENTUCKY UTILITIES COMPANY</v>
      </c>
      <c r="B169" s="767"/>
      <c r="C169" s="767"/>
      <c r="D169" s="767"/>
      <c r="E169" s="767"/>
      <c r="F169" s="767"/>
      <c r="G169" s="767"/>
      <c r="H169" s="767"/>
      <c r="I169" s="767"/>
      <c r="J169" s="767"/>
    </row>
    <row r="170" spans="1:16" s="360" customFormat="1" ht="20.100000000000001" customHeight="1">
      <c r="A170" s="767" t="str">
        <f>$A$2</f>
        <v>CASE NO. 2018-00294</v>
      </c>
      <c r="B170" s="767"/>
      <c r="C170" s="767"/>
      <c r="D170" s="767"/>
      <c r="E170" s="767"/>
      <c r="F170" s="767"/>
      <c r="G170" s="767"/>
      <c r="H170" s="767"/>
      <c r="I170" s="767"/>
      <c r="J170" s="767"/>
    </row>
    <row r="171" spans="1:16" s="360" customFormat="1" ht="20.100000000000001" customHeight="1">
      <c r="A171" s="767" t="s">
        <v>1219</v>
      </c>
      <c r="B171" s="767"/>
      <c r="C171" s="767"/>
      <c r="D171" s="767"/>
      <c r="E171" s="767"/>
      <c r="F171" s="767"/>
      <c r="G171" s="767"/>
      <c r="H171" s="767"/>
      <c r="I171" s="767"/>
      <c r="J171" s="767"/>
    </row>
    <row r="172" spans="1:16" s="360" customFormat="1" ht="20.100000000000001" customHeight="1">
      <c r="A172" s="767" t="str">
        <f>$A$4</f>
        <v>AS OF APRIL 30, 2020</v>
      </c>
      <c r="B172" s="767"/>
      <c r="C172" s="767"/>
      <c r="D172" s="767"/>
      <c r="E172" s="767"/>
      <c r="F172" s="767"/>
      <c r="G172" s="767"/>
      <c r="H172" s="767"/>
      <c r="I172" s="767"/>
      <c r="J172" s="767"/>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DATA:____BASE  PERIOD__X__FORECASTED  PERIOD</v>
      </c>
      <c r="B174" s="348"/>
      <c r="C174" s="68"/>
      <c r="D174" s="144"/>
      <c r="E174" s="144"/>
      <c r="F174" s="68"/>
      <c r="G174" s="74"/>
      <c r="H174" s="74"/>
      <c r="I174" s="74"/>
      <c r="J174" s="74" t="s">
        <v>1714</v>
      </c>
    </row>
    <row r="175" spans="1:16" s="360" customFormat="1" ht="20.100000000000001" customHeight="1">
      <c r="A175" s="67" t="str">
        <f>$A$7</f>
        <v>TYPE OF FILING: __X__ ORIGINAL  _____ UPDATED  _____ REVISED</v>
      </c>
      <c r="B175" s="349"/>
      <c r="C175" s="68"/>
      <c r="D175" s="144"/>
      <c r="E175" s="144"/>
      <c r="F175" s="68"/>
      <c r="G175" s="74"/>
      <c r="H175" s="74"/>
      <c r="I175" s="74"/>
      <c r="J175" s="74" t="s">
        <v>3402</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75" customHeight="1">
      <c r="A181" s="349">
        <f>A168+1</f>
        <v>133</v>
      </c>
      <c r="B181" s="358" t="s">
        <v>3144</v>
      </c>
      <c r="C181" s="355" t="s">
        <v>3145</v>
      </c>
      <c r="D181" s="145">
        <v>43739</v>
      </c>
      <c r="E181" s="146">
        <v>44074</v>
      </c>
      <c r="F181" s="149">
        <v>0.63283582089552237</v>
      </c>
      <c r="G181" s="355">
        <v>4988784.3</v>
      </c>
      <c r="H181" s="355">
        <v>4988784.3</v>
      </c>
      <c r="I181" s="359">
        <v>1894696.3000000003</v>
      </c>
      <c r="J181" s="353">
        <f t="shared" ref="J181:J252" si="15">I181/H181</f>
        <v>0.37979118479826846</v>
      </c>
      <c r="M181" s="74">
        <f t="shared" si="11"/>
        <v>335</v>
      </c>
      <c r="N181" s="146">
        <v>43951</v>
      </c>
      <c r="O181" s="74">
        <f t="shared" si="12"/>
        <v>123</v>
      </c>
      <c r="P181" s="354">
        <f t="shared" si="13"/>
        <v>0.63283582089552237</v>
      </c>
    </row>
    <row r="182" spans="1:16" ht="18.75" customHeight="1">
      <c r="A182" s="349">
        <f t="shared" si="14"/>
        <v>134</v>
      </c>
      <c r="B182" s="358" t="s">
        <v>3146</v>
      </c>
      <c r="C182" s="355" t="s">
        <v>3147</v>
      </c>
      <c r="D182" s="145">
        <v>43739</v>
      </c>
      <c r="E182" s="146">
        <v>44135</v>
      </c>
      <c r="F182" s="149">
        <v>0.53535353535353536</v>
      </c>
      <c r="G182" s="355">
        <v>5658439.7599999998</v>
      </c>
      <c r="H182" s="355">
        <v>5658439.7599999998</v>
      </c>
      <c r="I182" s="359">
        <v>2331884</v>
      </c>
      <c r="J182" s="353">
        <f t="shared" si="15"/>
        <v>0.41210724137849619</v>
      </c>
      <c r="M182" s="74">
        <f t="shared" si="11"/>
        <v>396</v>
      </c>
      <c r="N182" s="146">
        <v>43951</v>
      </c>
      <c r="O182" s="74">
        <f t="shared" si="12"/>
        <v>184</v>
      </c>
      <c r="P182" s="354">
        <f t="shared" si="13"/>
        <v>0.53535353535353536</v>
      </c>
    </row>
    <row r="183" spans="1:16" ht="18.75" customHeight="1">
      <c r="A183" s="349">
        <f t="shared" si="14"/>
        <v>135</v>
      </c>
      <c r="B183" s="358" t="s">
        <v>3148</v>
      </c>
      <c r="C183" s="355" t="s">
        <v>3149</v>
      </c>
      <c r="D183" s="145">
        <v>43739</v>
      </c>
      <c r="E183" s="146">
        <v>44074</v>
      </c>
      <c r="F183" s="149">
        <v>0.63283582089552237</v>
      </c>
      <c r="G183" s="355">
        <v>3189382.83</v>
      </c>
      <c r="H183" s="355">
        <v>3189382.83</v>
      </c>
      <c r="I183" s="359">
        <v>1646147.27</v>
      </c>
      <c r="J183" s="353">
        <f t="shared" si="15"/>
        <v>0.51613348341754262</v>
      </c>
      <c r="M183" s="74">
        <f t="shared" si="11"/>
        <v>335</v>
      </c>
      <c r="N183" s="146">
        <v>43951</v>
      </c>
      <c r="O183" s="74">
        <f t="shared" si="12"/>
        <v>123</v>
      </c>
      <c r="P183" s="354">
        <f t="shared" si="13"/>
        <v>0.63283582089552237</v>
      </c>
    </row>
    <row r="184" spans="1:16" ht="18.75" customHeight="1">
      <c r="A184" s="349">
        <f t="shared" si="14"/>
        <v>136</v>
      </c>
      <c r="B184" s="358" t="s">
        <v>3150</v>
      </c>
      <c r="C184" s="355" t="s">
        <v>3151</v>
      </c>
      <c r="D184" s="145">
        <v>43891</v>
      </c>
      <c r="E184" s="146">
        <v>44196</v>
      </c>
      <c r="F184" s="149">
        <v>0.19672131147540983</v>
      </c>
      <c r="G184" s="355">
        <v>3366548.1</v>
      </c>
      <c r="H184" s="355">
        <v>3366548.1</v>
      </c>
      <c r="I184" s="359">
        <v>612694.62</v>
      </c>
      <c r="J184" s="353">
        <f t="shared" si="15"/>
        <v>0.18199491045442065</v>
      </c>
      <c r="M184" s="74">
        <f t="shared" si="11"/>
        <v>305</v>
      </c>
      <c r="N184" s="146">
        <v>43951</v>
      </c>
      <c r="O184" s="74">
        <f t="shared" si="12"/>
        <v>245</v>
      </c>
      <c r="P184" s="354">
        <f t="shared" si="13"/>
        <v>0.19672131147540983</v>
      </c>
    </row>
    <row r="185" spans="1:16" ht="18.75" customHeight="1">
      <c r="A185" s="349">
        <f t="shared" si="14"/>
        <v>137</v>
      </c>
      <c r="B185" s="358" t="s">
        <v>3152</v>
      </c>
      <c r="C185" s="355" t="s">
        <v>3153</v>
      </c>
      <c r="D185" s="145">
        <v>43891</v>
      </c>
      <c r="E185" s="146">
        <v>44104</v>
      </c>
      <c r="F185" s="149">
        <v>0.28169014084507044</v>
      </c>
      <c r="G185" s="355">
        <v>822459.58</v>
      </c>
      <c r="H185" s="355">
        <v>822459.58</v>
      </c>
      <c r="I185" s="359">
        <v>234988.45</v>
      </c>
      <c r="J185" s="353">
        <f t="shared" si="15"/>
        <v>0.28571428397733545</v>
      </c>
      <c r="M185" s="74">
        <f t="shared" si="11"/>
        <v>213</v>
      </c>
      <c r="N185" s="146">
        <v>43951</v>
      </c>
      <c r="O185" s="74">
        <f t="shared" si="12"/>
        <v>153</v>
      </c>
      <c r="P185" s="354">
        <f t="shared" si="13"/>
        <v>0.28169014084507044</v>
      </c>
    </row>
    <row r="186" spans="1:16" ht="18.75" customHeight="1">
      <c r="A186" s="349">
        <f t="shared" si="14"/>
        <v>138</v>
      </c>
      <c r="B186" s="358" t="s">
        <v>3154</v>
      </c>
      <c r="C186" s="355" t="s">
        <v>3155</v>
      </c>
      <c r="D186" s="145">
        <v>43922</v>
      </c>
      <c r="E186" s="146">
        <v>44012</v>
      </c>
      <c r="F186" s="149">
        <v>0.32222222222222224</v>
      </c>
      <c r="G186" s="355">
        <v>324863.82</v>
      </c>
      <c r="H186" s="355">
        <v>324863.82</v>
      </c>
      <c r="I186" s="359">
        <v>108287.94</v>
      </c>
      <c r="J186" s="353">
        <f t="shared" si="15"/>
        <v>0.33333333333333331</v>
      </c>
      <c r="M186" s="74">
        <f t="shared" si="11"/>
        <v>90</v>
      </c>
      <c r="N186" s="146">
        <v>43951</v>
      </c>
      <c r="O186" s="74">
        <f t="shared" si="12"/>
        <v>61</v>
      </c>
      <c r="P186" s="354">
        <f t="shared" si="13"/>
        <v>0.32222222222222224</v>
      </c>
    </row>
    <row r="187" spans="1:16" ht="18.75" customHeight="1">
      <c r="A187" s="349">
        <f t="shared" si="14"/>
        <v>139</v>
      </c>
      <c r="B187" s="358" t="s">
        <v>3156</v>
      </c>
      <c r="C187" s="355" t="s">
        <v>3157</v>
      </c>
      <c r="D187" s="145">
        <v>43739</v>
      </c>
      <c r="E187" s="146">
        <v>43982</v>
      </c>
      <c r="F187" s="149">
        <v>0.87242798353909468</v>
      </c>
      <c r="G187" s="355">
        <v>749401.76</v>
      </c>
      <c r="H187" s="355">
        <v>749401.76</v>
      </c>
      <c r="I187" s="359">
        <v>609507.77</v>
      </c>
      <c r="J187" s="353">
        <f t="shared" si="15"/>
        <v>0.81332577868512079</v>
      </c>
      <c r="M187" s="74">
        <f t="shared" si="11"/>
        <v>243</v>
      </c>
      <c r="N187" s="146">
        <v>43951</v>
      </c>
      <c r="O187" s="74">
        <f t="shared" si="12"/>
        <v>31</v>
      </c>
      <c r="P187" s="354">
        <f t="shared" si="13"/>
        <v>0.87242798353909468</v>
      </c>
    </row>
    <row r="188" spans="1:16" ht="18.75" customHeight="1">
      <c r="A188" s="349">
        <f t="shared" si="14"/>
        <v>140</v>
      </c>
      <c r="B188" s="358" t="s">
        <v>3158</v>
      </c>
      <c r="C188" s="355" t="s">
        <v>3159</v>
      </c>
      <c r="D188" s="145">
        <v>43739</v>
      </c>
      <c r="E188" s="146">
        <v>43982</v>
      </c>
      <c r="F188" s="149">
        <v>0.87242798353909468</v>
      </c>
      <c r="G188" s="355">
        <v>599507.96</v>
      </c>
      <c r="H188" s="355">
        <v>599507.96</v>
      </c>
      <c r="I188" s="359">
        <v>489592.73</v>
      </c>
      <c r="J188" s="353">
        <f t="shared" si="15"/>
        <v>0.81665759700671869</v>
      </c>
      <c r="M188" s="74">
        <f t="shared" si="11"/>
        <v>243</v>
      </c>
      <c r="N188" s="146">
        <v>43951</v>
      </c>
      <c r="O188" s="74">
        <f t="shared" si="12"/>
        <v>31</v>
      </c>
      <c r="P188" s="354">
        <f t="shared" si="13"/>
        <v>0.87242798353909468</v>
      </c>
    </row>
    <row r="189" spans="1:16" ht="18.75" customHeight="1">
      <c r="A189" s="349">
        <f t="shared" si="14"/>
        <v>141</v>
      </c>
      <c r="B189" s="358" t="s">
        <v>3160</v>
      </c>
      <c r="C189" s="355" t="s">
        <v>3161</v>
      </c>
      <c r="D189" s="145">
        <v>43739</v>
      </c>
      <c r="E189" s="146">
        <v>43982</v>
      </c>
      <c r="F189" s="149">
        <v>0.87242798353909468</v>
      </c>
      <c r="G189" s="355">
        <v>749401.76</v>
      </c>
      <c r="H189" s="355">
        <v>749401.76</v>
      </c>
      <c r="I189" s="359">
        <v>609507.77</v>
      </c>
      <c r="J189" s="353">
        <f t="shared" si="15"/>
        <v>0.81332577868512079</v>
      </c>
      <c r="M189" s="74">
        <f t="shared" si="11"/>
        <v>243</v>
      </c>
      <c r="N189" s="146">
        <v>43951</v>
      </c>
      <c r="O189" s="74">
        <f t="shared" si="12"/>
        <v>31</v>
      </c>
      <c r="P189" s="354">
        <f t="shared" si="13"/>
        <v>0.87242798353909468</v>
      </c>
    </row>
    <row r="190" spans="1:16" ht="18.75" customHeight="1">
      <c r="A190" s="349">
        <f t="shared" si="14"/>
        <v>142</v>
      </c>
      <c r="B190" s="358" t="s">
        <v>3162</v>
      </c>
      <c r="C190" s="355" t="s">
        <v>3163</v>
      </c>
      <c r="D190" s="145">
        <v>43466</v>
      </c>
      <c r="E190" s="146">
        <v>44561</v>
      </c>
      <c r="F190" s="149">
        <v>0.44292237442922372</v>
      </c>
      <c r="G190" s="355">
        <v>1200000</v>
      </c>
      <c r="H190" s="355">
        <v>1328540.3400000001</v>
      </c>
      <c r="I190" s="359">
        <v>369619.4</v>
      </c>
      <c r="J190" s="353">
        <f t="shared" si="15"/>
        <v>0.27821466076069623</v>
      </c>
      <c r="M190" s="74">
        <f t="shared" si="11"/>
        <v>1095</v>
      </c>
      <c r="N190" s="146">
        <v>43951</v>
      </c>
      <c r="O190" s="74">
        <f t="shared" si="12"/>
        <v>610</v>
      </c>
      <c r="P190" s="354">
        <f t="shared" si="13"/>
        <v>0.44292237442922372</v>
      </c>
    </row>
    <row r="191" spans="1:16" ht="18.75" customHeight="1">
      <c r="A191" s="349">
        <f t="shared" si="14"/>
        <v>143</v>
      </c>
      <c r="B191" s="358" t="s">
        <v>3164</v>
      </c>
      <c r="C191" s="355" t="s">
        <v>3165</v>
      </c>
      <c r="D191" s="145">
        <v>43466</v>
      </c>
      <c r="E191" s="146">
        <v>44196</v>
      </c>
      <c r="F191" s="149">
        <v>0.66438356164383561</v>
      </c>
      <c r="G191" s="355">
        <v>1242000</v>
      </c>
      <c r="H191" s="355">
        <v>1342000</v>
      </c>
      <c r="I191" s="359">
        <v>875333.3600000001</v>
      </c>
      <c r="J191" s="353">
        <f t="shared" si="15"/>
        <v>0.65226032786885257</v>
      </c>
      <c r="M191" s="74">
        <f t="shared" si="11"/>
        <v>730</v>
      </c>
      <c r="N191" s="146">
        <v>43951</v>
      </c>
      <c r="O191" s="74">
        <f t="shared" si="12"/>
        <v>245</v>
      </c>
      <c r="P191" s="354">
        <f t="shared" si="13"/>
        <v>0.66438356164383561</v>
      </c>
    </row>
    <row r="192" spans="1:16" ht="18.75" customHeight="1">
      <c r="A192" s="349">
        <f t="shared" si="14"/>
        <v>144</v>
      </c>
      <c r="B192" s="358" t="s">
        <v>2876</v>
      </c>
      <c r="C192" s="355" t="s">
        <v>2877</v>
      </c>
      <c r="D192" s="145">
        <v>43039</v>
      </c>
      <c r="E192" s="146">
        <v>44196</v>
      </c>
      <c r="F192" s="149">
        <v>0.78824546240276583</v>
      </c>
      <c r="G192" s="355">
        <v>150000</v>
      </c>
      <c r="H192" s="355">
        <v>285090.21000000002</v>
      </c>
      <c r="I192" s="359">
        <v>11305.21</v>
      </c>
      <c r="J192" s="353">
        <f t="shared" si="15"/>
        <v>3.965485170465867E-2</v>
      </c>
      <c r="M192" s="74">
        <f t="shared" si="11"/>
        <v>1157</v>
      </c>
      <c r="N192" s="146">
        <v>43951</v>
      </c>
      <c r="O192" s="74">
        <f t="shared" si="12"/>
        <v>245</v>
      </c>
      <c r="P192" s="354">
        <f t="shared" si="13"/>
        <v>0.78824546240276583</v>
      </c>
    </row>
    <row r="193" spans="1:16" ht="18.75" customHeight="1">
      <c r="A193" s="349">
        <f t="shared" si="14"/>
        <v>145</v>
      </c>
      <c r="B193" s="358" t="s">
        <v>3166</v>
      </c>
      <c r="C193" s="355" t="s">
        <v>3167</v>
      </c>
      <c r="D193" s="145">
        <v>43101</v>
      </c>
      <c r="E193" s="146">
        <v>44196</v>
      </c>
      <c r="F193" s="149">
        <v>0.77625570776255703</v>
      </c>
      <c r="G193" s="355">
        <v>450000</v>
      </c>
      <c r="H193" s="355">
        <v>399359.18000000005</v>
      </c>
      <c r="I193" s="359">
        <v>327671.98000000004</v>
      </c>
      <c r="J193" s="353">
        <f t="shared" si="15"/>
        <v>0.82049442309051213</v>
      </c>
      <c r="M193" s="74">
        <f t="shared" si="11"/>
        <v>1095</v>
      </c>
      <c r="N193" s="146">
        <v>43951</v>
      </c>
      <c r="O193" s="74">
        <f t="shared" si="12"/>
        <v>245</v>
      </c>
      <c r="P193" s="354">
        <f t="shared" si="13"/>
        <v>0.77625570776255703</v>
      </c>
    </row>
    <row r="194" spans="1:16" ht="18.75" customHeight="1">
      <c r="A194" s="349">
        <f t="shared" si="14"/>
        <v>146</v>
      </c>
      <c r="B194" s="358" t="s">
        <v>3168</v>
      </c>
      <c r="C194" s="355" t="s">
        <v>3169</v>
      </c>
      <c r="D194" s="145">
        <v>43101</v>
      </c>
      <c r="E194" s="146">
        <v>44196</v>
      </c>
      <c r="F194" s="149">
        <v>0.77625570776255703</v>
      </c>
      <c r="G194" s="355">
        <v>300000</v>
      </c>
      <c r="H194" s="355">
        <v>266534.48</v>
      </c>
      <c r="I194" s="359">
        <v>222283.12</v>
      </c>
      <c r="J194" s="353">
        <f t="shared" si="15"/>
        <v>0.83397510145779263</v>
      </c>
      <c r="M194" s="74">
        <f t="shared" si="11"/>
        <v>1095</v>
      </c>
      <c r="N194" s="146">
        <v>43951</v>
      </c>
      <c r="O194" s="74">
        <f t="shared" si="12"/>
        <v>245</v>
      </c>
      <c r="P194" s="354">
        <f t="shared" si="13"/>
        <v>0.77625570776255703</v>
      </c>
    </row>
    <row r="195" spans="1:16" ht="18.75" customHeight="1">
      <c r="A195" s="349">
        <f t="shared" si="14"/>
        <v>147</v>
      </c>
      <c r="B195" s="358" t="s">
        <v>3170</v>
      </c>
      <c r="C195" s="355" t="s">
        <v>3171</v>
      </c>
      <c r="D195" s="145">
        <v>43466</v>
      </c>
      <c r="E195" s="146">
        <v>44196</v>
      </c>
      <c r="F195" s="149">
        <v>0.66438356164383561</v>
      </c>
      <c r="G195" s="355">
        <v>450000</v>
      </c>
      <c r="H195" s="355">
        <v>1834472.1700000002</v>
      </c>
      <c r="I195" s="359">
        <v>893041.16</v>
      </c>
      <c r="J195" s="353">
        <f t="shared" si="15"/>
        <v>0.48681096099702614</v>
      </c>
      <c r="M195" s="74">
        <f t="shared" si="11"/>
        <v>730</v>
      </c>
      <c r="N195" s="146">
        <v>43951</v>
      </c>
      <c r="O195" s="74">
        <f t="shared" si="12"/>
        <v>245</v>
      </c>
      <c r="P195" s="354">
        <f t="shared" si="13"/>
        <v>0.66438356164383561</v>
      </c>
    </row>
    <row r="196" spans="1:16" ht="18.75" customHeight="1">
      <c r="A196" s="349">
        <f t="shared" si="14"/>
        <v>148</v>
      </c>
      <c r="B196" s="358" t="s">
        <v>3172</v>
      </c>
      <c r="C196" s="355" t="s">
        <v>3173</v>
      </c>
      <c r="D196" s="145">
        <v>43466</v>
      </c>
      <c r="E196" s="146">
        <v>44196</v>
      </c>
      <c r="F196" s="149">
        <v>0.66438356164383561</v>
      </c>
      <c r="G196" s="355">
        <v>1200000</v>
      </c>
      <c r="H196" s="355">
        <v>1062974.45</v>
      </c>
      <c r="I196" s="359">
        <v>421329.73</v>
      </c>
      <c r="J196" s="353">
        <f t="shared" si="15"/>
        <v>0.3963686333194556</v>
      </c>
      <c r="M196" s="74">
        <f t="shared" si="11"/>
        <v>730</v>
      </c>
      <c r="N196" s="146">
        <v>43951</v>
      </c>
      <c r="O196" s="74">
        <f t="shared" si="12"/>
        <v>245</v>
      </c>
      <c r="P196" s="354">
        <f t="shared" si="13"/>
        <v>0.66438356164383561</v>
      </c>
    </row>
    <row r="197" spans="1:16" ht="18.75" customHeight="1">
      <c r="A197" s="349">
        <f t="shared" si="14"/>
        <v>149</v>
      </c>
      <c r="B197" s="358" t="s">
        <v>3174</v>
      </c>
      <c r="C197" s="355" t="s">
        <v>3175</v>
      </c>
      <c r="D197" s="145">
        <v>43466</v>
      </c>
      <c r="E197" s="146">
        <v>44196</v>
      </c>
      <c r="F197" s="149">
        <v>0.66438356164383561</v>
      </c>
      <c r="G197" s="355">
        <v>234999.96</v>
      </c>
      <c r="H197" s="355">
        <v>234999.96</v>
      </c>
      <c r="I197" s="359">
        <v>78333.320000000007</v>
      </c>
      <c r="J197" s="353">
        <f t="shared" si="15"/>
        <v>0.33333333333333337</v>
      </c>
      <c r="M197" s="74">
        <f t="shared" si="11"/>
        <v>730</v>
      </c>
      <c r="N197" s="146">
        <v>43951</v>
      </c>
      <c r="O197" s="74">
        <f t="shared" si="12"/>
        <v>245</v>
      </c>
      <c r="P197" s="354">
        <f t="shared" si="13"/>
        <v>0.66438356164383561</v>
      </c>
    </row>
    <row r="198" spans="1:16" ht="18.75" customHeight="1">
      <c r="A198" s="349">
        <f t="shared" si="14"/>
        <v>150</v>
      </c>
      <c r="B198" s="358" t="s">
        <v>3176</v>
      </c>
      <c r="C198" s="355" t="s">
        <v>3177</v>
      </c>
      <c r="D198" s="145">
        <v>43466</v>
      </c>
      <c r="E198" s="146">
        <v>44196</v>
      </c>
      <c r="F198" s="149">
        <v>0.66438356164383561</v>
      </c>
      <c r="G198" s="355">
        <v>155000.04</v>
      </c>
      <c r="H198" s="355">
        <v>155000.04</v>
      </c>
      <c r="I198" s="359">
        <v>51666.68</v>
      </c>
      <c r="J198" s="353">
        <f t="shared" si="15"/>
        <v>0.33333333333333331</v>
      </c>
      <c r="M198" s="74">
        <f t="shared" si="11"/>
        <v>730</v>
      </c>
      <c r="N198" s="146">
        <v>43951</v>
      </c>
      <c r="O198" s="74">
        <f t="shared" si="12"/>
        <v>245</v>
      </c>
      <c r="P198" s="354">
        <f t="shared" si="13"/>
        <v>0.66438356164383561</v>
      </c>
    </row>
    <row r="199" spans="1:16" ht="18.75" customHeight="1">
      <c r="A199" s="349">
        <f t="shared" si="14"/>
        <v>151</v>
      </c>
      <c r="B199" s="358" t="s">
        <v>2884</v>
      </c>
      <c r="C199" s="355" t="s">
        <v>2885</v>
      </c>
      <c r="D199" s="145">
        <v>43040</v>
      </c>
      <c r="E199" s="146">
        <v>44561</v>
      </c>
      <c r="F199" s="149">
        <v>0.59894806048652205</v>
      </c>
      <c r="G199" s="355">
        <v>2322000</v>
      </c>
      <c r="H199" s="355">
        <v>2011.77</v>
      </c>
      <c r="I199" s="359">
        <v>5176.3700000000008</v>
      </c>
      <c r="J199" s="353">
        <f t="shared" si="15"/>
        <v>2.573042644039826</v>
      </c>
      <c r="M199" s="74">
        <f t="shared" si="11"/>
        <v>1521</v>
      </c>
      <c r="N199" s="146">
        <v>43951</v>
      </c>
      <c r="O199" s="74">
        <f t="shared" si="12"/>
        <v>610</v>
      </c>
      <c r="P199" s="354">
        <f t="shared" si="13"/>
        <v>0.59894806048652205</v>
      </c>
    </row>
    <row r="200" spans="1:16" ht="18.75" customHeight="1">
      <c r="A200" s="349">
        <f t="shared" si="14"/>
        <v>152</v>
      </c>
      <c r="B200" s="358" t="s">
        <v>3178</v>
      </c>
      <c r="C200" s="355" t="s">
        <v>3179</v>
      </c>
      <c r="D200" s="145">
        <v>43466</v>
      </c>
      <c r="E200" s="146">
        <v>44196</v>
      </c>
      <c r="F200" s="149">
        <v>0.66438356164383561</v>
      </c>
      <c r="G200" s="355">
        <v>1800000</v>
      </c>
      <c r="H200" s="355">
        <v>709905.39</v>
      </c>
      <c r="I200" s="359">
        <v>621402.67000000004</v>
      </c>
      <c r="J200" s="353">
        <f t="shared" si="15"/>
        <v>0.87533166919608829</v>
      </c>
      <c r="M200" s="74">
        <f t="shared" si="11"/>
        <v>730</v>
      </c>
      <c r="N200" s="146">
        <v>43951</v>
      </c>
      <c r="O200" s="74">
        <f t="shared" si="12"/>
        <v>245</v>
      </c>
      <c r="P200" s="354">
        <f t="shared" si="13"/>
        <v>0.66438356164383561</v>
      </c>
    </row>
    <row r="201" spans="1:16" ht="18.75" customHeight="1">
      <c r="A201" s="349">
        <f t="shared" si="14"/>
        <v>153</v>
      </c>
      <c r="B201" s="358" t="s">
        <v>2888</v>
      </c>
      <c r="C201" s="355" t="s">
        <v>2889</v>
      </c>
      <c r="D201" s="145">
        <v>43101</v>
      </c>
      <c r="E201" s="146">
        <v>44196</v>
      </c>
      <c r="F201" s="149">
        <v>0.77625570776255703</v>
      </c>
      <c r="G201" s="355">
        <v>2639999.7000000002</v>
      </c>
      <c r="H201" s="355">
        <v>3219557.1799999997</v>
      </c>
      <c r="I201" s="359">
        <v>2455740.3199999998</v>
      </c>
      <c r="J201" s="353">
        <f t="shared" si="15"/>
        <v>0.76275716898433843</v>
      </c>
      <c r="M201" s="74">
        <f t="shared" si="11"/>
        <v>1095</v>
      </c>
      <c r="N201" s="146">
        <v>43951</v>
      </c>
      <c r="O201" s="74">
        <f t="shared" si="12"/>
        <v>245</v>
      </c>
      <c r="P201" s="354">
        <f t="shared" si="13"/>
        <v>0.77625570776255703</v>
      </c>
    </row>
    <row r="202" spans="1:16" ht="18.75" customHeight="1">
      <c r="A202" s="349">
        <f t="shared" si="14"/>
        <v>154</v>
      </c>
      <c r="B202" s="358" t="s">
        <v>3180</v>
      </c>
      <c r="C202" s="355" t="s">
        <v>3181</v>
      </c>
      <c r="D202" s="145">
        <v>43831</v>
      </c>
      <c r="E202" s="146">
        <v>44196</v>
      </c>
      <c r="F202" s="149">
        <v>0.32876712328767121</v>
      </c>
      <c r="G202" s="355">
        <v>30975.919999999998</v>
      </c>
      <c r="H202" s="355">
        <v>30975.919999999998</v>
      </c>
      <c r="I202" s="359">
        <v>20134.379999999997</v>
      </c>
      <c r="J202" s="353">
        <f t="shared" si="15"/>
        <v>0.65000103306051926</v>
      </c>
      <c r="M202" s="74">
        <f t="shared" si="11"/>
        <v>365</v>
      </c>
      <c r="N202" s="146">
        <v>43951</v>
      </c>
      <c r="O202" s="74">
        <f t="shared" si="12"/>
        <v>245</v>
      </c>
      <c r="P202" s="354">
        <f t="shared" si="13"/>
        <v>0.32876712328767121</v>
      </c>
    </row>
    <row r="203" spans="1:16" ht="18.75" customHeight="1">
      <c r="A203" s="349">
        <f t="shared" si="14"/>
        <v>155</v>
      </c>
      <c r="B203" s="358" t="s">
        <v>3182</v>
      </c>
      <c r="C203" s="355" t="s">
        <v>3183</v>
      </c>
      <c r="D203" s="145">
        <v>43647</v>
      </c>
      <c r="E203" s="146">
        <v>44742</v>
      </c>
      <c r="F203" s="149">
        <v>0.27762557077625571</v>
      </c>
      <c r="G203" s="355">
        <v>1600000</v>
      </c>
      <c r="H203" s="355">
        <v>13382903.73</v>
      </c>
      <c r="I203" s="359">
        <v>1891084.4100000001</v>
      </c>
      <c r="J203" s="353">
        <f t="shared" si="15"/>
        <v>0.14130598621589277</v>
      </c>
      <c r="M203" s="74">
        <f t="shared" si="11"/>
        <v>1095</v>
      </c>
      <c r="N203" s="146">
        <v>43951</v>
      </c>
      <c r="O203" s="74">
        <f t="shared" si="12"/>
        <v>791</v>
      </c>
      <c r="P203" s="354">
        <f t="shared" si="13"/>
        <v>0.27762557077625571</v>
      </c>
    </row>
    <row r="204" spans="1:16" ht="18.75" customHeight="1">
      <c r="A204" s="349">
        <f t="shared" si="14"/>
        <v>156</v>
      </c>
      <c r="B204" s="358" t="s">
        <v>3184</v>
      </c>
      <c r="C204" s="355" t="s">
        <v>3185</v>
      </c>
      <c r="D204" s="145">
        <v>43831</v>
      </c>
      <c r="E204" s="146">
        <v>44196</v>
      </c>
      <c r="F204" s="149">
        <v>0.32876712328767121</v>
      </c>
      <c r="G204" s="355">
        <v>97000</v>
      </c>
      <c r="H204" s="355">
        <v>98317.36</v>
      </c>
      <c r="I204" s="359">
        <v>29539.119999999999</v>
      </c>
      <c r="J204" s="353">
        <f t="shared" si="15"/>
        <v>0.30044663526359944</v>
      </c>
      <c r="M204" s="74">
        <f t="shared" si="11"/>
        <v>365</v>
      </c>
      <c r="N204" s="146">
        <v>43951</v>
      </c>
      <c r="O204" s="74">
        <f t="shared" si="12"/>
        <v>245</v>
      </c>
      <c r="P204" s="354">
        <f t="shared" si="13"/>
        <v>0.32876712328767121</v>
      </c>
    </row>
    <row r="205" spans="1:16" ht="18.75" customHeight="1">
      <c r="A205" s="349">
        <f t="shared" si="14"/>
        <v>157</v>
      </c>
      <c r="B205" s="358" t="s">
        <v>3186</v>
      </c>
      <c r="C205" s="355" t="s">
        <v>3187</v>
      </c>
      <c r="D205" s="145">
        <v>43831</v>
      </c>
      <c r="E205" s="146">
        <v>44196</v>
      </c>
      <c r="F205" s="149">
        <v>0.32876712328767121</v>
      </c>
      <c r="G205" s="355">
        <v>120999.76</v>
      </c>
      <c r="H205" s="355">
        <v>122643.28</v>
      </c>
      <c r="I205" s="359">
        <v>36847.760000000002</v>
      </c>
      <c r="J205" s="353">
        <f t="shared" si="15"/>
        <v>0.30044662862897992</v>
      </c>
      <c r="M205" s="74">
        <f t="shared" si="11"/>
        <v>365</v>
      </c>
      <c r="N205" s="146">
        <v>43951</v>
      </c>
      <c r="O205" s="74">
        <f t="shared" si="12"/>
        <v>245</v>
      </c>
      <c r="P205" s="354">
        <f t="shared" si="13"/>
        <v>0.32876712328767121</v>
      </c>
    </row>
    <row r="206" spans="1:16" ht="18.75" customHeight="1">
      <c r="A206" s="349">
        <f t="shared" si="14"/>
        <v>158</v>
      </c>
      <c r="B206" s="358" t="s">
        <v>3188</v>
      </c>
      <c r="C206" s="355" t="s">
        <v>3189</v>
      </c>
      <c r="D206" s="145">
        <v>43831</v>
      </c>
      <c r="E206" s="146">
        <v>44196</v>
      </c>
      <c r="F206" s="149">
        <v>0.32876712328767121</v>
      </c>
      <c r="G206" s="355">
        <v>97000</v>
      </c>
      <c r="H206" s="355">
        <v>98317.36</v>
      </c>
      <c r="I206" s="359">
        <v>29539.119999999999</v>
      </c>
      <c r="J206" s="353">
        <f t="shared" si="15"/>
        <v>0.30044663526359944</v>
      </c>
      <c r="M206" s="74">
        <f t="shared" si="11"/>
        <v>365</v>
      </c>
      <c r="N206" s="146">
        <v>43951</v>
      </c>
      <c r="O206" s="74">
        <f t="shared" si="12"/>
        <v>245</v>
      </c>
      <c r="P206" s="354">
        <f t="shared" si="13"/>
        <v>0.32876712328767121</v>
      </c>
    </row>
    <row r="207" spans="1:16" ht="18.75" customHeight="1">
      <c r="A207" s="349">
        <f t="shared" si="14"/>
        <v>159</v>
      </c>
      <c r="B207" s="358" t="s">
        <v>3190</v>
      </c>
      <c r="C207" s="355" t="s">
        <v>3191</v>
      </c>
      <c r="D207" s="145">
        <v>43831</v>
      </c>
      <c r="E207" s="146">
        <v>44196</v>
      </c>
      <c r="F207" s="149">
        <v>0.32876712328767121</v>
      </c>
      <c r="G207" s="355">
        <v>106000.12</v>
      </c>
      <c r="H207" s="355">
        <v>107439.76</v>
      </c>
      <c r="I207" s="359">
        <v>32279.919999999998</v>
      </c>
      <c r="J207" s="353">
        <f t="shared" si="15"/>
        <v>0.30044668752052311</v>
      </c>
      <c r="M207" s="74">
        <f t="shared" si="11"/>
        <v>365</v>
      </c>
      <c r="N207" s="146">
        <v>43951</v>
      </c>
      <c r="O207" s="74">
        <f t="shared" si="12"/>
        <v>245</v>
      </c>
      <c r="P207" s="354">
        <f t="shared" si="13"/>
        <v>0.32876712328767121</v>
      </c>
    </row>
    <row r="208" spans="1:16" ht="18.75" customHeight="1">
      <c r="A208" s="349">
        <f t="shared" si="14"/>
        <v>160</v>
      </c>
      <c r="B208" s="358" t="s">
        <v>3192</v>
      </c>
      <c r="C208" s="355" t="s">
        <v>3193</v>
      </c>
      <c r="D208" s="145">
        <v>43831</v>
      </c>
      <c r="E208" s="146">
        <v>44196</v>
      </c>
      <c r="F208" s="149">
        <v>0.32876712328767121</v>
      </c>
      <c r="G208" s="355">
        <v>106000.12</v>
      </c>
      <c r="H208" s="355">
        <v>107439.76</v>
      </c>
      <c r="I208" s="359">
        <v>32279.919999999998</v>
      </c>
      <c r="J208" s="353">
        <f t="shared" si="15"/>
        <v>0.30044668752052311</v>
      </c>
      <c r="M208" s="74">
        <f t="shared" si="11"/>
        <v>365</v>
      </c>
      <c r="N208" s="146">
        <v>43951</v>
      </c>
      <c r="O208" s="74">
        <f t="shared" si="12"/>
        <v>245</v>
      </c>
      <c r="P208" s="354">
        <f t="shared" si="13"/>
        <v>0.32876712328767121</v>
      </c>
    </row>
    <row r="209" spans="1:16" ht="18.75" customHeight="1">
      <c r="A209" s="349">
        <f t="shared" si="14"/>
        <v>161</v>
      </c>
      <c r="B209" s="358" t="s">
        <v>3194</v>
      </c>
      <c r="C209" s="355" t="s">
        <v>3195</v>
      </c>
      <c r="D209" s="145">
        <v>43466</v>
      </c>
      <c r="E209" s="146">
        <v>44561</v>
      </c>
      <c r="F209" s="149">
        <v>0.44292237442922372</v>
      </c>
      <c r="G209" s="355">
        <v>5560192</v>
      </c>
      <c r="H209" s="355">
        <v>5560192</v>
      </c>
      <c r="I209" s="359">
        <v>749539.12</v>
      </c>
      <c r="J209" s="353">
        <f t="shared" si="15"/>
        <v>0.13480453912382881</v>
      </c>
      <c r="M209" s="74">
        <f t="shared" si="11"/>
        <v>1095</v>
      </c>
      <c r="N209" s="146">
        <v>43951</v>
      </c>
      <c r="O209" s="74">
        <f t="shared" si="12"/>
        <v>610</v>
      </c>
      <c r="P209" s="354">
        <f t="shared" si="13"/>
        <v>0.44292237442922372</v>
      </c>
    </row>
    <row r="210" spans="1:16" ht="18.75" customHeight="1">
      <c r="A210" s="349">
        <f t="shared" si="14"/>
        <v>162</v>
      </c>
      <c r="B210" s="358" t="s">
        <v>3196</v>
      </c>
      <c r="C210" s="355" t="s">
        <v>3197</v>
      </c>
      <c r="D210" s="145">
        <v>43831</v>
      </c>
      <c r="E210" s="146">
        <v>44196</v>
      </c>
      <c r="F210" s="149">
        <v>0.32876712328767121</v>
      </c>
      <c r="G210" s="355">
        <v>110999.75999999998</v>
      </c>
      <c r="H210" s="355">
        <v>112507.32</v>
      </c>
      <c r="I210" s="359">
        <v>33802.44</v>
      </c>
      <c r="J210" s="353">
        <f t="shared" si="15"/>
        <v>0.30044658427558313</v>
      </c>
      <c r="M210" s="74">
        <f t="shared" si="11"/>
        <v>365</v>
      </c>
      <c r="N210" s="146">
        <v>43951</v>
      </c>
      <c r="O210" s="74">
        <f t="shared" si="12"/>
        <v>245</v>
      </c>
      <c r="P210" s="354">
        <f t="shared" si="13"/>
        <v>0.32876712328767121</v>
      </c>
    </row>
    <row r="211" spans="1:16" ht="18.75" customHeight="1">
      <c r="A211" s="349">
        <f t="shared" si="14"/>
        <v>163</v>
      </c>
      <c r="B211" s="358" t="s">
        <v>3198</v>
      </c>
      <c r="C211" s="355" t="s">
        <v>3199</v>
      </c>
      <c r="D211" s="145">
        <v>43831</v>
      </c>
      <c r="E211" s="146">
        <v>44196</v>
      </c>
      <c r="F211" s="149">
        <v>0.32876712328767121</v>
      </c>
      <c r="G211" s="355">
        <v>108203</v>
      </c>
      <c r="H211" s="355">
        <v>108203</v>
      </c>
      <c r="I211" s="359">
        <v>21640.6</v>
      </c>
      <c r="J211" s="353">
        <f t="shared" si="15"/>
        <v>0.19999999999999998</v>
      </c>
      <c r="M211" s="74">
        <f t="shared" si="11"/>
        <v>365</v>
      </c>
      <c r="N211" s="146">
        <v>43951</v>
      </c>
      <c r="O211" s="74">
        <f t="shared" si="12"/>
        <v>245</v>
      </c>
      <c r="P211" s="354">
        <f t="shared" si="13"/>
        <v>0.32876712328767121</v>
      </c>
    </row>
    <row r="212" spans="1:16" ht="18.75" customHeight="1">
      <c r="A212" s="349">
        <f t="shared" si="14"/>
        <v>164</v>
      </c>
      <c r="B212" s="358" t="s">
        <v>3200</v>
      </c>
      <c r="C212" s="355" t="s">
        <v>3201</v>
      </c>
      <c r="D212" s="145">
        <v>43831</v>
      </c>
      <c r="E212" s="146">
        <v>44196</v>
      </c>
      <c r="F212" s="149">
        <v>0.32876712328767121</v>
      </c>
      <c r="G212" s="355">
        <v>108203</v>
      </c>
      <c r="H212" s="355">
        <v>108203</v>
      </c>
      <c r="I212" s="359">
        <v>21640.6</v>
      </c>
      <c r="J212" s="353">
        <f t="shared" si="15"/>
        <v>0.19999999999999998</v>
      </c>
      <c r="M212" s="74">
        <f t="shared" si="11"/>
        <v>365</v>
      </c>
      <c r="N212" s="146">
        <v>43951</v>
      </c>
      <c r="O212" s="74">
        <f t="shared" si="12"/>
        <v>245</v>
      </c>
      <c r="P212" s="354">
        <f t="shared" si="13"/>
        <v>0.32876712328767121</v>
      </c>
    </row>
    <row r="213" spans="1:16" ht="18.75" customHeight="1">
      <c r="A213" s="349">
        <f t="shared" si="14"/>
        <v>165</v>
      </c>
      <c r="B213" s="358" t="s">
        <v>3202</v>
      </c>
      <c r="C213" s="355" t="s">
        <v>3203</v>
      </c>
      <c r="D213" s="145">
        <v>43831</v>
      </c>
      <c r="E213" s="146">
        <v>44561</v>
      </c>
      <c r="F213" s="149">
        <v>0.16438356164383561</v>
      </c>
      <c r="G213" s="355">
        <v>1112062.47</v>
      </c>
      <c r="H213" s="355">
        <v>1112062.47</v>
      </c>
      <c r="I213" s="359">
        <v>241405.96</v>
      </c>
      <c r="J213" s="353">
        <f t="shared" si="15"/>
        <v>0.21707949554308761</v>
      </c>
      <c r="M213" s="74">
        <f t="shared" si="11"/>
        <v>730</v>
      </c>
      <c r="N213" s="146">
        <v>43951</v>
      </c>
      <c r="O213" s="74">
        <f t="shared" si="12"/>
        <v>610</v>
      </c>
      <c r="P213" s="354">
        <f t="shared" si="13"/>
        <v>0.16438356164383561</v>
      </c>
    </row>
    <row r="214" spans="1:16" ht="18.75" customHeight="1">
      <c r="A214" s="349">
        <f t="shared" si="14"/>
        <v>166</v>
      </c>
      <c r="B214" s="358" t="s">
        <v>3204</v>
      </c>
      <c r="C214" s="355" t="s">
        <v>3205</v>
      </c>
      <c r="D214" s="145">
        <v>43831</v>
      </c>
      <c r="E214" s="146">
        <v>44196</v>
      </c>
      <c r="F214" s="149">
        <v>0.32876712328767121</v>
      </c>
      <c r="G214" s="355">
        <v>135253.76000000001</v>
      </c>
      <c r="H214" s="355">
        <v>135253.76000000001</v>
      </c>
      <c r="I214" s="359">
        <v>54101.52</v>
      </c>
      <c r="J214" s="353">
        <f t="shared" si="15"/>
        <v>0.40000011829615673</v>
      </c>
      <c r="M214" s="74">
        <f t="shared" si="11"/>
        <v>365</v>
      </c>
      <c r="N214" s="146">
        <v>43951</v>
      </c>
      <c r="O214" s="74">
        <f t="shared" si="12"/>
        <v>245</v>
      </c>
      <c r="P214" s="354">
        <f t="shared" si="13"/>
        <v>0.32876712328767121</v>
      </c>
    </row>
    <row r="215" spans="1:16" ht="18.75" customHeight="1">
      <c r="A215" s="349">
        <f t="shared" si="14"/>
        <v>167</v>
      </c>
      <c r="B215" s="358" t="s">
        <v>3206</v>
      </c>
      <c r="C215" s="355" t="s">
        <v>3207</v>
      </c>
      <c r="D215" s="145">
        <v>43709</v>
      </c>
      <c r="E215" s="146">
        <v>43982</v>
      </c>
      <c r="F215" s="149">
        <v>0.88644688644688641</v>
      </c>
      <c r="G215" s="355">
        <v>279699.43</v>
      </c>
      <c r="H215" s="355">
        <v>279699.43</v>
      </c>
      <c r="I215" s="359">
        <v>229097.96000000002</v>
      </c>
      <c r="J215" s="353">
        <f t="shared" si="15"/>
        <v>0.81908625984686501</v>
      </c>
      <c r="M215" s="74">
        <f t="shared" si="11"/>
        <v>273</v>
      </c>
      <c r="N215" s="146">
        <v>43951</v>
      </c>
      <c r="O215" s="74">
        <f t="shared" si="12"/>
        <v>31</v>
      </c>
      <c r="P215" s="354">
        <f t="shared" si="13"/>
        <v>0.88644688644688641</v>
      </c>
    </row>
    <row r="216" spans="1:16" ht="18.75" customHeight="1">
      <c r="A216" s="349">
        <f t="shared" si="14"/>
        <v>168</v>
      </c>
      <c r="B216" s="358" t="s">
        <v>3208</v>
      </c>
      <c r="C216" s="355" t="s">
        <v>3209</v>
      </c>
      <c r="D216" s="145">
        <v>43525</v>
      </c>
      <c r="E216" s="146">
        <v>44196</v>
      </c>
      <c r="F216" s="149">
        <v>0.63487332339791358</v>
      </c>
      <c r="G216" s="355">
        <v>425137.34</v>
      </c>
      <c r="H216" s="355">
        <v>425137.34</v>
      </c>
      <c r="I216" s="359">
        <v>357904.60000000003</v>
      </c>
      <c r="J216" s="353">
        <f t="shared" si="15"/>
        <v>0.84185642220935009</v>
      </c>
      <c r="M216" s="74">
        <f t="shared" si="11"/>
        <v>671</v>
      </c>
      <c r="N216" s="146">
        <v>43951</v>
      </c>
      <c r="O216" s="74">
        <f t="shared" si="12"/>
        <v>245</v>
      </c>
      <c r="P216" s="354">
        <f t="shared" si="13"/>
        <v>0.63487332339791358</v>
      </c>
    </row>
    <row r="217" spans="1:16" ht="18.75" customHeight="1">
      <c r="A217" s="349">
        <f t="shared" si="14"/>
        <v>169</v>
      </c>
      <c r="B217" s="358" t="s">
        <v>3210</v>
      </c>
      <c r="C217" s="355" t="s">
        <v>3211</v>
      </c>
      <c r="D217" s="145">
        <v>43709</v>
      </c>
      <c r="E217" s="146">
        <v>44196</v>
      </c>
      <c r="F217" s="149">
        <v>0.49691991786447637</v>
      </c>
      <c r="G217" s="355">
        <v>1098070.79</v>
      </c>
      <c r="H217" s="355">
        <v>1098070.79</v>
      </c>
      <c r="I217" s="359">
        <v>424858.98000000004</v>
      </c>
      <c r="J217" s="353">
        <f t="shared" si="15"/>
        <v>0.38691401671835751</v>
      </c>
      <c r="M217" s="74">
        <f t="shared" si="11"/>
        <v>487</v>
      </c>
      <c r="N217" s="146">
        <v>43951</v>
      </c>
      <c r="O217" s="74">
        <f t="shared" si="12"/>
        <v>245</v>
      </c>
      <c r="P217" s="354">
        <f t="shared" si="13"/>
        <v>0.49691991786447637</v>
      </c>
    </row>
    <row r="218" spans="1:16" ht="18.75" customHeight="1">
      <c r="A218" s="349">
        <f t="shared" si="14"/>
        <v>170</v>
      </c>
      <c r="B218" s="358" t="s">
        <v>3212</v>
      </c>
      <c r="C218" s="355" t="s">
        <v>3213</v>
      </c>
      <c r="D218" s="145">
        <v>43617</v>
      </c>
      <c r="E218" s="146">
        <v>44196</v>
      </c>
      <c r="F218" s="149">
        <v>0.57685664939550951</v>
      </c>
      <c r="G218" s="355">
        <v>1069020.28</v>
      </c>
      <c r="H218" s="355">
        <v>1069020.28</v>
      </c>
      <c r="I218" s="359">
        <v>564774.91</v>
      </c>
      <c r="J218" s="353">
        <f t="shared" si="15"/>
        <v>0.52831075384276149</v>
      </c>
      <c r="M218" s="74">
        <f t="shared" si="11"/>
        <v>579</v>
      </c>
      <c r="N218" s="146">
        <v>43951</v>
      </c>
      <c r="O218" s="74">
        <f t="shared" si="12"/>
        <v>245</v>
      </c>
      <c r="P218" s="354">
        <f t="shared" si="13"/>
        <v>0.57685664939550951</v>
      </c>
    </row>
    <row r="219" spans="1:16" ht="18.75" customHeight="1">
      <c r="A219" s="349">
        <f t="shared" si="14"/>
        <v>171</v>
      </c>
      <c r="B219" s="358" t="s">
        <v>3214</v>
      </c>
      <c r="C219" s="355" t="s">
        <v>3215</v>
      </c>
      <c r="D219" s="145">
        <v>43922</v>
      </c>
      <c r="E219" s="146">
        <v>44196</v>
      </c>
      <c r="F219" s="149">
        <v>0.10583941605839416</v>
      </c>
      <c r="G219" s="355">
        <v>144196.47</v>
      </c>
      <c r="H219" s="355">
        <v>144196.47</v>
      </c>
      <c r="I219" s="359">
        <v>57678.59</v>
      </c>
      <c r="J219" s="353">
        <f t="shared" si="15"/>
        <v>0.40000001386996503</v>
      </c>
      <c r="M219" s="74">
        <f t="shared" si="11"/>
        <v>274</v>
      </c>
      <c r="N219" s="146">
        <v>43951</v>
      </c>
      <c r="O219" s="74">
        <f t="shared" si="12"/>
        <v>245</v>
      </c>
      <c r="P219" s="354">
        <f t="shared" si="13"/>
        <v>0.10583941605839416</v>
      </c>
    </row>
    <row r="220" spans="1:16" ht="18.75" customHeight="1">
      <c r="A220" s="349">
        <f t="shared" si="14"/>
        <v>172</v>
      </c>
      <c r="B220" s="358" t="s">
        <v>3216</v>
      </c>
      <c r="C220" s="355" t="s">
        <v>3217</v>
      </c>
      <c r="D220" s="145">
        <v>43617</v>
      </c>
      <c r="E220" s="146">
        <v>44196</v>
      </c>
      <c r="F220" s="149">
        <v>0.57685664939550951</v>
      </c>
      <c r="G220" s="355">
        <v>143320.92000000001</v>
      </c>
      <c r="H220" s="355">
        <v>143320.92000000001</v>
      </c>
      <c r="I220" s="359">
        <v>133589.95000000001</v>
      </c>
      <c r="J220" s="353">
        <f t="shared" si="15"/>
        <v>0.9321036314865967</v>
      </c>
      <c r="M220" s="74">
        <f t="shared" si="11"/>
        <v>579</v>
      </c>
      <c r="N220" s="146">
        <v>43951</v>
      </c>
      <c r="O220" s="74">
        <f t="shared" si="12"/>
        <v>245</v>
      </c>
      <c r="P220" s="354">
        <f t="shared" si="13"/>
        <v>0.57685664939550951</v>
      </c>
    </row>
    <row r="221" spans="1:16" ht="18.75" customHeight="1">
      <c r="A221" s="349">
        <f t="shared" si="14"/>
        <v>173</v>
      </c>
      <c r="B221" s="358" t="s">
        <v>3218</v>
      </c>
      <c r="C221" s="355" t="s">
        <v>3219</v>
      </c>
      <c r="D221" s="145">
        <v>43617</v>
      </c>
      <c r="E221" s="146">
        <v>44196</v>
      </c>
      <c r="F221" s="149">
        <v>0.57685664939550951</v>
      </c>
      <c r="G221" s="355">
        <v>487619.21</v>
      </c>
      <c r="H221" s="355">
        <v>487619.21</v>
      </c>
      <c r="I221" s="359">
        <v>454887.51</v>
      </c>
      <c r="J221" s="353">
        <f t="shared" si="15"/>
        <v>0.93287446571270227</v>
      </c>
      <c r="M221" s="74">
        <f t="shared" si="11"/>
        <v>579</v>
      </c>
      <c r="N221" s="146">
        <v>43951</v>
      </c>
      <c r="O221" s="74">
        <f t="shared" si="12"/>
        <v>245</v>
      </c>
      <c r="P221" s="354">
        <f t="shared" si="13"/>
        <v>0.57685664939550951</v>
      </c>
    </row>
    <row r="222" spans="1:16" ht="18.75" customHeight="1">
      <c r="A222" s="349">
        <f t="shared" si="14"/>
        <v>174</v>
      </c>
      <c r="B222" s="358" t="s">
        <v>3220</v>
      </c>
      <c r="C222" s="355" t="s">
        <v>3221</v>
      </c>
      <c r="D222" s="145">
        <v>43617</v>
      </c>
      <c r="E222" s="146">
        <v>44196</v>
      </c>
      <c r="F222" s="149">
        <v>0.57685664939550951</v>
      </c>
      <c r="G222" s="355">
        <v>798286.48</v>
      </c>
      <c r="H222" s="355">
        <v>798286.48</v>
      </c>
      <c r="I222" s="359">
        <v>727515.19</v>
      </c>
      <c r="J222" s="353">
        <f t="shared" si="15"/>
        <v>0.91134599949632111</v>
      </c>
      <c r="M222" s="74">
        <f t="shared" si="11"/>
        <v>579</v>
      </c>
      <c r="N222" s="146">
        <v>43951</v>
      </c>
      <c r="O222" s="74">
        <f t="shared" si="12"/>
        <v>245</v>
      </c>
      <c r="P222" s="354">
        <f t="shared" si="13"/>
        <v>0.57685664939550951</v>
      </c>
    </row>
    <row r="223" spans="1:16" ht="18.75" customHeight="1">
      <c r="A223" s="349">
        <f t="shared" si="14"/>
        <v>175</v>
      </c>
      <c r="B223" s="358" t="s">
        <v>3222</v>
      </c>
      <c r="C223" s="355" t="s">
        <v>3223</v>
      </c>
      <c r="D223" s="145">
        <v>43617</v>
      </c>
      <c r="E223" s="146">
        <v>44196</v>
      </c>
      <c r="F223" s="149">
        <v>0.57685664939550951</v>
      </c>
      <c r="G223" s="355">
        <v>886984.89</v>
      </c>
      <c r="H223" s="355">
        <v>886984.89</v>
      </c>
      <c r="I223" s="359">
        <v>842752.8600000001</v>
      </c>
      <c r="J223" s="353">
        <f t="shared" si="15"/>
        <v>0.95013214937629897</v>
      </c>
      <c r="M223" s="74">
        <f t="shared" si="11"/>
        <v>579</v>
      </c>
      <c r="N223" s="146">
        <v>43951</v>
      </c>
      <c r="O223" s="74">
        <f t="shared" si="12"/>
        <v>245</v>
      </c>
      <c r="P223" s="354">
        <f t="shared" si="13"/>
        <v>0.57685664939550951</v>
      </c>
    </row>
    <row r="224" spans="1:16" ht="18.75" customHeight="1">
      <c r="A224" s="349">
        <f t="shared" si="14"/>
        <v>176</v>
      </c>
      <c r="B224" s="358" t="s">
        <v>3224</v>
      </c>
      <c r="C224" s="355" t="s">
        <v>3225</v>
      </c>
      <c r="D224" s="145">
        <v>43617</v>
      </c>
      <c r="E224" s="146">
        <v>44196</v>
      </c>
      <c r="F224" s="149">
        <v>0.57685664939550951</v>
      </c>
      <c r="G224" s="355">
        <v>133047.75</v>
      </c>
      <c r="H224" s="355">
        <v>133047.75</v>
      </c>
      <c r="I224" s="359">
        <v>123316.70000000001</v>
      </c>
      <c r="J224" s="353">
        <f t="shared" si="15"/>
        <v>0.92686046926761267</v>
      </c>
      <c r="M224" s="74">
        <f t="shared" si="11"/>
        <v>579</v>
      </c>
      <c r="N224" s="146">
        <v>43951</v>
      </c>
      <c r="O224" s="74">
        <f t="shared" si="12"/>
        <v>245</v>
      </c>
      <c r="P224" s="354">
        <f t="shared" si="13"/>
        <v>0.57685664939550951</v>
      </c>
    </row>
    <row r="225" spans="1:16" s="360" customFormat="1" ht="20.100000000000001" customHeight="1">
      <c r="A225" s="767" t="str">
        <f>$A$1</f>
        <v>KENTUCKY UTILITIES COMPANY</v>
      </c>
      <c r="B225" s="767"/>
      <c r="C225" s="767"/>
      <c r="D225" s="767"/>
      <c r="E225" s="767"/>
      <c r="F225" s="767"/>
      <c r="G225" s="767"/>
      <c r="H225" s="767"/>
      <c r="I225" s="767"/>
      <c r="J225" s="767"/>
    </row>
    <row r="226" spans="1:16" s="360" customFormat="1" ht="20.100000000000001" customHeight="1">
      <c r="A226" s="767" t="str">
        <f>$A$2</f>
        <v>CASE NO. 2018-00294</v>
      </c>
      <c r="B226" s="767"/>
      <c r="C226" s="767"/>
      <c r="D226" s="767"/>
      <c r="E226" s="767"/>
      <c r="F226" s="767"/>
      <c r="G226" s="767"/>
      <c r="H226" s="767"/>
      <c r="I226" s="767"/>
      <c r="J226" s="767"/>
    </row>
    <row r="227" spans="1:16" s="360" customFormat="1" ht="20.100000000000001" customHeight="1">
      <c r="A227" s="767" t="s">
        <v>1219</v>
      </c>
      <c r="B227" s="767"/>
      <c r="C227" s="767"/>
      <c r="D227" s="767"/>
      <c r="E227" s="767"/>
      <c r="F227" s="767"/>
      <c r="G227" s="767"/>
      <c r="H227" s="767"/>
      <c r="I227" s="767"/>
      <c r="J227" s="767"/>
    </row>
    <row r="228" spans="1:16" s="360" customFormat="1" ht="20.100000000000001" customHeight="1">
      <c r="A228" s="767" t="str">
        <f>$A$4</f>
        <v>AS OF APRIL 30, 2020</v>
      </c>
      <c r="B228" s="767"/>
      <c r="C228" s="767"/>
      <c r="D228" s="767"/>
      <c r="E228" s="767"/>
      <c r="F228" s="767"/>
      <c r="G228" s="767"/>
      <c r="H228" s="767"/>
      <c r="I228" s="767"/>
      <c r="J228" s="767"/>
    </row>
    <row r="229" spans="1:16" s="360" customFormat="1" ht="20.100000000000001" customHeight="1">
      <c r="A229" s="347"/>
      <c r="B229" s="347"/>
      <c r="C229" s="347"/>
      <c r="D229" s="347"/>
      <c r="E229" s="347"/>
      <c r="F229" s="347"/>
      <c r="G229" s="347"/>
      <c r="H229" s="347"/>
      <c r="I229" s="347"/>
      <c r="J229" s="347"/>
    </row>
    <row r="230" spans="1:16" s="360" customFormat="1" ht="20.100000000000001" customHeight="1">
      <c r="A230" s="67" t="str">
        <f>$A$6</f>
        <v>DATA:____BASE  PERIOD__X__FORECASTED  PERIOD</v>
      </c>
      <c r="B230" s="348"/>
      <c r="C230" s="68"/>
      <c r="D230" s="144"/>
      <c r="E230" s="144"/>
      <c r="F230" s="68"/>
      <c r="G230" s="74"/>
      <c r="H230" s="74"/>
      <c r="I230" s="74"/>
      <c r="J230" s="74" t="s">
        <v>1714</v>
      </c>
    </row>
    <row r="231" spans="1:16" s="360" customFormat="1" ht="20.100000000000001" customHeight="1">
      <c r="A231" s="67" t="str">
        <f>$A$7</f>
        <v>TYPE OF FILING: __X__ ORIGINAL  _____ UPDATED  _____ REVISED</v>
      </c>
      <c r="B231" s="349"/>
      <c r="C231" s="68"/>
      <c r="D231" s="144"/>
      <c r="E231" s="144"/>
      <c r="F231" s="68"/>
      <c r="G231" s="74"/>
      <c r="H231" s="74"/>
      <c r="I231" s="74"/>
      <c r="J231" s="74" t="s">
        <v>3401</v>
      </c>
    </row>
    <row r="232" spans="1:16" s="360" customFormat="1" ht="20.100000000000001" customHeight="1">
      <c r="A232" s="67" t="str">
        <f>$A$8</f>
        <v>WORKPAPER REFERENCE NO(S).:</v>
      </c>
      <c r="B232" s="348"/>
      <c r="C232" s="68"/>
      <c r="D232" s="144"/>
      <c r="E232" s="144"/>
      <c r="F232" s="67"/>
      <c r="G232" s="75"/>
      <c r="H232" s="75"/>
      <c r="I232" s="75"/>
      <c r="J232" s="75" t="str">
        <f>$J$8</f>
        <v>WITNESS:   C. M. GARRETT</v>
      </c>
    </row>
    <row r="233" spans="1:16" s="360" customFormat="1" ht="20.100000000000001" customHeight="1">
      <c r="A233" s="68"/>
      <c r="B233" s="349"/>
      <c r="C233" s="68"/>
      <c r="D233" s="144"/>
      <c r="E233" s="144"/>
      <c r="F233" s="68"/>
      <c r="G233" s="68"/>
      <c r="H233" s="68"/>
      <c r="I233" s="68"/>
      <c r="J233" s="68"/>
    </row>
    <row r="234" spans="1:16" s="360" customFormat="1" ht="65.099999999999994" customHeight="1">
      <c r="A234" s="76" t="s">
        <v>131</v>
      </c>
      <c r="B234" s="76" t="s">
        <v>1222</v>
      </c>
      <c r="C234" s="76" t="s">
        <v>1223</v>
      </c>
      <c r="D234" s="142" t="s">
        <v>1225</v>
      </c>
      <c r="E234" s="142" t="s">
        <v>1226</v>
      </c>
      <c r="F234" s="76" t="s">
        <v>1227</v>
      </c>
      <c r="G234" s="76" t="s">
        <v>1228</v>
      </c>
      <c r="H234" s="76" t="s">
        <v>1229</v>
      </c>
      <c r="I234" s="76" t="s">
        <v>1230</v>
      </c>
      <c r="J234" s="76" t="s">
        <v>1231</v>
      </c>
      <c r="M234" s="361" t="s">
        <v>1239</v>
      </c>
      <c r="N234" s="361" t="s">
        <v>1240</v>
      </c>
      <c r="O234" s="361" t="s">
        <v>1241</v>
      </c>
      <c r="P234" s="361" t="s">
        <v>1227</v>
      </c>
    </row>
    <row r="235" spans="1:16" s="360" customFormat="1" ht="23.1" customHeight="1">
      <c r="A235" s="80" t="s">
        <v>1220</v>
      </c>
      <c r="B235" s="80" t="s">
        <v>1221</v>
      </c>
      <c r="C235" s="80" t="s">
        <v>1224</v>
      </c>
      <c r="D235" s="356" t="s">
        <v>1232</v>
      </c>
      <c r="E235" s="356" t="s">
        <v>1233</v>
      </c>
      <c r="F235" s="357" t="s">
        <v>1234</v>
      </c>
      <c r="G235" s="357" t="s">
        <v>1235</v>
      </c>
      <c r="H235" s="357" t="s">
        <v>1236</v>
      </c>
      <c r="I235" s="357" t="s">
        <v>1237</v>
      </c>
      <c r="J235" s="357" t="s">
        <v>1238</v>
      </c>
    </row>
    <row r="236" spans="1:16" s="360" customFormat="1" ht="18.95" customHeight="1">
      <c r="A236" s="73"/>
      <c r="B236" s="73"/>
      <c r="C236" s="73"/>
      <c r="D236" s="362"/>
      <c r="E236" s="362"/>
      <c r="F236" s="363"/>
      <c r="G236" s="363"/>
      <c r="H236" s="363"/>
      <c r="I236" s="363"/>
      <c r="J236" s="363"/>
    </row>
    <row r="237" spans="1:16" ht="18.75" customHeight="1">
      <c r="A237" s="349">
        <f>A224+1</f>
        <v>177</v>
      </c>
      <c r="B237" s="358" t="s">
        <v>3226</v>
      </c>
      <c r="C237" s="355" t="s">
        <v>3227</v>
      </c>
      <c r="D237" s="145">
        <v>43678</v>
      </c>
      <c r="E237" s="146">
        <v>44561</v>
      </c>
      <c r="F237" s="149">
        <v>0.30917327293318231</v>
      </c>
      <c r="G237" s="355">
        <v>133774.42000000001</v>
      </c>
      <c r="H237" s="355">
        <v>133774.42000000001</v>
      </c>
      <c r="I237" s="359">
        <v>82465.260000000009</v>
      </c>
      <c r="J237" s="353">
        <f t="shared" si="15"/>
        <v>0.61645014046781144</v>
      </c>
      <c r="M237" s="74">
        <f t="shared" si="11"/>
        <v>883</v>
      </c>
      <c r="N237" s="146">
        <v>43951</v>
      </c>
      <c r="O237" s="74">
        <f t="shared" si="12"/>
        <v>610</v>
      </c>
      <c r="P237" s="354">
        <f t="shared" si="13"/>
        <v>0.30917327293318231</v>
      </c>
    </row>
    <row r="238" spans="1:16" ht="18.75" customHeight="1">
      <c r="A238" s="349">
        <f t="shared" si="14"/>
        <v>178</v>
      </c>
      <c r="B238" s="358" t="s">
        <v>3228</v>
      </c>
      <c r="C238" s="355" t="s">
        <v>3229</v>
      </c>
      <c r="D238" s="145">
        <v>43466</v>
      </c>
      <c r="E238" s="146">
        <v>44196</v>
      </c>
      <c r="F238" s="149">
        <v>0.66438356164383561</v>
      </c>
      <c r="G238" s="355">
        <v>221374.46</v>
      </c>
      <c r="H238" s="355">
        <v>221374.46</v>
      </c>
      <c r="I238" s="359">
        <v>181548.25</v>
      </c>
      <c r="J238" s="353">
        <f t="shared" si="15"/>
        <v>0.82009573281398407</v>
      </c>
      <c r="M238" s="74">
        <f t="shared" si="11"/>
        <v>730</v>
      </c>
      <c r="N238" s="146">
        <v>43951</v>
      </c>
      <c r="O238" s="74">
        <f t="shared" si="12"/>
        <v>245</v>
      </c>
      <c r="P238" s="354">
        <f t="shared" si="13"/>
        <v>0.66438356164383561</v>
      </c>
    </row>
    <row r="239" spans="1:16" ht="18.75" customHeight="1">
      <c r="A239" s="349">
        <f t="shared" si="14"/>
        <v>179</v>
      </c>
      <c r="B239" s="358" t="s">
        <v>3230</v>
      </c>
      <c r="C239" s="355" t="s">
        <v>3231</v>
      </c>
      <c r="D239" s="145">
        <v>43466</v>
      </c>
      <c r="E239" s="146">
        <v>44196</v>
      </c>
      <c r="F239" s="149">
        <v>0.66438356164383561</v>
      </c>
      <c r="G239" s="355">
        <v>44274.89</v>
      </c>
      <c r="H239" s="355">
        <v>44274.89</v>
      </c>
      <c r="I239" s="359">
        <v>36309.65</v>
      </c>
      <c r="J239" s="353">
        <f t="shared" si="15"/>
        <v>0.82009576985962029</v>
      </c>
      <c r="M239" s="74">
        <f t="shared" si="11"/>
        <v>730</v>
      </c>
      <c r="N239" s="146">
        <v>43951</v>
      </c>
      <c r="O239" s="74">
        <f t="shared" si="12"/>
        <v>245</v>
      </c>
      <c r="P239" s="354">
        <f t="shared" si="13"/>
        <v>0.66438356164383561</v>
      </c>
    </row>
    <row r="240" spans="1:16" ht="18.75" customHeight="1">
      <c r="A240" s="349">
        <f t="shared" si="14"/>
        <v>180</v>
      </c>
      <c r="B240" s="358" t="s">
        <v>3232</v>
      </c>
      <c r="C240" s="355" t="s">
        <v>3233</v>
      </c>
      <c r="D240" s="145">
        <v>43466</v>
      </c>
      <c r="E240" s="146">
        <v>44196</v>
      </c>
      <c r="F240" s="149">
        <v>0.66438356164383561</v>
      </c>
      <c r="G240" s="355">
        <v>127486.29000000001</v>
      </c>
      <c r="H240" s="355">
        <v>127486.29000000001</v>
      </c>
      <c r="I240" s="359">
        <v>92085.19</v>
      </c>
      <c r="J240" s="353">
        <f t="shared" si="15"/>
        <v>0.72231445436211217</v>
      </c>
      <c r="M240" s="74">
        <f t="shared" si="11"/>
        <v>730</v>
      </c>
      <c r="N240" s="146">
        <v>43951</v>
      </c>
      <c r="O240" s="74">
        <f t="shared" si="12"/>
        <v>245</v>
      </c>
      <c r="P240" s="354">
        <f t="shared" si="13"/>
        <v>0.66438356164383561</v>
      </c>
    </row>
    <row r="241" spans="1:16" ht="18.75" customHeight="1">
      <c r="A241" s="349">
        <f t="shared" si="14"/>
        <v>181</v>
      </c>
      <c r="B241" s="358" t="s">
        <v>3234</v>
      </c>
      <c r="C241" s="355" t="s">
        <v>3235</v>
      </c>
      <c r="D241" s="145">
        <v>43466</v>
      </c>
      <c r="E241" s="146">
        <v>44196</v>
      </c>
      <c r="F241" s="149">
        <v>0.66438356164383561</v>
      </c>
      <c r="G241" s="355">
        <v>87778.060000000012</v>
      </c>
      <c r="H241" s="355">
        <v>87778.060000000012</v>
      </c>
      <c r="I241" s="359">
        <v>54742.439999999995</v>
      </c>
      <c r="J241" s="353">
        <f t="shared" si="15"/>
        <v>0.62364604549246117</v>
      </c>
      <c r="M241" s="74">
        <f t="shared" si="11"/>
        <v>730</v>
      </c>
      <c r="N241" s="146">
        <v>43951</v>
      </c>
      <c r="O241" s="74">
        <f t="shared" si="12"/>
        <v>245</v>
      </c>
      <c r="P241" s="354">
        <f t="shared" si="13"/>
        <v>0.66438356164383561</v>
      </c>
    </row>
    <row r="242" spans="1:16" ht="18.75" customHeight="1">
      <c r="A242" s="349">
        <f t="shared" si="14"/>
        <v>182</v>
      </c>
      <c r="B242" s="358" t="s">
        <v>3236</v>
      </c>
      <c r="C242" s="355" t="s">
        <v>3237</v>
      </c>
      <c r="D242" s="145">
        <v>43466</v>
      </c>
      <c r="E242" s="146">
        <v>44196</v>
      </c>
      <c r="F242" s="149">
        <v>0.66438356164383561</v>
      </c>
      <c r="G242" s="355">
        <v>44274.89</v>
      </c>
      <c r="H242" s="355">
        <v>44274.89</v>
      </c>
      <c r="I242" s="359">
        <v>36309.65</v>
      </c>
      <c r="J242" s="353">
        <f t="shared" si="15"/>
        <v>0.82009576985962029</v>
      </c>
      <c r="M242" s="74">
        <f t="shared" si="11"/>
        <v>730</v>
      </c>
      <c r="N242" s="146">
        <v>43951</v>
      </c>
      <c r="O242" s="74">
        <f t="shared" si="12"/>
        <v>245</v>
      </c>
      <c r="P242" s="354">
        <f t="shared" si="13"/>
        <v>0.66438356164383561</v>
      </c>
    </row>
    <row r="243" spans="1:16" ht="18.75" customHeight="1">
      <c r="A243" s="349">
        <f t="shared" si="14"/>
        <v>183</v>
      </c>
      <c r="B243" s="358" t="s">
        <v>3238</v>
      </c>
      <c r="C243" s="355" t="s">
        <v>3239</v>
      </c>
      <c r="D243" s="145">
        <v>43466</v>
      </c>
      <c r="E243" s="146">
        <v>44196</v>
      </c>
      <c r="F243" s="149">
        <v>0.66438356164383561</v>
      </c>
      <c r="G243" s="355">
        <v>87778.060000000012</v>
      </c>
      <c r="H243" s="355">
        <v>87778.060000000012</v>
      </c>
      <c r="I243" s="359">
        <v>54742.439999999995</v>
      </c>
      <c r="J243" s="353">
        <f t="shared" si="15"/>
        <v>0.62364604549246117</v>
      </c>
      <c r="M243" s="74">
        <f t="shared" si="11"/>
        <v>730</v>
      </c>
      <c r="N243" s="146">
        <v>43951</v>
      </c>
      <c r="O243" s="74">
        <f t="shared" si="12"/>
        <v>245</v>
      </c>
      <c r="P243" s="354">
        <f t="shared" si="13"/>
        <v>0.66438356164383561</v>
      </c>
    </row>
    <row r="244" spans="1:16" ht="18.75" customHeight="1">
      <c r="A244" s="349">
        <f t="shared" si="14"/>
        <v>184</v>
      </c>
      <c r="B244" s="358" t="s">
        <v>3240</v>
      </c>
      <c r="C244" s="355" t="s">
        <v>3241</v>
      </c>
      <c r="D244" s="145">
        <v>43466</v>
      </c>
      <c r="E244" s="146">
        <v>44196</v>
      </c>
      <c r="F244" s="149">
        <v>0.66438356164383561</v>
      </c>
      <c r="G244" s="355">
        <v>106405.67000000001</v>
      </c>
      <c r="H244" s="355">
        <v>106405.67000000001</v>
      </c>
      <c r="I244" s="359">
        <v>95785.329999999987</v>
      </c>
      <c r="J244" s="353">
        <f t="shared" si="15"/>
        <v>0.90019009325348898</v>
      </c>
      <c r="M244" s="74">
        <f t="shared" si="11"/>
        <v>730</v>
      </c>
      <c r="N244" s="146">
        <v>43951</v>
      </c>
      <c r="O244" s="74">
        <f t="shared" si="12"/>
        <v>245</v>
      </c>
      <c r="P244" s="354">
        <f t="shared" si="13"/>
        <v>0.66438356164383561</v>
      </c>
    </row>
    <row r="245" spans="1:16" ht="18.75" customHeight="1">
      <c r="A245" s="349">
        <f t="shared" si="14"/>
        <v>185</v>
      </c>
      <c r="B245" s="358" t="s">
        <v>3242</v>
      </c>
      <c r="C245" s="355" t="s">
        <v>3243</v>
      </c>
      <c r="D245" s="145">
        <v>43466</v>
      </c>
      <c r="E245" s="146">
        <v>44196</v>
      </c>
      <c r="F245" s="149">
        <v>0.66438356164383561</v>
      </c>
      <c r="G245" s="355">
        <v>1525229.96</v>
      </c>
      <c r="H245" s="355">
        <v>1525229.96</v>
      </c>
      <c r="I245" s="359">
        <v>865835.73</v>
      </c>
      <c r="J245" s="353">
        <f t="shared" si="15"/>
        <v>0.56767553267836413</v>
      </c>
      <c r="M245" s="74">
        <f t="shared" si="11"/>
        <v>730</v>
      </c>
      <c r="N245" s="146">
        <v>43951</v>
      </c>
      <c r="O245" s="74">
        <f t="shared" si="12"/>
        <v>245</v>
      </c>
      <c r="P245" s="354">
        <f t="shared" si="13"/>
        <v>0.66438356164383561</v>
      </c>
    </row>
    <row r="246" spans="1:16" ht="18.75" customHeight="1">
      <c r="A246" s="349">
        <f t="shared" si="14"/>
        <v>186</v>
      </c>
      <c r="B246" s="358" t="s">
        <v>3244</v>
      </c>
      <c r="C246" s="355" t="s">
        <v>3245</v>
      </c>
      <c r="D246" s="145">
        <v>43466</v>
      </c>
      <c r="E246" s="146">
        <v>44196</v>
      </c>
      <c r="F246" s="149">
        <v>0.66438356164383561</v>
      </c>
      <c r="G246" s="355">
        <v>1089162.78</v>
      </c>
      <c r="H246" s="355">
        <v>1089162.78</v>
      </c>
      <c r="I246" s="359">
        <v>463448.5</v>
      </c>
      <c r="J246" s="353">
        <f t="shared" si="15"/>
        <v>0.42550893999517686</v>
      </c>
      <c r="M246" s="74">
        <f t="shared" si="11"/>
        <v>730</v>
      </c>
      <c r="N246" s="146">
        <v>43951</v>
      </c>
      <c r="O246" s="74">
        <f t="shared" si="12"/>
        <v>245</v>
      </c>
      <c r="P246" s="354">
        <f t="shared" si="13"/>
        <v>0.66438356164383561</v>
      </c>
    </row>
    <row r="247" spans="1:16" ht="18.75" customHeight="1">
      <c r="A247" s="349">
        <f t="shared" si="14"/>
        <v>187</v>
      </c>
      <c r="B247" s="358" t="s">
        <v>3246</v>
      </c>
      <c r="C247" s="355" t="s">
        <v>3247</v>
      </c>
      <c r="D247" s="145">
        <v>43101</v>
      </c>
      <c r="E247" s="146">
        <v>44561</v>
      </c>
      <c r="F247" s="149">
        <v>0.5821917808219178</v>
      </c>
      <c r="G247" s="355">
        <v>600004</v>
      </c>
      <c r="H247" s="355">
        <v>1348470.44</v>
      </c>
      <c r="I247" s="359">
        <v>584996.83000000007</v>
      </c>
      <c r="J247" s="353">
        <f t="shared" si="15"/>
        <v>0.43382250930172417</v>
      </c>
      <c r="M247" s="74">
        <f t="shared" si="11"/>
        <v>1460</v>
      </c>
      <c r="N247" s="146">
        <v>43951</v>
      </c>
      <c r="O247" s="74">
        <f t="shared" si="12"/>
        <v>610</v>
      </c>
      <c r="P247" s="354">
        <f t="shared" si="13"/>
        <v>0.5821917808219178</v>
      </c>
    </row>
    <row r="248" spans="1:16" ht="18.75" customHeight="1">
      <c r="A248" s="349">
        <f t="shared" si="14"/>
        <v>188</v>
      </c>
      <c r="B248" s="358" t="s">
        <v>3248</v>
      </c>
      <c r="C248" s="355" t="s">
        <v>3249</v>
      </c>
      <c r="D248" s="145">
        <v>43831</v>
      </c>
      <c r="E248" s="146">
        <v>44104</v>
      </c>
      <c r="F248" s="149">
        <v>0.43956043956043955</v>
      </c>
      <c r="G248" s="355">
        <v>159000</v>
      </c>
      <c r="H248" s="355">
        <v>158737.59</v>
      </c>
      <c r="I248" s="359">
        <v>25341.25</v>
      </c>
      <c r="J248" s="353">
        <f t="shared" si="15"/>
        <v>0.15964240102171137</v>
      </c>
      <c r="M248" s="74">
        <f t="shared" si="11"/>
        <v>273</v>
      </c>
      <c r="N248" s="146">
        <v>43951</v>
      </c>
      <c r="O248" s="74">
        <f t="shared" si="12"/>
        <v>153</v>
      </c>
      <c r="P248" s="354">
        <f t="shared" si="13"/>
        <v>0.43956043956043955</v>
      </c>
    </row>
    <row r="249" spans="1:16" ht="18.75" customHeight="1">
      <c r="A249" s="349">
        <f t="shared" si="14"/>
        <v>189</v>
      </c>
      <c r="B249" s="358" t="s">
        <v>3250</v>
      </c>
      <c r="C249" s="355" t="s">
        <v>3251</v>
      </c>
      <c r="D249" s="145">
        <v>43831</v>
      </c>
      <c r="E249" s="146">
        <v>44074</v>
      </c>
      <c r="F249" s="149">
        <v>0.49382716049382713</v>
      </c>
      <c r="G249" s="355">
        <v>749671.83</v>
      </c>
      <c r="H249" s="355">
        <v>749671.83</v>
      </c>
      <c r="I249" s="359">
        <v>17070.3</v>
      </c>
      <c r="J249" s="353">
        <f t="shared" si="15"/>
        <v>2.2770363400209395E-2</v>
      </c>
      <c r="M249" s="74">
        <f t="shared" si="11"/>
        <v>243</v>
      </c>
      <c r="N249" s="146">
        <v>43951</v>
      </c>
      <c r="O249" s="74">
        <f t="shared" si="12"/>
        <v>123</v>
      </c>
      <c r="P249" s="354">
        <f t="shared" si="13"/>
        <v>0.49382716049382713</v>
      </c>
    </row>
    <row r="250" spans="1:16" ht="18.75" customHeight="1">
      <c r="A250" s="349">
        <f t="shared" si="14"/>
        <v>190</v>
      </c>
      <c r="B250" s="358" t="s">
        <v>3252</v>
      </c>
      <c r="C250" s="355" t="s">
        <v>3253</v>
      </c>
      <c r="D250" s="145">
        <v>43466</v>
      </c>
      <c r="E250" s="146">
        <v>45291</v>
      </c>
      <c r="F250" s="149">
        <v>0.26575342465753427</v>
      </c>
      <c r="G250" s="355">
        <v>5861750.1299999999</v>
      </c>
      <c r="H250" s="355">
        <v>5861750.1299999999</v>
      </c>
      <c r="I250" s="359">
        <v>1063663.6099999999</v>
      </c>
      <c r="J250" s="353">
        <f t="shared" si="15"/>
        <v>0.18145836762236739</v>
      </c>
      <c r="M250" s="74">
        <f t="shared" si="11"/>
        <v>1825</v>
      </c>
      <c r="N250" s="146">
        <v>43951</v>
      </c>
      <c r="O250" s="74">
        <f t="shared" si="12"/>
        <v>1340</v>
      </c>
      <c r="P250" s="354">
        <f t="shared" si="13"/>
        <v>0.26575342465753427</v>
      </c>
    </row>
    <row r="251" spans="1:16" ht="18.75" customHeight="1">
      <c r="A251" s="349">
        <f t="shared" si="14"/>
        <v>191</v>
      </c>
      <c r="B251" s="358" t="s">
        <v>3254</v>
      </c>
      <c r="C251" s="355" t="s">
        <v>3255</v>
      </c>
      <c r="D251" s="145">
        <v>43831</v>
      </c>
      <c r="E251" s="146">
        <v>44196</v>
      </c>
      <c r="F251" s="149">
        <v>0.32876712328767121</v>
      </c>
      <c r="G251" s="355">
        <v>37008</v>
      </c>
      <c r="H251" s="355">
        <v>284266.28999999998</v>
      </c>
      <c r="I251" s="359">
        <v>98713.74</v>
      </c>
      <c r="J251" s="353">
        <f t="shared" si="15"/>
        <v>0.34725798827571153</v>
      </c>
      <c r="M251" s="74">
        <f t="shared" si="11"/>
        <v>365</v>
      </c>
      <c r="N251" s="146">
        <v>43951</v>
      </c>
      <c r="O251" s="74">
        <f t="shared" si="12"/>
        <v>245</v>
      </c>
      <c r="P251" s="354">
        <f t="shared" si="13"/>
        <v>0.32876712328767121</v>
      </c>
    </row>
    <row r="252" spans="1:16" ht="18.75" customHeight="1">
      <c r="A252" s="349">
        <f t="shared" si="14"/>
        <v>192</v>
      </c>
      <c r="B252" s="358" t="s">
        <v>3256</v>
      </c>
      <c r="C252" s="355" t="s">
        <v>3257</v>
      </c>
      <c r="D252" s="145">
        <v>43831</v>
      </c>
      <c r="E252" s="146">
        <v>44196</v>
      </c>
      <c r="F252" s="149">
        <v>0.32876712328767121</v>
      </c>
      <c r="G252" s="355">
        <v>146000</v>
      </c>
      <c r="H252" s="355">
        <v>140000</v>
      </c>
      <c r="I252" s="359">
        <v>14000</v>
      </c>
      <c r="J252" s="353">
        <f t="shared" si="15"/>
        <v>0.1</v>
      </c>
      <c r="M252" s="74">
        <f t="shared" si="11"/>
        <v>365</v>
      </c>
      <c r="N252" s="146">
        <v>43951</v>
      </c>
      <c r="O252" s="74">
        <f t="shared" si="12"/>
        <v>245</v>
      </c>
      <c r="P252" s="354">
        <f t="shared" si="13"/>
        <v>0.32876712328767121</v>
      </c>
    </row>
    <row r="253" spans="1:16" ht="18.75" customHeight="1">
      <c r="A253" s="349">
        <f t="shared" si="14"/>
        <v>193</v>
      </c>
      <c r="B253" s="358" t="s">
        <v>3258</v>
      </c>
      <c r="C253" s="355" t="s">
        <v>3259</v>
      </c>
      <c r="D253" s="145">
        <v>43466</v>
      </c>
      <c r="E253" s="146">
        <v>44196</v>
      </c>
      <c r="F253" s="149">
        <v>0.66438356164383561</v>
      </c>
      <c r="G253" s="355">
        <v>5028861.92</v>
      </c>
      <c r="H253" s="355">
        <v>5029123.12</v>
      </c>
      <c r="I253" s="359">
        <v>1358899.2</v>
      </c>
      <c r="J253" s="353">
        <f t="shared" ref="J253:J273" si="16">I253/H253</f>
        <v>0.27020599169582471</v>
      </c>
      <c r="M253" s="74">
        <f t="shared" ref="M253:M273" si="17">E253-D253</f>
        <v>730</v>
      </c>
      <c r="N253" s="146">
        <v>43951</v>
      </c>
      <c r="O253" s="74">
        <f t="shared" ref="O253:O273" si="18">E253-N253</f>
        <v>245</v>
      </c>
      <c r="P253" s="354">
        <f t="shared" ref="P253:P273" si="19">(M253-O253)/M253</f>
        <v>0.66438356164383561</v>
      </c>
    </row>
    <row r="254" spans="1:16" ht="18.75" customHeight="1">
      <c r="A254" s="349">
        <f t="shared" ref="A254:A273" si="20">A253+1</f>
        <v>194</v>
      </c>
      <c r="B254" s="358" t="s">
        <v>3260</v>
      </c>
      <c r="C254" s="355" t="s">
        <v>3261</v>
      </c>
      <c r="D254" s="145">
        <v>43831</v>
      </c>
      <c r="E254" s="146">
        <v>44196</v>
      </c>
      <c r="F254" s="149">
        <v>0.32876712328767121</v>
      </c>
      <c r="G254" s="355">
        <v>217999.7</v>
      </c>
      <c r="H254" s="355">
        <v>107497.58</v>
      </c>
      <c r="I254" s="359">
        <v>27368.55</v>
      </c>
      <c r="J254" s="353">
        <f t="shared" si="16"/>
        <v>0.25459689418124576</v>
      </c>
      <c r="M254" s="74">
        <f t="shared" si="17"/>
        <v>365</v>
      </c>
      <c r="N254" s="146">
        <v>43951</v>
      </c>
      <c r="O254" s="74">
        <f t="shared" si="18"/>
        <v>245</v>
      </c>
      <c r="P254" s="354">
        <f t="shared" si="19"/>
        <v>0.32876712328767121</v>
      </c>
    </row>
    <row r="255" spans="1:16" ht="18.75" customHeight="1">
      <c r="A255" s="349">
        <f t="shared" si="20"/>
        <v>195</v>
      </c>
      <c r="B255" s="358" t="s">
        <v>3262</v>
      </c>
      <c r="C255" s="355" t="s">
        <v>3263</v>
      </c>
      <c r="D255" s="145">
        <v>43831</v>
      </c>
      <c r="E255" s="146">
        <v>44196</v>
      </c>
      <c r="F255" s="149">
        <v>0.32876712328767121</v>
      </c>
      <c r="G255" s="355">
        <v>929500</v>
      </c>
      <c r="H255" s="355">
        <v>464048.97</v>
      </c>
      <c r="I255" s="359">
        <v>124678.95000000001</v>
      </c>
      <c r="J255" s="353">
        <f t="shared" si="16"/>
        <v>0.26867627785058984</v>
      </c>
      <c r="M255" s="74">
        <f t="shared" si="17"/>
        <v>365</v>
      </c>
      <c r="N255" s="146">
        <v>43951</v>
      </c>
      <c r="O255" s="74">
        <f t="shared" si="18"/>
        <v>245</v>
      </c>
      <c r="P255" s="354">
        <f t="shared" si="19"/>
        <v>0.32876712328767121</v>
      </c>
    </row>
    <row r="256" spans="1:16" ht="18.75" customHeight="1">
      <c r="A256" s="349">
        <f t="shared" si="20"/>
        <v>196</v>
      </c>
      <c r="B256" s="358" t="s">
        <v>3264</v>
      </c>
      <c r="C256" s="355" t="s">
        <v>3265</v>
      </c>
      <c r="D256" s="145">
        <v>43466</v>
      </c>
      <c r="E256" s="146">
        <v>44196</v>
      </c>
      <c r="F256" s="149">
        <v>0.66438356164383561</v>
      </c>
      <c r="G256" s="355">
        <v>112000</v>
      </c>
      <c r="H256" s="355">
        <v>112000</v>
      </c>
      <c r="I256" s="359">
        <v>74666.720000000016</v>
      </c>
      <c r="J256" s="353">
        <f t="shared" si="16"/>
        <v>0.66666714285714301</v>
      </c>
      <c r="M256" s="74">
        <f t="shared" si="17"/>
        <v>730</v>
      </c>
      <c r="N256" s="146">
        <v>43951</v>
      </c>
      <c r="O256" s="74">
        <f t="shared" si="18"/>
        <v>245</v>
      </c>
      <c r="P256" s="354">
        <f t="shared" si="19"/>
        <v>0.66438356164383561</v>
      </c>
    </row>
    <row r="257" spans="1:16" ht="18.75" customHeight="1">
      <c r="A257" s="349">
        <f t="shared" si="20"/>
        <v>197</v>
      </c>
      <c r="B257" s="358" t="s">
        <v>3266</v>
      </c>
      <c r="C257" s="355" t="s">
        <v>3267</v>
      </c>
      <c r="D257" s="145">
        <v>43831</v>
      </c>
      <c r="E257" s="146">
        <v>44196</v>
      </c>
      <c r="F257" s="149">
        <v>0.32876712328767121</v>
      </c>
      <c r="G257" s="355">
        <v>56000</v>
      </c>
      <c r="H257" s="355">
        <v>56000</v>
      </c>
      <c r="I257" s="359">
        <v>18666.72</v>
      </c>
      <c r="J257" s="353">
        <f t="shared" si="16"/>
        <v>0.33333428571428575</v>
      </c>
      <c r="M257" s="74">
        <f t="shared" si="17"/>
        <v>365</v>
      </c>
      <c r="N257" s="146">
        <v>43951</v>
      </c>
      <c r="O257" s="74">
        <f t="shared" si="18"/>
        <v>245</v>
      </c>
      <c r="P257" s="354">
        <f t="shared" si="19"/>
        <v>0.32876712328767121</v>
      </c>
    </row>
    <row r="258" spans="1:16" ht="18.75" customHeight="1">
      <c r="A258" s="349">
        <f t="shared" si="20"/>
        <v>198</v>
      </c>
      <c r="B258" s="358" t="s">
        <v>2918</v>
      </c>
      <c r="C258" s="355" t="s">
        <v>2919</v>
      </c>
      <c r="D258" s="145">
        <v>42370</v>
      </c>
      <c r="E258" s="146">
        <v>44196</v>
      </c>
      <c r="F258" s="149">
        <v>0.86582694414019712</v>
      </c>
      <c r="G258" s="355">
        <v>261250</v>
      </c>
      <c r="H258" s="355">
        <v>153414.75</v>
      </c>
      <c r="I258" s="359">
        <v>111703.94</v>
      </c>
      <c r="J258" s="353">
        <f t="shared" si="16"/>
        <v>0.72811734204175282</v>
      </c>
      <c r="M258" s="74">
        <f t="shared" si="17"/>
        <v>1826</v>
      </c>
      <c r="N258" s="146">
        <v>43951</v>
      </c>
      <c r="O258" s="74">
        <f t="shared" si="18"/>
        <v>245</v>
      </c>
      <c r="P258" s="354">
        <f t="shared" si="19"/>
        <v>0.86582694414019712</v>
      </c>
    </row>
    <row r="259" spans="1:16" ht="18.75" customHeight="1">
      <c r="A259" s="349">
        <f t="shared" si="20"/>
        <v>199</v>
      </c>
      <c r="B259" s="358" t="s">
        <v>2920</v>
      </c>
      <c r="C259" s="355" t="s">
        <v>2921</v>
      </c>
      <c r="D259" s="145">
        <v>42583</v>
      </c>
      <c r="E259" s="146">
        <v>46022</v>
      </c>
      <c r="F259" s="149">
        <v>0.39779005524861877</v>
      </c>
      <c r="G259" s="355">
        <v>2120249.84</v>
      </c>
      <c r="H259" s="355">
        <v>2120249.84</v>
      </c>
      <c r="I259" s="359">
        <v>2120249.84</v>
      </c>
      <c r="J259" s="353">
        <f t="shared" si="16"/>
        <v>1</v>
      </c>
      <c r="M259" s="74">
        <f t="shared" si="17"/>
        <v>3439</v>
      </c>
      <c r="N259" s="146">
        <v>43951</v>
      </c>
      <c r="O259" s="74">
        <f t="shared" si="18"/>
        <v>2071</v>
      </c>
      <c r="P259" s="354">
        <f t="shared" si="19"/>
        <v>0.39779005524861877</v>
      </c>
    </row>
    <row r="260" spans="1:16" ht="18.75" customHeight="1">
      <c r="A260" s="349">
        <f t="shared" si="20"/>
        <v>200</v>
      </c>
      <c r="B260" s="358" t="s">
        <v>2374</v>
      </c>
      <c r="C260" s="355" t="s">
        <v>3268</v>
      </c>
      <c r="D260" s="145">
        <v>43466</v>
      </c>
      <c r="E260" s="146">
        <v>44196</v>
      </c>
      <c r="F260" s="149">
        <v>0.66438356164383561</v>
      </c>
      <c r="G260" s="355">
        <v>531999.99</v>
      </c>
      <c r="H260" s="355">
        <v>835340.16</v>
      </c>
      <c r="I260" s="359">
        <v>751907.07999999984</v>
      </c>
      <c r="J260" s="353">
        <f t="shared" si="16"/>
        <v>0.90012083221283146</v>
      </c>
      <c r="M260" s="74">
        <f t="shared" si="17"/>
        <v>730</v>
      </c>
      <c r="N260" s="146">
        <v>43951</v>
      </c>
      <c r="O260" s="74">
        <f t="shared" si="18"/>
        <v>245</v>
      </c>
      <c r="P260" s="354">
        <f t="shared" si="19"/>
        <v>0.66438356164383561</v>
      </c>
    </row>
    <row r="261" spans="1:16" ht="18.75" customHeight="1">
      <c r="A261" s="349">
        <f t="shared" si="20"/>
        <v>201</v>
      </c>
      <c r="B261" s="358" t="s">
        <v>3269</v>
      </c>
      <c r="C261" s="355" t="s">
        <v>3270</v>
      </c>
      <c r="D261" s="145">
        <v>43831</v>
      </c>
      <c r="E261" s="146">
        <v>44196</v>
      </c>
      <c r="F261" s="149">
        <v>0.32876712328767121</v>
      </c>
      <c r="G261" s="355">
        <v>327749.94</v>
      </c>
      <c r="H261" s="355">
        <v>342000</v>
      </c>
      <c r="I261" s="359">
        <v>292800</v>
      </c>
      <c r="J261" s="353">
        <f t="shared" si="16"/>
        <v>0.85614035087719298</v>
      </c>
      <c r="M261" s="74">
        <f t="shared" si="17"/>
        <v>365</v>
      </c>
      <c r="N261" s="146">
        <v>43951</v>
      </c>
      <c r="O261" s="74">
        <f t="shared" si="18"/>
        <v>245</v>
      </c>
      <c r="P261" s="354">
        <f t="shared" si="19"/>
        <v>0.32876712328767121</v>
      </c>
    </row>
    <row r="262" spans="1:16" ht="18.75" customHeight="1">
      <c r="A262" s="349">
        <f t="shared" si="20"/>
        <v>202</v>
      </c>
      <c r="B262" s="358" t="s">
        <v>3271</v>
      </c>
      <c r="C262" s="355" t="s">
        <v>3272</v>
      </c>
      <c r="D262" s="145">
        <v>43831</v>
      </c>
      <c r="E262" s="146">
        <v>44196</v>
      </c>
      <c r="F262" s="149">
        <v>0.32876712328767121</v>
      </c>
      <c r="G262" s="355">
        <v>436999.84</v>
      </c>
      <c r="H262" s="355">
        <v>456000</v>
      </c>
      <c r="I262" s="359">
        <v>388800</v>
      </c>
      <c r="J262" s="353">
        <f t="shared" si="16"/>
        <v>0.85263157894736841</v>
      </c>
      <c r="M262" s="74">
        <f t="shared" si="17"/>
        <v>365</v>
      </c>
      <c r="N262" s="146">
        <v>43951</v>
      </c>
      <c r="O262" s="74">
        <f t="shared" si="18"/>
        <v>245</v>
      </c>
      <c r="P262" s="354">
        <f t="shared" si="19"/>
        <v>0.32876712328767121</v>
      </c>
    </row>
    <row r="263" spans="1:16" ht="18.75" customHeight="1">
      <c r="A263" s="349">
        <f t="shared" si="20"/>
        <v>203</v>
      </c>
      <c r="B263" s="358" t="s">
        <v>3273</v>
      </c>
      <c r="C263" s="355" t="s">
        <v>3274</v>
      </c>
      <c r="D263" s="145">
        <v>43831</v>
      </c>
      <c r="E263" s="146">
        <v>44196</v>
      </c>
      <c r="F263" s="149">
        <v>0.32876712328767121</v>
      </c>
      <c r="G263" s="355">
        <v>112000</v>
      </c>
      <c r="H263" s="355">
        <v>112000</v>
      </c>
      <c r="I263" s="359">
        <v>42000</v>
      </c>
      <c r="J263" s="353">
        <f t="shared" si="16"/>
        <v>0.375</v>
      </c>
      <c r="M263" s="74">
        <f t="shared" si="17"/>
        <v>365</v>
      </c>
      <c r="N263" s="146">
        <v>43951</v>
      </c>
      <c r="O263" s="74">
        <f t="shared" si="18"/>
        <v>245</v>
      </c>
      <c r="P263" s="354">
        <f t="shared" si="19"/>
        <v>0.32876712328767121</v>
      </c>
    </row>
    <row r="264" spans="1:16" ht="18.75" customHeight="1">
      <c r="A264" s="349">
        <f t="shared" si="20"/>
        <v>204</v>
      </c>
      <c r="B264" s="358" t="s">
        <v>3275</v>
      </c>
      <c r="C264" s="355" t="s">
        <v>3276</v>
      </c>
      <c r="D264" s="145">
        <v>43466</v>
      </c>
      <c r="E264" s="146">
        <v>44196</v>
      </c>
      <c r="F264" s="149">
        <v>0.66438356164383561</v>
      </c>
      <c r="G264" s="355">
        <v>115000</v>
      </c>
      <c r="H264" s="355">
        <v>72000</v>
      </c>
      <c r="I264" s="359">
        <v>43200</v>
      </c>
      <c r="J264" s="353">
        <f t="shared" si="16"/>
        <v>0.6</v>
      </c>
      <c r="M264" s="74">
        <f t="shared" si="17"/>
        <v>730</v>
      </c>
      <c r="N264" s="146">
        <v>43951</v>
      </c>
      <c r="O264" s="74">
        <f t="shared" si="18"/>
        <v>245</v>
      </c>
      <c r="P264" s="354">
        <f t="shared" si="19"/>
        <v>0.66438356164383561</v>
      </c>
    </row>
    <row r="265" spans="1:16" ht="18.75" customHeight="1">
      <c r="A265" s="349">
        <f t="shared" si="20"/>
        <v>205</v>
      </c>
      <c r="B265" s="358" t="s">
        <v>3277</v>
      </c>
      <c r="C265" s="355" t="s">
        <v>3278</v>
      </c>
      <c r="D265" s="145">
        <v>43831</v>
      </c>
      <c r="E265" s="146">
        <v>44196</v>
      </c>
      <c r="F265" s="149">
        <v>0.32876712328767121</v>
      </c>
      <c r="G265" s="355">
        <v>279999.98</v>
      </c>
      <c r="H265" s="355">
        <v>280000</v>
      </c>
      <c r="I265" s="359">
        <v>56000</v>
      </c>
      <c r="J265" s="353">
        <f t="shared" si="16"/>
        <v>0.2</v>
      </c>
      <c r="M265" s="74">
        <f t="shared" si="17"/>
        <v>365</v>
      </c>
      <c r="N265" s="146">
        <v>43951</v>
      </c>
      <c r="O265" s="74">
        <f t="shared" si="18"/>
        <v>245</v>
      </c>
      <c r="P265" s="354">
        <f t="shared" si="19"/>
        <v>0.32876712328767121</v>
      </c>
    </row>
    <row r="266" spans="1:16" ht="18.75" customHeight="1">
      <c r="A266" s="349">
        <f t="shared" si="20"/>
        <v>206</v>
      </c>
      <c r="B266" s="358" t="s">
        <v>3279</v>
      </c>
      <c r="C266" s="355" t="s">
        <v>3280</v>
      </c>
      <c r="D266" s="145">
        <v>43466</v>
      </c>
      <c r="E266" s="146">
        <v>44196</v>
      </c>
      <c r="F266" s="149">
        <v>0.66438356164383561</v>
      </c>
      <c r="G266" s="355">
        <v>1048799.6599999999</v>
      </c>
      <c r="H266" s="355">
        <v>2250142.7599999998</v>
      </c>
      <c r="I266" s="359">
        <v>1434910.1</v>
      </c>
      <c r="J266" s="353">
        <f t="shared" si="16"/>
        <v>0.63769736103321739</v>
      </c>
      <c r="M266" s="74">
        <f t="shared" si="17"/>
        <v>730</v>
      </c>
      <c r="N266" s="146">
        <v>43951</v>
      </c>
      <c r="O266" s="74">
        <f t="shared" si="18"/>
        <v>245</v>
      </c>
      <c r="P266" s="354">
        <f t="shared" si="19"/>
        <v>0.66438356164383561</v>
      </c>
    </row>
    <row r="267" spans="1:16" ht="18.75" customHeight="1">
      <c r="A267" s="349">
        <f t="shared" si="20"/>
        <v>207</v>
      </c>
      <c r="B267" s="358" t="s">
        <v>3281</v>
      </c>
      <c r="C267" s="355" t="s">
        <v>3282</v>
      </c>
      <c r="D267" s="145">
        <v>43466</v>
      </c>
      <c r="E267" s="146">
        <v>44196</v>
      </c>
      <c r="F267" s="149">
        <v>0.66438356164383561</v>
      </c>
      <c r="G267" s="355">
        <v>459999.95999999996</v>
      </c>
      <c r="H267" s="355">
        <v>1359214.6600000001</v>
      </c>
      <c r="I267" s="359">
        <v>1096572.3199999998</v>
      </c>
      <c r="J267" s="353">
        <f t="shared" si="16"/>
        <v>0.80676905000421328</v>
      </c>
      <c r="M267" s="74">
        <f t="shared" si="17"/>
        <v>730</v>
      </c>
      <c r="N267" s="146">
        <v>43951</v>
      </c>
      <c r="O267" s="74">
        <f t="shared" si="18"/>
        <v>245</v>
      </c>
      <c r="P267" s="354">
        <f t="shared" si="19"/>
        <v>0.66438356164383561</v>
      </c>
    </row>
    <row r="268" spans="1:16" ht="18.75" customHeight="1">
      <c r="A268" s="349">
        <f t="shared" si="20"/>
        <v>208</v>
      </c>
      <c r="B268" s="358" t="s">
        <v>3283</v>
      </c>
      <c r="C268" s="355" t="s">
        <v>3284</v>
      </c>
      <c r="D268" s="145">
        <v>43466</v>
      </c>
      <c r="E268" s="146">
        <v>44561</v>
      </c>
      <c r="F268" s="149">
        <v>0.44292237442922372</v>
      </c>
      <c r="G268" s="355">
        <v>689999.67999999993</v>
      </c>
      <c r="H268" s="355">
        <v>1453967.77</v>
      </c>
      <c r="I268" s="359">
        <v>600918.43999999994</v>
      </c>
      <c r="J268" s="353">
        <f t="shared" si="16"/>
        <v>0.41329557119412624</v>
      </c>
      <c r="M268" s="74">
        <f t="shared" si="17"/>
        <v>1095</v>
      </c>
      <c r="N268" s="146">
        <v>43951</v>
      </c>
      <c r="O268" s="74">
        <f t="shared" si="18"/>
        <v>610</v>
      </c>
      <c r="P268" s="354">
        <f t="shared" si="19"/>
        <v>0.44292237442922372</v>
      </c>
    </row>
    <row r="269" spans="1:16" ht="18.75" customHeight="1">
      <c r="A269" s="349">
        <f t="shared" si="20"/>
        <v>209</v>
      </c>
      <c r="B269" s="358" t="s">
        <v>3285</v>
      </c>
      <c r="C269" s="355" t="s">
        <v>3286</v>
      </c>
      <c r="D269" s="145">
        <v>43466</v>
      </c>
      <c r="E269" s="146">
        <v>44196</v>
      </c>
      <c r="F269" s="149">
        <v>0.66438356164383561</v>
      </c>
      <c r="G269" s="355">
        <v>644000.29000000027</v>
      </c>
      <c r="H269" s="355">
        <v>641403.83000000007</v>
      </c>
      <c r="I269" s="359">
        <v>390267.32</v>
      </c>
      <c r="J269" s="353">
        <f t="shared" si="16"/>
        <v>0.60845804428701333</v>
      </c>
      <c r="M269" s="74">
        <f t="shared" si="17"/>
        <v>730</v>
      </c>
      <c r="N269" s="146">
        <v>43951</v>
      </c>
      <c r="O269" s="74">
        <f t="shared" si="18"/>
        <v>245</v>
      </c>
      <c r="P269" s="354">
        <f t="shared" si="19"/>
        <v>0.66438356164383561</v>
      </c>
    </row>
    <row r="270" spans="1:16" ht="18.75" customHeight="1">
      <c r="A270" s="349">
        <f t="shared" si="20"/>
        <v>210</v>
      </c>
      <c r="B270" s="358" t="s">
        <v>3287</v>
      </c>
      <c r="C270" s="355" t="s">
        <v>3288</v>
      </c>
      <c r="D270" s="145">
        <v>43831</v>
      </c>
      <c r="E270" s="146">
        <v>44196</v>
      </c>
      <c r="F270" s="149">
        <v>0.32876712328767121</v>
      </c>
      <c r="G270" s="355">
        <v>192000</v>
      </c>
      <c r="H270" s="355">
        <v>192000</v>
      </c>
      <c r="I270" s="359">
        <v>38400</v>
      </c>
      <c r="J270" s="353">
        <f t="shared" si="16"/>
        <v>0.2</v>
      </c>
      <c r="M270" s="74">
        <f t="shared" si="17"/>
        <v>365</v>
      </c>
      <c r="N270" s="146">
        <v>43951</v>
      </c>
      <c r="O270" s="74">
        <f t="shared" si="18"/>
        <v>245</v>
      </c>
      <c r="P270" s="354">
        <f t="shared" si="19"/>
        <v>0.32876712328767121</v>
      </c>
    </row>
    <row r="271" spans="1:16" ht="18.75" customHeight="1">
      <c r="A271" s="349">
        <f t="shared" si="20"/>
        <v>211</v>
      </c>
      <c r="B271" s="358" t="s">
        <v>3289</v>
      </c>
      <c r="C271" s="355" t="s">
        <v>3290</v>
      </c>
      <c r="D271" s="145">
        <v>43466</v>
      </c>
      <c r="E271" s="146">
        <v>44196</v>
      </c>
      <c r="F271" s="149">
        <v>0.66438356164383561</v>
      </c>
      <c r="G271" s="355">
        <v>168000</v>
      </c>
      <c r="H271" s="355">
        <v>168000</v>
      </c>
      <c r="I271" s="359">
        <v>140000</v>
      </c>
      <c r="J271" s="353">
        <f t="shared" si="16"/>
        <v>0.83333333333333337</v>
      </c>
      <c r="M271" s="74">
        <f t="shared" si="17"/>
        <v>730</v>
      </c>
      <c r="N271" s="146">
        <v>43951</v>
      </c>
      <c r="O271" s="74">
        <f t="shared" si="18"/>
        <v>245</v>
      </c>
      <c r="P271" s="354">
        <f t="shared" si="19"/>
        <v>0.66438356164383561</v>
      </c>
    </row>
    <row r="272" spans="1:16" ht="18.75" customHeight="1">
      <c r="A272" s="349">
        <f t="shared" si="20"/>
        <v>212</v>
      </c>
      <c r="B272" s="358" t="s">
        <v>3291</v>
      </c>
      <c r="C272" s="355" t="s">
        <v>3292</v>
      </c>
      <c r="D272" s="145">
        <v>43466</v>
      </c>
      <c r="E272" s="146">
        <v>44196</v>
      </c>
      <c r="F272" s="149">
        <v>0.66438356164383561</v>
      </c>
      <c r="G272" s="355">
        <v>446453.1</v>
      </c>
      <c r="H272" s="355">
        <v>446453.1</v>
      </c>
      <c r="I272" s="359">
        <v>312981.17999999993</v>
      </c>
      <c r="J272" s="353">
        <f t="shared" si="16"/>
        <v>0.70103932529531088</v>
      </c>
      <c r="M272" s="74">
        <f t="shared" si="17"/>
        <v>730</v>
      </c>
      <c r="N272" s="146">
        <v>43951</v>
      </c>
      <c r="O272" s="74">
        <f t="shared" si="18"/>
        <v>245</v>
      </c>
      <c r="P272" s="354">
        <f t="shared" si="19"/>
        <v>0.66438356164383561</v>
      </c>
    </row>
    <row r="273" spans="1:16" ht="18.75" customHeight="1">
      <c r="A273" s="349">
        <f t="shared" si="20"/>
        <v>213</v>
      </c>
      <c r="B273" s="358" t="s">
        <v>3293</v>
      </c>
      <c r="C273" s="355" t="s">
        <v>3294</v>
      </c>
      <c r="D273" s="145">
        <v>43466</v>
      </c>
      <c r="E273" s="146">
        <v>44196</v>
      </c>
      <c r="F273" s="149">
        <v>0.66438356164383561</v>
      </c>
      <c r="G273" s="355">
        <v>140000</v>
      </c>
      <c r="H273" s="355">
        <v>140000</v>
      </c>
      <c r="I273" s="359">
        <v>89600</v>
      </c>
      <c r="J273" s="353">
        <f t="shared" si="16"/>
        <v>0.64</v>
      </c>
      <c r="M273" s="74">
        <f t="shared" si="17"/>
        <v>730</v>
      </c>
      <c r="N273" s="146">
        <v>43951</v>
      </c>
      <c r="O273" s="74">
        <f t="shared" si="18"/>
        <v>245</v>
      </c>
      <c r="P273" s="354">
        <f t="shared" si="19"/>
        <v>0.66438356164383561</v>
      </c>
    </row>
    <row r="274" spans="1:16" ht="18.75" customHeight="1">
      <c r="A274" s="498">
        <f>A273+1</f>
        <v>214</v>
      </c>
      <c r="B274" s="358" t="s">
        <v>3295</v>
      </c>
      <c r="C274" s="355" t="s">
        <v>3296</v>
      </c>
      <c r="D274" s="145">
        <v>43831</v>
      </c>
      <c r="E274" s="146">
        <v>44561</v>
      </c>
      <c r="F274" s="149">
        <v>0.16438356164383561</v>
      </c>
      <c r="G274" s="355">
        <v>10381161.629999999</v>
      </c>
      <c r="H274" s="355">
        <v>10381161.629999999</v>
      </c>
      <c r="I274" s="359">
        <v>1096471.53</v>
      </c>
      <c r="J274" s="353">
        <f t="shared" ref="J274" si="21">I274/H274</f>
        <v>0.10562127525607172</v>
      </c>
      <c r="M274" s="74">
        <f t="shared" ref="M274" si="22">E274-D274</f>
        <v>730</v>
      </c>
      <c r="N274" s="146">
        <v>43951</v>
      </c>
      <c r="O274" s="74">
        <f t="shared" ref="O274" si="23">E274-N274</f>
        <v>610</v>
      </c>
      <c r="P274" s="354">
        <f t="shared" ref="P274" si="24">(M274-O274)/M274</f>
        <v>0.16438356164383561</v>
      </c>
    </row>
    <row r="275" spans="1:16" ht="18.75" customHeight="1">
      <c r="A275" s="647">
        <f t="shared" ref="A275:A280" si="25">A274+1</f>
        <v>215</v>
      </c>
      <c r="B275" s="358" t="s">
        <v>3297</v>
      </c>
      <c r="C275" s="355" t="s">
        <v>3298</v>
      </c>
      <c r="D275" s="145">
        <v>43466</v>
      </c>
      <c r="E275" s="146">
        <v>44196</v>
      </c>
      <c r="F275" s="149">
        <v>0.66438356164383561</v>
      </c>
      <c r="G275" s="355">
        <v>560000</v>
      </c>
      <c r="H275" s="355">
        <v>777706.26</v>
      </c>
      <c r="I275" s="359">
        <v>522109.70999999996</v>
      </c>
      <c r="J275" s="353">
        <f t="shared" ref="J275:J280" si="26">I275/H275</f>
        <v>0.6713456440481782</v>
      </c>
      <c r="M275" s="74">
        <f t="shared" ref="M275:M280" si="27">E275-D275</f>
        <v>730</v>
      </c>
      <c r="N275" s="146">
        <v>43951</v>
      </c>
      <c r="O275" s="74">
        <f t="shared" ref="O275:O280" si="28">E275-N275</f>
        <v>245</v>
      </c>
      <c r="P275" s="354">
        <f t="shared" ref="P275:P280" si="29">(M275-O275)/M275</f>
        <v>0.66438356164383561</v>
      </c>
    </row>
    <row r="276" spans="1:16" ht="18.75" customHeight="1">
      <c r="A276" s="647">
        <f t="shared" si="25"/>
        <v>216</v>
      </c>
      <c r="B276" s="358" t="s">
        <v>3299</v>
      </c>
      <c r="C276" s="355" t="s">
        <v>3300</v>
      </c>
      <c r="D276" s="145">
        <v>43831</v>
      </c>
      <c r="E276" s="146">
        <v>44196</v>
      </c>
      <c r="F276" s="149">
        <v>0.32876712328767121</v>
      </c>
      <c r="G276" s="355">
        <v>57499.41</v>
      </c>
      <c r="H276" s="355">
        <v>96000</v>
      </c>
      <c r="I276" s="359">
        <v>14400</v>
      </c>
      <c r="J276" s="353">
        <f t="shared" si="26"/>
        <v>0.15</v>
      </c>
      <c r="M276" s="74">
        <f t="shared" si="27"/>
        <v>365</v>
      </c>
      <c r="N276" s="146">
        <v>43951</v>
      </c>
      <c r="O276" s="74">
        <f t="shared" si="28"/>
        <v>245</v>
      </c>
      <c r="P276" s="354">
        <f t="shared" si="29"/>
        <v>0.32876712328767121</v>
      </c>
    </row>
    <row r="277" spans="1:16" ht="18.75" customHeight="1">
      <c r="A277" s="647">
        <f t="shared" si="25"/>
        <v>217</v>
      </c>
      <c r="B277" s="358" t="s">
        <v>3301</v>
      </c>
      <c r="C277" s="355" t="s">
        <v>3302</v>
      </c>
      <c r="D277" s="145">
        <v>43831</v>
      </c>
      <c r="E277" s="146">
        <v>44561</v>
      </c>
      <c r="F277" s="149">
        <v>0.16438356164383561</v>
      </c>
      <c r="G277" s="355">
        <v>727999.96</v>
      </c>
      <c r="H277" s="355">
        <v>725414.28</v>
      </c>
      <c r="I277" s="359">
        <v>167521.28</v>
      </c>
      <c r="J277" s="353">
        <f t="shared" si="26"/>
        <v>0.23093187523135056</v>
      </c>
      <c r="M277" s="74">
        <f t="shared" si="27"/>
        <v>730</v>
      </c>
      <c r="N277" s="146">
        <v>43951</v>
      </c>
      <c r="O277" s="74">
        <f t="shared" si="28"/>
        <v>610</v>
      </c>
      <c r="P277" s="354">
        <f t="shared" si="29"/>
        <v>0.16438356164383561</v>
      </c>
    </row>
    <row r="278" spans="1:16" ht="18.75" customHeight="1">
      <c r="A278" s="647">
        <f t="shared" si="25"/>
        <v>218</v>
      </c>
      <c r="B278" s="358" t="s">
        <v>3303</v>
      </c>
      <c r="C278" s="355" t="s">
        <v>3304</v>
      </c>
      <c r="D278" s="145">
        <v>43831</v>
      </c>
      <c r="E278" s="146">
        <v>44196</v>
      </c>
      <c r="F278" s="149">
        <v>0.32876712328767121</v>
      </c>
      <c r="G278" s="355">
        <v>114999.92</v>
      </c>
      <c r="H278" s="355">
        <v>120000</v>
      </c>
      <c r="I278" s="359">
        <v>42240</v>
      </c>
      <c r="J278" s="353">
        <f t="shared" si="26"/>
        <v>0.35199999999999998</v>
      </c>
      <c r="M278" s="74">
        <f t="shared" si="27"/>
        <v>365</v>
      </c>
      <c r="N278" s="146">
        <v>43951</v>
      </c>
      <c r="O278" s="74">
        <f t="shared" si="28"/>
        <v>245</v>
      </c>
      <c r="P278" s="354">
        <f t="shared" si="29"/>
        <v>0.32876712328767121</v>
      </c>
    </row>
    <row r="279" spans="1:16" ht="18.75" customHeight="1">
      <c r="A279" s="647">
        <f t="shared" si="25"/>
        <v>219</v>
      </c>
      <c r="B279" s="358" t="s">
        <v>3305</v>
      </c>
      <c r="C279" s="355" t="s">
        <v>3306</v>
      </c>
      <c r="D279" s="145">
        <v>43831</v>
      </c>
      <c r="E279" s="146">
        <v>44196</v>
      </c>
      <c r="F279" s="149">
        <v>0.32876712328767121</v>
      </c>
      <c r="G279" s="355">
        <v>59799.839999999997</v>
      </c>
      <c r="H279" s="355">
        <v>134880</v>
      </c>
      <c r="I279" s="359">
        <v>40464</v>
      </c>
      <c r="J279" s="353">
        <f t="shared" si="26"/>
        <v>0.3</v>
      </c>
      <c r="M279" s="74">
        <f t="shared" si="27"/>
        <v>365</v>
      </c>
      <c r="N279" s="146">
        <v>43951</v>
      </c>
      <c r="O279" s="74">
        <f t="shared" si="28"/>
        <v>245</v>
      </c>
      <c r="P279" s="354">
        <f t="shared" si="29"/>
        <v>0.32876712328767121</v>
      </c>
    </row>
    <row r="280" spans="1:16" ht="18.75" customHeight="1">
      <c r="A280" s="647">
        <f t="shared" si="25"/>
        <v>220</v>
      </c>
      <c r="B280" s="358" t="s">
        <v>3307</v>
      </c>
      <c r="C280" s="355" t="s">
        <v>3308</v>
      </c>
      <c r="D280" s="145">
        <v>43831</v>
      </c>
      <c r="E280" s="146">
        <v>44196</v>
      </c>
      <c r="F280" s="149">
        <v>0.32876712328767121</v>
      </c>
      <c r="G280" s="355">
        <v>76360.05</v>
      </c>
      <c r="H280" s="355">
        <v>34080.480000000003</v>
      </c>
      <c r="I280" s="359">
        <v>14605.920000000002</v>
      </c>
      <c r="J280" s="353">
        <f t="shared" si="26"/>
        <v>0.4285714285714286</v>
      </c>
      <c r="M280" s="74">
        <f t="shared" si="27"/>
        <v>365</v>
      </c>
      <c r="N280" s="146">
        <v>43951</v>
      </c>
      <c r="O280" s="74">
        <f t="shared" si="28"/>
        <v>245</v>
      </c>
      <c r="P280" s="354">
        <f t="shared" si="29"/>
        <v>0.32876712328767121</v>
      </c>
    </row>
    <row r="281" spans="1:16" s="360" customFormat="1" ht="20.100000000000001" customHeight="1">
      <c r="A281" s="767" t="str">
        <f>$A$1</f>
        <v>KENTUCKY UTILITIES COMPANY</v>
      </c>
      <c r="B281" s="767"/>
      <c r="C281" s="767"/>
      <c r="D281" s="767"/>
      <c r="E281" s="767"/>
      <c r="F281" s="767"/>
      <c r="G281" s="767"/>
      <c r="H281" s="767"/>
      <c r="I281" s="767"/>
      <c r="J281" s="767"/>
    </row>
    <row r="282" spans="1:16" s="360" customFormat="1" ht="20.100000000000001" customHeight="1">
      <c r="A282" s="767" t="str">
        <f>$A$2</f>
        <v>CASE NO. 2018-00294</v>
      </c>
      <c r="B282" s="767"/>
      <c r="C282" s="767"/>
      <c r="D282" s="767"/>
      <c r="E282" s="767"/>
      <c r="F282" s="767"/>
      <c r="G282" s="767"/>
      <c r="H282" s="767"/>
      <c r="I282" s="767"/>
      <c r="J282" s="767"/>
    </row>
    <row r="283" spans="1:16" s="360" customFormat="1" ht="20.100000000000001" customHeight="1">
      <c r="A283" s="767" t="s">
        <v>1219</v>
      </c>
      <c r="B283" s="767"/>
      <c r="C283" s="767"/>
      <c r="D283" s="767"/>
      <c r="E283" s="767"/>
      <c r="F283" s="767"/>
      <c r="G283" s="767"/>
      <c r="H283" s="767"/>
      <c r="I283" s="767"/>
      <c r="J283" s="767"/>
    </row>
    <row r="284" spans="1:16" s="360" customFormat="1" ht="20.100000000000001" customHeight="1">
      <c r="A284" s="767" t="str">
        <f>$A$4</f>
        <v>AS OF APRIL 30, 2020</v>
      </c>
      <c r="B284" s="767"/>
      <c r="C284" s="767"/>
      <c r="D284" s="767"/>
      <c r="E284" s="767"/>
      <c r="F284" s="767"/>
      <c r="G284" s="767"/>
      <c r="H284" s="767"/>
      <c r="I284" s="767"/>
      <c r="J284" s="767"/>
    </row>
    <row r="285" spans="1:16" s="360" customFormat="1" ht="20.100000000000001" customHeight="1">
      <c r="A285" s="645"/>
      <c r="B285" s="645"/>
      <c r="C285" s="645"/>
      <c r="D285" s="645"/>
      <c r="E285" s="645"/>
      <c r="F285" s="645"/>
      <c r="G285" s="645"/>
      <c r="H285" s="645"/>
      <c r="I285" s="645"/>
      <c r="J285" s="645"/>
    </row>
    <row r="286" spans="1:16" s="360" customFormat="1" ht="20.100000000000001" customHeight="1">
      <c r="A286" s="67" t="str">
        <f>$A$6</f>
        <v>DATA:____BASE  PERIOD__X__FORECASTED  PERIOD</v>
      </c>
      <c r="B286" s="646"/>
      <c r="C286" s="68"/>
      <c r="D286" s="144"/>
      <c r="E286" s="144"/>
      <c r="F286" s="68"/>
      <c r="G286" s="74"/>
      <c r="H286" s="74"/>
      <c r="I286" s="74"/>
      <c r="J286" s="74" t="s">
        <v>1714</v>
      </c>
    </row>
    <row r="287" spans="1:16" s="360" customFormat="1" ht="20.100000000000001" customHeight="1">
      <c r="A287" s="67" t="str">
        <f>$A$7</f>
        <v>TYPE OF FILING: __X__ ORIGINAL  _____ UPDATED  _____ REVISED</v>
      </c>
      <c r="B287" s="647"/>
      <c r="C287" s="68"/>
      <c r="D287" s="144"/>
      <c r="E287" s="144"/>
      <c r="F287" s="68"/>
      <c r="G287" s="74"/>
      <c r="H287" s="74"/>
      <c r="I287" s="74"/>
      <c r="J287" s="74" t="s">
        <v>3399</v>
      </c>
    </row>
    <row r="288" spans="1:16" s="360" customFormat="1" ht="20.100000000000001" customHeight="1">
      <c r="A288" s="67" t="str">
        <f>$A$8</f>
        <v>WORKPAPER REFERENCE NO(S).:</v>
      </c>
      <c r="B288" s="646"/>
      <c r="C288" s="68"/>
      <c r="D288" s="144"/>
      <c r="E288" s="144"/>
      <c r="F288" s="67"/>
      <c r="G288" s="75"/>
      <c r="H288" s="75"/>
      <c r="I288" s="75"/>
      <c r="J288" s="75" t="str">
        <f>$J$8</f>
        <v>WITNESS:   C. M. GARRETT</v>
      </c>
    </row>
    <row r="289" spans="1:16" s="360" customFormat="1" ht="20.100000000000001" customHeight="1">
      <c r="A289" s="68"/>
      <c r="B289" s="647"/>
      <c r="C289" s="68"/>
      <c r="D289" s="144"/>
      <c r="E289" s="144"/>
      <c r="F289" s="68"/>
      <c r="G289" s="68"/>
      <c r="H289" s="68"/>
      <c r="I289" s="68"/>
      <c r="J289" s="68"/>
    </row>
    <row r="290" spans="1:16" s="360" customFormat="1" ht="65.099999999999994" customHeight="1">
      <c r="A290" s="76" t="s">
        <v>131</v>
      </c>
      <c r="B290" s="76" t="s">
        <v>1222</v>
      </c>
      <c r="C290" s="76" t="s">
        <v>1223</v>
      </c>
      <c r="D290" s="142" t="s">
        <v>1225</v>
      </c>
      <c r="E290" s="142" t="s">
        <v>1226</v>
      </c>
      <c r="F290" s="76" t="s">
        <v>1227</v>
      </c>
      <c r="G290" s="76" t="s">
        <v>1228</v>
      </c>
      <c r="H290" s="76" t="s">
        <v>1229</v>
      </c>
      <c r="I290" s="76" t="s">
        <v>1230</v>
      </c>
      <c r="J290" s="76" t="s">
        <v>1231</v>
      </c>
      <c r="M290" s="361" t="s">
        <v>1239</v>
      </c>
      <c r="N290" s="361" t="s">
        <v>1240</v>
      </c>
      <c r="O290" s="361" t="s">
        <v>1241</v>
      </c>
      <c r="P290" s="361" t="s">
        <v>1227</v>
      </c>
    </row>
    <row r="291" spans="1:16" s="360" customFormat="1" ht="23.1" customHeight="1">
      <c r="A291" s="80" t="s">
        <v>1220</v>
      </c>
      <c r="B291" s="80" t="s">
        <v>1221</v>
      </c>
      <c r="C291" s="80" t="s">
        <v>1224</v>
      </c>
      <c r="D291" s="356" t="s">
        <v>1232</v>
      </c>
      <c r="E291" s="356" t="s">
        <v>1233</v>
      </c>
      <c r="F291" s="357" t="s">
        <v>1234</v>
      </c>
      <c r="G291" s="357" t="s">
        <v>1235</v>
      </c>
      <c r="H291" s="357" t="s">
        <v>1236</v>
      </c>
      <c r="I291" s="357" t="s">
        <v>1237</v>
      </c>
      <c r="J291" s="357" t="s">
        <v>1238</v>
      </c>
    </row>
    <row r="292" spans="1:16" s="360" customFormat="1" ht="18.95" customHeight="1">
      <c r="A292" s="73"/>
      <c r="B292" s="73"/>
      <c r="C292" s="73"/>
      <c r="D292" s="362"/>
      <c r="E292" s="362"/>
      <c r="F292" s="363"/>
      <c r="G292" s="363"/>
      <c r="H292" s="363"/>
      <c r="I292" s="363"/>
      <c r="J292" s="363"/>
    </row>
    <row r="293" spans="1:16" ht="18.75" customHeight="1">
      <c r="A293" s="647">
        <f>A280+1</f>
        <v>221</v>
      </c>
      <c r="B293" s="358" t="s">
        <v>3309</v>
      </c>
      <c r="C293" s="355" t="s">
        <v>3310</v>
      </c>
      <c r="D293" s="145">
        <v>43831</v>
      </c>
      <c r="E293" s="146">
        <v>44196</v>
      </c>
      <c r="F293" s="149">
        <v>0.32876712328767121</v>
      </c>
      <c r="G293" s="355">
        <v>207000.12</v>
      </c>
      <c r="H293" s="355">
        <v>238752.63</v>
      </c>
      <c r="I293" s="359">
        <v>78310.87</v>
      </c>
      <c r="J293" s="353">
        <f t="shared" ref="J293:J336" si="30">I293/H293</f>
        <v>0.3280000308268855</v>
      </c>
      <c r="M293" s="74">
        <f t="shared" ref="M293:M336" si="31">E293-D293</f>
        <v>365</v>
      </c>
      <c r="N293" s="146">
        <v>43951</v>
      </c>
      <c r="O293" s="74">
        <f t="shared" ref="O293:O336" si="32">E293-N293</f>
        <v>245</v>
      </c>
      <c r="P293" s="354">
        <f t="shared" ref="P293:P336" si="33">(M293-O293)/M293</f>
        <v>0.32876712328767121</v>
      </c>
    </row>
    <row r="294" spans="1:16" ht="18.75" customHeight="1">
      <c r="A294" s="647">
        <f>A293+1</f>
        <v>222</v>
      </c>
      <c r="B294" s="358" t="s">
        <v>3311</v>
      </c>
      <c r="C294" s="355" t="s">
        <v>3312</v>
      </c>
      <c r="D294" s="145">
        <v>43831</v>
      </c>
      <c r="E294" s="146">
        <v>44196</v>
      </c>
      <c r="F294" s="149">
        <v>0.32876712328767121</v>
      </c>
      <c r="G294" s="355">
        <v>183999.43</v>
      </c>
      <c r="H294" s="355">
        <v>216000</v>
      </c>
      <c r="I294" s="359">
        <v>43200</v>
      </c>
      <c r="J294" s="353">
        <f t="shared" si="30"/>
        <v>0.2</v>
      </c>
      <c r="M294" s="74">
        <f t="shared" si="31"/>
        <v>365</v>
      </c>
      <c r="N294" s="146">
        <v>43951</v>
      </c>
      <c r="O294" s="74">
        <f t="shared" si="32"/>
        <v>245</v>
      </c>
      <c r="P294" s="354">
        <f t="shared" si="33"/>
        <v>0.32876712328767121</v>
      </c>
    </row>
    <row r="295" spans="1:16" ht="18.75" customHeight="1">
      <c r="A295" s="647">
        <f t="shared" ref="A295:A336" si="34">A294+1</f>
        <v>223</v>
      </c>
      <c r="B295" s="358" t="s">
        <v>3313</v>
      </c>
      <c r="C295" s="355" t="s">
        <v>3314</v>
      </c>
      <c r="D295" s="145">
        <v>43831</v>
      </c>
      <c r="E295" s="146">
        <v>44196</v>
      </c>
      <c r="F295" s="149">
        <v>0.32876712328767121</v>
      </c>
      <c r="G295" s="355">
        <v>34500</v>
      </c>
      <c r="H295" s="355">
        <v>35886.959999999999</v>
      </c>
      <c r="I295" s="359">
        <v>11962.32</v>
      </c>
      <c r="J295" s="353">
        <f t="shared" si="30"/>
        <v>0.33333333333333331</v>
      </c>
      <c r="M295" s="74">
        <f t="shared" si="31"/>
        <v>365</v>
      </c>
      <c r="N295" s="146">
        <v>43951</v>
      </c>
      <c r="O295" s="74">
        <f t="shared" si="32"/>
        <v>245</v>
      </c>
      <c r="P295" s="354">
        <f t="shared" si="33"/>
        <v>0.32876712328767121</v>
      </c>
    </row>
    <row r="296" spans="1:16" ht="18.75" customHeight="1">
      <c r="A296" s="647">
        <f t="shared" si="34"/>
        <v>224</v>
      </c>
      <c r="B296" s="358" t="s">
        <v>3315</v>
      </c>
      <c r="C296" s="355" t="s">
        <v>3316</v>
      </c>
      <c r="D296" s="145">
        <v>43831</v>
      </c>
      <c r="E296" s="146">
        <v>44196</v>
      </c>
      <c r="F296" s="149">
        <v>0.32876712328767121</v>
      </c>
      <c r="G296" s="355">
        <v>138000.06</v>
      </c>
      <c r="H296" s="355">
        <v>144000</v>
      </c>
      <c r="I296" s="359">
        <v>12000</v>
      </c>
      <c r="J296" s="353">
        <f t="shared" si="30"/>
        <v>8.3333333333333329E-2</v>
      </c>
      <c r="M296" s="74">
        <f t="shared" si="31"/>
        <v>365</v>
      </c>
      <c r="N296" s="146">
        <v>43951</v>
      </c>
      <c r="O296" s="74">
        <f t="shared" si="32"/>
        <v>245</v>
      </c>
      <c r="P296" s="354">
        <f t="shared" si="33"/>
        <v>0.32876712328767121</v>
      </c>
    </row>
    <row r="297" spans="1:16" ht="18.75" customHeight="1">
      <c r="A297" s="647">
        <f t="shared" si="34"/>
        <v>225</v>
      </c>
      <c r="B297" s="358" t="s">
        <v>3317</v>
      </c>
      <c r="C297" s="355" t="s">
        <v>3318</v>
      </c>
      <c r="D297" s="145">
        <v>43831</v>
      </c>
      <c r="E297" s="146">
        <v>44196</v>
      </c>
      <c r="F297" s="149">
        <v>0.32876712328767121</v>
      </c>
      <c r="G297" s="355">
        <v>69000</v>
      </c>
      <c r="H297" s="355">
        <v>72000</v>
      </c>
      <c r="I297" s="359">
        <v>24000</v>
      </c>
      <c r="J297" s="353">
        <f t="shared" si="30"/>
        <v>0.33333333333333331</v>
      </c>
      <c r="M297" s="74">
        <f t="shared" si="31"/>
        <v>365</v>
      </c>
      <c r="N297" s="146">
        <v>43951</v>
      </c>
      <c r="O297" s="74">
        <f t="shared" si="32"/>
        <v>245</v>
      </c>
      <c r="P297" s="354">
        <f t="shared" si="33"/>
        <v>0.32876712328767121</v>
      </c>
    </row>
    <row r="298" spans="1:16" ht="18.75" customHeight="1">
      <c r="A298" s="647">
        <f t="shared" si="34"/>
        <v>226</v>
      </c>
      <c r="B298" s="358" t="s">
        <v>3319</v>
      </c>
      <c r="C298" s="355" t="s">
        <v>3320</v>
      </c>
      <c r="D298" s="145">
        <v>43831</v>
      </c>
      <c r="E298" s="146">
        <v>44196</v>
      </c>
      <c r="F298" s="149">
        <v>0.32876712328767121</v>
      </c>
      <c r="G298" s="355">
        <v>34500</v>
      </c>
      <c r="H298" s="355">
        <v>36000</v>
      </c>
      <c r="I298" s="359">
        <v>5760</v>
      </c>
      <c r="J298" s="353">
        <f t="shared" si="30"/>
        <v>0.16</v>
      </c>
      <c r="M298" s="74">
        <f t="shared" si="31"/>
        <v>365</v>
      </c>
      <c r="N298" s="146">
        <v>43951</v>
      </c>
      <c r="O298" s="74">
        <f t="shared" si="32"/>
        <v>245</v>
      </c>
      <c r="P298" s="354">
        <f t="shared" si="33"/>
        <v>0.32876712328767121</v>
      </c>
    </row>
    <row r="299" spans="1:16" ht="18.75" customHeight="1">
      <c r="A299" s="647">
        <f t="shared" si="34"/>
        <v>227</v>
      </c>
      <c r="B299" s="358" t="s">
        <v>3321</v>
      </c>
      <c r="C299" s="355" t="s">
        <v>3322</v>
      </c>
      <c r="D299" s="145">
        <v>43831</v>
      </c>
      <c r="E299" s="146">
        <v>44196</v>
      </c>
      <c r="F299" s="149">
        <v>0.32876712328767121</v>
      </c>
      <c r="G299" s="355">
        <v>91999.66</v>
      </c>
      <c r="H299" s="355">
        <v>96000</v>
      </c>
      <c r="I299" s="359">
        <v>26400</v>
      </c>
      <c r="J299" s="353">
        <f t="shared" si="30"/>
        <v>0.27500000000000002</v>
      </c>
      <c r="M299" s="74">
        <f t="shared" si="31"/>
        <v>365</v>
      </c>
      <c r="N299" s="146">
        <v>43951</v>
      </c>
      <c r="O299" s="74">
        <f t="shared" si="32"/>
        <v>245</v>
      </c>
      <c r="P299" s="354">
        <f t="shared" si="33"/>
        <v>0.32876712328767121</v>
      </c>
    </row>
    <row r="300" spans="1:16" ht="18.75" customHeight="1">
      <c r="A300" s="647">
        <f t="shared" si="34"/>
        <v>228</v>
      </c>
      <c r="B300" s="358" t="s">
        <v>3323</v>
      </c>
      <c r="C300" s="355" t="s">
        <v>3324</v>
      </c>
      <c r="D300" s="145">
        <v>43831</v>
      </c>
      <c r="E300" s="146">
        <v>44196</v>
      </c>
      <c r="F300" s="149">
        <v>0.32876712328767121</v>
      </c>
      <c r="G300" s="355">
        <v>48760</v>
      </c>
      <c r="H300" s="355">
        <v>50880</v>
      </c>
      <c r="I300" s="359">
        <v>8160</v>
      </c>
      <c r="J300" s="353">
        <f t="shared" si="30"/>
        <v>0.16037735849056603</v>
      </c>
      <c r="M300" s="74">
        <f t="shared" si="31"/>
        <v>365</v>
      </c>
      <c r="N300" s="146">
        <v>43951</v>
      </c>
      <c r="O300" s="74">
        <f t="shared" si="32"/>
        <v>245</v>
      </c>
      <c r="P300" s="354">
        <f t="shared" si="33"/>
        <v>0.32876712328767121</v>
      </c>
    </row>
    <row r="301" spans="1:16" ht="18.75" customHeight="1">
      <c r="A301" s="647">
        <f t="shared" si="34"/>
        <v>229</v>
      </c>
      <c r="B301" s="358" t="s">
        <v>3325</v>
      </c>
      <c r="C301" s="355" t="s">
        <v>3326</v>
      </c>
      <c r="D301" s="145">
        <v>43831</v>
      </c>
      <c r="E301" s="146">
        <v>44196</v>
      </c>
      <c r="F301" s="149">
        <v>0.32876712328767121</v>
      </c>
      <c r="G301" s="355">
        <v>68999.31</v>
      </c>
      <c r="H301" s="355">
        <v>72000</v>
      </c>
      <c r="I301" s="359">
        <v>12240</v>
      </c>
      <c r="J301" s="353">
        <f t="shared" si="30"/>
        <v>0.17</v>
      </c>
      <c r="M301" s="74">
        <f t="shared" si="31"/>
        <v>365</v>
      </c>
      <c r="N301" s="146">
        <v>43951</v>
      </c>
      <c r="O301" s="74">
        <f t="shared" si="32"/>
        <v>245</v>
      </c>
      <c r="P301" s="354">
        <f t="shared" si="33"/>
        <v>0.32876712328767121</v>
      </c>
    </row>
    <row r="302" spans="1:16" ht="18.75" customHeight="1">
      <c r="A302" s="647">
        <f t="shared" si="34"/>
        <v>230</v>
      </c>
      <c r="B302" s="358" t="s">
        <v>3327</v>
      </c>
      <c r="C302" s="355" t="s">
        <v>3328</v>
      </c>
      <c r="D302" s="145">
        <v>43831</v>
      </c>
      <c r="E302" s="146">
        <v>44196</v>
      </c>
      <c r="F302" s="149">
        <v>0.32876712328767121</v>
      </c>
      <c r="G302" s="355">
        <v>57500</v>
      </c>
      <c r="H302" s="355">
        <v>60000</v>
      </c>
      <c r="I302" s="359">
        <v>17280</v>
      </c>
      <c r="J302" s="353">
        <f t="shared" si="30"/>
        <v>0.28799999999999998</v>
      </c>
      <c r="M302" s="74">
        <f t="shared" si="31"/>
        <v>365</v>
      </c>
      <c r="N302" s="146">
        <v>43951</v>
      </c>
      <c r="O302" s="74">
        <f t="shared" si="32"/>
        <v>245</v>
      </c>
      <c r="P302" s="354">
        <f t="shared" si="33"/>
        <v>0.32876712328767121</v>
      </c>
    </row>
    <row r="303" spans="1:16" ht="18.75" customHeight="1">
      <c r="A303" s="647">
        <f t="shared" si="34"/>
        <v>231</v>
      </c>
      <c r="B303" s="358" t="s">
        <v>3329</v>
      </c>
      <c r="C303" s="355" t="s">
        <v>3330</v>
      </c>
      <c r="D303" s="145">
        <v>43831</v>
      </c>
      <c r="E303" s="146">
        <v>44196</v>
      </c>
      <c r="F303" s="149">
        <v>0.32876712328767121</v>
      </c>
      <c r="G303" s="355">
        <v>91999.34</v>
      </c>
      <c r="H303" s="355">
        <v>144000</v>
      </c>
      <c r="I303" s="359">
        <v>28800</v>
      </c>
      <c r="J303" s="353">
        <f t="shared" si="30"/>
        <v>0.2</v>
      </c>
      <c r="M303" s="74">
        <f t="shared" si="31"/>
        <v>365</v>
      </c>
      <c r="N303" s="146">
        <v>43951</v>
      </c>
      <c r="O303" s="74">
        <f t="shared" si="32"/>
        <v>245</v>
      </c>
      <c r="P303" s="354">
        <f t="shared" si="33"/>
        <v>0.32876712328767121</v>
      </c>
    </row>
    <row r="304" spans="1:16" ht="18.75" customHeight="1">
      <c r="A304" s="647">
        <f t="shared" si="34"/>
        <v>232</v>
      </c>
      <c r="B304" s="358" t="s">
        <v>3331</v>
      </c>
      <c r="C304" s="355" t="s">
        <v>3332</v>
      </c>
      <c r="D304" s="145">
        <v>43831</v>
      </c>
      <c r="E304" s="146">
        <v>44196</v>
      </c>
      <c r="F304" s="149">
        <v>0.32876712328767121</v>
      </c>
      <c r="G304" s="355">
        <v>46000</v>
      </c>
      <c r="H304" s="355">
        <v>48000</v>
      </c>
      <c r="I304" s="359">
        <v>19200</v>
      </c>
      <c r="J304" s="353">
        <f t="shared" si="30"/>
        <v>0.4</v>
      </c>
      <c r="M304" s="74">
        <f t="shared" si="31"/>
        <v>365</v>
      </c>
      <c r="N304" s="146">
        <v>43951</v>
      </c>
      <c r="O304" s="74">
        <f t="shared" si="32"/>
        <v>245</v>
      </c>
      <c r="P304" s="354">
        <f t="shared" si="33"/>
        <v>0.32876712328767121</v>
      </c>
    </row>
    <row r="305" spans="1:16" ht="18.75" customHeight="1">
      <c r="A305" s="647">
        <f t="shared" si="34"/>
        <v>233</v>
      </c>
      <c r="B305" s="358" t="s">
        <v>3333</v>
      </c>
      <c r="C305" s="355" t="s">
        <v>3334</v>
      </c>
      <c r="D305" s="145">
        <v>43831</v>
      </c>
      <c r="E305" s="146">
        <v>44196</v>
      </c>
      <c r="F305" s="149">
        <v>0.32876712328767121</v>
      </c>
      <c r="G305" s="355">
        <v>114999.92</v>
      </c>
      <c r="H305" s="355">
        <v>250000</v>
      </c>
      <c r="I305" s="359">
        <v>85000</v>
      </c>
      <c r="J305" s="353">
        <f t="shared" si="30"/>
        <v>0.34</v>
      </c>
      <c r="M305" s="74">
        <f t="shared" si="31"/>
        <v>365</v>
      </c>
      <c r="N305" s="146">
        <v>43951</v>
      </c>
      <c r="O305" s="74">
        <f t="shared" si="32"/>
        <v>245</v>
      </c>
      <c r="P305" s="354">
        <f t="shared" si="33"/>
        <v>0.32876712328767121</v>
      </c>
    </row>
    <row r="306" spans="1:16" ht="18.75" customHeight="1">
      <c r="A306" s="647">
        <f t="shared" si="34"/>
        <v>234</v>
      </c>
      <c r="B306" s="358" t="s">
        <v>3335</v>
      </c>
      <c r="C306" s="355" t="s">
        <v>3336</v>
      </c>
      <c r="D306" s="145">
        <v>43831</v>
      </c>
      <c r="E306" s="146">
        <v>44196</v>
      </c>
      <c r="F306" s="149">
        <v>0.32876712328767121</v>
      </c>
      <c r="G306" s="355">
        <v>368000</v>
      </c>
      <c r="H306" s="355">
        <v>288000</v>
      </c>
      <c r="I306" s="359">
        <v>96000</v>
      </c>
      <c r="J306" s="353">
        <f t="shared" si="30"/>
        <v>0.33333333333333331</v>
      </c>
      <c r="M306" s="74">
        <f t="shared" si="31"/>
        <v>365</v>
      </c>
      <c r="N306" s="146">
        <v>43951</v>
      </c>
      <c r="O306" s="74">
        <f t="shared" si="32"/>
        <v>245</v>
      </c>
      <c r="P306" s="354">
        <f t="shared" si="33"/>
        <v>0.32876712328767121</v>
      </c>
    </row>
    <row r="307" spans="1:16" ht="18.75" customHeight="1">
      <c r="A307" s="647">
        <f t="shared" si="34"/>
        <v>235</v>
      </c>
      <c r="B307" s="358" t="s">
        <v>3337</v>
      </c>
      <c r="C307" s="355" t="s">
        <v>3338</v>
      </c>
      <c r="D307" s="145">
        <v>43831</v>
      </c>
      <c r="E307" s="146">
        <v>44196</v>
      </c>
      <c r="F307" s="149">
        <v>0.32876712328767121</v>
      </c>
      <c r="G307" s="355">
        <v>39100.01</v>
      </c>
      <c r="H307" s="355">
        <v>40800.959999999999</v>
      </c>
      <c r="I307" s="359">
        <v>10584.48</v>
      </c>
      <c r="J307" s="353">
        <f t="shared" si="30"/>
        <v>0.25941742547234181</v>
      </c>
      <c r="M307" s="74">
        <f t="shared" si="31"/>
        <v>365</v>
      </c>
      <c r="N307" s="146">
        <v>43951</v>
      </c>
      <c r="O307" s="74">
        <f t="shared" si="32"/>
        <v>245</v>
      </c>
      <c r="P307" s="354">
        <f t="shared" si="33"/>
        <v>0.32876712328767121</v>
      </c>
    </row>
    <row r="308" spans="1:16" ht="18.75" customHeight="1">
      <c r="A308" s="647">
        <f t="shared" si="34"/>
        <v>236</v>
      </c>
      <c r="B308" s="358" t="s">
        <v>3339</v>
      </c>
      <c r="C308" s="355" t="s">
        <v>3340</v>
      </c>
      <c r="D308" s="145">
        <v>43831</v>
      </c>
      <c r="E308" s="146">
        <v>44196</v>
      </c>
      <c r="F308" s="149">
        <v>0.32876712328767121</v>
      </c>
      <c r="G308" s="355">
        <v>22999.87</v>
      </c>
      <c r="H308" s="355">
        <v>24000</v>
      </c>
      <c r="I308" s="359">
        <v>3360</v>
      </c>
      <c r="J308" s="353">
        <f t="shared" si="30"/>
        <v>0.14000000000000001</v>
      </c>
      <c r="M308" s="74">
        <f t="shared" si="31"/>
        <v>365</v>
      </c>
      <c r="N308" s="146">
        <v>43951</v>
      </c>
      <c r="O308" s="74">
        <f t="shared" si="32"/>
        <v>245</v>
      </c>
      <c r="P308" s="354">
        <f t="shared" si="33"/>
        <v>0.32876712328767121</v>
      </c>
    </row>
    <row r="309" spans="1:16" ht="18.75" customHeight="1">
      <c r="A309" s="647">
        <f t="shared" si="34"/>
        <v>237</v>
      </c>
      <c r="B309" s="358" t="s">
        <v>3341</v>
      </c>
      <c r="C309" s="355" t="s">
        <v>3342</v>
      </c>
      <c r="D309" s="145">
        <v>43831</v>
      </c>
      <c r="E309" s="146">
        <v>44196</v>
      </c>
      <c r="F309" s="149">
        <v>0.32876712328767121</v>
      </c>
      <c r="G309" s="355">
        <v>1469334.9</v>
      </c>
      <c r="H309" s="355">
        <v>1373074.79</v>
      </c>
      <c r="I309" s="359">
        <v>499299.92</v>
      </c>
      <c r="J309" s="353">
        <f t="shared" si="30"/>
        <v>0.36363636098802743</v>
      </c>
      <c r="M309" s="74">
        <f t="shared" si="31"/>
        <v>365</v>
      </c>
      <c r="N309" s="146">
        <v>43951</v>
      </c>
      <c r="O309" s="74">
        <f t="shared" si="32"/>
        <v>245</v>
      </c>
      <c r="P309" s="354">
        <f t="shared" si="33"/>
        <v>0.32876712328767121</v>
      </c>
    </row>
    <row r="310" spans="1:16" ht="18.75" customHeight="1">
      <c r="A310" s="647">
        <f t="shared" si="34"/>
        <v>238</v>
      </c>
      <c r="B310" s="358" t="s">
        <v>3343</v>
      </c>
      <c r="C310" s="355" t="s">
        <v>3344</v>
      </c>
      <c r="D310" s="145">
        <v>43831</v>
      </c>
      <c r="E310" s="146">
        <v>44196</v>
      </c>
      <c r="F310" s="149">
        <v>0.32876712328767121</v>
      </c>
      <c r="G310" s="355">
        <v>45999.45</v>
      </c>
      <c r="H310" s="355">
        <v>48000</v>
      </c>
      <c r="I310" s="359">
        <v>8160</v>
      </c>
      <c r="J310" s="353">
        <f t="shared" si="30"/>
        <v>0.17</v>
      </c>
      <c r="M310" s="74">
        <f t="shared" si="31"/>
        <v>365</v>
      </c>
      <c r="N310" s="146">
        <v>43951</v>
      </c>
      <c r="O310" s="74">
        <f t="shared" si="32"/>
        <v>245</v>
      </c>
      <c r="P310" s="354">
        <f t="shared" si="33"/>
        <v>0.32876712328767121</v>
      </c>
    </row>
    <row r="311" spans="1:16" ht="18.75" customHeight="1">
      <c r="A311" s="647">
        <f t="shared" si="34"/>
        <v>239</v>
      </c>
      <c r="B311" s="358" t="s">
        <v>3345</v>
      </c>
      <c r="C311" s="355" t="s">
        <v>3346</v>
      </c>
      <c r="D311" s="145">
        <v>43831</v>
      </c>
      <c r="E311" s="146">
        <v>44196</v>
      </c>
      <c r="F311" s="149">
        <v>0.32876712328767121</v>
      </c>
      <c r="G311" s="355">
        <v>112000.1</v>
      </c>
      <c r="H311" s="355">
        <v>112000</v>
      </c>
      <c r="I311" s="359">
        <v>5600</v>
      </c>
      <c r="J311" s="353">
        <f t="shared" si="30"/>
        <v>0.05</v>
      </c>
      <c r="M311" s="74">
        <f t="shared" si="31"/>
        <v>365</v>
      </c>
      <c r="N311" s="146">
        <v>43951</v>
      </c>
      <c r="O311" s="74">
        <f t="shared" si="32"/>
        <v>245</v>
      </c>
      <c r="P311" s="354">
        <f t="shared" si="33"/>
        <v>0.32876712328767121</v>
      </c>
    </row>
    <row r="312" spans="1:16" ht="18.75" customHeight="1">
      <c r="A312" s="647">
        <f t="shared" si="34"/>
        <v>240</v>
      </c>
      <c r="B312" s="358" t="s">
        <v>3347</v>
      </c>
      <c r="C312" s="355" t="s">
        <v>3348</v>
      </c>
      <c r="D312" s="145">
        <v>43831</v>
      </c>
      <c r="E312" s="146">
        <v>44196</v>
      </c>
      <c r="F312" s="149">
        <v>0.32876712328767121</v>
      </c>
      <c r="G312" s="355">
        <v>84000.01</v>
      </c>
      <c r="H312" s="355">
        <v>75600</v>
      </c>
      <c r="I312" s="359">
        <v>15120</v>
      </c>
      <c r="J312" s="353">
        <f t="shared" si="30"/>
        <v>0.2</v>
      </c>
      <c r="M312" s="74">
        <f t="shared" si="31"/>
        <v>365</v>
      </c>
      <c r="N312" s="146">
        <v>43951</v>
      </c>
      <c r="O312" s="74">
        <f t="shared" si="32"/>
        <v>245</v>
      </c>
      <c r="P312" s="354">
        <f t="shared" si="33"/>
        <v>0.32876712328767121</v>
      </c>
    </row>
    <row r="313" spans="1:16" ht="18.75" customHeight="1">
      <c r="A313" s="647">
        <f t="shared" si="34"/>
        <v>241</v>
      </c>
      <c r="B313" s="358" t="s">
        <v>3349</v>
      </c>
      <c r="C313" s="355" t="s">
        <v>3350</v>
      </c>
      <c r="D313" s="145">
        <v>43831</v>
      </c>
      <c r="E313" s="146">
        <v>44196</v>
      </c>
      <c r="F313" s="149">
        <v>0.32876712328767121</v>
      </c>
      <c r="G313" s="355">
        <v>137999.32999999999</v>
      </c>
      <c r="H313" s="355">
        <v>192000</v>
      </c>
      <c r="I313" s="359">
        <v>28800</v>
      </c>
      <c r="J313" s="353">
        <f t="shared" si="30"/>
        <v>0.15</v>
      </c>
      <c r="M313" s="74">
        <f t="shared" si="31"/>
        <v>365</v>
      </c>
      <c r="N313" s="146">
        <v>43951</v>
      </c>
      <c r="O313" s="74">
        <f t="shared" si="32"/>
        <v>245</v>
      </c>
      <c r="P313" s="354">
        <f t="shared" si="33"/>
        <v>0.32876712328767121</v>
      </c>
    </row>
    <row r="314" spans="1:16" ht="18.75" customHeight="1">
      <c r="A314" s="647">
        <f t="shared" si="34"/>
        <v>242</v>
      </c>
      <c r="B314" s="358" t="s">
        <v>3351</v>
      </c>
      <c r="C314" s="355" t="s">
        <v>3352</v>
      </c>
      <c r="D314" s="145">
        <v>43831</v>
      </c>
      <c r="E314" s="146">
        <v>44196</v>
      </c>
      <c r="F314" s="149">
        <v>0.32876712328767121</v>
      </c>
      <c r="G314" s="355">
        <v>68999.960000000006</v>
      </c>
      <c r="H314" s="355">
        <v>68377.210000000006</v>
      </c>
      <c r="I314" s="359">
        <v>26435.95</v>
      </c>
      <c r="J314" s="353">
        <f t="shared" si="30"/>
        <v>0.3866193136572843</v>
      </c>
      <c r="M314" s="74">
        <f t="shared" si="31"/>
        <v>365</v>
      </c>
      <c r="N314" s="146">
        <v>43951</v>
      </c>
      <c r="O314" s="74">
        <f t="shared" si="32"/>
        <v>245</v>
      </c>
      <c r="P314" s="354">
        <f t="shared" si="33"/>
        <v>0.32876712328767121</v>
      </c>
    </row>
    <row r="315" spans="1:16" ht="18.75" customHeight="1">
      <c r="A315" s="647">
        <f t="shared" si="34"/>
        <v>243</v>
      </c>
      <c r="B315" s="358" t="s">
        <v>3353</v>
      </c>
      <c r="C315" s="355" t="s">
        <v>3354</v>
      </c>
      <c r="D315" s="145">
        <v>43831</v>
      </c>
      <c r="E315" s="146">
        <v>44196</v>
      </c>
      <c r="F315" s="149">
        <v>0.32876712328767121</v>
      </c>
      <c r="G315" s="355">
        <v>23000</v>
      </c>
      <c r="H315" s="355">
        <v>96000</v>
      </c>
      <c r="I315" s="359">
        <v>48000</v>
      </c>
      <c r="J315" s="353">
        <f t="shared" si="30"/>
        <v>0.5</v>
      </c>
      <c r="M315" s="74">
        <f t="shared" si="31"/>
        <v>365</v>
      </c>
      <c r="N315" s="146">
        <v>43951</v>
      </c>
      <c r="O315" s="74">
        <f t="shared" si="32"/>
        <v>245</v>
      </c>
      <c r="P315" s="354">
        <f t="shared" si="33"/>
        <v>0.32876712328767121</v>
      </c>
    </row>
    <row r="316" spans="1:16" ht="18.75" customHeight="1">
      <c r="A316" s="647">
        <f t="shared" si="34"/>
        <v>244</v>
      </c>
      <c r="B316" s="358" t="s">
        <v>3355</v>
      </c>
      <c r="C316" s="355" t="s">
        <v>3356</v>
      </c>
      <c r="D316" s="145">
        <v>43831</v>
      </c>
      <c r="E316" s="146">
        <v>44196</v>
      </c>
      <c r="F316" s="149">
        <v>0.32876712328767121</v>
      </c>
      <c r="G316" s="355">
        <v>65549.52</v>
      </c>
      <c r="H316" s="355">
        <v>68400</v>
      </c>
      <c r="I316" s="359">
        <v>4800</v>
      </c>
      <c r="J316" s="353">
        <f t="shared" si="30"/>
        <v>7.0175438596491224E-2</v>
      </c>
      <c r="M316" s="74">
        <f t="shared" si="31"/>
        <v>365</v>
      </c>
      <c r="N316" s="146">
        <v>43951</v>
      </c>
      <c r="O316" s="74">
        <f t="shared" si="32"/>
        <v>245</v>
      </c>
      <c r="P316" s="354">
        <f t="shared" si="33"/>
        <v>0.32876712328767121</v>
      </c>
    </row>
    <row r="317" spans="1:16" ht="18.75" customHeight="1">
      <c r="A317" s="647">
        <f t="shared" si="34"/>
        <v>245</v>
      </c>
      <c r="B317" s="358" t="s">
        <v>3357</v>
      </c>
      <c r="C317" s="355" t="s">
        <v>3358</v>
      </c>
      <c r="D317" s="145">
        <v>43831</v>
      </c>
      <c r="E317" s="146">
        <v>44196</v>
      </c>
      <c r="F317" s="149">
        <v>0.32876712328767121</v>
      </c>
      <c r="G317" s="355">
        <v>42000</v>
      </c>
      <c r="H317" s="355">
        <v>42000</v>
      </c>
      <c r="I317" s="359">
        <v>25200</v>
      </c>
      <c r="J317" s="353">
        <f t="shared" si="30"/>
        <v>0.6</v>
      </c>
      <c r="M317" s="74">
        <f t="shared" si="31"/>
        <v>365</v>
      </c>
      <c r="N317" s="146">
        <v>43951</v>
      </c>
      <c r="O317" s="74">
        <f t="shared" si="32"/>
        <v>245</v>
      </c>
      <c r="P317" s="354">
        <f t="shared" si="33"/>
        <v>0.32876712328767121</v>
      </c>
    </row>
    <row r="318" spans="1:16" ht="18.75" customHeight="1">
      <c r="A318" s="647">
        <f t="shared" si="34"/>
        <v>246</v>
      </c>
      <c r="B318" s="358" t="s">
        <v>3359</v>
      </c>
      <c r="C318" s="355" t="s">
        <v>3360</v>
      </c>
      <c r="D318" s="145">
        <v>43831</v>
      </c>
      <c r="E318" s="146">
        <v>44196</v>
      </c>
      <c r="F318" s="149">
        <v>0.32876712328767121</v>
      </c>
      <c r="G318" s="355">
        <v>112000</v>
      </c>
      <c r="H318" s="355">
        <v>168000</v>
      </c>
      <c r="I318" s="359">
        <v>50400</v>
      </c>
      <c r="J318" s="353">
        <f t="shared" si="30"/>
        <v>0.3</v>
      </c>
      <c r="M318" s="74">
        <f t="shared" si="31"/>
        <v>365</v>
      </c>
      <c r="N318" s="146">
        <v>43951</v>
      </c>
      <c r="O318" s="74">
        <f t="shared" si="32"/>
        <v>245</v>
      </c>
      <c r="P318" s="354">
        <f t="shared" si="33"/>
        <v>0.32876712328767121</v>
      </c>
    </row>
    <row r="319" spans="1:16" ht="18.75" customHeight="1">
      <c r="A319" s="647">
        <f t="shared" si="34"/>
        <v>247</v>
      </c>
      <c r="B319" s="358" t="s">
        <v>3361</v>
      </c>
      <c r="C319" s="355" t="s">
        <v>3362</v>
      </c>
      <c r="D319" s="145">
        <v>43831</v>
      </c>
      <c r="E319" s="146">
        <v>44196</v>
      </c>
      <c r="F319" s="149">
        <v>0.32876712328767121</v>
      </c>
      <c r="G319" s="355">
        <v>72000</v>
      </c>
      <c r="H319" s="355">
        <v>72000</v>
      </c>
      <c r="I319" s="359">
        <v>24000</v>
      </c>
      <c r="J319" s="353">
        <f t="shared" si="30"/>
        <v>0.33333333333333331</v>
      </c>
      <c r="M319" s="74">
        <f t="shared" si="31"/>
        <v>365</v>
      </c>
      <c r="N319" s="146">
        <v>43951</v>
      </c>
      <c r="O319" s="74">
        <f t="shared" si="32"/>
        <v>245</v>
      </c>
      <c r="P319" s="354">
        <f t="shared" si="33"/>
        <v>0.32876712328767121</v>
      </c>
    </row>
    <row r="320" spans="1:16" ht="18.75" customHeight="1">
      <c r="A320" s="647">
        <f t="shared" si="34"/>
        <v>248</v>
      </c>
      <c r="B320" s="358" t="s">
        <v>3363</v>
      </c>
      <c r="C320" s="355" t="s">
        <v>3364</v>
      </c>
      <c r="D320" s="145">
        <v>43831</v>
      </c>
      <c r="E320" s="146">
        <v>44196</v>
      </c>
      <c r="F320" s="149">
        <v>0.32876712328767121</v>
      </c>
      <c r="G320" s="355">
        <v>192000.96</v>
      </c>
      <c r="H320" s="355">
        <v>189347.76</v>
      </c>
      <c r="I320" s="359">
        <v>63115.92</v>
      </c>
      <c r="J320" s="353">
        <f t="shared" si="30"/>
        <v>0.33333333333333331</v>
      </c>
      <c r="M320" s="74">
        <f t="shared" si="31"/>
        <v>365</v>
      </c>
      <c r="N320" s="146">
        <v>43951</v>
      </c>
      <c r="O320" s="74">
        <f t="shared" si="32"/>
        <v>245</v>
      </c>
      <c r="P320" s="354">
        <f t="shared" si="33"/>
        <v>0.32876712328767121</v>
      </c>
    </row>
    <row r="321" spans="1:16" ht="18.75" customHeight="1">
      <c r="A321" s="647">
        <f t="shared" si="34"/>
        <v>249</v>
      </c>
      <c r="B321" s="358" t="s">
        <v>3365</v>
      </c>
      <c r="C321" s="355" t="s">
        <v>3366</v>
      </c>
      <c r="D321" s="145">
        <v>43831</v>
      </c>
      <c r="E321" s="146">
        <v>44196</v>
      </c>
      <c r="F321" s="149">
        <v>0.32876712328767121</v>
      </c>
      <c r="G321" s="355">
        <v>75504</v>
      </c>
      <c r="H321" s="355">
        <v>38400</v>
      </c>
      <c r="I321" s="359">
        <v>11520</v>
      </c>
      <c r="J321" s="353">
        <f t="shared" si="30"/>
        <v>0.3</v>
      </c>
      <c r="M321" s="74">
        <f t="shared" si="31"/>
        <v>365</v>
      </c>
      <c r="N321" s="146">
        <v>43951</v>
      </c>
      <c r="O321" s="74">
        <f t="shared" si="32"/>
        <v>245</v>
      </c>
      <c r="P321" s="354">
        <f t="shared" si="33"/>
        <v>0.32876712328767121</v>
      </c>
    </row>
    <row r="322" spans="1:16" ht="18.75" customHeight="1">
      <c r="A322" s="647">
        <f t="shared" si="34"/>
        <v>250</v>
      </c>
      <c r="B322" s="358" t="s">
        <v>3367</v>
      </c>
      <c r="C322" s="355" t="s">
        <v>3368</v>
      </c>
      <c r="D322" s="145">
        <v>43831</v>
      </c>
      <c r="E322" s="146">
        <v>44196</v>
      </c>
      <c r="F322" s="149">
        <v>0.32876712328767121</v>
      </c>
      <c r="G322" s="355">
        <v>140000.4</v>
      </c>
      <c r="H322" s="355">
        <v>140000</v>
      </c>
      <c r="I322" s="359">
        <v>42000</v>
      </c>
      <c r="J322" s="353">
        <f t="shared" si="30"/>
        <v>0.3</v>
      </c>
      <c r="M322" s="74">
        <f t="shared" si="31"/>
        <v>365</v>
      </c>
      <c r="N322" s="146">
        <v>43951</v>
      </c>
      <c r="O322" s="74">
        <f t="shared" si="32"/>
        <v>245</v>
      </c>
      <c r="P322" s="354">
        <f t="shared" si="33"/>
        <v>0.32876712328767121</v>
      </c>
    </row>
    <row r="323" spans="1:16" ht="18.75" customHeight="1">
      <c r="A323" s="647">
        <f t="shared" si="34"/>
        <v>251</v>
      </c>
      <c r="B323" s="358" t="s">
        <v>3369</v>
      </c>
      <c r="C323" s="355" t="s">
        <v>3370</v>
      </c>
      <c r="D323" s="145">
        <v>43831</v>
      </c>
      <c r="E323" s="146">
        <v>44196</v>
      </c>
      <c r="F323" s="149">
        <v>0.32876712328767121</v>
      </c>
      <c r="G323" s="355">
        <v>60324</v>
      </c>
      <c r="H323" s="355">
        <v>71880.94</v>
      </c>
      <c r="I323" s="359">
        <v>23960.32</v>
      </c>
      <c r="J323" s="353">
        <f t="shared" si="30"/>
        <v>0.33333342607929167</v>
      </c>
      <c r="M323" s="74">
        <f t="shared" si="31"/>
        <v>365</v>
      </c>
      <c r="N323" s="146">
        <v>43951</v>
      </c>
      <c r="O323" s="74">
        <f t="shared" si="32"/>
        <v>245</v>
      </c>
      <c r="P323" s="354">
        <f t="shared" si="33"/>
        <v>0.32876712328767121</v>
      </c>
    </row>
    <row r="324" spans="1:16" ht="18.75" customHeight="1">
      <c r="A324" s="647">
        <f t="shared" si="34"/>
        <v>252</v>
      </c>
      <c r="B324" s="358" t="s">
        <v>3371</v>
      </c>
      <c r="C324" s="355" t="s">
        <v>3372</v>
      </c>
      <c r="D324" s="145">
        <v>43466</v>
      </c>
      <c r="E324" s="146">
        <v>44196</v>
      </c>
      <c r="F324" s="149">
        <v>0.66438356164383561</v>
      </c>
      <c r="G324" s="355">
        <v>672000.89</v>
      </c>
      <c r="H324" s="355">
        <v>666063.98</v>
      </c>
      <c r="I324" s="359">
        <v>443707.16999999993</v>
      </c>
      <c r="J324" s="353">
        <f t="shared" si="30"/>
        <v>0.66616298632452686</v>
      </c>
      <c r="M324" s="74">
        <f t="shared" si="31"/>
        <v>730</v>
      </c>
      <c r="N324" s="146">
        <v>43951</v>
      </c>
      <c r="O324" s="74">
        <f t="shared" si="32"/>
        <v>245</v>
      </c>
      <c r="P324" s="354">
        <f t="shared" si="33"/>
        <v>0.66438356164383561</v>
      </c>
    </row>
    <row r="325" spans="1:16" ht="18.75" customHeight="1">
      <c r="A325" s="647">
        <f t="shared" si="34"/>
        <v>253</v>
      </c>
      <c r="B325" s="358" t="s">
        <v>3373</v>
      </c>
      <c r="C325" s="355" t="s">
        <v>3374</v>
      </c>
      <c r="D325" s="145">
        <v>43831</v>
      </c>
      <c r="E325" s="146">
        <v>44196</v>
      </c>
      <c r="F325" s="149">
        <v>0.32876712328767121</v>
      </c>
      <c r="G325" s="355">
        <v>72000</v>
      </c>
      <c r="H325" s="355">
        <v>72000</v>
      </c>
      <c r="I325" s="359">
        <v>9600</v>
      </c>
      <c r="J325" s="353">
        <f t="shared" si="30"/>
        <v>0.13333333333333333</v>
      </c>
      <c r="M325" s="74">
        <f t="shared" si="31"/>
        <v>365</v>
      </c>
      <c r="N325" s="146">
        <v>43951</v>
      </c>
      <c r="O325" s="74">
        <f t="shared" si="32"/>
        <v>245</v>
      </c>
      <c r="P325" s="354">
        <f t="shared" si="33"/>
        <v>0.32876712328767121</v>
      </c>
    </row>
    <row r="326" spans="1:16" ht="18.75" customHeight="1">
      <c r="A326" s="647">
        <f t="shared" si="34"/>
        <v>254</v>
      </c>
      <c r="B326" s="358" t="s">
        <v>3375</v>
      </c>
      <c r="C326" s="355" t="s">
        <v>3376</v>
      </c>
      <c r="D326" s="145">
        <v>43831</v>
      </c>
      <c r="E326" s="146">
        <v>44196</v>
      </c>
      <c r="F326" s="149">
        <v>0.32876712328767121</v>
      </c>
      <c r="G326" s="355">
        <v>120000</v>
      </c>
      <c r="H326" s="355">
        <v>120000</v>
      </c>
      <c r="I326" s="359">
        <v>36000</v>
      </c>
      <c r="J326" s="353">
        <f t="shared" si="30"/>
        <v>0.3</v>
      </c>
      <c r="M326" s="74">
        <f t="shared" si="31"/>
        <v>365</v>
      </c>
      <c r="N326" s="146">
        <v>43951</v>
      </c>
      <c r="O326" s="74">
        <f t="shared" si="32"/>
        <v>245</v>
      </c>
      <c r="P326" s="354">
        <f t="shared" si="33"/>
        <v>0.32876712328767121</v>
      </c>
    </row>
    <row r="327" spans="1:16" ht="18.75" customHeight="1">
      <c r="A327" s="647">
        <f t="shared" si="34"/>
        <v>255</v>
      </c>
      <c r="B327" s="358" t="s">
        <v>3377</v>
      </c>
      <c r="C327" s="355" t="s">
        <v>3378</v>
      </c>
      <c r="D327" s="145">
        <v>43831</v>
      </c>
      <c r="E327" s="146">
        <v>44196</v>
      </c>
      <c r="F327" s="149">
        <v>0.32876712328767121</v>
      </c>
      <c r="G327" s="355">
        <v>56000</v>
      </c>
      <c r="H327" s="355">
        <v>56000</v>
      </c>
      <c r="I327" s="359">
        <v>16800</v>
      </c>
      <c r="J327" s="353">
        <f t="shared" si="30"/>
        <v>0.3</v>
      </c>
      <c r="M327" s="74">
        <f t="shared" si="31"/>
        <v>365</v>
      </c>
      <c r="N327" s="146">
        <v>43951</v>
      </c>
      <c r="O327" s="74">
        <f t="shared" si="32"/>
        <v>245</v>
      </c>
      <c r="P327" s="354">
        <f t="shared" si="33"/>
        <v>0.32876712328767121</v>
      </c>
    </row>
    <row r="328" spans="1:16" ht="18.75" customHeight="1">
      <c r="A328" s="647">
        <f t="shared" si="34"/>
        <v>256</v>
      </c>
      <c r="B328" s="358" t="s">
        <v>3379</v>
      </c>
      <c r="C328" s="355" t="s">
        <v>3380</v>
      </c>
      <c r="D328" s="145">
        <v>43831</v>
      </c>
      <c r="E328" s="146">
        <v>44196</v>
      </c>
      <c r="F328" s="149">
        <v>0.32876712328767121</v>
      </c>
      <c r="G328" s="355">
        <v>224000</v>
      </c>
      <c r="H328" s="355">
        <v>224000</v>
      </c>
      <c r="I328" s="359">
        <v>11200</v>
      </c>
      <c r="J328" s="353">
        <f t="shared" si="30"/>
        <v>0.05</v>
      </c>
      <c r="M328" s="74">
        <f t="shared" si="31"/>
        <v>365</v>
      </c>
      <c r="N328" s="146">
        <v>43951</v>
      </c>
      <c r="O328" s="74">
        <f t="shared" si="32"/>
        <v>245</v>
      </c>
      <c r="P328" s="354">
        <f t="shared" si="33"/>
        <v>0.32876712328767121</v>
      </c>
    </row>
    <row r="329" spans="1:16" ht="18.75" customHeight="1">
      <c r="A329" s="647">
        <f t="shared" si="34"/>
        <v>257</v>
      </c>
      <c r="B329" s="358" t="s">
        <v>3381</v>
      </c>
      <c r="C329" s="355" t="s">
        <v>3382</v>
      </c>
      <c r="D329" s="145">
        <v>43831</v>
      </c>
      <c r="E329" s="146">
        <v>44196</v>
      </c>
      <c r="F329" s="149">
        <v>0.32876712328767121</v>
      </c>
      <c r="G329" s="355">
        <v>84000</v>
      </c>
      <c r="H329" s="355">
        <v>84000</v>
      </c>
      <c r="I329" s="359">
        <v>28000</v>
      </c>
      <c r="J329" s="353">
        <f t="shared" si="30"/>
        <v>0.33333333333333331</v>
      </c>
      <c r="M329" s="74">
        <f t="shared" si="31"/>
        <v>365</v>
      </c>
      <c r="N329" s="146">
        <v>43951</v>
      </c>
      <c r="O329" s="74">
        <f t="shared" si="32"/>
        <v>245</v>
      </c>
      <c r="P329" s="354">
        <f t="shared" si="33"/>
        <v>0.32876712328767121</v>
      </c>
    </row>
    <row r="330" spans="1:16" ht="18.75" customHeight="1">
      <c r="A330" s="647">
        <f t="shared" si="34"/>
        <v>258</v>
      </c>
      <c r="B330" s="358" t="s">
        <v>3383</v>
      </c>
      <c r="C330" s="355" t="s">
        <v>3384</v>
      </c>
      <c r="D330" s="145">
        <v>43831</v>
      </c>
      <c r="E330" s="146">
        <v>44196</v>
      </c>
      <c r="F330" s="149">
        <v>0.32876712328767121</v>
      </c>
      <c r="G330" s="355">
        <v>48000</v>
      </c>
      <c r="H330" s="355">
        <v>48000</v>
      </c>
      <c r="I330" s="359">
        <v>9600</v>
      </c>
      <c r="J330" s="353">
        <f t="shared" si="30"/>
        <v>0.2</v>
      </c>
      <c r="M330" s="74">
        <f t="shared" si="31"/>
        <v>365</v>
      </c>
      <c r="N330" s="146">
        <v>43951</v>
      </c>
      <c r="O330" s="74">
        <f t="shared" si="32"/>
        <v>245</v>
      </c>
      <c r="P330" s="354">
        <f t="shared" si="33"/>
        <v>0.32876712328767121</v>
      </c>
    </row>
    <row r="331" spans="1:16" ht="18.75" customHeight="1">
      <c r="A331" s="647">
        <f t="shared" si="34"/>
        <v>259</v>
      </c>
      <c r="B331" s="358" t="s">
        <v>3385</v>
      </c>
      <c r="C331" s="355" t="s">
        <v>3386</v>
      </c>
      <c r="D331" s="145">
        <v>43831</v>
      </c>
      <c r="E331" s="146">
        <v>44196</v>
      </c>
      <c r="F331" s="149">
        <v>0.32876712328767121</v>
      </c>
      <c r="G331" s="355">
        <v>168000</v>
      </c>
      <c r="H331" s="355">
        <v>168000</v>
      </c>
      <c r="I331" s="359">
        <v>140000</v>
      </c>
      <c r="J331" s="353">
        <f t="shared" si="30"/>
        <v>0.83333333333333337</v>
      </c>
      <c r="M331" s="74">
        <f t="shared" si="31"/>
        <v>365</v>
      </c>
      <c r="N331" s="146">
        <v>43951</v>
      </c>
      <c r="O331" s="74">
        <f t="shared" si="32"/>
        <v>245</v>
      </c>
      <c r="P331" s="354">
        <f t="shared" si="33"/>
        <v>0.32876712328767121</v>
      </c>
    </row>
    <row r="332" spans="1:16" ht="18.75" customHeight="1">
      <c r="A332" s="647">
        <f t="shared" si="34"/>
        <v>260</v>
      </c>
      <c r="B332" s="358" t="s">
        <v>3387</v>
      </c>
      <c r="C332" s="355" t="s">
        <v>3388</v>
      </c>
      <c r="D332" s="145">
        <v>43831</v>
      </c>
      <c r="E332" s="146">
        <v>44196</v>
      </c>
      <c r="F332" s="149">
        <v>0.32876712328767121</v>
      </c>
      <c r="G332" s="355">
        <v>279235.34000000003</v>
      </c>
      <c r="H332" s="355">
        <v>279235.34000000003</v>
      </c>
      <c r="I332" s="359">
        <v>122579.59</v>
      </c>
      <c r="J332" s="353">
        <f t="shared" si="30"/>
        <v>0.43898308143947679</v>
      </c>
      <c r="M332" s="74">
        <f t="shared" si="31"/>
        <v>365</v>
      </c>
      <c r="N332" s="146">
        <v>43951</v>
      </c>
      <c r="O332" s="74">
        <f t="shared" si="32"/>
        <v>245</v>
      </c>
      <c r="P332" s="354">
        <f t="shared" si="33"/>
        <v>0.32876712328767121</v>
      </c>
    </row>
    <row r="333" spans="1:16" ht="18.75" customHeight="1">
      <c r="A333" s="647">
        <f t="shared" si="34"/>
        <v>261</v>
      </c>
      <c r="B333" s="358" t="s">
        <v>3389</v>
      </c>
      <c r="C333" s="355" t="s">
        <v>3390</v>
      </c>
      <c r="D333" s="145">
        <v>43831</v>
      </c>
      <c r="E333" s="146">
        <v>44196</v>
      </c>
      <c r="F333" s="149">
        <v>0.32876712328767121</v>
      </c>
      <c r="G333" s="355">
        <v>96000</v>
      </c>
      <c r="H333" s="355">
        <v>96000</v>
      </c>
      <c r="I333" s="359">
        <v>28800</v>
      </c>
      <c r="J333" s="353">
        <f t="shared" si="30"/>
        <v>0.3</v>
      </c>
      <c r="M333" s="74">
        <f t="shared" si="31"/>
        <v>365</v>
      </c>
      <c r="N333" s="146">
        <v>43951</v>
      </c>
      <c r="O333" s="74">
        <f t="shared" si="32"/>
        <v>245</v>
      </c>
      <c r="P333" s="354">
        <f t="shared" si="33"/>
        <v>0.32876712328767121</v>
      </c>
    </row>
    <row r="334" spans="1:16" ht="18.75" customHeight="1">
      <c r="A334" s="647">
        <f t="shared" si="34"/>
        <v>262</v>
      </c>
      <c r="B334" s="358" t="s">
        <v>3391</v>
      </c>
      <c r="C334" s="355" t="s">
        <v>3392</v>
      </c>
      <c r="D334" s="145">
        <v>43831</v>
      </c>
      <c r="E334" s="146">
        <v>44196</v>
      </c>
      <c r="F334" s="149">
        <v>0.32876712328767121</v>
      </c>
      <c r="G334" s="355">
        <v>240000</v>
      </c>
      <c r="H334" s="355">
        <v>240000</v>
      </c>
      <c r="I334" s="359">
        <v>48000</v>
      </c>
      <c r="J334" s="353">
        <f t="shared" si="30"/>
        <v>0.2</v>
      </c>
      <c r="M334" s="74">
        <f t="shared" si="31"/>
        <v>365</v>
      </c>
      <c r="N334" s="146">
        <v>43951</v>
      </c>
      <c r="O334" s="74">
        <f t="shared" si="32"/>
        <v>245</v>
      </c>
      <c r="P334" s="354">
        <f t="shared" si="33"/>
        <v>0.32876712328767121</v>
      </c>
    </row>
    <row r="335" spans="1:16" ht="18.75" customHeight="1">
      <c r="A335" s="647">
        <f t="shared" si="34"/>
        <v>263</v>
      </c>
      <c r="B335" s="358" t="s">
        <v>3393</v>
      </c>
      <c r="C335" s="355" t="s">
        <v>3394</v>
      </c>
      <c r="D335" s="145">
        <v>43831</v>
      </c>
      <c r="E335" s="146">
        <v>44561</v>
      </c>
      <c r="F335" s="149">
        <v>0.16438356164383561</v>
      </c>
      <c r="G335" s="355">
        <v>139973.21000000002</v>
      </c>
      <c r="H335" s="355">
        <v>139973.21000000002</v>
      </c>
      <c r="I335" s="359">
        <v>4872.96</v>
      </c>
      <c r="J335" s="353">
        <f t="shared" si="30"/>
        <v>3.4813518958377816E-2</v>
      </c>
      <c r="M335" s="74">
        <f t="shared" si="31"/>
        <v>730</v>
      </c>
      <c r="N335" s="146">
        <v>43951</v>
      </c>
      <c r="O335" s="74">
        <f t="shared" si="32"/>
        <v>610</v>
      </c>
      <c r="P335" s="354">
        <f t="shared" si="33"/>
        <v>0.16438356164383561</v>
      </c>
    </row>
    <row r="336" spans="1:16" ht="18.75" customHeight="1">
      <c r="A336" s="647">
        <f t="shared" si="34"/>
        <v>264</v>
      </c>
      <c r="B336" s="358" t="s">
        <v>3395</v>
      </c>
      <c r="C336" s="355" t="s">
        <v>3396</v>
      </c>
      <c r="D336" s="145">
        <v>43831</v>
      </c>
      <c r="E336" s="146">
        <v>44196</v>
      </c>
      <c r="F336" s="149">
        <v>0.32876712328767121</v>
      </c>
      <c r="G336" s="355">
        <v>336000</v>
      </c>
      <c r="H336" s="355">
        <v>336000</v>
      </c>
      <c r="I336" s="359">
        <v>67200</v>
      </c>
      <c r="J336" s="353">
        <f t="shared" si="30"/>
        <v>0.2</v>
      </c>
      <c r="M336" s="74">
        <f t="shared" si="31"/>
        <v>365</v>
      </c>
      <c r="N336" s="146">
        <v>43951</v>
      </c>
      <c r="O336" s="74">
        <f t="shared" si="32"/>
        <v>245</v>
      </c>
      <c r="P336" s="354">
        <f t="shared" si="33"/>
        <v>0.32876712328767121</v>
      </c>
    </row>
    <row r="337" spans="1:16" s="360" customFormat="1" ht="20.100000000000001" customHeight="1">
      <c r="A337" s="767" t="str">
        <f>$A$1</f>
        <v>KENTUCKY UTILITIES COMPANY</v>
      </c>
      <c r="B337" s="767"/>
      <c r="C337" s="767"/>
      <c r="D337" s="767"/>
      <c r="E337" s="767"/>
      <c r="F337" s="767"/>
      <c r="G337" s="767"/>
      <c r="H337" s="767"/>
      <c r="I337" s="767"/>
      <c r="J337" s="767"/>
    </row>
    <row r="338" spans="1:16" s="360" customFormat="1" ht="20.100000000000001" customHeight="1">
      <c r="A338" s="767" t="str">
        <f>$A$2</f>
        <v>CASE NO. 2018-00294</v>
      </c>
      <c r="B338" s="767"/>
      <c r="C338" s="767"/>
      <c r="D338" s="767"/>
      <c r="E338" s="767"/>
      <c r="F338" s="767"/>
      <c r="G338" s="767"/>
      <c r="H338" s="767"/>
      <c r="I338" s="767"/>
      <c r="J338" s="767"/>
    </row>
    <row r="339" spans="1:16" s="360" customFormat="1" ht="20.100000000000001" customHeight="1">
      <c r="A339" s="767" t="s">
        <v>1219</v>
      </c>
      <c r="B339" s="767"/>
      <c r="C339" s="767"/>
      <c r="D339" s="767"/>
      <c r="E339" s="767"/>
      <c r="F339" s="767"/>
      <c r="G339" s="767"/>
      <c r="H339" s="767"/>
      <c r="I339" s="767"/>
      <c r="J339" s="767"/>
    </row>
    <row r="340" spans="1:16" s="360" customFormat="1" ht="20.100000000000001" customHeight="1">
      <c r="A340" s="767" t="str">
        <f>$A$4</f>
        <v>AS OF APRIL 30, 2020</v>
      </c>
      <c r="B340" s="767"/>
      <c r="C340" s="767"/>
      <c r="D340" s="767"/>
      <c r="E340" s="767"/>
      <c r="F340" s="767"/>
      <c r="G340" s="767"/>
      <c r="H340" s="767"/>
      <c r="I340" s="767"/>
      <c r="J340" s="767"/>
    </row>
    <row r="341" spans="1:16" s="360" customFormat="1" ht="20.100000000000001" customHeight="1">
      <c r="A341" s="645"/>
      <c r="B341" s="645"/>
      <c r="C341" s="645"/>
      <c r="D341" s="645"/>
      <c r="E341" s="645"/>
      <c r="F341" s="645"/>
      <c r="G341" s="645"/>
      <c r="H341" s="645"/>
      <c r="I341" s="645"/>
      <c r="J341" s="645"/>
    </row>
    <row r="342" spans="1:16" s="360" customFormat="1" ht="20.100000000000001" customHeight="1">
      <c r="A342" s="67" t="str">
        <f>$A$6</f>
        <v>DATA:____BASE  PERIOD__X__FORECASTED  PERIOD</v>
      </c>
      <c r="B342" s="646"/>
      <c r="C342" s="68"/>
      <c r="D342" s="144"/>
      <c r="E342" s="144"/>
      <c r="F342" s="68"/>
      <c r="G342" s="74"/>
      <c r="H342" s="74"/>
      <c r="I342" s="74"/>
      <c r="J342" s="74" t="s">
        <v>1714</v>
      </c>
    </row>
    <row r="343" spans="1:16" s="360" customFormat="1" ht="20.100000000000001" customHeight="1">
      <c r="A343" s="67" t="str">
        <f>$A$7</f>
        <v>TYPE OF FILING: __X__ ORIGINAL  _____ UPDATED  _____ REVISED</v>
      </c>
      <c r="B343" s="647"/>
      <c r="C343" s="68"/>
      <c r="D343" s="144"/>
      <c r="E343" s="144"/>
      <c r="F343" s="68"/>
      <c r="G343" s="74"/>
      <c r="H343" s="74"/>
      <c r="I343" s="74"/>
      <c r="J343" s="74" t="s">
        <v>3400</v>
      </c>
    </row>
    <row r="344" spans="1:16" s="360" customFormat="1" ht="20.100000000000001" customHeight="1">
      <c r="A344" s="67" t="str">
        <f>$A$8</f>
        <v>WORKPAPER REFERENCE NO(S).:</v>
      </c>
      <c r="B344" s="646"/>
      <c r="C344" s="68"/>
      <c r="D344" s="144"/>
      <c r="E344" s="144"/>
      <c r="F344" s="67"/>
      <c r="G344" s="75"/>
      <c r="H344" s="75"/>
      <c r="I344" s="75"/>
      <c r="J344" s="75" t="str">
        <f>$J$8</f>
        <v>WITNESS:   C. M. GARRETT</v>
      </c>
    </row>
    <row r="345" spans="1:16" s="360" customFormat="1" ht="20.100000000000001" customHeight="1">
      <c r="A345" s="68"/>
      <c r="B345" s="647"/>
      <c r="C345" s="68"/>
      <c r="D345" s="144"/>
      <c r="E345" s="144"/>
      <c r="F345" s="68"/>
      <c r="G345" s="68"/>
      <c r="H345" s="68"/>
      <c r="I345" s="68"/>
      <c r="J345" s="68"/>
    </row>
    <row r="346" spans="1:16" s="360" customFormat="1" ht="65.099999999999994" customHeight="1">
      <c r="A346" s="76" t="s">
        <v>131</v>
      </c>
      <c r="B346" s="76" t="s">
        <v>1222</v>
      </c>
      <c r="C346" s="76" t="s">
        <v>1223</v>
      </c>
      <c r="D346" s="142" t="s">
        <v>1225</v>
      </c>
      <c r="E346" s="142" t="s">
        <v>1226</v>
      </c>
      <c r="F346" s="76" t="s">
        <v>1227</v>
      </c>
      <c r="G346" s="76" t="s">
        <v>1228</v>
      </c>
      <c r="H346" s="76" t="s">
        <v>1229</v>
      </c>
      <c r="I346" s="76" t="s">
        <v>1230</v>
      </c>
      <c r="J346" s="76" t="s">
        <v>1231</v>
      </c>
      <c r="M346" s="361" t="s">
        <v>1239</v>
      </c>
      <c r="N346" s="361" t="s">
        <v>1240</v>
      </c>
      <c r="O346" s="361" t="s">
        <v>1241</v>
      </c>
      <c r="P346" s="361" t="s">
        <v>1227</v>
      </c>
    </row>
    <row r="347" spans="1:16" s="360" customFormat="1" ht="23.1" customHeight="1">
      <c r="A347" s="80" t="s">
        <v>1220</v>
      </c>
      <c r="B347" s="80" t="s">
        <v>1221</v>
      </c>
      <c r="C347" s="80" t="s">
        <v>1224</v>
      </c>
      <c r="D347" s="356" t="s">
        <v>1232</v>
      </c>
      <c r="E347" s="356" t="s">
        <v>1233</v>
      </c>
      <c r="F347" s="357" t="s">
        <v>1234</v>
      </c>
      <c r="G347" s="357" t="s">
        <v>1235</v>
      </c>
      <c r="H347" s="357" t="s">
        <v>1236</v>
      </c>
      <c r="I347" s="357" t="s">
        <v>1237</v>
      </c>
      <c r="J347" s="357" t="s">
        <v>1238</v>
      </c>
    </row>
    <row r="348" spans="1:16" s="360" customFormat="1" ht="18.95" customHeight="1">
      <c r="A348" s="73"/>
      <c r="B348" s="73"/>
      <c r="C348" s="73"/>
      <c r="D348" s="362"/>
      <c r="E348" s="362"/>
      <c r="F348" s="363"/>
      <c r="G348" s="363"/>
      <c r="H348" s="363"/>
      <c r="I348" s="363"/>
      <c r="J348" s="363"/>
    </row>
    <row r="349" spans="1:16" ht="18.75" customHeight="1">
      <c r="A349" s="647">
        <f>A336+1</f>
        <v>265</v>
      </c>
      <c r="B349" s="358" t="s">
        <v>3397</v>
      </c>
      <c r="C349" s="355" t="s">
        <v>3398</v>
      </c>
      <c r="D349" s="145">
        <v>43831</v>
      </c>
      <c r="E349" s="146">
        <v>44196</v>
      </c>
      <c r="F349" s="149">
        <v>0.32876712328767121</v>
      </c>
      <c r="G349" s="355">
        <v>360000</v>
      </c>
      <c r="H349" s="355">
        <v>356068.73</v>
      </c>
      <c r="I349" s="359">
        <v>71213.73</v>
      </c>
      <c r="J349" s="353">
        <f t="shared" ref="J349:J354" si="35">I349/H349</f>
        <v>0.19999995506485505</v>
      </c>
      <c r="M349" s="74">
        <f t="shared" ref="M349:M354" si="36">E349-D349</f>
        <v>365</v>
      </c>
      <c r="N349" s="146">
        <v>43951</v>
      </c>
      <c r="O349" s="74">
        <f t="shared" ref="O349:O354" si="37">E349-N349</f>
        <v>245</v>
      </c>
      <c r="P349" s="354">
        <f t="shared" ref="P349:P354" si="38">(M349-O349)/M349</f>
        <v>0.32876712328767121</v>
      </c>
    </row>
    <row r="350" spans="1:16" ht="18.75" customHeight="1">
      <c r="A350" s="647">
        <f>A349+1</f>
        <v>266</v>
      </c>
      <c r="B350" s="358" t="s">
        <v>2384</v>
      </c>
      <c r="C350" s="355" t="s">
        <v>2089</v>
      </c>
      <c r="D350" s="145">
        <v>42005</v>
      </c>
      <c r="E350" s="146">
        <v>45291</v>
      </c>
      <c r="F350" s="149">
        <v>0.59220937309799149</v>
      </c>
      <c r="G350" s="355">
        <v>320000</v>
      </c>
      <c r="H350" s="355">
        <v>162500</v>
      </c>
      <c r="I350" s="359">
        <v>32500</v>
      </c>
      <c r="J350" s="353">
        <f t="shared" si="35"/>
        <v>0.2</v>
      </c>
      <c r="M350" s="74">
        <f t="shared" si="36"/>
        <v>3286</v>
      </c>
      <c r="N350" s="146">
        <v>43951</v>
      </c>
      <c r="O350" s="74">
        <f t="shared" si="37"/>
        <v>1340</v>
      </c>
      <c r="P350" s="354">
        <f t="shared" si="38"/>
        <v>0.59220937309799149</v>
      </c>
    </row>
    <row r="351" spans="1:16" ht="18.75" customHeight="1">
      <c r="A351" s="647">
        <f t="shared" ref="A351:A354" si="39">A350+1</f>
        <v>267</v>
      </c>
      <c r="B351" s="358" t="s">
        <v>2355</v>
      </c>
      <c r="C351" s="355" t="s">
        <v>2091</v>
      </c>
      <c r="D351" s="145">
        <v>42005</v>
      </c>
      <c r="E351" s="146">
        <v>45291</v>
      </c>
      <c r="F351" s="149">
        <v>0.59220937309799149</v>
      </c>
      <c r="G351" s="355">
        <v>51000</v>
      </c>
      <c r="H351" s="355">
        <v>60000</v>
      </c>
      <c r="I351" s="359">
        <v>20000</v>
      </c>
      <c r="J351" s="353">
        <f t="shared" si="35"/>
        <v>0.33333333333333331</v>
      </c>
      <c r="M351" s="74">
        <f t="shared" si="36"/>
        <v>3286</v>
      </c>
      <c r="N351" s="146">
        <v>43951</v>
      </c>
      <c r="O351" s="74">
        <f t="shared" si="37"/>
        <v>1340</v>
      </c>
      <c r="P351" s="354">
        <f t="shared" si="38"/>
        <v>0.59220937309799149</v>
      </c>
    </row>
    <row r="352" spans="1:16" ht="18.75" customHeight="1">
      <c r="A352" s="647">
        <f t="shared" si="39"/>
        <v>268</v>
      </c>
      <c r="B352" s="358" t="s">
        <v>2372</v>
      </c>
      <c r="C352" s="355" t="s">
        <v>2373</v>
      </c>
      <c r="D352" s="145">
        <v>42370</v>
      </c>
      <c r="E352" s="146">
        <v>45291</v>
      </c>
      <c r="F352" s="149">
        <v>0.54125299554946937</v>
      </c>
      <c r="G352" s="355">
        <v>69500</v>
      </c>
      <c r="H352" s="355">
        <v>1261249.73</v>
      </c>
      <c r="I352" s="359">
        <v>411249.73</v>
      </c>
      <c r="J352" s="353">
        <f t="shared" si="35"/>
        <v>0.32606526702685595</v>
      </c>
      <c r="M352" s="74">
        <f t="shared" si="36"/>
        <v>2921</v>
      </c>
      <c r="N352" s="146">
        <v>43951</v>
      </c>
      <c r="O352" s="74">
        <f t="shared" si="37"/>
        <v>1340</v>
      </c>
      <c r="P352" s="354">
        <f t="shared" si="38"/>
        <v>0.54125299554946937</v>
      </c>
    </row>
    <row r="353" spans="1:16" ht="18.75" customHeight="1">
      <c r="A353" s="647">
        <f t="shared" si="39"/>
        <v>269</v>
      </c>
      <c r="B353" s="358" t="s">
        <v>2930</v>
      </c>
      <c r="C353" s="355" t="s">
        <v>2931</v>
      </c>
      <c r="D353" s="145">
        <v>42736</v>
      </c>
      <c r="E353" s="146">
        <v>45291</v>
      </c>
      <c r="F353" s="149">
        <v>0.47553816046966729</v>
      </c>
      <c r="G353" s="355">
        <v>125000</v>
      </c>
      <c r="H353" s="355">
        <v>11935000</v>
      </c>
      <c r="I353" s="359">
        <v>3978333.3200000003</v>
      </c>
      <c r="J353" s="353">
        <f t="shared" si="35"/>
        <v>0.33333333221617095</v>
      </c>
      <c r="M353" s="74">
        <f t="shared" si="36"/>
        <v>2555</v>
      </c>
      <c r="N353" s="146">
        <v>43951</v>
      </c>
      <c r="O353" s="74">
        <f t="shared" si="37"/>
        <v>1340</v>
      </c>
      <c r="P353" s="354">
        <f t="shared" si="38"/>
        <v>0.47553816046966729</v>
      </c>
    </row>
    <row r="354" spans="1:16" ht="18.75" customHeight="1">
      <c r="A354" s="647">
        <f t="shared" si="39"/>
        <v>270</v>
      </c>
      <c r="B354" s="358" t="s">
        <v>2350</v>
      </c>
      <c r="C354" s="355" t="s">
        <v>2351</v>
      </c>
      <c r="D354" s="145">
        <v>42164</v>
      </c>
      <c r="E354" s="146">
        <v>46022</v>
      </c>
      <c r="F354" s="149">
        <v>0.4631933644375324</v>
      </c>
      <c r="G354" s="355">
        <v>516492.27</v>
      </c>
      <c r="H354" s="355">
        <v>1695989.3200000003</v>
      </c>
      <c r="I354" s="359">
        <v>351928.91</v>
      </c>
      <c r="J354" s="353">
        <f t="shared" si="35"/>
        <v>0.2075065602417826</v>
      </c>
      <c r="M354" s="74">
        <f t="shared" si="36"/>
        <v>3858</v>
      </c>
      <c r="N354" s="146">
        <v>43951</v>
      </c>
      <c r="O354" s="74">
        <f t="shared" si="37"/>
        <v>2071</v>
      </c>
      <c r="P354" s="354">
        <f t="shared" si="38"/>
        <v>0.4631933644375324</v>
      </c>
    </row>
    <row r="355" spans="1:16" ht="18.75" customHeight="1">
      <c r="A355" s="647"/>
      <c r="B355" s="358"/>
      <c r="C355" s="355"/>
      <c r="D355" s="145"/>
      <c r="E355" s="146"/>
      <c r="F355" s="149"/>
      <c r="G355" s="355"/>
      <c r="H355" s="355"/>
      <c r="I355" s="359"/>
      <c r="J355" s="353"/>
      <c r="M355" s="74"/>
      <c r="N355" s="146"/>
      <c r="O355" s="74"/>
      <c r="P355" s="354"/>
    </row>
    <row r="356" spans="1:16" ht="18.75" customHeight="1">
      <c r="A356" s="647"/>
      <c r="B356" s="358"/>
      <c r="C356" s="355"/>
      <c r="D356" s="145"/>
      <c r="E356" s="146"/>
      <c r="F356" s="149"/>
      <c r="G356" s="355"/>
      <c r="H356" s="355"/>
      <c r="I356" s="359"/>
      <c r="J356" s="353"/>
      <c r="M356" s="74"/>
      <c r="N356" s="146"/>
      <c r="O356" s="74"/>
      <c r="P356" s="354"/>
    </row>
    <row r="357" spans="1:16" ht="18.75" customHeight="1">
      <c r="A357" s="647"/>
      <c r="B357" s="358"/>
      <c r="C357" s="355"/>
      <c r="D357" s="145"/>
      <c r="E357" s="146"/>
      <c r="F357" s="149"/>
      <c r="G357" s="355"/>
      <c r="H357" s="355"/>
      <c r="I357" s="359"/>
      <c r="J357" s="353"/>
      <c r="M357" s="74"/>
      <c r="N357" s="146"/>
      <c r="O357" s="74"/>
      <c r="P357" s="354"/>
    </row>
    <row r="358" spans="1:16" ht="18.75" customHeight="1">
      <c r="A358" s="647"/>
      <c r="B358" s="358"/>
      <c r="C358" s="355"/>
      <c r="D358" s="145"/>
      <c r="E358" s="146"/>
      <c r="F358" s="149"/>
      <c r="G358" s="355"/>
      <c r="H358" s="355"/>
      <c r="I358" s="359"/>
      <c r="J358" s="353"/>
      <c r="M358" s="74"/>
      <c r="N358" s="146"/>
      <c r="O358" s="74"/>
      <c r="P358" s="354"/>
    </row>
    <row r="359" spans="1:16" ht="18.75" customHeight="1">
      <c r="A359" s="647"/>
      <c r="B359" s="358"/>
      <c r="C359" s="355"/>
      <c r="D359" s="145"/>
      <c r="E359" s="146"/>
      <c r="F359" s="149"/>
      <c r="G359" s="355"/>
      <c r="H359" s="355"/>
      <c r="I359" s="359"/>
      <c r="J359" s="353"/>
      <c r="M359" s="74"/>
      <c r="N359" s="146"/>
      <c r="O359" s="74"/>
      <c r="P359" s="354"/>
    </row>
    <row r="360" spans="1:16" ht="18.75" customHeight="1">
      <c r="A360" s="647"/>
      <c r="B360" s="358"/>
      <c r="C360" s="355"/>
      <c r="D360" s="145"/>
      <c r="E360" s="146"/>
      <c r="F360" s="149"/>
      <c r="G360" s="355"/>
      <c r="H360" s="355"/>
      <c r="I360" s="359"/>
      <c r="J360" s="353"/>
      <c r="M360" s="74"/>
      <c r="N360" s="146"/>
      <c r="O360" s="74"/>
      <c r="P360" s="354"/>
    </row>
    <row r="361" spans="1:16" ht="18.75" customHeight="1">
      <c r="A361" s="647"/>
      <c r="B361" s="358"/>
      <c r="C361" s="355"/>
      <c r="D361" s="145"/>
      <c r="E361" s="146"/>
      <c r="F361" s="149"/>
      <c r="G361" s="355"/>
      <c r="H361" s="355"/>
      <c r="I361" s="359"/>
      <c r="J361" s="353"/>
      <c r="M361" s="74"/>
      <c r="N361" s="146"/>
      <c r="O361" s="74"/>
      <c r="P361" s="354"/>
    </row>
    <row r="362" spans="1:16" ht="18.75" customHeight="1">
      <c r="A362" s="647"/>
      <c r="B362" s="358"/>
      <c r="C362" s="355"/>
      <c r="D362" s="145"/>
      <c r="E362" s="146"/>
      <c r="F362" s="149"/>
      <c r="G362" s="355"/>
      <c r="H362" s="355"/>
      <c r="I362" s="359"/>
      <c r="J362" s="353"/>
      <c r="M362" s="74"/>
      <c r="N362" s="146"/>
      <c r="O362" s="74"/>
      <c r="P362" s="354"/>
    </row>
    <row r="363" spans="1:16" ht="18.75" customHeight="1">
      <c r="A363" s="647"/>
      <c r="B363" s="358"/>
      <c r="C363" s="355"/>
      <c r="D363" s="145"/>
      <c r="E363" s="146"/>
      <c r="F363" s="149"/>
      <c r="G363" s="355"/>
      <c r="H363" s="355"/>
      <c r="I363" s="359"/>
      <c r="J363" s="353"/>
      <c r="M363" s="74"/>
      <c r="N363" s="146"/>
      <c r="O363" s="74"/>
      <c r="P363" s="354"/>
    </row>
    <row r="364" spans="1:16" ht="18.75" customHeight="1">
      <c r="A364" s="647"/>
      <c r="B364" s="358"/>
      <c r="C364" s="355"/>
      <c r="D364" s="145"/>
      <c r="E364" s="146"/>
      <c r="F364" s="149"/>
      <c r="G364" s="355"/>
      <c r="H364" s="355"/>
      <c r="I364" s="359"/>
      <c r="J364" s="353"/>
      <c r="M364" s="74"/>
      <c r="N364" s="146"/>
      <c r="O364" s="74"/>
      <c r="P364" s="354"/>
    </row>
    <row r="365" spans="1:16" ht="18.75" customHeight="1">
      <c r="A365" s="647"/>
      <c r="B365" s="358"/>
      <c r="C365" s="355"/>
      <c r="D365" s="145"/>
      <c r="E365" s="146"/>
      <c r="F365" s="149"/>
      <c r="G365" s="355"/>
      <c r="H365" s="355"/>
      <c r="I365" s="359"/>
      <c r="J365" s="353"/>
      <c r="M365" s="74"/>
      <c r="N365" s="146"/>
      <c r="O365" s="74"/>
      <c r="P365" s="354"/>
    </row>
    <row r="366" spans="1:16" ht="18.75" customHeight="1">
      <c r="A366" s="647"/>
      <c r="B366" s="358"/>
      <c r="C366" s="355"/>
      <c r="D366" s="145"/>
      <c r="E366" s="146"/>
      <c r="F366" s="149"/>
      <c r="G366" s="355"/>
      <c r="H366" s="355"/>
      <c r="I366" s="359"/>
      <c r="J366" s="353"/>
      <c r="M366" s="74"/>
      <c r="N366" s="146"/>
      <c r="O366" s="74"/>
      <c r="P366" s="354"/>
    </row>
    <row r="367" spans="1:16" ht="18.75" customHeight="1">
      <c r="A367" s="647"/>
      <c r="B367" s="358"/>
      <c r="C367" s="355"/>
      <c r="D367" s="145"/>
      <c r="E367" s="146"/>
      <c r="F367" s="149"/>
      <c r="G367" s="355"/>
      <c r="H367" s="355"/>
      <c r="I367" s="359"/>
      <c r="J367" s="353"/>
      <c r="M367" s="74"/>
      <c r="N367" s="146"/>
      <c r="O367" s="74"/>
      <c r="P367" s="354"/>
    </row>
    <row r="368" spans="1:16" ht="18.75" customHeight="1">
      <c r="A368" s="647"/>
      <c r="B368" s="358"/>
      <c r="C368" s="355"/>
      <c r="D368" s="145"/>
      <c r="E368" s="146"/>
      <c r="F368" s="149"/>
      <c r="G368" s="355"/>
      <c r="H368" s="355"/>
      <c r="I368" s="359"/>
      <c r="J368" s="353"/>
      <c r="M368" s="74"/>
      <c r="N368" s="146"/>
      <c r="O368" s="74"/>
      <c r="P368" s="354"/>
    </row>
    <row r="369" spans="1:16" ht="18.75" customHeight="1">
      <c r="A369" s="647"/>
      <c r="B369" s="358"/>
      <c r="C369" s="355"/>
      <c r="D369" s="145"/>
      <c r="E369" s="146"/>
      <c r="F369" s="149"/>
      <c r="G369" s="355"/>
      <c r="H369" s="355"/>
      <c r="I369" s="359"/>
      <c r="J369" s="353"/>
      <c r="M369" s="74"/>
      <c r="N369" s="146"/>
      <c r="O369" s="74"/>
      <c r="P369" s="354"/>
    </row>
    <row r="370" spans="1:16" ht="18.75" customHeight="1">
      <c r="A370" s="647"/>
      <c r="B370" s="358"/>
      <c r="C370" s="355"/>
      <c r="D370" s="145"/>
      <c r="E370" s="146"/>
      <c r="F370" s="149"/>
      <c r="G370" s="355"/>
      <c r="H370" s="355"/>
      <c r="I370" s="359"/>
      <c r="J370" s="353"/>
      <c r="M370" s="74"/>
      <c r="N370" s="146"/>
      <c r="O370" s="74"/>
      <c r="P370" s="354"/>
    </row>
  </sheetData>
  <mergeCells count="28">
    <mergeCell ref="A172:J172"/>
    <mergeCell ref="A225:J225"/>
    <mergeCell ref="A226:J226"/>
    <mergeCell ref="A227:J227"/>
    <mergeCell ref="A228:J228"/>
    <mergeCell ref="A169:J169"/>
    <mergeCell ref="A170:J170"/>
    <mergeCell ref="A171:J171"/>
    <mergeCell ref="A116:J116"/>
    <mergeCell ref="A1:J1"/>
    <mergeCell ref="A2:J2"/>
    <mergeCell ref="A3:J3"/>
    <mergeCell ref="A4:J4"/>
    <mergeCell ref="A57:J57"/>
    <mergeCell ref="A58:J58"/>
    <mergeCell ref="A59:J59"/>
    <mergeCell ref="A60:J60"/>
    <mergeCell ref="A113:J113"/>
    <mergeCell ref="A114:J114"/>
    <mergeCell ref="A115:J115"/>
    <mergeCell ref="A338:J338"/>
    <mergeCell ref="A339:J339"/>
    <mergeCell ref="A340:J340"/>
    <mergeCell ref="A281:J281"/>
    <mergeCell ref="A282:J282"/>
    <mergeCell ref="A283:J283"/>
    <mergeCell ref="A284:J284"/>
    <mergeCell ref="A337:J337"/>
  </mergeCells>
  <pageMargins left="0.95" right="0.5" top="0.75" bottom="0.75" header="0.3" footer="0.3"/>
  <pageSetup scale="57" fitToHeight="0" orientation="portrait" r:id="rId1"/>
  <rowBreaks count="6" manualBreakCount="6">
    <brk id="56" max="9" man="1"/>
    <brk id="112" max="9" man="1"/>
    <brk id="168" max="9" man="1"/>
    <brk id="224" max="9" man="1"/>
    <brk id="280" max="9" man="1"/>
    <brk id="336"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3"/>
  <sheetViews>
    <sheetView zoomScaleNormal="100" workbookViewId="0">
      <selection sqref="A1:G1"/>
    </sheetView>
  </sheetViews>
  <sheetFormatPr defaultColWidth="9" defaultRowHeight="12.75"/>
  <cols>
    <col min="1" max="1" width="6" style="69" customWidth="1"/>
    <col min="2" max="2" width="40.77734375" style="69" customWidth="1"/>
    <col min="3" max="3" width="32.77734375" style="69" customWidth="1"/>
    <col min="4" max="4" width="15.77734375" style="69" customWidth="1"/>
    <col min="5" max="5" width="14.21875" style="69" customWidth="1"/>
    <col min="6" max="6" width="13.6640625" style="69" customWidth="1"/>
    <col min="7" max="7" width="15.77734375" style="69" customWidth="1"/>
    <col min="8" max="8" width="1.6640625" style="69" customWidth="1"/>
    <col min="9" max="16384" width="9" style="69"/>
  </cols>
  <sheetData>
    <row r="1" spans="1:7" s="68" customFormat="1" ht="20.100000000000001" customHeight="1">
      <c r="A1" s="767" t="str">
        <f>'Rate Case Constants'!C9</f>
        <v>KENTUCKY UTILITIES COMPANY</v>
      </c>
      <c r="B1" s="767"/>
      <c r="C1" s="767"/>
      <c r="D1" s="767"/>
      <c r="E1" s="767"/>
      <c r="F1" s="767"/>
      <c r="G1" s="767"/>
    </row>
    <row r="2" spans="1:7" s="68" customFormat="1" ht="20.100000000000001" customHeight="1">
      <c r="A2" s="767" t="str">
        <f>'Rate Case Constants'!C10</f>
        <v>CASE NO. 2018-00294</v>
      </c>
      <c r="B2" s="767"/>
      <c r="C2" s="767"/>
      <c r="D2" s="767"/>
      <c r="E2" s="767"/>
      <c r="F2" s="767"/>
      <c r="G2" s="767"/>
    </row>
    <row r="3" spans="1:7" s="68" customFormat="1" ht="20.100000000000001" customHeight="1">
      <c r="A3" s="767" t="s">
        <v>1418</v>
      </c>
      <c r="B3" s="767"/>
      <c r="C3" s="767"/>
      <c r="D3" s="767"/>
      <c r="E3" s="767"/>
      <c r="F3" s="767"/>
      <c r="G3" s="767"/>
    </row>
    <row r="4" spans="1:7" s="68" customFormat="1" ht="20.100000000000001" customHeight="1">
      <c r="A4" s="766" t="str">
        <f>'Rate Case Constants'!C14</f>
        <v>FROM JANUARY 1, 2018 TO DECEMBER 31, 2018</v>
      </c>
      <c r="B4" s="770"/>
      <c r="C4" s="770"/>
      <c r="D4" s="770"/>
      <c r="E4" s="770"/>
      <c r="F4" s="770"/>
      <c r="G4" s="770"/>
    </row>
    <row r="5" spans="1:7" s="68" customFormat="1" ht="20.100000000000001" customHeight="1">
      <c r="A5" s="138"/>
      <c r="B5" s="138"/>
      <c r="C5" s="138"/>
      <c r="D5" s="138"/>
      <c r="E5" s="138"/>
      <c r="F5" s="138"/>
      <c r="G5" s="138"/>
    </row>
    <row r="6" spans="1:7" s="68" customFormat="1" ht="20.100000000000001" customHeight="1">
      <c r="A6" s="67" t="s">
        <v>133</v>
      </c>
      <c r="D6" s="74"/>
      <c r="E6" s="74"/>
      <c r="G6" s="74" t="s">
        <v>1419</v>
      </c>
    </row>
    <row r="7" spans="1:7" s="68" customFormat="1" ht="20.100000000000001" customHeight="1">
      <c r="A7" s="68" t="str">
        <f>'Rate Case Constants'!C29</f>
        <v>TYPE OF FILING: __X__ ORIGINAL  _____ UPDATED  _____ REVISED</v>
      </c>
      <c r="D7" s="74"/>
      <c r="E7" s="74"/>
      <c r="G7" s="74" t="s">
        <v>177</v>
      </c>
    </row>
    <row r="8" spans="1:7" s="68" customFormat="1" ht="20.100000000000001" customHeight="1">
      <c r="A8" s="67" t="s">
        <v>1198</v>
      </c>
      <c r="D8" s="75"/>
      <c r="E8" s="75"/>
      <c r="G8" s="75" t="str">
        <f>'Rate Case Constants'!C36</f>
        <v>WITNESS:   C. M. GARRETT</v>
      </c>
    </row>
    <row r="9" spans="1:7" s="68" customFormat="1" ht="20.100000000000001" customHeight="1"/>
    <row r="10" spans="1:7" ht="47.25" customHeight="1">
      <c r="A10" s="159" t="s">
        <v>131</v>
      </c>
      <c r="B10" s="160" t="s">
        <v>1420</v>
      </c>
      <c r="C10" s="159" t="s">
        <v>1421</v>
      </c>
      <c r="D10" s="159" t="s">
        <v>219</v>
      </c>
      <c r="E10" s="159" t="s">
        <v>1202</v>
      </c>
      <c r="F10" s="159" t="s">
        <v>224</v>
      </c>
      <c r="G10" s="159" t="s">
        <v>1422</v>
      </c>
    </row>
    <row r="11" spans="1:7" ht="23.1" customHeight="1">
      <c r="A11" s="80"/>
      <c r="B11" s="81"/>
      <c r="C11" s="82"/>
      <c r="D11" s="82"/>
      <c r="E11" s="82" t="s">
        <v>142</v>
      </c>
      <c r="F11" s="82"/>
      <c r="G11" s="82" t="s">
        <v>142</v>
      </c>
    </row>
    <row r="12" spans="1:7" ht="23.1" customHeight="1">
      <c r="A12" s="73"/>
      <c r="B12" s="78" t="s">
        <v>1172</v>
      </c>
      <c r="C12" s="78"/>
      <c r="D12" s="78"/>
      <c r="E12" s="95"/>
      <c r="F12" s="95"/>
      <c r="G12" s="95"/>
    </row>
    <row r="13" spans="1:7" ht="18.95" customHeight="1">
      <c r="A13" s="70">
        <v>1</v>
      </c>
      <c r="B13" s="78" t="s">
        <v>1423</v>
      </c>
      <c r="C13" s="78" t="s">
        <v>1429</v>
      </c>
      <c r="D13" s="71" t="s">
        <v>1430</v>
      </c>
      <c r="E13" s="86">
        <f>'SCH B-5.1'!C14</f>
        <v>61292297</v>
      </c>
      <c r="F13" s="130">
        <f>G13/E13</f>
        <v>0.88026422050572484</v>
      </c>
      <c r="G13" s="86">
        <f>'SCH B-5.1'!E14</f>
        <v>53953416.041710377</v>
      </c>
    </row>
    <row r="14" spans="1:7" ht="18.95" customHeight="1">
      <c r="A14" s="70"/>
      <c r="B14" s="78"/>
      <c r="C14" s="78"/>
      <c r="D14" s="78"/>
      <c r="E14" s="86"/>
      <c r="F14" s="130"/>
      <c r="G14" s="86"/>
    </row>
    <row r="15" spans="1:7" ht="18.95" customHeight="1">
      <c r="A15" s="70">
        <v>2</v>
      </c>
      <c r="B15" s="78" t="s">
        <v>1424</v>
      </c>
      <c r="C15" s="78" t="s">
        <v>1429</v>
      </c>
      <c r="D15" s="71" t="s">
        <v>1430</v>
      </c>
      <c r="E15" s="86">
        <f>'SCH B-5.1'!C16</f>
        <v>62047004</v>
      </c>
      <c r="F15" s="130">
        <f>G15/E15</f>
        <v>0.88827240123189766</v>
      </c>
      <c r="G15" s="86">
        <f>'SCH B-5.1'!E16</f>
        <v>55114641.232325159</v>
      </c>
    </row>
    <row r="16" spans="1:7" ht="18.95" customHeight="1">
      <c r="A16" s="70"/>
      <c r="B16" s="78"/>
      <c r="C16" s="78"/>
      <c r="D16" s="78"/>
      <c r="E16" s="86"/>
      <c r="F16" s="86"/>
      <c r="G16" s="86"/>
    </row>
    <row r="17" spans="1:7" ht="18.95" customHeight="1">
      <c r="A17" s="70">
        <v>3</v>
      </c>
      <c r="B17" s="78" t="s">
        <v>1427</v>
      </c>
      <c r="C17" s="78" t="s">
        <v>1429</v>
      </c>
      <c r="D17" s="71" t="s">
        <v>1430</v>
      </c>
      <c r="E17" s="86">
        <f>'SCH B-5.1'!C18</f>
        <v>16286225.567701049</v>
      </c>
      <c r="F17" s="130">
        <f>G17/E17</f>
        <v>0.94128721773079027</v>
      </c>
      <c r="G17" s="86">
        <f>'SCH B-5.1'!E18</f>
        <v>15330015.95195738</v>
      </c>
    </row>
    <row r="18" spans="1:7" ht="18.95" customHeight="1">
      <c r="A18" s="70"/>
      <c r="B18" s="78"/>
      <c r="C18" s="78"/>
      <c r="D18" s="78"/>
      <c r="E18" s="86"/>
      <c r="F18" s="86"/>
      <c r="G18" s="86"/>
    </row>
    <row r="19" spans="1:7" ht="18.95" customHeight="1">
      <c r="A19" s="70">
        <v>4</v>
      </c>
      <c r="B19" s="78" t="s">
        <v>2093</v>
      </c>
      <c r="C19" s="78" t="s">
        <v>1429</v>
      </c>
      <c r="D19" s="71" t="s">
        <v>1430</v>
      </c>
      <c r="E19" s="86">
        <f>ROUND('SCH B-5.1'!C20,0)</f>
        <v>0</v>
      </c>
      <c r="F19" s="130">
        <f>'ECR ALLOW'!$O$6</f>
        <v>0.87673530496058716</v>
      </c>
      <c r="G19" s="86">
        <f>ROUND('SCH B-5.1'!E20,0)</f>
        <v>0</v>
      </c>
    </row>
    <row r="20" spans="1:7" ht="18.95" customHeight="1">
      <c r="A20" s="70"/>
      <c r="B20" s="78"/>
      <c r="C20" s="78"/>
      <c r="D20" s="78"/>
      <c r="E20" s="86"/>
      <c r="F20" s="86"/>
      <c r="G20" s="86"/>
    </row>
    <row r="21" spans="1:7" ht="31.5" customHeight="1">
      <c r="A21" s="70">
        <v>5</v>
      </c>
      <c r="B21" s="78" t="s">
        <v>1425</v>
      </c>
      <c r="C21" s="78" t="s">
        <v>2668</v>
      </c>
      <c r="D21" s="71" t="s">
        <v>1431</v>
      </c>
      <c r="E21" s="131">
        <f>'JURISSEP B'!$E$29</f>
        <v>68863047.242275745</v>
      </c>
      <c r="F21" s="130">
        <f ca="1">G21/E21</f>
        <v>0.76715912063006564</v>
      </c>
      <c r="G21" s="131">
        <f ca="1">'SCH B-5.2 B (1)'!$Q$82</f>
        <v>52828914.766290925</v>
      </c>
    </row>
    <row r="22" spans="1:7" ht="18.95" customHeight="1">
      <c r="A22" s="70"/>
      <c r="B22" s="78"/>
      <c r="C22" s="78"/>
      <c r="D22" s="78"/>
      <c r="E22" s="86"/>
      <c r="F22" s="86"/>
      <c r="G22" s="86"/>
    </row>
    <row r="23" spans="1:7" ht="18.95" customHeight="1" thickBot="1">
      <c r="A23" s="70">
        <v>6</v>
      </c>
      <c r="B23" s="78" t="s">
        <v>1426</v>
      </c>
      <c r="C23" s="78"/>
      <c r="D23" s="78"/>
      <c r="E23" s="94">
        <f>SUM(E13:E21)</f>
        <v>208488573.80997679</v>
      </c>
      <c r="F23" s="86"/>
      <c r="G23" s="94">
        <f ca="1">SUM(G13:G21)</f>
        <v>177226987.99228385</v>
      </c>
    </row>
    <row r="24" spans="1:7" ht="18.95" customHeight="1" thickTop="1">
      <c r="A24" s="70"/>
      <c r="B24" s="78"/>
      <c r="C24" s="78"/>
      <c r="D24" s="78"/>
      <c r="E24" s="86"/>
      <c r="F24" s="86"/>
      <c r="G24" s="86"/>
    </row>
    <row r="25" spans="1:7" ht="18.95" customHeight="1">
      <c r="A25" s="70"/>
      <c r="B25" s="67" t="s">
        <v>1428</v>
      </c>
      <c r="C25" s="78"/>
      <c r="D25" s="78"/>
      <c r="E25" s="86"/>
      <c r="F25" s="86"/>
      <c r="G25" s="86"/>
    </row>
    <row r="26" spans="1:7" ht="18.95" customHeight="1">
      <c r="A26" s="70"/>
      <c r="B26" s="67" t="s">
        <v>2094</v>
      </c>
      <c r="C26" s="86"/>
      <c r="D26" s="86"/>
      <c r="E26" s="86"/>
      <c r="F26" s="86"/>
      <c r="G26" s="86"/>
    </row>
    <row r="27" spans="1:7" s="68" customFormat="1" ht="20.100000000000001" customHeight="1">
      <c r="A27" s="767" t="str">
        <f>$A$1</f>
        <v>KENTUCKY UTILITIES COMPANY</v>
      </c>
      <c r="B27" s="767"/>
      <c r="C27" s="767"/>
      <c r="D27" s="767"/>
      <c r="E27" s="767"/>
      <c r="F27" s="767"/>
      <c r="G27" s="767"/>
    </row>
    <row r="28" spans="1:7" s="68" customFormat="1" ht="20.100000000000001" customHeight="1">
      <c r="A28" s="767" t="str">
        <f>$A$2</f>
        <v>CASE NO. 2018-00294</v>
      </c>
      <c r="B28" s="767"/>
      <c r="C28" s="767"/>
      <c r="D28" s="767"/>
      <c r="E28" s="767"/>
      <c r="F28" s="767"/>
      <c r="G28" s="767"/>
    </row>
    <row r="29" spans="1:7" s="68" customFormat="1" ht="20.100000000000001" customHeight="1">
      <c r="A29" s="767" t="str">
        <f>$A$3</f>
        <v>ALLOWANCE FOR WORKING CAPITAL</v>
      </c>
      <c r="B29" s="767"/>
      <c r="C29" s="767"/>
      <c r="D29" s="767"/>
      <c r="E29" s="767"/>
      <c r="F29" s="767"/>
      <c r="G29" s="767"/>
    </row>
    <row r="30" spans="1:7" s="68" customFormat="1" ht="20.100000000000001" customHeight="1">
      <c r="A30" s="766" t="str">
        <f>'Rate Case Constants'!C20</f>
        <v>FROM MAY 1, 2019 TO APRIL 30, 2020</v>
      </c>
      <c r="B30" s="770"/>
      <c r="C30" s="770"/>
      <c r="D30" s="770"/>
      <c r="E30" s="770"/>
      <c r="F30" s="770"/>
      <c r="G30" s="770"/>
    </row>
    <row r="31" spans="1:7" s="68" customFormat="1" ht="20.100000000000001" customHeight="1">
      <c r="A31" s="138"/>
      <c r="B31" s="138"/>
      <c r="C31" s="138"/>
      <c r="D31" s="138"/>
      <c r="E31" s="138"/>
      <c r="F31" s="138"/>
      <c r="G31" s="138"/>
    </row>
    <row r="32" spans="1:7" s="68" customFormat="1" ht="20.100000000000001" customHeight="1">
      <c r="A32" s="67" t="s">
        <v>161</v>
      </c>
      <c r="D32" s="74"/>
      <c r="E32" s="74"/>
      <c r="G32" s="74" t="s">
        <v>1419</v>
      </c>
    </row>
    <row r="33" spans="1:7" s="68" customFormat="1" ht="20.100000000000001" customHeight="1">
      <c r="A33" s="67" t="str">
        <f>$A$7</f>
        <v>TYPE OF FILING: __X__ ORIGINAL  _____ UPDATED  _____ REVISED</v>
      </c>
      <c r="D33" s="74"/>
      <c r="E33" s="74"/>
      <c r="G33" s="74" t="s">
        <v>185</v>
      </c>
    </row>
    <row r="34" spans="1:7" s="68" customFormat="1" ht="20.100000000000001" customHeight="1">
      <c r="A34" s="67" t="str">
        <f>$A$8</f>
        <v>WORKPAPER REFERENCE NO(S).:</v>
      </c>
      <c r="D34" s="75"/>
      <c r="E34" s="75"/>
      <c r="G34" s="75" t="str">
        <f>$G$8</f>
        <v>WITNESS:   C. M. GARRETT</v>
      </c>
    </row>
    <row r="35" spans="1:7" s="68" customFormat="1" ht="20.100000000000001" customHeight="1"/>
    <row r="36" spans="1:7" ht="47.25" customHeight="1">
      <c r="A36" s="159" t="s">
        <v>131</v>
      </c>
      <c r="B36" s="160" t="s">
        <v>1420</v>
      </c>
      <c r="C36" s="159" t="s">
        <v>1421</v>
      </c>
      <c r="D36" s="159" t="s">
        <v>219</v>
      </c>
      <c r="E36" s="159" t="s">
        <v>1202</v>
      </c>
      <c r="F36" s="159" t="s">
        <v>224</v>
      </c>
      <c r="G36" s="159" t="s">
        <v>1422</v>
      </c>
    </row>
    <row r="37" spans="1:7" ht="23.1" customHeight="1">
      <c r="A37" s="80"/>
      <c r="B37" s="81"/>
      <c r="C37" s="82"/>
      <c r="D37" s="82"/>
      <c r="E37" s="82" t="s">
        <v>142</v>
      </c>
      <c r="F37" s="82"/>
      <c r="G37" s="82" t="s">
        <v>142</v>
      </c>
    </row>
    <row r="38" spans="1:7" ht="23.1" customHeight="1">
      <c r="A38" s="73"/>
      <c r="B38" s="78" t="s">
        <v>1172</v>
      </c>
      <c r="C38" s="78"/>
      <c r="D38" s="78"/>
      <c r="E38" s="95"/>
      <c r="F38" s="95"/>
      <c r="G38" s="95"/>
    </row>
    <row r="39" spans="1:7" ht="18.95" customHeight="1">
      <c r="A39" s="70">
        <v>1</v>
      </c>
      <c r="B39" s="78" t="s">
        <v>1423</v>
      </c>
      <c r="C39" s="78" t="s">
        <v>1429</v>
      </c>
      <c r="D39" s="71" t="s">
        <v>1430</v>
      </c>
      <c r="E39" s="86">
        <f>'SCH B-5.1'!C39</f>
        <v>62955456.000000007</v>
      </c>
      <c r="F39" s="130">
        <f>G39/E39</f>
        <v>0.94100915957131559</v>
      </c>
      <c r="G39" s="86">
        <f>'SCH B-5.1'!E39</f>
        <v>59241660.740988947</v>
      </c>
    </row>
    <row r="40" spans="1:7" ht="18.95" customHeight="1">
      <c r="A40" s="70"/>
      <c r="B40" s="78"/>
      <c r="C40" s="78"/>
      <c r="D40" s="78"/>
      <c r="E40" s="86"/>
      <c r="F40" s="130"/>
      <c r="G40" s="86"/>
    </row>
    <row r="41" spans="1:7" ht="18.95" customHeight="1">
      <c r="A41" s="70">
        <v>2</v>
      </c>
      <c r="B41" s="78" t="s">
        <v>1424</v>
      </c>
      <c r="C41" s="78" t="s">
        <v>1429</v>
      </c>
      <c r="D41" s="71" t="s">
        <v>1430</v>
      </c>
      <c r="E41" s="86">
        <f>'SCH B-5.1'!C41</f>
        <v>60204949</v>
      </c>
      <c r="F41" s="130">
        <f>G41/E41</f>
        <v>0.9315619019693292</v>
      </c>
      <c r="G41" s="86">
        <f>'SCH B-5.1'!E41</f>
        <v>56084636.798406467</v>
      </c>
    </row>
    <row r="42" spans="1:7" ht="18.95" customHeight="1">
      <c r="A42" s="70"/>
      <c r="B42" s="78"/>
      <c r="C42" s="78"/>
      <c r="D42" s="78"/>
      <c r="E42" s="86"/>
      <c r="F42" s="86"/>
      <c r="G42" s="86"/>
    </row>
    <row r="43" spans="1:7" ht="18.95" customHeight="1">
      <c r="A43" s="70">
        <v>3</v>
      </c>
      <c r="B43" s="78" t="s">
        <v>1427</v>
      </c>
      <c r="C43" s="78" t="s">
        <v>1429</v>
      </c>
      <c r="D43" s="71" t="s">
        <v>1430</v>
      </c>
      <c r="E43" s="86">
        <f>'SCH B-5.1'!C43</f>
        <v>15827969.641744697</v>
      </c>
      <c r="F43" s="130">
        <f>G43/E43</f>
        <v>0.9859150784560563</v>
      </c>
      <c r="G43" s="86">
        <f>'SCH B-5.1'!E43</f>
        <v>15605033.931140801</v>
      </c>
    </row>
    <row r="44" spans="1:7" ht="18.95" customHeight="1">
      <c r="A44" s="70"/>
      <c r="B44" s="78"/>
      <c r="C44" s="78"/>
      <c r="D44" s="78"/>
      <c r="E44" s="86"/>
      <c r="F44" s="86"/>
      <c r="G44" s="86"/>
    </row>
    <row r="45" spans="1:7" ht="18.95" customHeight="1">
      <c r="A45" s="70">
        <v>4</v>
      </c>
      <c r="B45" s="78" t="s">
        <v>2093</v>
      </c>
      <c r="C45" s="78" t="s">
        <v>1429</v>
      </c>
      <c r="D45" s="71" t="s">
        <v>1430</v>
      </c>
      <c r="E45" s="86">
        <f>ROUND('SCH B-5.1'!C45,0)</f>
        <v>0</v>
      </c>
      <c r="F45" s="130">
        <f>'ECR ALLOW'!$AF$6</f>
        <v>0.93741603079505242</v>
      </c>
      <c r="G45" s="86">
        <f>ROUND('SCH B-5.1'!E45,0)</f>
        <v>0</v>
      </c>
    </row>
    <row r="46" spans="1:7" ht="18.95" customHeight="1">
      <c r="A46" s="70"/>
      <c r="B46" s="78"/>
      <c r="C46" s="78"/>
      <c r="D46" s="78"/>
      <c r="E46" s="86"/>
      <c r="F46" s="86"/>
      <c r="G46" s="86"/>
    </row>
    <row r="47" spans="1:7" ht="31.5" customHeight="1">
      <c r="A47" s="70">
        <v>5</v>
      </c>
      <c r="B47" s="78" t="s">
        <v>1425</v>
      </c>
      <c r="C47" s="78" t="s">
        <v>2668</v>
      </c>
      <c r="D47" s="71" t="s">
        <v>1431</v>
      </c>
      <c r="E47" s="131">
        <f>'JURISSEP F'!$E$29</f>
        <v>106088753.94732079</v>
      </c>
      <c r="F47" s="130">
        <f>G47/E47</f>
        <v>0.89204684390618583</v>
      </c>
      <c r="G47" s="131">
        <f>'SCH B-5.2 F (1)'!$Q$82</f>
        <v>94636138.132647425</v>
      </c>
    </row>
    <row r="48" spans="1:7" ht="18.95" customHeight="1">
      <c r="A48" s="70"/>
      <c r="B48" s="78"/>
      <c r="C48" s="78"/>
      <c r="D48" s="78"/>
      <c r="E48" s="86"/>
      <c r="F48" s="86"/>
      <c r="G48" s="86"/>
    </row>
    <row r="49" spans="1:7" ht="18.95" customHeight="1" thickBot="1">
      <c r="A49" s="70">
        <v>6</v>
      </c>
      <c r="B49" s="78" t="s">
        <v>1426</v>
      </c>
      <c r="C49" s="78"/>
      <c r="D49" s="78"/>
      <c r="E49" s="94">
        <f>SUM(E39:E47)</f>
        <v>245077128.58906549</v>
      </c>
      <c r="F49" s="86"/>
      <c r="G49" s="94">
        <f>SUM(G39:G47)</f>
        <v>225567469.60318363</v>
      </c>
    </row>
    <row r="50" spans="1:7" ht="18.95" customHeight="1" thickTop="1">
      <c r="A50" s="70"/>
      <c r="B50" s="78"/>
      <c r="C50" s="78"/>
      <c r="D50" s="78"/>
      <c r="E50" s="86"/>
      <c r="F50" s="86"/>
      <c r="G50" s="86"/>
    </row>
    <row r="51" spans="1:7" ht="18.95" customHeight="1">
      <c r="A51" s="70"/>
      <c r="B51" s="67" t="s">
        <v>1428</v>
      </c>
      <c r="C51" s="78"/>
      <c r="D51" s="78"/>
      <c r="E51" s="86"/>
      <c r="F51" s="86"/>
      <c r="G51" s="86"/>
    </row>
    <row r="52" spans="1:7" ht="18.95" customHeight="1">
      <c r="B52" s="67" t="s">
        <v>2094</v>
      </c>
    </row>
    <row r="53" spans="1:7" ht="18.95" customHeight="1"/>
  </sheetData>
  <mergeCells count="8">
    <mergeCell ref="A28:G28"/>
    <mergeCell ref="A29:G29"/>
    <mergeCell ref="A30:G30"/>
    <mergeCell ref="A1:G1"/>
    <mergeCell ref="A2:G2"/>
    <mergeCell ref="A3:G3"/>
    <mergeCell ref="A4:G4"/>
    <mergeCell ref="A27:G27"/>
  </mergeCells>
  <pageMargins left="0.95" right="0.5" top="0.75" bottom="0.75" header="0.3" footer="0.3"/>
  <pageSetup scale="65" fitToHeight="0" orientation="portrait" r:id="rId1"/>
  <rowBreaks count="1" manualBreakCount="1">
    <brk id="2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51"/>
  <sheetViews>
    <sheetView zoomScaleNormal="100" workbookViewId="0">
      <selection sqref="A1:E1"/>
    </sheetView>
  </sheetViews>
  <sheetFormatPr defaultColWidth="9" defaultRowHeight="12.75"/>
  <cols>
    <col min="1" max="1" width="6" style="69" customWidth="1"/>
    <col min="2" max="2" width="38.33203125" style="69" customWidth="1"/>
    <col min="3" max="3" width="14.21875" style="69" customWidth="1"/>
    <col min="4" max="4" width="13.6640625" style="69" customWidth="1"/>
    <col min="5" max="5" width="15.77734375" style="69" customWidth="1"/>
    <col min="6" max="6" width="1.6640625" style="69" customWidth="1"/>
    <col min="7" max="16384" width="9" style="69"/>
  </cols>
  <sheetData>
    <row r="1" spans="1:5" s="68" customFormat="1" ht="20.100000000000001" customHeight="1">
      <c r="A1" s="767" t="str">
        <f>'Rate Case Constants'!C9</f>
        <v>KENTUCKY UTILITIES COMPANY</v>
      </c>
      <c r="B1" s="767"/>
      <c r="C1" s="767"/>
      <c r="D1" s="767"/>
      <c r="E1" s="767"/>
    </row>
    <row r="2" spans="1:5" s="68" customFormat="1" ht="20.100000000000001" customHeight="1">
      <c r="A2" s="767" t="str">
        <f>'Rate Case Constants'!C10</f>
        <v>CASE NO. 2018-00294</v>
      </c>
      <c r="B2" s="767"/>
      <c r="C2" s="767"/>
      <c r="D2" s="767"/>
      <c r="E2" s="767"/>
    </row>
    <row r="3" spans="1:5" s="68" customFormat="1" ht="20.100000000000001" customHeight="1">
      <c r="A3" s="767" t="s">
        <v>1435</v>
      </c>
      <c r="B3" s="767"/>
      <c r="C3" s="767"/>
      <c r="D3" s="767"/>
      <c r="E3" s="767"/>
    </row>
    <row r="4" spans="1:5" s="68" customFormat="1" ht="20.100000000000001" customHeight="1">
      <c r="A4" s="766" t="str">
        <f>'Rate Case Constants'!C14</f>
        <v>FROM JANUARY 1, 2018 TO DECEMBER 31, 2018</v>
      </c>
      <c r="B4" s="767"/>
      <c r="C4" s="767"/>
      <c r="D4" s="767"/>
      <c r="E4" s="767"/>
    </row>
    <row r="5" spans="1:5" s="68" customFormat="1" ht="20.100000000000001" customHeight="1">
      <c r="A5" s="138"/>
      <c r="B5" s="138"/>
      <c r="C5" s="138"/>
      <c r="D5" s="138"/>
      <c r="E5" s="138"/>
    </row>
    <row r="6" spans="1:5" s="68" customFormat="1" ht="20.100000000000001" customHeight="1">
      <c r="A6" s="67" t="s">
        <v>133</v>
      </c>
      <c r="C6" s="74"/>
      <c r="E6" s="74" t="s">
        <v>1432</v>
      </c>
    </row>
    <row r="7" spans="1:5" s="68" customFormat="1" ht="20.100000000000001" customHeight="1">
      <c r="A7" s="68" t="str">
        <f>'Rate Case Constants'!C29</f>
        <v>TYPE OF FILING: __X__ ORIGINAL  _____ UPDATED  _____ REVISED</v>
      </c>
      <c r="C7" s="74"/>
      <c r="E7" s="74" t="s">
        <v>177</v>
      </c>
    </row>
    <row r="8" spans="1:5" s="68" customFormat="1" ht="20.100000000000001" customHeight="1">
      <c r="A8" s="67" t="s">
        <v>1198</v>
      </c>
      <c r="C8" s="75"/>
      <c r="E8" s="75" t="str">
        <f>'Rate Case Constants'!C36</f>
        <v>WITNESS:   C. M. GARRETT</v>
      </c>
    </row>
    <row r="9" spans="1:5" s="68" customFormat="1" ht="20.100000000000001" customHeight="1"/>
    <row r="10" spans="1:5" s="68" customFormat="1" ht="20.100000000000001" customHeight="1">
      <c r="A10" s="96"/>
      <c r="B10" s="96"/>
      <c r="C10" s="769" t="s">
        <v>1433</v>
      </c>
      <c r="D10" s="769"/>
      <c r="E10" s="769"/>
    </row>
    <row r="11" spans="1:5" ht="39.75" customHeight="1">
      <c r="A11" s="98" t="s">
        <v>131</v>
      </c>
      <c r="B11" s="161" t="s">
        <v>205</v>
      </c>
      <c r="C11" s="98" t="s">
        <v>1202</v>
      </c>
      <c r="D11" s="98" t="s">
        <v>224</v>
      </c>
      <c r="E11" s="98" t="s">
        <v>1422</v>
      </c>
    </row>
    <row r="12" spans="1:5" ht="23.1" customHeight="1">
      <c r="A12" s="80"/>
      <c r="B12" s="81"/>
      <c r="C12" s="82" t="s">
        <v>142</v>
      </c>
      <c r="D12" s="82"/>
      <c r="E12" s="82" t="s">
        <v>142</v>
      </c>
    </row>
    <row r="13" spans="1:5" ht="23.1" customHeight="1">
      <c r="A13" s="73"/>
      <c r="B13" s="78" t="s">
        <v>1172</v>
      </c>
      <c r="C13" s="95"/>
      <c r="D13" s="95"/>
      <c r="E13" s="95"/>
    </row>
    <row r="14" spans="1:5" ht="18.95" customHeight="1">
      <c r="A14" s="70">
        <v>1</v>
      </c>
      <c r="B14" s="78" t="s">
        <v>1423</v>
      </c>
      <c r="C14" s="86">
        <f>'JURISSEP B'!$E$311</f>
        <v>61292297</v>
      </c>
      <c r="D14" s="130">
        <f>E14/C14</f>
        <v>0.88026422050572484</v>
      </c>
      <c r="E14" s="86">
        <f>'JURISSEP B'!$G$311</f>
        <v>53953416.041710377</v>
      </c>
    </row>
    <row r="15" spans="1:5" ht="18.95" customHeight="1">
      <c r="A15" s="70"/>
      <c r="B15" s="78"/>
      <c r="C15" s="86"/>
      <c r="D15" s="130"/>
      <c r="E15" s="86"/>
    </row>
    <row r="16" spans="1:5" ht="18.95" customHeight="1">
      <c r="A16" s="70">
        <v>2</v>
      </c>
      <c r="B16" s="78" t="s">
        <v>1424</v>
      </c>
      <c r="C16" s="86">
        <f>'JURISSEP B'!$E$318</f>
        <v>62047004</v>
      </c>
      <c r="D16" s="130">
        <f>E16/C16</f>
        <v>0.88827240123189766</v>
      </c>
      <c r="E16" s="86">
        <f>'JURISSEP B'!$G$318</f>
        <v>55114641.232325159</v>
      </c>
    </row>
    <row r="17" spans="1:5" ht="18.95" customHeight="1">
      <c r="A17" s="70"/>
      <c r="B17" s="78"/>
      <c r="C17" s="86"/>
      <c r="D17" s="86"/>
      <c r="E17" s="86"/>
    </row>
    <row r="18" spans="1:5" ht="18.95" customHeight="1">
      <c r="A18" s="70">
        <v>3</v>
      </c>
      <c r="B18" s="78" t="s">
        <v>1427</v>
      </c>
      <c r="C18" s="86">
        <f>'JURISSEP B'!$E$322</f>
        <v>16286225.567701049</v>
      </c>
      <c r="D18" s="130">
        <f>E18/C18</f>
        <v>0.94128721773079027</v>
      </c>
      <c r="E18" s="86">
        <f>'JURISSEP B'!$G$322</f>
        <v>15330015.95195738</v>
      </c>
    </row>
    <row r="19" spans="1:5" ht="18.95" customHeight="1">
      <c r="A19" s="70"/>
      <c r="B19" s="78"/>
      <c r="C19" s="86"/>
      <c r="D19" s="86"/>
      <c r="E19" s="86"/>
    </row>
    <row r="20" spans="1:5" ht="18.95" customHeight="1">
      <c r="A20" s="70">
        <v>4</v>
      </c>
      <c r="B20" s="78" t="s">
        <v>2093</v>
      </c>
      <c r="C20" s="131">
        <f>ROUND('JURISSEP B'!$E$330-'ECR ALLOW'!O5*1000,0)</f>
        <v>0</v>
      </c>
      <c r="D20" s="130">
        <f>'ECR ALLOW'!$O$6</f>
        <v>0.87673530496058716</v>
      </c>
      <c r="E20" s="131">
        <f>ROUND('JURISSEP B'!$G$330-'ECR ALLOW'!O7*1000,0)</f>
        <v>0</v>
      </c>
    </row>
    <row r="21" spans="1:5" ht="18.95" customHeight="1">
      <c r="A21" s="70"/>
      <c r="B21" s="78"/>
      <c r="C21" s="86"/>
      <c r="D21" s="86"/>
      <c r="E21" s="86"/>
    </row>
    <row r="22" spans="1:5" ht="18.95" customHeight="1" thickBot="1">
      <c r="A22" s="70">
        <v>5</v>
      </c>
      <c r="B22" s="78" t="s">
        <v>1434</v>
      </c>
      <c r="C22" s="94">
        <f>SUM(C14:C20)</f>
        <v>139625526.56770104</v>
      </c>
      <c r="D22" s="86"/>
      <c r="E22" s="94">
        <f>SUM(E14:E20)</f>
        <v>124398073.22599292</v>
      </c>
    </row>
    <row r="23" spans="1:5" ht="18.95" customHeight="1" thickTop="1">
      <c r="A23" s="70"/>
      <c r="B23" s="78"/>
      <c r="C23" s="86"/>
      <c r="D23" s="86"/>
      <c r="E23" s="86"/>
    </row>
    <row r="24" spans="1:5" ht="18.95" customHeight="1">
      <c r="A24" s="70"/>
      <c r="B24" s="67" t="s">
        <v>1428</v>
      </c>
      <c r="C24" s="86"/>
      <c r="D24" s="86"/>
      <c r="E24" s="86"/>
    </row>
    <row r="25" spans="1:5" ht="18.95" customHeight="1">
      <c r="A25" s="70"/>
      <c r="B25" s="67" t="s">
        <v>2094</v>
      </c>
      <c r="C25" s="86"/>
      <c r="D25" s="86"/>
      <c r="E25" s="86"/>
    </row>
    <row r="26" spans="1:5" s="68" customFormat="1" ht="20.100000000000001" customHeight="1">
      <c r="A26" s="767" t="str">
        <f>$A$1</f>
        <v>KENTUCKY UTILITIES COMPANY</v>
      </c>
      <c r="B26" s="767"/>
      <c r="C26" s="767"/>
      <c r="D26" s="767"/>
      <c r="E26" s="767"/>
    </row>
    <row r="27" spans="1:5" s="68" customFormat="1" ht="20.100000000000001" customHeight="1">
      <c r="A27" s="767" t="str">
        <f>$A$2</f>
        <v>CASE NO. 2018-00294</v>
      </c>
      <c r="B27" s="767"/>
      <c r="C27" s="767"/>
      <c r="D27" s="767"/>
      <c r="E27" s="767"/>
    </row>
    <row r="28" spans="1:5" s="68" customFormat="1" ht="20.100000000000001" customHeight="1">
      <c r="A28" s="767" t="str">
        <f>$A$3</f>
        <v>OTHER WORKING CAPITAL COMPONENTS</v>
      </c>
      <c r="B28" s="767"/>
      <c r="C28" s="767"/>
      <c r="D28" s="767"/>
      <c r="E28" s="767"/>
    </row>
    <row r="29" spans="1:5" s="68" customFormat="1" ht="20.100000000000001" customHeight="1">
      <c r="A29" s="766" t="str">
        <f>'Rate Case Constants'!C20</f>
        <v>FROM MAY 1, 2019 TO APRIL 30, 2020</v>
      </c>
      <c r="B29" s="770"/>
      <c r="C29" s="770"/>
      <c r="D29" s="770"/>
      <c r="E29" s="770"/>
    </row>
    <row r="30" spans="1:5" s="68" customFormat="1" ht="20.100000000000001" customHeight="1">
      <c r="A30" s="138"/>
      <c r="B30" s="138"/>
      <c r="C30" s="138"/>
      <c r="D30" s="138"/>
      <c r="E30" s="138"/>
    </row>
    <row r="31" spans="1:5" s="68" customFormat="1" ht="20.100000000000001" customHeight="1">
      <c r="A31" s="67" t="s">
        <v>161</v>
      </c>
      <c r="C31" s="74"/>
      <c r="E31" s="74" t="s">
        <v>1432</v>
      </c>
    </row>
    <row r="32" spans="1:5" s="68" customFormat="1" ht="20.100000000000001" customHeight="1">
      <c r="A32" s="67" t="str">
        <f>$A$7</f>
        <v>TYPE OF FILING: __X__ ORIGINAL  _____ UPDATED  _____ REVISED</v>
      </c>
      <c r="C32" s="74"/>
      <c r="E32" s="74" t="s">
        <v>185</v>
      </c>
    </row>
    <row r="33" spans="1:5" s="68" customFormat="1" ht="20.100000000000001" customHeight="1">
      <c r="A33" s="67" t="str">
        <f>$A$8</f>
        <v>WORKPAPER REFERENCE NO(S).:</v>
      </c>
      <c r="C33" s="75"/>
      <c r="E33" s="75" t="str">
        <f>$E$8</f>
        <v>WITNESS:   C. M. GARRETT</v>
      </c>
    </row>
    <row r="34" spans="1:5" s="68" customFormat="1" ht="20.100000000000001" customHeight="1"/>
    <row r="35" spans="1:5" s="68" customFormat="1" ht="20.100000000000001" customHeight="1">
      <c r="A35" s="96"/>
      <c r="B35" s="96"/>
      <c r="C35" s="769" t="s">
        <v>1433</v>
      </c>
      <c r="D35" s="769"/>
      <c r="E35" s="769"/>
    </row>
    <row r="36" spans="1:5" ht="39.75" customHeight="1">
      <c r="A36" s="98" t="s">
        <v>131</v>
      </c>
      <c r="B36" s="161" t="s">
        <v>205</v>
      </c>
      <c r="C36" s="98" t="s">
        <v>1202</v>
      </c>
      <c r="D36" s="98" t="s">
        <v>224</v>
      </c>
      <c r="E36" s="98" t="s">
        <v>1422</v>
      </c>
    </row>
    <row r="37" spans="1:5" ht="23.1" customHeight="1">
      <c r="A37" s="80"/>
      <c r="B37" s="81"/>
      <c r="C37" s="82" t="s">
        <v>142</v>
      </c>
      <c r="D37" s="82"/>
      <c r="E37" s="82" t="s">
        <v>142</v>
      </c>
    </row>
    <row r="38" spans="1:5" ht="23.1" customHeight="1">
      <c r="A38" s="73"/>
      <c r="B38" s="78" t="s">
        <v>1172</v>
      </c>
      <c r="C38" s="95"/>
      <c r="D38" s="95"/>
      <c r="E38" s="95"/>
    </row>
    <row r="39" spans="1:5" ht="18.95" customHeight="1">
      <c r="A39" s="70">
        <v>1</v>
      </c>
      <c r="B39" s="78" t="s">
        <v>1423</v>
      </c>
      <c r="C39" s="86">
        <f>'JURISSEP F'!$E$311</f>
        <v>62955456.000000007</v>
      </c>
      <c r="D39" s="130">
        <f>E39/C39</f>
        <v>0.94100915957131559</v>
      </c>
      <c r="E39" s="86">
        <f>'JURISSEP F'!$G$311</f>
        <v>59241660.740988947</v>
      </c>
    </row>
    <row r="40" spans="1:5" ht="18.95" customHeight="1">
      <c r="A40" s="70"/>
      <c r="B40" s="78"/>
      <c r="C40" s="86"/>
      <c r="D40" s="130"/>
      <c r="E40" s="86"/>
    </row>
    <row r="41" spans="1:5" ht="18.95" customHeight="1">
      <c r="A41" s="70">
        <v>2</v>
      </c>
      <c r="B41" s="78" t="s">
        <v>1424</v>
      </c>
      <c r="C41" s="86">
        <f>'JURISSEP F'!$E$318</f>
        <v>60204949</v>
      </c>
      <c r="D41" s="130">
        <f>E41/C41</f>
        <v>0.9315619019693292</v>
      </c>
      <c r="E41" s="86">
        <f>'JURISSEP F'!$G$318</f>
        <v>56084636.798406467</v>
      </c>
    </row>
    <row r="42" spans="1:5" ht="18.95" customHeight="1">
      <c r="A42" s="70"/>
      <c r="B42" s="78"/>
      <c r="C42" s="86"/>
      <c r="D42" s="86"/>
      <c r="E42" s="86"/>
    </row>
    <row r="43" spans="1:5" ht="18.95" customHeight="1">
      <c r="A43" s="70">
        <v>3</v>
      </c>
      <c r="B43" s="78" t="s">
        <v>1427</v>
      </c>
      <c r="C43" s="86">
        <f>'JURISSEP F'!$E$322</f>
        <v>15827969.641744697</v>
      </c>
      <c r="D43" s="130">
        <f>E43/C43</f>
        <v>0.9859150784560563</v>
      </c>
      <c r="E43" s="86">
        <f>'JURISSEP F'!$G$322</f>
        <v>15605033.931140801</v>
      </c>
    </row>
    <row r="44" spans="1:5" ht="18.95" customHeight="1">
      <c r="A44" s="70"/>
      <c r="B44" s="78"/>
      <c r="C44" s="86"/>
      <c r="D44" s="86"/>
      <c r="E44" s="86"/>
    </row>
    <row r="45" spans="1:5" ht="18.95" customHeight="1">
      <c r="A45" s="70">
        <v>4</v>
      </c>
      <c r="B45" s="78" t="s">
        <v>2093</v>
      </c>
      <c r="C45" s="131">
        <f>ROUND('JURISSEP F'!$E$330-'ECR ALLOW'!AF5*1000,0)</f>
        <v>0</v>
      </c>
      <c r="D45" s="130">
        <f>'ECR ALLOW'!$AF$6</f>
        <v>0.93741603079505242</v>
      </c>
      <c r="E45" s="131">
        <f>ROUND('JURISSEP F'!$G$330-'ECR ALLOW'!AF7*1000,0)</f>
        <v>0</v>
      </c>
    </row>
    <row r="46" spans="1:5" ht="18.95" customHeight="1">
      <c r="A46" s="70"/>
      <c r="B46" s="78"/>
      <c r="C46" s="86"/>
      <c r="D46" s="86"/>
      <c r="E46" s="86"/>
    </row>
    <row r="47" spans="1:5" ht="18.95" customHeight="1" thickBot="1">
      <c r="A47" s="70">
        <v>5</v>
      </c>
      <c r="B47" s="78" t="s">
        <v>1434</v>
      </c>
      <c r="C47" s="94">
        <f>SUM(C39:C45)</f>
        <v>138988374.6417447</v>
      </c>
      <c r="D47" s="86"/>
      <c r="E47" s="94">
        <f>SUM(E39:E45)</f>
        <v>130931331.47053622</v>
      </c>
    </row>
    <row r="48" spans="1:5" ht="18.95" customHeight="1" thickTop="1">
      <c r="A48" s="70"/>
      <c r="B48" s="78"/>
      <c r="C48" s="86"/>
      <c r="D48" s="86"/>
      <c r="E48" s="86"/>
    </row>
    <row r="49" spans="1:5" ht="18.95" customHeight="1">
      <c r="A49" s="70"/>
      <c r="B49" s="67" t="s">
        <v>1428</v>
      </c>
      <c r="C49" s="86"/>
      <c r="D49" s="86"/>
      <c r="E49" s="86"/>
    </row>
    <row r="50" spans="1:5" ht="18.95" customHeight="1">
      <c r="B50" s="67" t="s">
        <v>2094</v>
      </c>
    </row>
    <row r="51" spans="1:5" ht="18.95" customHeight="1"/>
  </sheetData>
  <mergeCells count="10">
    <mergeCell ref="A28:E28"/>
    <mergeCell ref="A29:E29"/>
    <mergeCell ref="C10:E10"/>
    <mergeCell ref="C35:E35"/>
    <mergeCell ref="A1:E1"/>
    <mergeCell ref="A2:E2"/>
    <mergeCell ref="A3:E3"/>
    <mergeCell ref="A4:E4"/>
    <mergeCell ref="A26:E26"/>
    <mergeCell ref="A27:E27"/>
  </mergeCells>
  <printOptions horizontalCentered="1"/>
  <pageMargins left="0.95" right="0.5" top="0.75" bottom="0.75" header="0.3" footer="0.3"/>
  <pageSetup scale="85" fitToHeight="0" orientation="portrait" r:id="rId1"/>
  <rowBreaks count="1" manualBreakCount="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11" activePane="bottomRight" state="frozen"/>
      <selection activeCell="K45" sqref="K45"/>
      <selection pane="topRight" activeCell="K45" sqref="K45"/>
      <selection pane="bottomLeft" activeCell="K45" sqref="K45"/>
      <selection pane="bottomRight" activeCell="C11" sqref="C11"/>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71" t="str">
        <f>'Rate Case Constants'!C9</f>
        <v>KENTUCKY UTILITIES COMPANY</v>
      </c>
      <c r="B1" s="771"/>
      <c r="C1" s="771"/>
      <c r="D1" s="771"/>
      <c r="E1" s="771"/>
      <c r="F1" s="771"/>
      <c r="G1" s="771"/>
      <c r="H1" s="771"/>
      <c r="I1" s="771"/>
      <c r="J1" s="771"/>
      <c r="K1" s="771"/>
      <c r="L1" s="771"/>
      <c r="M1" s="771"/>
      <c r="N1" s="771"/>
      <c r="O1" s="771"/>
      <c r="P1" s="771"/>
      <c r="Q1" s="771"/>
      <c r="R1" s="585"/>
    </row>
    <row r="2" spans="1:18" ht="15.95" customHeight="1">
      <c r="A2" s="771" t="str">
        <f>'Rate Case Constants'!C10</f>
        <v>CASE NO. 2018-00294</v>
      </c>
      <c r="B2" s="771"/>
      <c r="C2" s="771"/>
      <c r="D2" s="771"/>
      <c r="E2" s="771"/>
      <c r="F2" s="771"/>
      <c r="G2" s="771"/>
      <c r="H2" s="771"/>
      <c r="I2" s="771"/>
      <c r="J2" s="771"/>
      <c r="K2" s="771"/>
      <c r="L2" s="771"/>
      <c r="M2" s="771"/>
      <c r="N2" s="771"/>
      <c r="O2" s="771"/>
      <c r="P2" s="771"/>
      <c r="Q2" s="771"/>
      <c r="R2" s="585"/>
    </row>
    <row r="3" spans="1:18" ht="15.95" customHeight="1">
      <c r="A3" s="771" t="s">
        <v>1436</v>
      </c>
      <c r="B3" s="771"/>
      <c r="C3" s="771"/>
      <c r="D3" s="771"/>
      <c r="E3" s="771"/>
      <c r="F3" s="771"/>
      <c r="G3" s="771"/>
      <c r="H3" s="771"/>
      <c r="I3" s="771"/>
      <c r="J3" s="771"/>
      <c r="K3" s="771"/>
      <c r="L3" s="771"/>
      <c r="M3" s="771"/>
      <c r="N3" s="771"/>
      <c r="O3" s="771"/>
      <c r="P3" s="771"/>
      <c r="Q3" s="771"/>
      <c r="R3" s="585"/>
    </row>
    <row r="4" spans="1:18" ht="15.95" customHeight="1">
      <c r="A4" s="771" t="str">
        <f>'Rate Case Constants'!C15</f>
        <v>BASE YEAR FOR THE 12 MONTHS ENDED DECEMBER 31, 2018</v>
      </c>
      <c r="B4" s="771"/>
      <c r="C4" s="771"/>
      <c r="D4" s="771"/>
      <c r="E4" s="771"/>
      <c r="F4" s="771"/>
      <c r="G4" s="771"/>
      <c r="H4" s="771"/>
      <c r="I4" s="771"/>
      <c r="J4" s="771"/>
      <c r="K4" s="771"/>
      <c r="L4" s="771"/>
      <c r="M4" s="771"/>
      <c r="N4" s="771"/>
      <c r="O4" s="771"/>
      <c r="P4" s="771"/>
      <c r="Q4" s="771"/>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133</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__X__ ORIGINAL  _____ UPDATED  _____ REVISED</v>
      </c>
      <c r="B7" s="650"/>
      <c r="C7" s="650"/>
      <c r="D7" s="650"/>
      <c r="E7" s="650"/>
      <c r="F7" s="650"/>
      <c r="G7" s="650"/>
      <c r="H7" s="650"/>
      <c r="I7" s="650"/>
      <c r="J7" s="650"/>
      <c r="K7" s="650"/>
      <c r="L7" s="650"/>
      <c r="M7" s="650"/>
      <c r="N7" s="650"/>
      <c r="O7" s="650"/>
      <c r="P7" s="650"/>
      <c r="Q7" s="75" t="s">
        <v>173</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2670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348987834.38999999</v>
      </c>
      <c r="D12" s="595"/>
      <c r="E12" s="596">
        <v>0.88026422050572484</v>
      </c>
      <c r="F12" s="597"/>
      <c r="G12" s="594">
        <v>307201504.00529432</v>
      </c>
      <c r="H12" s="598"/>
      <c r="I12" s="598">
        <v>841647.95617888856</v>
      </c>
      <c r="K12" s="591">
        <v>45.298333333333332</v>
      </c>
      <c r="L12" s="591"/>
      <c r="M12" s="591">
        <v>-27.28</v>
      </c>
      <c r="O12" s="591">
        <f>K12+M12</f>
        <v>18.018333333333331</v>
      </c>
      <c r="P12" s="591"/>
      <c r="Q12" s="598">
        <f>I12*O12</f>
        <v>15165093.423749939</v>
      </c>
    </row>
    <row r="13" spans="1:18" ht="15.95" customHeight="1">
      <c r="A13" s="651">
        <f>A12+1</f>
        <v>2</v>
      </c>
      <c r="B13" s="593" t="s">
        <v>2598</v>
      </c>
      <c r="C13" s="594">
        <v>135223358.36000001</v>
      </c>
      <c r="D13" s="595"/>
      <c r="E13" s="596">
        <v>0.88026422050572484</v>
      </c>
      <c r="F13" s="597"/>
      <c r="G13" s="594">
        <v>119032284.1409317</v>
      </c>
      <c r="H13" s="598"/>
      <c r="I13" s="598">
        <v>326115.8469614567</v>
      </c>
      <c r="K13" s="591">
        <v>45.298333333333332</v>
      </c>
      <c r="L13" s="591"/>
      <c r="M13" s="591">
        <v>-39.32</v>
      </c>
      <c r="O13" s="591">
        <f t="shared" ref="O13:O26" si="0">K13+M13</f>
        <v>5.9783333333333317</v>
      </c>
      <c r="P13" s="591"/>
      <c r="Q13" s="598">
        <f t="shared" ref="Q13:Q26" si="1">I13*O13</f>
        <v>1949629.2384179081</v>
      </c>
    </row>
    <row r="14" spans="1:18" ht="15.95" customHeight="1">
      <c r="A14" s="651">
        <f>A13+1</f>
        <v>3</v>
      </c>
      <c r="B14" s="593" t="s">
        <v>2599</v>
      </c>
      <c r="C14" s="594">
        <v>2926001.78</v>
      </c>
      <c r="D14" s="595"/>
      <c r="E14" s="596">
        <v>0.88026422050572484</v>
      </c>
      <c r="F14" s="597"/>
      <c r="G14" s="594">
        <v>2575654.6760700634</v>
      </c>
      <c r="H14" s="598"/>
      <c r="I14" s="598">
        <v>7056.5881536166116</v>
      </c>
      <c r="K14" s="591">
        <v>45.298333333333332</v>
      </c>
      <c r="L14" s="591"/>
      <c r="M14" s="591">
        <v>-17.32</v>
      </c>
      <c r="O14" s="591">
        <f t="shared" si="0"/>
        <v>27.978333333333332</v>
      </c>
      <c r="P14" s="591"/>
      <c r="Q14" s="598">
        <f t="shared" si="1"/>
        <v>197431.57555793677</v>
      </c>
    </row>
    <row r="15" spans="1:18" ht="15.95" customHeight="1">
      <c r="A15" s="651">
        <f>A14+1</f>
        <v>4</v>
      </c>
      <c r="B15" s="593" t="s">
        <v>2600</v>
      </c>
      <c r="C15" s="594">
        <v>12110761.810000001</v>
      </c>
      <c r="D15" s="595"/>
      <c r="E15" s="596">
        <v>0.88026422050572484</v>
      </c>
      <c r="F15" s="597"/>
      <c r="G15" s="594">
        <v>10660670.304410152</v>
      </c>
      <c r="H15" s="598"/>
      <c r="I15" s="598">
        <v>29207.315902493567</v>
      </c>
      <c r="K15" s="591">
        <v>45.298333333333332</v>
      </c>
      <c r="L15" s="591"/>
      <c r="M15" s="591">
        <v>-27.76</v>
      </c>
      <c r="O15" s="591">
        <f t="shared" si="0"/>
        <v>17.53833333333333</v>
      </c>
      <c r="P15" s="591"/>
      <c r="Q15" s="598">
        <f t="shared" si="1"/>
        <v>512247.64206989959</v>
      </c>
    </row>
    <row r="16" spans="1:18" ht="15.95" customHeight="1">
      <c r="A16" s="651">
        <f>A15+1</f>
        <v>5</v>
      </c>
      <c r="B16" s="593" t="s">
        <v>2601</v>
      </c>
      <c r="C16" s="599">
        <v>48697919.591911793</v>
      </c>
      <c r="D16" s="595"/>
      <c r="E16" s="596">
        <v>0.87957226479489437</v>
      </c>
      <c r="F16" s="597"/>
      <c r="G16" s="599">
        <v>42833339.426257513</v>
      </c>
      <c r="H16" s="598"/>
      <c r="I16" s="598">
        <v>117351.61486645894</v>
      </c>
      <c r="K16" s="591">
        <v>45.298333333333332</v>
      </c>
      <c r="L16" s="591"/>
      <c r="M16" s="591">
        <v>-23.664370061149086</v>
      </c>
      <c r="O16" s="591">
        <f t="shared" si="0"/>
        <v>21.633963272184246</v>
      </c>
      <c r="P16" s="591"/>
      <c r="Q16" s="598">
        <f t="shared" si="1"/>
        <v>2538780.5259524835</v>
      </c>
    </row>
    <row r="17" spans="1:17" ht="15.95" customHeight="1">
      <c r="A17" s="651">
        <f>A16+1</f>
        <v>6</v>
      </c>
      <c r="B17" s="593" t="s">
        <v>2602</v>
      </c>
      <c r="C17" s="594">
        <v>42371664.789999992</v>
      </c>
      <c r="D17" s="595"/>
      <c r="E17" s="596">
        <v>0.90503374622094968</v>
      </c>
      <c r="F17" s="597"/>
      <c r="G17" s="594">
        <v>38347786.518512003</v>
      </c>
      <c r="H17" s="598"/>
      <c r="I17" s="598">
        <v>105062.42881784111</v>
      </c>
      <c r="K17" s="591">
        <v>45.298333333333332</v>
      </c>
      <c r="L17" s="591"/>
      <c r="M17" s="591">
        <v>-13.010845763287058</v>
      </c>
      <c r="O17" s="591">
        <f t="shared" si="0"/>
        <v>32.287487570046274</v>
      </c>
      <c r="P17" s="591"/>
      <c r="Q17" s="598">
        <f t="shared" si="1"/>
        <v>3392201.8645349164</v>
      </c>
    </row>
    <row r="18" spans="1:17" ht="15.95" customHeight="1">
      <c r="A18" s="651">
        <f t="shared" ref="A18:A24" si="2">A17+1</f>
        <v>7</v>
      </c>
      <c r="B18" s="593" t="s">
        <v>2603</v>
      </c>
      <c r="C18" s="594">
        <v>-1079789.29</v>
      </c>
      <c r="D18" s="595"/>
      <c r="E18" s="596">
        <v>0.90503374622094968</v>
      </c>
      <c r="F18" s="597"/>
      <c r="G18" s="594">
        <v>-977245.74625795952</v>
      </c>
      <c r="H18" s="598"/>
      <c r="I18" s="598">
        <v>-2677.3856061861907</v>
      </c>
      <c r="K18" s="591">
        <v>45.298333333333332</v>
      </c>
      <c r="L18" s="591"/>
      <c r="M18" s="591">
        <v>0</v>
      </c>
      <c r="O18" s="591">
        <f t="shared" si="0"/>
        <v>45.298333333333332</v>
      </c>
      <c r="P18" s="591"/>
      <c r="Q18" s="598">
        <f t="shared" si="1"/>
        <v>-121281.10565089079</v>
      </c>
    </row>
    <row r="19" spans="1:17" ht="15.95" customHeight="1">
      <c r="A19" s="651">
        <f t="shared" si="2"/>
        <v>8</v>
      </c>
      <c r="B19" s="593" t="s">
        <v>2604</v>
      </c>
      <c r="C19" s="594">
        <v>636151.72000000009</v>
      </c>
      <c r="D19" s="595"/>
      <c r="E19" s="596">
        <v>0.90503374622094968</v>
      </c>
      <c r="F19" s="597"/>
      <c r="G19" s="594">
        <v>575738.77431650076</v>
      </c>
      <c r="H19" s="598"/>
      <c r="I19" s="598">
        <v>1577.3665049767144</v>
      </c>
      <c r="K19" s="591">
        <v>45.298333333333332</v>
      </c>
      <c r="L19" s="591"/>
      <c r="M19" s="591">
        <v>0</v>
      </c>
      <c r="O19" s="591">
        <f t="shared" si="0"/>
        <v>45.298333333333332</v>
      </c>
      <c r="P19" s="591"/>
      <c r="Q19" s="598">
        <f t="shared" si="1"/>
        <v>71452.073731270197</v>
      </c>
    </row>
    <row r="20" spans="1:17" ht="15.95" customHeight="1">
      <c r="A20" s="651">
        <f>A19+1</f>
        <v>9</v>
      </c>
      <c r="B20" s="593" t="s">
        <v>2605</v>
      </c>
      <c r="C20" s="594">
        <v>3611027.5539999995</v>
      </c>
      <c r="D20" s="595"/>
      <c r="E20" s="596">
        <v>0.90503374622094968</v>
      </c>
      <c r="F20" s="597"/>
      <c r="G20" s="594">
        <v>3268101.7949036923</v>
      </c>
      <c r="H20" s="598"/>
      <c r="I20" s="598">
        <v>8953.7035476813489</v>
      </c>
      <c r="K20" s="591">
        <v>45.298333333333332</v>
      </c>
      <c r="L20" s="591"/>
      <c r="M20" s="591">
        <v>-244.79</v>
      </c>
      <c r="O20" s="591">
        <f t="shared" si="0"/>
        <v>-199.49166666666667</v>
      </c>
      <c r="P20" s="591"/>
      <c r="Q20" s="598">
        <f t="shared" si="1"/>
        <v>-1786189.2435661985</v>
      </c>
    </row>
    <row r="21" spans="1:17" ht="15.95" customHeight="1">
      <c r="A21" s="651">
        <f>A20+1</f>
        <v>10</v>
      </c>
      <c r="B21" s="593" t="s">
        <v>2606</v>
      </c>
      <c r="C21" s="594">
        <v>2028494.31</v>
      </c>
      <c r="D21" s="595"/>
      <c r="E21" s="596">
        <v>0.90503374622094968</v>
      </c>
      <c r="F21" s="597"/>
      <c r="G21" s="594">
        <v>1835855.8045671806</v>
      </c>
      <c r="H21" s="598"/>
      <c r="I21" s="598">
        <v>5029.7419303210427</v>
      </c>
      <c r="K21" s="591">
        <v>45.298333333333332</v>
      </c>
      <c r="L21" s="591"/>
      <c r="M21" s="591">
        <v>-22.558255780356177</v>
      </c>
      <c r="O21" s="591">
        <f t="shared" si="0"/>
        <v>22.740077552977155</v>
      </c>
      <c r="P21" s="591"/>
      <c r="Q21" s="598">
        <f t="shared" si="1"/>
        <v>114376.72156696153</v>
      </c>
    </row>
    <row r="22" spans="1:17" ht="15.95" customHeight="1">
      <c r="A22" s="651">
        <f t="shared" si="2"/>
        <v>11</v>
      </c>
      <c r="B22" s="593" t="s">
        <v>2607</v>
      </c>
      <c r="C22" s="594">
        <v>732356.45</v>
      </c>
      <c r="D22" s="595"/>
      <c r="E22" s="596">
        <v>0.90503374622094968</v>
      </c>
      <c r="F22" s="597"/>
      <c r="G22" s="594">
        <v>662807.30151257559</v>
      </c>
      <c r="H22" s="598"/>
      <c r="I22" s="598">
        <v>1815.9104151029469</v>
      </c>
      <c r="K22" s="591">
        <v>45.298333333333332</v>
      </c>
      <c r="L22" s="591"/>
      <c r="M22" s="591">
        <v>-283.5</v>
      </c>
      <c r="O22" s="591">
        <f t="shared" si="0"/>
        <v>-238.20166666666665</v>
      </c>
      <c r="P22" s="591"/>
      <c r="Q22" s="598">
        <f t="shared" si="1"/>
        <v>-432552.88739488041</v>
      </c>
    </row>
    <row r="23" spans="1:17" ht="15.95" customHeight="1">
      <c r="A23" s="651">
        <f t="shared" si="2"/>
        <v>12</v>
      </c>
      <c r="B23" s="593" t="s">
        <v>2608</v>
      </c>
      <c r="C23" s="599">
        <v>4726254.5199999996</v>
      </c>
      <c r="E23" s="596">
        <v>0.94943492291049292</v>
      </c>
      <c r="F23" s="597"/>
      <c r="G23" s="594">
        <v>4487271.0958515685</v>
      </c>
      <c r="H23" s="598"/>
      <c r="I23" s="598">
        <v>12293.893413291969</v>
      </c>
      <c r="K23" s="591">
        <v>45.298333333333332</v>
      </c>
      <c r="L23" s="591"/>
      <c r="M23" s="591">
        <v>-131.69914670445385</v>
      </c>
      <c r="O23" s="591">
        <f t="shared" si="0"/>
        <v>-86.40081337112052</v>
      </c>
      <c r="P23" s="591"/>
      <c r="Q23" s="598">
        <f t="shared" si="1"/>
        <v>-1062202.3904062873</v>
      </c>
    </row>
    <row r="24" spans="1:17" ht="15.95" customHeight="1">
      <c r="A24" s="651">
        <f t="shared" si="2"/>
        <v>13</v>
      </c>
      <c r="B24" s="593" t="s">
        <v>2609</v>
      </c>
      <c r="C24" s="594">
        <v>2535225</v>
      </c>
      <c r="E24" s="596">
        <v>0.94250430879615688</v>
      </c>
      <c r="F24" s="597"/>
      <c r="G24" s="594">
        <v>2389460.4862677366</v>
      </c>
      <c r="H24" s="598"/>
      <c r="I24" s="598">
        <v>6546.4670856650318</v>
      </c>
      <c r="K24" s="591">
        <v>45.298333333333332</v>
      </c>
      <c r="L24" s="591"/>
      <c r="M24" s="591">
        <v>-41.741641520962055</v>
      </c>
      <c r="O24" s="591">
        <f t="shared" si="0"/>
        <v>3.5566918123712767</v>
      </c>
      <c r="P24" s="591"/>
      <c r="Q24" s="598">
        <f t="shared" si="1"/>
        <v>23283.765883542874</v>
      </c>
    </row>
    <row r="25" spans="1:17" ht="15.95" customHeight="1">
      <c r="A25" s="651">
        <f>A24+1</f>
        <v>14</v>
      </c>
      <c r="B25" s="593" t="s">
        <v>2610</v>
      </c>
      <c r="C25" s="594">
        <v>172709188.13</v>
      </c>
      <c r="E25" s="596">
        <v>0.89088543656092367</v>
      </c>
      <c r="F25" s="597"/>
      <c r="G25" s="594">
        <v>153864100.46527773</v>
      </c>
      <c r="H25" s="598"/>
      <c r="I25" s="598">
        <v>421545.48072678829</v>
      </c>
      <c r="K25" s="591">
        <v>45.298333333333332</v>
      </c>
      <c r="L25" s="591"/>
      <c r="M25" s="591">
        <v>-25.38804860890605</v>
      </c>
      <c r="O25" s="591">
        <f t="shared" si="0"/>
        <v>19.910284724427282</v>
      </c>
      <c r="P25" s="591"/>
      <c r="Q25" s="598">
        <f t="shared" si="1"/>
        <v>8393090.5455659274</v>
      </c>
    </row>
    <row r="26" spans="1:17" ht="15.95" customHeight="1">
      <c r="A26" s="651">
        <f>A25+1</f>
        <v>15</v>
      </c>
      <c r="B26" s="593" t="s">
        <v>2611</v>
      </c>
      <c r="C26" s="611">
        <v>192860783.89287043</v>
      </c>
      <c r="D26" s="600"/>
      <c r="E26" s="596">
        <v>0.91328831012625367</v>
      </c>
      <c r="F26" s="597"/>
      <c r="G26" s="611">
        <v>176137499.41114423</v>
      </c>
      <c r="H26" s="601"/>
      <c r="I26" s="598">
        <v>482568.49153738143</v>
      </c>
      <c r="K26" s="591">
        <v>45.298333333333332</v>
      </c>
      <c r="L26" s="591"/>
      <c r="M26" s="591">
        <v>-48.047788467578023</v>
      </c>
      <c r="O26" s="591">
        <f t="shared" si="0"/>
        <v>-2.7494551342446911</v>
      </c>
      <c r="P26" s="591"/>
      <c r="Q26" s="602">
        <f t="shared" si="1"/>
        <v>-1326800.4166821691</v>
      </c>
    </row>
    <row r="27" spans="1:17" ht="15.95" customHeight="1">
      <c r="A27" s="651">
        <f>A26+1</f>
        <v>16</v>
      </c>
      <c r="B27" s="603" t="s">
        <v>2612</v>
      </c>
      <c r="C27" s="594">
        <v>969077233.00878215</v>
      </c>
      <c r="D27" s="604"/>
      <c r="E27" s="596"/>
      <c r="F27" s="597"/>
      <c r="G27" s="594">
        <v>862894828.459059</v>
      </c>
      <c r="H27" s="598"/>
      <c r="I27" s="598"/>
      <c r="K27" s="591"/>
      <c r="L27" s="591"/>
      <c r="O27" s="591"/>
      <c r="P27" s="591"/>
      <c r="Q27" s="598">
        <f>SUM(Q12:Q26)</f>
        <v>27628561.333330356</v>
      </c>
    </row>
    <row r="28" spans="1:17" ht="15.95" customHeight="1">
      <c r="B28" s="603"/>
      <c r="C28" s="605">
        <v>0</v>
      </c>
      <c r="D28" s="604"/>
      <c r="E28" s="596"/>
      <c r="F28" s="597"/>
      <c r="G28" s="594">
        <v>-3.4255208447575569E-8</v>
      </c>
      <c r="I28" s="606"/>
      <c r="K28" s="591"/>
      <c r="L28" s="591"/>
      <c r="O28" s="591"/>
      <c r="P28" s="591"/>
    </row>
    <row r="29" spans="1:17" ht="15.95" customHeight="1">
      <c r="A29" s="651">
        <f>A27+1</f>
        <v>17</v>
      </c>
      <c r="B29" s="586" t="s">
        <v>2613</v>
      </c>
      <c r="C29" s="607"/>
      <c r="E29" s="596"/>
      <c r="F29" s="597"/>
      <c r="G29" s="607"/>
      <c r="I29" s="598"/>
      <c r="K29" s="591"/>
      <c r="L29" s="591"/>
      <c r="O29" s="591"/>
      <c r="P29" s="591"/>
      <c r="Q29" s="598"/>
    </row>
    <row r="30" spans="1:17" ht="15.95" customHeight="1">
      <c r="A30" s="651">
        <f>A29+1</f>
        <v>18</v>
      </c>
      <c r="B30" s="593" t="s">
        <v>2614</v>
      </c>
      <c r="C30" s="594">
        <v>275782392.61278754</v>
      </c>
      <c r="E30" s="596">
        <v>0.88830707445493839</v>
      </c>
      <c r="F30" s="597"/>
      <c r="G30" s="594">
        <v>244979450.36804852</v>
      </c>
      <c r="I30" s="598">
        <v>671176.57635081781</v>
      </c>
      <c r="K30" s="591">
        <v>45.298333333333332</v>
      </c>
      <c r="L30" s="591"/>
      <c r="M30" s="591">
        <v>0</v>
      </c>
      <c r="O30" s="591">
        <f>K30+M30</f>
        <v>45.298333333333332</v>
      </c>
      <c r="P30" s="591"/>
      <c r="Q30" s="598">
        <f>I30*O30</f>
        <v>30403180.281064793</v>
      </c>
    </row>
    <row r="31" spans="1:17" ht="15.95" customHeight="1">
      <c r="A31" s="651">
        <f>A30+1</f>
        <v>19</v>
      </c>
      <c r="B31" s="593" t="s">
        <v>2615</v>
      </c>
      <c r="C31" s="594">
        <v>5423562.4027104005</v>
      </c>
      <c r="E31" s="596">
        <v>0.65656035306270077</v>
      </c>
      <c r="F31" s="597"/>
      <c r="G31" s="594">
        <v>3560896.0459811301</v>
      </c>
      <c r="I31" s="598">
        <v>9755.8795780304936</v>
      </c>
      <c r="K31" s="591">
        <v>45.298333333333332</v>
      </c>
      <c r="L31" s="591"/>
      <c r="M31" s="591">
        <v>0</v>
      </c>
      <c r="O31" s="591">
        <f>K31+M31</f>
        <v>45.298333333333332</v>
      </c>
      <c r="P31" s="591"/>
      <c r="Q31" s="598">
        <f>I31*O31</f>
        <v>441925.08508548461</v>
      </c>
    </row>
    <row r="32" spans="1:17" ht="15.95" customHeight="1">
      <c r="A32" s="651">
        <f>A31+1</f>
        <v>20</v>
      </c>
      <c r="B32" s="593" t="s">
        <v>2616</v>
      </c>
      <c r="C32" s="594">
        <v>7530170.1481818184</v>
      </c>
      <c r="E32" s="596">
        <v>1</v>
      </c>
      <c r="F32" s="597"/>
      <c r="G32" s="594">
        <v>7530170.1481818184</v>
      </c>
      <c r="I32" s="598">
        <v>20630.603145703612</v>
      </c>
      <c r="K32" s="591">
        <v>45.298333333333332</v>
      </c>
      <c r="L32" s="591"/>
      <c r="M32" s="591">
        <v>0</v>
      </c>
      <c r="O32" s="591">
        <f>K32+M32</f>
        <v>45.298333333333332</v>
      </c>
      <c r="P32" s="591"/>
      <c r="Q32" s="598">
        <f>I32*O32</f>
        <v>934531.93816179736</v>
      </c>
    </row>
    <row r="33" spans="1:20" ht="15.95" customHeight="1">
      <c r="A33" s="651">
        <f>A32+1</f>
        <v>21</v>
      </c>
      <c r="B33" s="593" t="s">
        <v>2617</v>
      </c>
      <c r="C33" s="594">
        <v>-2753782.8000000007</v>
      </c>
      <c r="E33" s="596">
        <v>1</v>
      </c>
      <c r="F33" s="597"/>
      <c r="G33" s="594">
        <v>-2753782.8000000007</v>
      </c>
      <c r="I33" s="598">
        <v>-7544.610410958906</v>
      </c>
      <c r="K33" s="591">
        <v>45.298333333333332</v>
      </c>
      <c r="L33" s="591"/>
      <c r="M33" s="591">
        <v>0</v>
      </c>
      <c r="O33" s="591">
        <f>K33+M33</f>
        <v>45.298333333333332</v>
      </c>
      <c r="P33" s="591"/>
      <c r="Q33" s="598">
        <f>I33*O33</f>
        <v>-341758.27726575348</v>
      </c>
    </row>
    <row r="34" spans="1:20" ht="15.95" customHeight="1">
      <c r="A34" s="651">
        <f>A33+1</f>
        <v>22</v>
      </c>
      <c r="B34" s="603" t="s">
        <v>2618</v>
      </c>
      <c r="C34" s="608">
        <v>285982342.36367971</v>
      </c>
      <c r="D34" s="604"/>
      <c r="E34" s="596"/>
      <c r="F34" s="597"/>
      <c r="G34" s="608">
        <v>253316733.76221147</v>
      </c>
      <c r="H34" s="598"/>
      <c r="I34" s="598"/>
      <c r="K34" s="591"/>
      <c r="L34" s="591"/>
      <c r="O34" s="591"/>
      <c r="P34" s="591"/>
      <c r="Q34" s="608">
        <f>SUM(Q30:Q33)</f>
        <v>31437879.027046323</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12240240.293808378</v>
      </c>
      <c r="D37" s="595"/>
      <c r="E37" s="596">
        <v>0.9000619869888048</v>
      </c>
      <c r="F37" s="597"/>
      <c r="G37" s="594">
        <v>11016975.000065956</v>
      </c>
      <c r="H37" s="598"/>
      <c r="I37" s="598">
        <v>30183.493150865634</v>
      </c>
      <c r="K37" s="591">
        <v>45.298333333333332</v>
      </c>
      <c r="L37" s="591"/>
      <c r="M37" s="591">
        <v>-37.5</v>
      </c>
      <c r="O37" s="591">
        <f>K37+M37</f>
        <v>7.798333333333332</v>
      </c>
      <c r="P37" s="591"/>
      <c r="Q37" s="598">
        <f>I37*O37</f>
        <v>235380.94075483381</v>
      </c>
      <c r="T37" s="599"/>
    </row>
    <row r="38" spans="1:20" ht="15.95" customHeight="1">
      <c r="A38" s="651">
        <f>A37+1</f>
        <v>25</v>
      </c>
      <c r="B38" s="593" t="s">
        <v>2621</v>
      </c>
      <c r="C38" s="594">
        <v>5758044.9240576867</v>
      </c>
      <c r="D38" s="595"/>
      <c r="E38" s="596">
        <v>0.9000619869888048</v>
      </c>
      <c r="F38" s="597"/>
      <c r="G38" s="594">
        <v>5182597.3555183299</v>
      </c>
      <c r="H38" s="598"/>
      <c r="I38" s="598">
        <v>14198.89686443378</v>
      </c>
      <c r="K38" s="591">
        <v>45.298333333333332</v>
      </c>
      <c r="L38" s="591"/>
      <c r="M38" s="591">
        <v>-37.5</v>
      </c>
      <c r="O38" s="591">
        <f>K38+M38</f>
        <v>7.798333333333332</v>
      </c>
      <c r="P38" s="591"/>
      <c r="Q38" s="598">
        <f>I38*O38</f>
        <v>110727.73071447607</v>
      </c>
      <c r="T38" s="599"/>
    </row>
    <row r="39" spans="1:20" ht="15.95" customHeight="1">
      <c r="A39" s="651">
        <f>A38+1</f>
        <v>26</v>
      </c>
      <c r="B39" s="593" t="s">
        <v>2622</v>
      </c>
      <c r="C39" s="611">
        <v>55584752.009619646</v>
      </c>
      <c r="D39" s="612"/>
      <c r="E39" s="596">
        <v>0.90006198698880491</v>
      </c>
      <c r="F39" s="597"/>
      <c r="G39" s="611">
        <v>50029722.340059832</v>
      </c>
      <c r="H39" s="601"/>
      <c r="I39" s="598">
        <v>137067.73243852009</v>
      </c>
      <c r="K39" s="591">
        <v>45.298333333333332</v>
      </c>
      <c r="L39" s="591"/>
      <c r="M39" s="591">
        <v>0</v>
      </c>
      <c r="O39" s="591">
        <f>K39+M39</f>
        <v>45.298333333333332</v>
      </c>
      <c r="P39" s="591"/>
      <c r="Q39" s="602">
        <f>I39*O39</f>
        <v>6208939.8332442287</v>
      </c>
      <c r="T39" s="599"/>
    </row>
    <row r="40" spans="1:20" ht="15.95" customHeight="1">
      <c r="A40" s="651">
        <f>A39+1</f>
        <v>27</v>
      </c>
      <c r="B40" s="603" t="s">
        <v>2623</v>
      </c>
      <c r="C40" s="608">
        <v>73583035.049999893</v>
      </c>
      <c r="D40" s="604"/>
      <c r="E40" s="596"/>
      <c r="F40" s="597"/>
      <c r="G40" s="608">
        <v>66229292.735770963</v>
      </c>
      <c r="H40" s="598"/>
      <c r="I40" s="598"/>
      <c r="K40" s="591"/>
      <c r="L40" s="591"/>
      <c r="O40" s="591"/>
      <c r="P40" s="591"/>
      <c r="Q40" s="598">
        <f>SUM(Q37:Q39)</f>
        <v>6555048.504713539</v>
      </c>
      <c r="T40" s="613"/>
    </row>
    <row r="41" spans="1:20" ht="15.95" customHeight="1">
      <c r="B41" s="603"/>
      <c r="C41" s="604"/>
      <c r="D41" s="604"/>
      <c r="E41" s="596"/>
      <c r="F41" s="597"/>
      <c r="G41" s="604">
        <v>1.959873154759407</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30579582.566147901</v>
      </c>
      <c r="D43" s="595"/>
      <c r="E43" s="596">
        <v>0.89131415621703736</v>
      </c>
      <c r="F43" s="597"/>
      <c r="G43" s="594">
        <v>27256014.832415342</v>
      </c>
      <c r="H43" s="598"/>
      <c r="I43" s="598">
        <v>74674.013239494088</v>
      </c>
      <c r="K43" s="591">
        <v>45.298333333333332</v>
      </c>
      <c r="L43" s="591"/>
      <c r="M43" s="591">
        <v>-157.56749538820867</v>
      </c>
      <c r="O43" s="591">
        <f>K43+M43</f>
        <v>-112.26916205487534</v>
      </c>
      <c r="P43" s="591"/>
      <c r="Q43" s="598">
        <f>I43*O43</f>
        <v>-8383588.8936726684</v>
      </c>
    </row>
    <row r="44" spans="1:20" ht="15.95" customHeight="1">
      <c r="A44" s="651">
        <f>A43+1</f>
        <v>30</v>
      </c>
      <c r="B44" s="593" t="s">
        <v>2626</v>
      </c>
      <c r="C44" s="594">
        <v>10857217.060000002</v>
      </c>
      <c r="D44" s="595"/>
      <c r="E44" s="596">
        <v>0.90572656607049218</v>
      </c>
      <c r="F44" s="597"/>
      <c r="G44" s="594">
        <v>9833669.9248357676</v>
      </c>
      <c r="H44" s="598"/>
      <c r="I44" s="598">
        <v>26941.561437906214</v>
      </c>
      <c r="K44" s="591">
        <v>45.298333333333332</v>
      </c>
      <c r="L44" s="591"/>
      <c r="M44" s="591">
        <v>-35.635795614897127</v>
      </c>
      <c r="O44" s="591">
        <f>K44+M44</f>
        <v>9.6625377184362051</v>
      </c>
      <c r="P44" s="591"/>
      <c r="Q44" s="598">
        <f>I44*O44</f>
        <v>260323.85358733515</v>
      </c>
    </row>
    <row r="45" spans="1:20" ht="15.95" customHeight="1">
      <c r="A45" s="651">
        <f>A44+1</f>
        <v>31</v>
      </c>
      <c r="B45" s="593" t="s">
        <v>2627</v>
      </c>
      <c r="C45" s="611">
        <v>3337117.74</v>
      </c>
      <c r="D45" s="612"/>
      <c r="E45" s="596">
        <v>0.99937944147156188</v>
      </c>
      <c r="F45" s="597"/>
      <c r="G45" s="611">
        <v>3335046.8631260409</v>
      </c>
      <c r="H45" s="601"/>
      <c r="I45" s="598">
        <v>9137.1146934960016</v>
      </c>
      <c r="K45" s="591">
        <v>45.298333333333332</v>
      </c>
      <c r="L45" s="591"/>
      <c r="M45" s="591">
        <v>152.00463677122599</v>
      </c>
      <c r="O45" s="591">
        <f>K45+M45</f>
        <v>197.30297010455934</v>
      </c>
      <c r="P45" s="591"/>
      <c r="Q45" s="602">
        <f>I45*O45</f>
        <v>1802779.8672127714</v>
      </c>
    </row>
    <row r="46" spans="1:20" ht="15.95" customHeight="1">
      <c r="A46" s="651">
        <f>A45+1</f>
        <v>32</v>
      </c>
      <c r="B46" s="603" t="s">
        <v>2628</v>
      </c>
      <c r="C46" s="594">
        <v>44773917.366147906</v>
      </c>
      <c r="D46" s="604"/>
      <c r="E46" s="596"/>
      <c r="F46" s="597"/>
      <c r="G46" s="608">
        <v>40424731.620377153</v>
      </c>
      <c r="H46" s="598"/>
      <c r="I46" s="598"/>
      <c r="K46" s="591"/>
      <c r="L46" s="591"/>
      <c r="O46" s="591"/>
      <c r="P46" s="591"/>
      <c r="Q46" s="598">
        <f>SUM(Q43:Q45)</f>
        <v>-6320485.172872562</v>
      </c>
    </row>
    <row r="47" spans="1:20" ht="15.95" customHeight="1">
      <c r="C47" s="609"/>
      <c r="E47" s="596"/>
      <c r="F47" s="597"/>
      <c r="I47" s="606"/>
      <c r="K47" s="591"/>
      <c r="L47" s="591"/>
      <c r="O47" s="591"/>
      <c r="P47" s="591"/>
    </row>
    <row r="48" spans="1:20" ht="15.95" customHeight="1">
      <c r="A48" s="651">
        <f>A46+1</f>
        <v>33</v>
      </c>
      <c r="B48" s="586" t="s">
        <v>786</v>
      </c>
      <c r="C48" s="594">
        <v>-225954.46013940187</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-2190.5399999999941</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-27812.7</v>
      </c>
      <c r="E52" s="596">
        <v>0.87673530496058705</v>
      </c>
      <c r="F52" s="597"/>
      <c r="G52" s="594">
        <v>-24384.376016277321</v>
      </c>
      <c r="H52" s="598"/>
      <c r="I52" s="614">
        <v>-66.806509633636495</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1447147.94</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417808.04084700003</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-3051940.3003763966</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-71812.793516743608</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100543966.46014991</v>
      </c>
      <c r="E62" s="596">
        <v>0.89287084438199704</v>
      </c>
      <c r="F62" s="597"/>
      <c r="G62" s="594">
        <v>89772776.230789602</v>
      </c>
      <c r="H62" s="598"/>
      <c r="I62" s="598">
        <v>245952.8115912044</v>
      </c>
      <c r="K62" s="591">
        <v>45.298333333333332</v>
      </c>
      <c r="L62" s="591"/>
      <c r="M62" s="591">
        <v>-88.649999999999991</v>
      </c>
      <c r="O62" s="591">
        <f>K62+M62</f>
        <v>-43.351666666666659</v>
      </c>
      <c r="P62" s="591"/>
      <c r="Q62" s="598">
        <f>I62*O62</f>
        <v>-10662464.303831361</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271851454.03416115</v>
      </c>
      <c r="D64" s="600"/>
      <c r="E64" s="596"/>
      <c r="F64" s="597"/>
      <c r="G64" s="611">
        <v>244082093.03040224</v>
      </c>
      <c r="H64" s="601"/>
      <c r="I64" s="598">
        <v>668718.06309699244</v>
      </c>
      <c r="J64" s="600"/>
      <c r="K64" s="591">
        <v>45.298333333333332</v>
      </c>
      <c r="L64" s="591"/>
      <c r="M64" s="591">
        <v>-45.298333333333332</v>
      </c>
      <c r="O64" s="591">
        <f>K64+M64</f>
        <v>0</v>
      </c>
      <c r="P64" s="591"/>
      <c r="Q64" s="602">
        <f>I64*O64</f>
        <v>0</v>
      </c>
    </row>
    <row r="65" spans="1:17" ht="15.95" customHeight="1">
      <c r="C65" s="609"/>
      <c r="E65" s="596"/>
      <c r="F65" s="597"/>
      <c r="G65" s="598"/>
      <c r="H65" s="598"/>
      <c r="I65" s="598"/>
      <c r="K65" s="591"/>
      <c r="L65" s="591"/>
      <c r="O65" s="591"/>
      <c r="P65" s="591"/>
      <c r="Q65" s="598"/>
    </row>
    <row r="66" spans="1:17" ht="15.95" customHeight="1">
      <c r="A66" s="651">
        <f>A64+1</f>
        <v>42</v>
      </c>
      <c r="B66" s="586" t="s">
        <v>2026</v>
      </c>
      <c r="C66" s="598">
        <v>1744297193.4697354</v>
      </c>
      <c r="E66" s="596"/>
      <c r="F66" s="597"/>
      <c r="G66" s="598">
        <v>1556696071.462594</v>
      </c>
      <c r="I66" s="598">
        <v>914604.06817856315</v>
      </c>
      <c r="O66" s="591"/>
      <c r="P66" s="591"/>
      <c r="Q66" s="598">
        <f>Q27+Q34+Q40+Q46+Q48+Q50+Q52+Q54+Q56+Q58+Q60+Q62+Q64</f>
        <v>48638539.388386302</v>
      </c>
    </row>
    <row r="67" spans="1:17" ht="15.95" customHeight="1">
      <c r="C67" s="609"/>
      <c r="E67" s="596"/>
      <c r="F67" s="597"/>
      <c r="O67" s="591"/>
      <c r="P67" s="591"/>
      <c r="Q67" s="598"/>
    </row>
    <row r="68" spans="1:17" ht="15.95" customHeight="1">
      <c r="A68" s="651">
        <f>A66+1</f>
        <v>43</v>
      </c>
      <c r="B68" s="586" t="s">
        <v>2637</v>
      </c>
      <c r="C68" s="594">
        <v>35572411.769999996</v>
      </c>
      <c r="E68" s="596">
        <v>1</v>
      </c>
      <c r="F68" s="597"/>
      <c r="G68" s="594">
        <v>35572411.769999996</v>
      </c>
      <c r="I68" s="598">
        <v>97458.662383561634</v>
      </c>
      <c r="K68" s="591">
        <v>45.298333333333332</v>
      </c>
      <c r="L68" s="591"/>
      <c r="M68" s="591">
        <v>-39.803821524307487</v>
      </c>
      <c r="O68" s="591">
        <f>K68+M68</f>
        <v>5.4945118090258447</v>
      </c>
      <c r="P68" s="591"/>
      <c r="Q68" s="598">
        <f>I68*O68</f>
        <v>535487.77135834226</v>
      </c>
    </row>
    <row r="69" spans="1:17" ht="15.95" customHeight="1">
      <c r="C69" s="609"/>
      <c r="E69" s="596"/>
      <c r="F69" s="597"/>
      <c r="O69" s="591"/>
      <c r="P69" s="591"/>
      <c r="Q69" s="598"/>
    </row>
    <row r="70" spans="1:17" ht="15.95" customHeight="1">
      <c r="A70" s="651">
        <f>A68+1</f>
        <v>44</v>
      </c>
      <c r="B70" s="586" t="s">
        <v>2638</v>
      </c>
      <c r="C70" s="594">
        <v>39016853.540000007</v>
      </c>
      <c r="E70" s="596">
        <v>1</v>
      </c>
      <c r="F70" s="597"/>
      <c r="G70" s="594">
        <v>39016853.540000007</v>
      </c>
      <c r="I70" s="598">
        <v>106895.48915068495</v>
      </c>
      <c r="K70" s="591">
        <v>45.298333333333332</v>
      </c>
      <c r="L70" s="591"/>
      <c r="M70" s="591">
        <v>-34.949170045269938</v>
      </c>
      <c r="O70" s="591">
        <f>K70+M70</f>
        <v>10.349163288063394</v>
      </c>
      <c r="P70" s="591"/>
      <c r="Q70" s="598">
        <f>I70*O70</f>
        <v>1106278.8719778475</v>
      </c>
    </row>
    <row r="71" spans="1:17" ht="15.95" customHeight="1">
      <c r="C71" s="609"/>
      <c r="E71" s="596"/>
      <c r="F71" s="597"/>
      <c r="K71" s="591"/>
      <c r="L71" s="591"/>
      <c r="O71" s="591"/>
      <c r="P71" s="591"/>
      <c r="Q71" s="598"/>
    </row>
    <row r="72" spans="1:17" ht="15.95" customHeight="1">
      <c r="A72" s="651">
        <f>A70+1</f>
        <v>45</v>
      </c>
      <c r="B72" s="586" t="s">
        <v>2639</v>
      </c>
      <c r="C72" s="594">
        <v>28463762.329999998</v>
      </c>
      <c r="E72" s="596">
        <v>1</v>
      </c>
      <c r="F72" s="597"/>
      <c r="G72" s="594">
        <v>28463762.329999998</v>
      </c>
      <c r="I72" s="598">
        <v>77982.910493150674</v>
      </c>
      <c r="K72" s="591">
        <v>45.298333333333332</v>
      </c>
      <c r="L72" s="591"/>
      <c r="M72" s="591">
        <v>-67.158413809956485</v>
      </c>
      <c r="O72" s="591">
        <f>K72+M72</f>
        <v>-21.860080476623153</v>
      </c>
      <c r="P72" s="591"/>
      <c r="Q72" s="602">
        <f>I72*O72</f>
        <v>-1704712.6991815739</v>
      </c>
    </row>
    <row r="73" spans="1:17" ht="15.95" customHeight="1">
      <c r="E73" s="597"/>
      <c r="F73" s="597"/>
      <c r="Q73" s="598"/>
    </row>
    <row r="74" spans="1:17" ht="15.95" customHeight="1">
      <c r="A74" s="651">
        <f>A72+1</f>
        <v>46</v>
      </c>
      <c r="B74" s="586" t="s">
        <v>2640</v>
      </c>
      <c r="E74" s="597"/>
      <c r="F74" s="597"/>
      <c r="Q74" s="601">
        <f>SUM(Q66:Q72)</f>
        <v>48575593.332540922</v>
      </c>
    </row>
    <row r="75" spans="1:17" ht="15.95" customHeight="1">
      <c r="E75" s="597"/>
      <c r="F75" s="597"/>
      <c r="Q75" s="598"/>
    </row>
    <row r="76" spans="1:17" ht="15.95" customHeight="1">
      <c r="A76" s="651">
        <f>A74+1</f>
        <v>47</v>
      </c>
      <c r="B76" s="586" t="s">
        <v>2641</v>
      </c>
      <c r="E76" s="597"/>
      <c r="F76" s="597"/>
      <c r="Q76" s="602">
        <f>'SCH B-5.2 B (2)'!W38</f>
        <v>7153329.8100000024</v>
      </c>
    </row>
    <row r="77" spans="1:17" ht="15.95" customHeight="1">
      <c r="E77" s="597"/>
      <c r="F77" s="597"/>
      <c r="Q77" s="598"/>
    </row>
    <row r="78" spans="1:17" ht="15.95" customHeight="1" thickBot="1">
      <c r="A78" s="651">
        <f>A76+1</f>
        <v>48</v>
      </c>
      <c r="B78" s="586" t="s">
        <v>2642</v>
      </c>
      <c r="E78" s="597"/>
      <c r="F78" s="597"/>
      <c r="Q78" s="615">
        <f>SUM(Q74:Q76)</f>
        <v>55728923.142540924</v>
      </c>
    </row>
    <row r="79" spans="1:17" ht="15.95" customHeight="1" thickTop="1">
      <c r="E79" s="597"/>
      <c r="F79" s="597"/>
      <c r="Q79" s="598"/>
    </row>
    <row r="80" spans="1:17" ht="15.95" customHeight="1" thickBot="1">
      <c r="A80" s="651">
        <f>A78+1</f>
        <v>49</v>
      </c>
      <c r="B80" s="586" t="s">
        <v>2643</v>
      </c>
      <c r="E80" s="597"/>
      <c r="F80" s="597"/>
      <c r="Q80" s="615">
        <f ca="1">'SCH B-5.2 B (2)'!W66</f>
        <v>2900008.3762499974</v>
      </c>
    </row>
    <row r="81" spans="1:18" ht="15.95" customHeight="1" thickTop="1">
      <c r="E81" s="597"/>
      <c r="F81" s="597"/>
      <c r="Q81" s="598"/>
    </row>
    <row r="82" spans="1:18" ht="15.95" customHeight="1" thickBot="1">
      <c r="A82" s="651">
        <f>A80+1</f>
        <v>50</v>
      </c>
      <c r="B82" s="586" t="s">
        <v>2644</v>
      </c>
      <c r="E82" s="597"/>
      <c r="F82" s="597"/>
      <c r="Q82" s="615">
        <f ca="1">Q78-Q80</f>
        <v>52828914.766290925</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70" zoomScaleNormal="70" workbookViewId="0">
      <pane xSplit="3" ySplit="11" topLeftCell="D12" activePane="bottomRight" state="frozen"/>
      <selection activeCell="K45" sqref="K45"/>
      <selection pane="topRight" activeCell="K45" sqref="K45"/>
      <selection pane="bottomLeft" activeCell="K45" sqref="K45"/>
      <selection pane="bottomRight" activeCell="X24" sqref="X24"/>
    </sheetView>
  </sheetViews>
  <sheetFormatPr defaultRowHeight="12.75" outlineLevelCol="2"/>
  <cols>
    <col min="1" max="1" width="6.21875" style="587" customWidth="1"/>
    <col min="2" max="2" width="9.88671875" style="586" customWidth="1"/>
    <col min="3" max="3" width="58.88671875" style="621" customWidth="1"/>
    <col min="4" max="4" width="12.77734375" style="586" hidden="1" customWidth="1" outlineLevel="1"/>
    <col min="5" max="16" width="12.77734375" style="586" hidden="1" customWidth="1" outlineLevel="2"/>
    <col min="17" max="17" width="15.77734375" style="586" customWidth="1" collapsed="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2" t="str">
        <f>'Rate Case Constants'!C9</f>
        <v>KENTUCKY UTILITIES COMPANY</v>
      </c>
      <c r="B1" s="775"/>
      <c r="C1" s="775"/>
      <c r="D1" s="775"/>
      <c r="E1" s="775"/>
      <c r="F1" s="775"/>
      <c r="G1" s="775"/>
      <c r="H1" s="775"/>
      <c r="I1" s="775"/>
      <c r="J1" s="775"/>
      <c r="K1" s="775"/>
      <c r="L1" s="775"/>
      <c r="M1" s="775"/>
      <c r="N1" s="775"/>
      <c r="O1" s="775"/>
      <c r="P1" s="775"/>
      <c r="Q1" s="775"/>
      <c r="R1" s="775"/>
      <c r="S1" s="775"/>
      <c r="T1" s="776"/>
      <c r="U1" s="776"/>
      <c r="V1" s="775"/>
      <c r="W1" s="775"/>
      <c r="X1" s="616"/>
    </row>
    <row r="2" spans="1:25" ht="18.95" customHeight="1">
      <c r="A2" s="772" t="str">
        <f>'Rate Case Constants'!C10</f>
        <v>CASE NO. 2018-00294</v>
      </c>
      <c r="B2" s="775"/>
      <c r="C2" s="775"/>
      <c r="D2" s="775"/>
      <c r="E2" s="775"/>
      <c r="F2" s="775"/>
      <c r="G2" s="775"/>
      <c r="H2" s="775"/>
      <c r="I2" s="775"/>
      <c r="J2" s="775"/>
      <c r="K2" s="775"/>
      <c r="L2" s="775"/>
      <c r="M2" s="775"/>
      <c r="N2" s="775"/>
      <c r="O2" s="775"/>
      <c r="P2" s="775"/>
      <c r="Q2" s="775"/>
      <c r="R2" s="775"/>
      <c r="S2" s="775"/>
      <c r="T2" s="776"/>
      <c r="U2" s="776"/>
      <c r="V2" s="775"/>
      <c r="W2" s="775"/>
      <c r="X2" s="616"/>
    </row>
    <row r="3" spans="1:25" ht="18.95" customHeight="1">
      <c r="A3" s="775" t="s">
        <v>1436</v>
      </c>
      <c r="B3" s="775"/>
      <c r="C3" s="775"/>
      <c r="D3" s="775"/>
      <c r="E3" s="775"/>
      <c r="F3" s="775"/>
      <c r="G3" s="775"/>
      <c r="H3" s="775"/>
      <c r="I3" s="775"/>
      <c r="J3" s="775"/>
      <c r="K3" s="775"/>
      <c r="L3" s="775"/>
      <c r="M3" s="775"/>
      <c r="N3" s="775"/>
      <c r="O3" s="775"/>
      <c r="P3" s="775"/>
      <c r="Q3" s="775"/>
      <c r="R3" s="775"/>
      <c r="S3" s="775"/>
      <c r="T3" s="776"/>
      <c r="U3" s="776"/>
      <c r="V3" s="775"/>
      <c r="W3" s="775"/>
      <c r="X3" s="617"/>
    </row>
    <row r="4" spans="1:25" ht="18.95" customHeight="1">
      <c r="A4" s="772" t="str">
        <f>'Rate Case Constants'!C15</f>
        <v>BASE YEAR FOR THE 12 MONTHS ENDED DECEMBER 31, 2018</v>
      </c>
      <c r="B4" s="775"/>
      <c r="C4" s="775"/>
      <c r="D4" s="775"/>
      <c r="E4" s="775"/>
      <c r="F4" s="775"/>
      <c r="G4" s="775"/>
      <c r="H4" s="775"/>
      <c r="I4" s="775"/>
      <c r="J4" s="775"/>
      <c r="K4" s="775"/>
      <c r="L4" s="775"/>
      <c r="M4" s="775"/>
      <c r="N4" s="775"/>
      <c r="O4" s="775"/>
      <c r="P4" s="775"/>
      <c r="Q4" s="775"/>
      <c r="R4" s="775"/>
      <c r="S4" s="775"/>
      <c r="T4" s="776"/>
      <c r="U4" s="776"/>
      <c r="V4" s="775"/>
      <c r="W4" s="775"/>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133</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__X__ ORIGINAL  _____ UPDATED  _____ REVISED</v>
      </c>
      <c r="B7" s="619"/>
      <c r="C7" s="619"/>
      <c r="D7" s="619"/>
      <c r="E7" s="619"/>
      <c r="F7" s="619"/>
      <c r="G7" s="619"/>
      <c r="H7" s="619"/>
      <c r="I7" s="619"/>
      <c r="J7" s="619"/>
      <c r="K7" s="619"/>
      <c r="L7" s="619"/>
      <c r="M7" s="619"/>
      <c r="N7" s="619"/>
      <c r="O7" s="619"/>
      <c r="P7" s="619"/>
      <c r="Q7" s="619"/>
      <c r="R7" s="619"/>
      <c r="S7" s="619"/>
      <c r="T7" s="620"/>
      <c r="U7" s="620"/>
      <c r="V7" s="619"/>
      <c r="W7" s="74" t="s">
        <v>172</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v>43070</v>
      </c>
      <c r="E10" s="625">
        <v>43101</v>
      </c>
      <c r="F10" s="625">
        <v>43132</v>
      </c>
      <c r="G10" s="625">
        <v>43160</v>
      </c>
      <c r="H10" s="625">
        <v>43191</v>
      </c>
      <c r="I10" s="625">
        <v>43221</v>
      </c>
      <c r="J10" s="625">
        <v>43252</v>
      </c>
      <c r="K10" s="625">
        <v>43282</v>
      </c>
      <c r="L10" s="625">
        <v>43313</v>
      </c>
      <c r="M10" s="625">
        <v>43344</v>
      </c>
      <c r="N10" s="625">
        <v>43374</v>
      </c>
      <c r="O10" s="625">
        <v>43405</v>
      </c>
      <c r="P10" s="625">
        <v>43435</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0</v>
      </c>
      <c r="E14" s="86">
        <v>0</v>
      </c>
      <c r="F14" s="86">
        <v>9758663.1199999992</v>
      </c>
      <c r="G14" s="86">
        <v>9758663.1199999992</v>
      </c>
      <c r="H14" s="86">
        <v>9758663.1199999992</v>
      </c>
      <c r="I14" s="86">
        <v>9758663.1199999992</v>
      </c>
      <c r="J14" s="86">
        <v>14130220.119999999</v>
      </c>
      <c r="K14" s="86">
        <v>14813056.2866666</v>
      </c>
      <c r="L14" s="86">
        <v>15495892.4533333</v>
      </c>
      <c r="M14" s="86">
        <v>16178728.6199999</v>
      </c>
      <c r="N14" s="86">
        <v>16861564.786666602</v>
      </c>
      <c r="O14" s="86">
        <v>17544400.9533333</v>
      </c>
      <c r="P14" s="86">
        <v>18227237.120000001</v>
      </c>
      <c r="Q14" s="86">
        <f t="shared" ref="Q14:Q19" si="0">AVERAGE(D14:P14)</f>
        <v>11714288.678461514</v>
      </c>
      <c r="R14" s="589"/>
      <c r="S14" s="629">
        <v>0.90503374622094968</v>
      </c>
      <c r="T14" s="630"/>
      <c r="U14" s="631">
        <v>1</v>
      </c>
      <c r="W14" s="86">
        <f t="shared" ref="W14:W19" si="1">ROUND($Q14*$S14*$U14,2)</f>
        <v>10601826.57</v>
      </c>
      <c r="X14" s="598"/>
      <c r="Y14" s="198"/>
    </row>
    <row r="15" spans="1:25" ht="18.95" customHeight="1">
      <c r="A15" s="587">
        <f>A14+1</f>
        <v>2</v>
      </c>
      <c r="B15" s="587">
        <v>182</v>
      </c>
      <c r="C15" s="621" t="s">
        <v>2649</v>
      </c>
      <c r="D15" s="86">
        <v>141611446.49000001</v>
      </c>
      <c r="E15" s="86">
        <v>141611446.49000001</v>
      </c>
      <c r="F15" s="86">
        <v>141611446.49000001</v>
      </c>
      <c r="G15" s="86">
        <v>140315179.49000001</v>
      </c>
      <c r="H15" s="86">
        <v>140315179.49000001</v>
      </c>
      <c r="I15" s="86">
        <v>140315179.49000001</v>
      </c>
      <c r="J15" s="86">
        <v>134679265.48999998</v>
      </c>
      <c r="K15" s="86">
        <v>134008593.38693801</v>
      </c>
      <c r="L15" s="86">
        <v>133337921.283876</v>
      </c>
      <c r="M15" s="86">
        <v>133248610.054388</v>
      </c>
      <c r="N15" s="86">
        <v>132577937.95132701</v>
      </c>
      <c r="O15" s="86">
        <v>131907265.84826501</v>
      </c>
      <c r="P15" s="86">
        <v>131817954.61877701</v>
      </c>
      <c r="Q15" s="86">
        <f t="shared" si="0"/>
        <v>136719802.04412085</v>
      </c>
      <c r="R15" s="589"/>
      <c r="S15" s="629">
        <v>0.90503374622094968</v>
      </c>
      <c r="T15" s="630"/>
      <c r="U15" s="631">
        <v>1</v>
      </c>
      <c r="W15" s="86">
        <f t="shared" si="1"/>
        <v>123736034.63</v>
      </c>
      <c r="X15" s="598"/>
      <c r="Y15" s="198"/>
    </row>
    <row r="16" spans="1:25" ht="18.95" customHeight="1">
      <c r="A16" s="641">
        <f t="shared" ref="A16:A19" si="2">A15+1</f>
        <v>3</v>
      </c>
      <c r="B16" s="587">
        <v>183</v>
      </c>
      <c r="C16" s="621" t="s">
        <v>2650</v>
      </c>
      <c r="D16" s="86">
        <v>4848826.66</v>
      </c>
      <c r="E16" s="86">
        <v>4644877.04</v>
      </c>
      <c r="F16" s="86">
        <v>4346076.97</v>
      </c>
      <c r="G16" s="86">
        <v>4126894.18</v>
      </c>
      <c r="H16" s="86">
        <v>4291454.1399999997</v>
      </c>
      <c r="I16" s="86">
        <v>4266475.8</v>
      </c>
      <c r="J16" s="86">
        <v>4177727.75</v>
      </c>
      <c r="K16" s="86">
        <v>4177727.75</v>
      </c>
      <c r="L16" s="86">
        <v>4177727.75</v>
      </c>
      <c r="M16" s="86">
        <v>4177727.75</v>
      </c>
      <c r="N16" s="86">
        <v>4177727.75</v>
      </c>
      <c r="O16" s="86">
        <v>4177727.75</v>
      </c>
      <c r="P16" s="86">
        <v>4177727.75</v>
      </c>
      <c r="Q16" s="86">
        <f>AVERAGE(D16:P16)</f>
        <v>4289899.9261538461</v>
      </c>
      <c r="R16" s="600"/>
      <c r="S16" s="629">
        <v>0.892870844382888</v>
      </c>
      <c r="T16" s="632"/>
      <c r="U16" s="631">
        <v>1</v>
      </c>
      <c r="W16" s="86">
        <f t="shared" si="1"/>
        <v>3830326.57</v>
      </c>
      <c r="X16" s="598"/>
      <c r="Y16" s="198"/>
    </row>
    <row r="17" spans="1:25" ht="18.95" customHeight="1">
      <c r="A17" s="641">
        <f t="shared" si="2"/>
        <v>4</v>
      </c>
      <c r="B17" s="641">
        <v>184</v>
      </c>
      <c r="C17" s="621" t="s">
        <v>2671</v>
      </c>
      <c r="D17" s="86">
        <v>0</v>
      </c>
      <c r="E17" s="86">
        <v>-385837.75</v>
      </c>
      <c r="F17" s="86">
        <v>-725681.82000000007</v>
      </c>
      <c r="G17" s="86">
        <v>1671066.49</v>
      </c>
      <c r="H17" s="86">
        <v>932481.25999999989</v>
      </c>
      <c r="I17" s="86">
        <v>864082.01000000082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2213679.7361538466</v>
      </c>
      <c r="R17" s="600"/>
      <c r="S17" s="629">
        <v>0.90503374622094968</v>
      </c>
      <c r="T17" s="630"/>
      <c r="U17" s="631">
        <v>1</v>
      </c>
      <c r="W17" s="86">
        <f t="shared" si="1"/>
        <v>2003454.86</v>
      </c>
      <c r="X17" s="598"/>
      <c r="Y17" s="198"/>
    </row>
    <row r="18" spans="1:25" ht="18.95" customHeight="1">
      <c r="A18" s="641">
        <f t="shared" si="2"/>
        <v>5</v>
      </c>
      <c r="B18" s="587">
        <v>186</v>
      </c>
      <c r="C18" s="621" t="s">
        <v>2651</v>
      </c>
      <c r="D18" s="86">
        <v>12160265.299999999</v>
      </c>
      <c r="E18" s="86">
        <v>12927311.799999999</v>
      </c>
      <c r="F18" s="86">
        <v>13379601.2999999</v>
      </c>
      <c r="G18" s="86">
        <v>14014789.079999901</v>
      </c>
      <c r="H18" s="86">
        <v>14720433.129999999</v>
      </c>
      <c r="I18" s="86">
        <v>15304194.77</v>
      </c>
      <c r="J18" s="86">
        <v>15642334.73</v>
      </c>
      <c r="K18" s="86">
        <v>16221329.082234001</v>
      </c>
      <c r="L18" s="86">
        <v>16796946.914468098</v>
      </c>
      <c r="M18" s="86">
        <v>17275541.469210599</v>
      </c>
      <c r="N18" s="86">
        <v>17516080.157589</v>
      </c>
      <c r="O18" s="86">
        <v>17974528.960635498</v>
      </c>
      <c r="P18" s="86">
        <v>18438962.812869597</v>
      </c>
      <c r="Q18" s="86">
        <f t="shared" si="0"/>
        <v>15567101.500538968</v>
      </c>
      <c r="R18" s="600"/>
      <c r="S18" s="629">
        <v>0.90503374622094968</v>
      </c>
      <c r="T18" s="630"/>
      <c r="U18" s="631">
        <v>1</v>
      </c>
      <c r="W18" s="86">
        <f t="shared" si="1"/>
        <v>14088752.189999999</v>
      </c>
      <c r="X18" s="598"/>
      <c r="Y18" s="198"/>
    </row>
    <row r="19" spans="1:25" ht="18.95" customHeight="1">
      <c r="A19" s="641">
        <f t="shared" si="2"/>
        <v>6</v>
      </c>
      <c r="B19" s="587">
        <v>188</v>
      </c>
      <c r="C19" s="621" t="s">
        <v>2652</v>
      </c>
      <c r="D19" s="86">
        <v>1286608.99</v>
      </c>
      <c r="E19" s="86">
        <v>1260351.6600000001</v>
      </c>
      <c r="F19" s="86">
        <v>1234094.3299999998</v>
      </c>
      <c r="G19" s="86">
        <v>1207837</v>
      </c>
      <c r="H19" s="86">
        <v>1181579.6700000002</v>
      </c>
      <c r="I19" s="86">
        <v>1155322.3399999999</v>
      </c>
      <c r="J19" s="86">
        <v>1129065.01</v>
      </c>
      <c r="K19" s="86">
        <v>1102852.4500000002</v>
      </c>
      <c r="L19" s="86">
        <v>1076639.8899999999</v>
      </c>
      <c r="M19" s="86">
        <v>1050427.33</v>
      </c>
      <c r="N19" s="86">
        <v>1024214.77</v>
      </c>
      <c r="O19" s="86">
        <v>998002.21</v>
      </c>
      <c r="P19" s="86">
        <v>971789.65</v>
      </c>
      <c r="Q19" s="131">
        <f t="shared" si="0"/>
        <v>1129137.3307692306</v>
      </c>
      <c r="R19" s="600"/>
      <c r="S19" s="629">
        <v>0.90503374622094968</v>
      </c>
      <c r="T19" s="630"/>
      <c r="U19" s="631">
        <v>1</v>
      </c>
      <c r="W19" s="131">
        <f t="shared" si="1"/>
        <v>1021907.39</v>
      </c>
      <c r="X19" s="598"/>
      <c r="Y19" s="198"/>
    </row>
    <row r="20" spans="1:25" ht="18.95" customHeight="1">
      <c r="Y20" s="198"/>
    </row>
    <row r="21" spans="1:25" ht="18.95" customHeight="1" thickBot="1">
      <c r="A21" s="587">
        <f>A19+1</f>
        <v>7</v>
      </c>
      <c r="C21" s="586" t="s">
        <v>2653</v>
      </c>
      <c r="Q21" s="94">
        <f>SUM(Q14:Q19)</f>
        <v>171633909.21619827</v>
      </c>
      <c r="R21" s="589"/>
      <c r="T21" s="630"/>
      <c r="W21" s="94">
        <f>SUM(W14:W19)</f>
        <v>155282302.20999998</v>
      </c>
      <c r="X21" s="601"/>
      <c r="Y21" s="198"/>
    </row>
    <row r="22" spans="1:25" ht="18.95" customHeight="1" thickTop="1">
      <c r="Y22" s="198"/>
    </row>
    <row r="23" spans="1:25" ht="18.95" customHeight="1">
      <c r="A23" s="624"/>
      <c r="Y23" s="198"/>
    </row>
    <row r="24" spans="1:25" ht="38.25">
      <c r="A24" s="159" t="s">
        <v>131</v>
      </c>
      <c r="B24" s="159" t="s">
        <v>134</v>
      </c>
      <c r="C24" s="159" t="s">
        <v>205</v>
      </c>
      <c r="D24" s="625">
        <f t="shared" ref="D24:P24" si="4">D10</f>
        <v>43070</v>
      </c>
      <c r="E24" s="625">
        <f t="shared" si="4"/>
        <v>43101</v>
      </c>
      <c r="F24" s="625">
        <f t="shared" si="4"/>
        <v>43132</v>
      </c>
      <c r="G24" s="625">
        <f t="shared" si="4"/>
        <v>43160</v>
      </c>
      <c r="H24" s="625">
        <f t="shared" si="4"/>
        <v>43191</v>
      </c>
      <c r="I24" s="625">
        <f t="shared" si="4"/>
        <v>43221</v>
      </c>
      <c r="J24" s="625">
        <f t="shared" si="4"/>
        <v>43252</v>
      </c>
      <c r="K24" s="625">
        <f t="shared" si="4"/>
        <v>43282</v>
      </c>
      <c r="L24" s="625">
        <f t="shared" si="4"/>
        <v>43313</v>
      </c>
      <c r="M24" s="625">
        <f t="shared" si="4"/>
        <v>43344</v>
      </c>
      <c r="N24" s="625">
        <f t="shared" si="4"/>
        <v>43374</v>
      </c>
      <c r="O24" s="625">
        <f t="shared" si="4"/>
        <v>43405</v>
      </c>
      <c r="P24" s="625">
        <f t="shared" si="4"/>
        <v>43435</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-3421396.6599999997</v>
      </c>
      <c r="E28" s="86">
        <v>-3421396.6599999997</v>
      </c>
      <c r="F28" s="86">
        <v>-3421396.6599999997</v>
      </c>
      <c r="G28" s="86">
        <v>-3194923.08</v>
      </c>
      <c r="H28" s="86">
        <v>-3194923.08</v>
      </c>
      <c r="I28" s="86">
        <v>-3194923.08</v>
      </c>
      <c r="J28" s="86">
        <v>-3198333.0800000005</v>
      </c>
      <c r="K28" s="86">
        <v>-3198333.0800000005</v>
      </c>
      <c r="L28" s="86">
        <v>-3198333.0800000005</v>
      </c>
      <c r="M28" s="86">
        <v>-3198333.0800000005</v>
      </c>
      <c r="N28" s="86">
        <v>-3198333.0800000005</v>
      </c>
      <c r="O28" s="86">
        <v>-3198333.0800000005</v>
      </c>
      <c r="P28" s="86">
        <v>-3198333.0800000005</v>
      </c>
      <c r="Q28" s="86">
        <f>AVERAGE(D28:P28)</f>
        <v>-3249022.3676923076</v>
      </c>
      <c r="R28" s="589"/>
      <c r="S28" s="629">
        <v>0.90503374622094968</v>
      </c>
      <c r="T28" s="630"/>
      <c r="U28" s="631">
        <v>1</v>
      </c>
      <c r="W28" s="86">
        <f t="shared" ref="W28:W34" si="5">ROUND($Q28*$S28*$U28,2)</f>
        <v>-2940474.88</v>
      </c>
      <c r="X28" s="598"/>
      <c r="Y28" s="198"/>
    </row>
    <row r="29" spans="1:25" ht="18.95" customHeight="1">
      <c r="A29" s="587">
        <f t="shared" ref="A29:A34" si="6">A28+1</f>
        <v>9</v>
      </c>
      <c r="B29" s="587">
        <v>228.3</v>
      </c>
      <c r="C29" s="621" t="s">
        <v>2656</v>
      </c>
      <c r="D29" s="86">
        <v>-74784140.669999987</v>
      </c>
      <c r="E29" s="86">
        <v>-28755239.629999999</v>
      </c>
      <c r="F29" s="86">
        <v>-37572434.880000003</v>
      </c>
      <c r="G29" s="86">
        <v>-37802738.609999999</v>
      </c>
      <c r="H29" s="86">
        <v>-37172832.580000006</v>
      </c>
      <c r="I29" s="86">
        <v>-37142510.609999999</v>
      </c>
      <c r="J29" s="86">
        <v>-31385931.68</v>
      </c>
      <c r="K29" s="86">
        <v>-31439886.68</v>
      </c>
      <c r="L29" s="86">
        <v>-31493841.68</v>
      </c>
      <c r="M29" s="86">
        <v>-30201739.18</v>
      </c>
      <c r="N29" s="86">
        <v>-30255694.18</v>
      </c>
      <c r="O29" s="86">
        <v>-30309649.18</v>
      </c>
      <c r="P29" s="86">
        <v>-29017546.68</v>
      </c>
      <c r="Q29" s="86">
        <f t="shared" ref="Q29:Q34" si="7">AVERAGE(D29:P29)</f>
        <v>-35948783.556923077</v>
      </c>
      <c r="R29" s="589"/>
      <c r="S29" s="629">
        <v>0.90503374622094968</v>
      </c>
      <c r="T29" s="630"/>
      <c r="U29" s="631">
        <v>1</v>
      </c>
      <c r="W29" s="86">
        <f t="shared" si="5"/>
        <v>-32534862.25</v>
      </c>
      <c r="X29" s="598"/>
      <c r="Y29" s="198"/>
    </row>
    <row r="30" spans="1:25" ht="18.95" customHeight="1">
      <c r="A30" s="587">
        <f t="shared" si="6"/>
        <v>10</v>
      </c>
      <c r="B30" s="587">
        <v>242</v>
      </c>
      <c r="C30" s="621" t="s">
        <v>2657</v>
      </c>
      <c r="D30" s="86">
        <v>-18630718.700000003</v>
      </c>
      <c r="E30" s="86">
        <v>-16586394.830000002</v>
      </c>
      <c r="F30" s="86">
        <v>-18910283.469999999</v>
      </c>
      <c r="G30" s="86">
        <v>-18962578.019999985</v>
      </c>
      <c r="H30" s="86">
        <v>-15408034.319999987</v>
      </c>
      <c r="I30" s="86">
        <v>-16932662.440000001</v>
      </c>
      <c r="J30" s="86">
        <v>-19307983.740000002</v>
      </c>
      <c r="K30" s="86">
        <v>-19378907.130960796</v>
      </c>
      <c r="L30" s="86">
        <v>-19456622.888780255</v>
      </c>
      <c r="M30" s="86">
        <v>-19648870.806173053</v>
      </c>
      <c r="N30" s="86">
        <v>-19726484.965855341</v>
      </c>
      <c r="O30" s="86">
        <v>-19790018.497032933</v>
      </c>
      <c r="P30" s="86">
        <v>-19836740.860832304</v>
      </c>
      <c r="Q30" s="86">
        <f t="shared" si="7"/>
        <v>-18659715.436125744</v>
      </c>
      <c r="R30" s="589"/>
      <c r="S30" s="629">
        <v>0.90503374622094968</v>
      </c>
      <c r="T30" s="630"/>
      <c r="U30" s="631">
        <v>1</v>
      </c>
      <c r="W30" s="86">
        <f t="shared" si="5"/>
        <v>-16887672.16</v>
      </c>
      <c r="X30" s="598"/>
      <c r="Y30" s="198"/>
    </row>
    <row r="31" spans="1:25" ht="18.95" customHeight="1">
      <c r="A31" s="587">
        <f t="shared" si="6"/>
        <v>11</v>
      </c>
      <c r="B31" s="587">
        <v>253</v>
      </c>
      <c r="C31" s="621" t="s">
        <v>2658</v>
      </c>
      <c r="D31" s="86">
        <v>-1381941.38</v>
      </c>
      <c r="E31" s="86">
        <v>-3971575.6499999901</v>
      </c>
      <c r="F31" s="86">
        <v>-4798890.21</v>
      </c>
      <c r="G31" s="86">
        <v>-1858536.82</v>
      </c>
      <c r="H31" s="86">
        <v>-2127117.2599999998</v>
      </c>
      <c r="I31" s="86">
        <v>-2834116.09</v>
      </c>
      <c r="J31" s="86">
        <v>-20956053.09</v>
      </c>
      <c r="K31" s="86">
        <v>-20956053.09</v>
      </c>
      <c r="L31" s="86">
        <v>-20956053.09</v>
      </c>
      <c r="M31" s="86">
        <v>-1739959.09</v>
      </c>
      <c r="N31" s="86">
        <v>-1739959.09</v>
      </c>
      <c r="O31" s="86">
        <v>-1739959.09</v>
      </c>
      <c r="P31" s="86">
        <v>-1739959.09</v>
      </c>
      <c r="Q31" s="86">
        <f t="shared" si="7"/>
        <v>-6676936.3876923081</v>
      </c>
      <c r="R31" s="600"/>
      <c r="S31" s="629">
        <v>0.89287084438292019</v>
      </c>
      <c r="T31" s="632"/>
      <c r="U31" s="631">
        <v>1</v>
      </c>
      <c r="W31" s="86">
        <f t="shared" si="5"/>
        <v>-5961641.8300000001</v>
      </c>
      <c r="X31" s="598"/>
      <c r="Y31" s="198"/>
    </row>
    <row r="32" spans="1:25" ht="18.95" customHeight="1">
      <c r="A32" s="587">
        <f t="shared" si="6"/>
        <v>12</v>
      </c>
      <c r="B32" s="587">
        <v>254</v>
      </c>
      <c r="C32" s="621" t="s">
        <v>2666</v>
      </c>
      <c r="D32" s="86">
        <v>-27372613</v>
      </c>
      <c r="E32" s="86">
        <v>-27372613</v>
      </c>
      <c r="F32" s="86">
        <v>-27372613</v>
      </c>
      <c r="G32" s="86">
        <v>-27451411</v>
      </c>
      <c r="H32" s="86">
        <v>-27451411</v>
      </c>
      <c r="I32" s="86">
        <v>-27451411</v>
      </c>
      <c r="J32" s="86">
        <v>-29028793</v>
      </c>
      <c r="K32" s="86">
        <v>-29045426.083333299</v>
      </c>
      <c r="L32" s="86">
        <v>-29062059.166666601</v>
      </c>
      <c r="M32" s="86">
        <v>-29078692.25</v>
      </c>
      <c r="N32" s="86">
        <v>-29095325.333333302</v>
      </c>
      <c r="O32" s="86">
        <v>-29111958.416666601</v>
      </c>
      <c r="P32" s="86">
        <v>-29128591.5</v>
      </c>
      <c r="Q32" s="86">
        <f t="shared" si="7"/>
        <v>-28309455.211538449</v>
      </c>
      <c r="R32" s="589"/>
      <c r="S32" s="629">
        <v>0.90503374622094968</v>
      </c>
      <c r="T32" s="630"/>
      <c r="U32" s="631">
        <v>1</v>
      </c>
      <c r="W32" s="86">
        <f t="shared" si="5"/>
        <v>-25621012.300000001</v>
      </c>
      <c r="X32" s="598"/>
      <c r="Y32" s="198"/>
    </row>
    <row r="33" spans="1:32" ht="18.95" customHeight="1">
      <c r="A33" s="587">
        <f t="shared" si="6"/>
        <v>13</v>
      </c>
      <c r="B33" s="633" t="s">
        <v>2659</v>
      </c>
      <c r="C33" s="621" t="s">
        <v>2660</v>
      </c>
      <c r="D33" s="86">
        <v>-67653206.68398416</v>
      </c>
      <c r="E33" s="86">
        <v>-47464768.891466387</v>
      </c>
      <c r="F33" s="86">
        <v>-54057832.537147775</v>
      </c>
      <c r="G33" s="86">
        <v>-58119042.80882363</v>
      </c>
      <c r="H33" s="86">
        <v>-55418102.016638748</v>
      </c>
      <c r="I33" s="86">
        <v>-61491059.890599079</v>
      </c>
      <c r="J33" s="86">
        <v>-61378542.723163016</v>
      </c>
      <c r="K33" s="86">
        <v>-48490056.104118556</v>
      </c>
      <c r="L33" s="86">
        <v>-69033066.502879336</v>
      </c>
      <c r="M33" s="86">
        <v>-84518434.992147774</v>
      </c>
      <c r="N33" s="86">
        <v>-101514041.01121958</v>
      </c>
      <c r="O33" s="86">
        <v>-69506997.456049666</v>
      </c>
      <c r="P33" s="86">
        <v>-118140364.10811046</v>
      </c>
      <c r="Q33" s="86">
        <f t="shared" si="7"/>
        <v>-68983501.209719092</v>
      </c>
      <c r="R33" s="600"/>
      <c r="S33" s="629">
        <v>0.89287084438292019</v>
      </c>
      <c r="T33" s="634"/>
      <c r="U33" s="635">
        <v>1</v>
      </c>
      <c r="W33" s="86">
        <f t="shared" si="5"/>
        <v>-61593356.969999999</v>
      </c>
      <c r="X33" s="598"/>
      <c r="Y33" s="629"/>
    </row>
    <row r="34" spans="1:32" ht="18.95" customHeight="1">
      <c r="A34" s="587">
        <f t="shared" si="6"/>
        <v>14</v>
      </c>
      <c r="B34" s="633" t="s">
        <v>2659</v>
      </c>
      <c r="C34" s="621" t="s">
        <v>2661</v>
      </c>
      <c r="D34" s="86">
        <v>-2337216.2821789756</v>
      </c>
      <c r="E34" s="86">
        <v>-1821360.4400495803</v>
      </c>
      <c r="F34" s="86">
        <v>-2212091.2935412736</v>
      </c>
      <c r="G34" s="86">
        <v>-2422444.3830630612</v>
      </c>
      <c r="H34" s="86">
        <v>-1876618.7177294749</v>
      </c>
      <c r="I34" s="86">
        <v>-1510067.6355603656</v>
      </c>
      <c r="J34" s="86">
        <v>-2479305.3243339988</v>
      </c>
      <c r="K34" s="86">
        <v>-2213465.6205322738</v>
      </c>
      <c r="L34" s="86">
        <v>-2963997.6603341559</v>
      </c>
      <c r="M34" s="86">
        <v>-3573751.1360504501</v>
      </c>
      <c r="N34" s="86">
        <v>-5230215.8330538059</v>
      </c>
      <c r="O34" s="86">
        <v>-3794681.4594887728</v>
      </c>
      <c r="P34" s="86">
        <v>-5273906.7794077629</v>
      </c>
      <c r="Q34" s="131">
        <f t="shared" si="7"/>
        <v>-2900701.7357941498</v>
      </c>
      <c r="R34" s="600"/>
      <c r="S34" s="629">
        <v>0.89287084438292019</v>
      </c>
      <c r="T34" s="630"/>
      <c r="U34" s="631">
        <v>1</v>
      </c>
      <c r="W34" s="131">
        <f t="shared" si="5"/>
        <v>-2589952.0099999998</v>
      </c>
      <c r="X34" s="598"/>
      <c r="Y34" s="629"/>
    </row>
    <row r="35" spans="1:32" ht="18.95" customHeight="1">
      <c r="X35" s="598"/>
    </row>
    <row r="36" spans="1:32" ht="18.95" customHeight="1" thickBot="1">
      <c r="A36" s="587">
        <f>A34+1</f>
        <v>15</v>
      </c>
      <c r="C36" s="586" t="s">
        <v>2662</v>
      </c>
      <c r="Q36" s="94">
        <f>SUM(Q28:Q34)</f>
        <v>-164728115.90548512</v>
      </c>
      <c r="R36" s="589"/>
      <c r="T36" s="630"/>
      <c r="W36" s="94">
        <f>SUM(W28:W34)</f>
        <v>-148128972.39999998</v>
      </c>
      <c r="X36" s="601"/>
    </row>
    <row r="37" spans="1:32" ht="18.95" customHeight="1" thickTop="1">
      <c r="W37" s="598"/>
      <c r="X37" s="598"/>
    </row>
    <row r="38" spans="1:32" ht="18.95" customHeight="1" thickBot="1">
      <c r="A38" s="587">
        <f>A36+1</f>
        <v>16</v>
      </c>
      <c r="B38" s="586" t="s">
        <v>3416</v>
      </c>
      <c r="C38" s="586"/>
      <c r="Q38" s="94">
        <f>Q21+Q36</f>
        <v>6905793.3107131422</v>
      </c>
      <c r="R38" s="589"/>
      <c r="T38" s="630"/>
      <c r="W38" s="94">
        <f>W21+W36</f>
        <v>7153329.8100000024</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2" t="str">
        <f>$A1</f>
        <v>KENTUCKY UTILITIES COMPANY</v>
      </c>
      <c r="B49" s="775"/>
      <c r="C49" s="775"/>
      <c r="D49" s="775"/>
      <c r="E49" s="775"/>
      <c r="F49" s="775"/>
      <c r="G49" s="775"/>
      <c r="H49" s="775"/>
      <c r="I49" s="775"/>
      <c r="J49" s="775"/>
      <c r="K49" s="775"/>
      <c r="L49" s="775"/>
      <c r="M49" s="775"/>
      <c r="N49" s="775"/>
      <c r="O49" s="775"/>
      <c r="P49" s="775"/>
      <c r="Q49" s="775"/>
      <c r="R49" s="775"/>
      <c r="S49" s="775"/>
      <c r="T49" s="776"/>
      <c r="U49" s="776"/>
      <c r="V49" s="775"/>
      <c r="W49" s="775"/>
      <c r="X49" s="616"/>
    </row>
    <row r="50" spans="1:24" ht="18.95" customHeight="1">
      <c r="A50" s="772" t="str">
        <f>$A2</f>
        <v>CASE NO. 2018-00294</v>
      </c>
      <c r="B50" s="775"/>
      <c r="C50" s="775"/>
      <c r="D50" s="775"/>
      <c r="E50" s="775"/>
      <c r="F50" s="775"/>
      <c r="G50" s="775"/>
      <c r="H50" s="775"/>
      <c r="I50" s="775"/>
      <c r="J50" s="775"/>
      <c r="K50" s="775"/>
      <c r="L50" s="775"/>
      <c r="M50" s="775"/>
      <c r="N50" s="775"/>
      <c r="O50" s="775"/>
      <c r="P50" s="775"/>
      <c r="Q50" s="775"/>
      <c r="R50" s="775"/>
      <c r="S50" s="775"/>
      <c r="T50" s="776"/>
      <c r="U50" s="776"/>
      <c r="V50" s="775"/>
      <c r="W50" s="775"/>
      <c r="X50" s="616"/>
    </row>
    <row r="51" spans="1:24" ht="18.95" customHeight="1">
      <c r="A51" s="772" t="s">
        <v>1436</v>
      </c>
      <c r="B51" s="773"/>
      <c r="C51" s="773"/>
      <c r="D51" s="773"/>
      <c r="E51" s="773"/>
      <c r="F51" s="773"/>
      <c r="G51" s="773"/>
      <c r="H51" s="773"/>
      <c r="I51" s="773"/>
      <c r="J51" s="773"/>
      <c r="K51" s="773"/>
      <c r="L51" s="773"/>
      <c r="M51" s="773"/>
      <c r="N51" s="773"/>
      <c r="O51" s="773"/>
      <c r="P51" s="773"/>
      <c r="Q51" s="773"/>
      <c r="R51" s="773"/>
      <c r="S51" s="773"/>
      <c r="T51" s="774"/>
      <c r="U51" s="774"/>
      <c r="V51" s="773"/>
      <c r="W51" s="773"/>
      <c r="X51" s="617"/>
    </row>
    <row r="52" spans="1:24" ht="18.95" customHeight="1">
      <c r="A52" s="772" t="str">
        <f>$A4</f>
        <v>BASE YEAR FOR THE 12 MONTHS ENDED DECEMBER 31, 2018</v>
      </c>
      <c r="B52" s="775"/>
      <c r="C52" s="775"/>
      <c r="D52" s="775"/>
      <c r="E52" s="775"/>
      <c r="F52" s="775"/>
      <c r="G52" s="775"/>
      <c r="H52" s="775"/>
      <c r="I52" s="775"/>
      <c r="J52" s="775"/>
      <c r="K52" s="775"/>
      <c r="L52" s="775"/>
      <c r="M52" s="775"/>
      <c r="N52" s="775"/>
      <c r="O52" s="775"/>
      <c r="P52" s="775"/>
      <c r="Q52" s="775"/>
      <c r="R52" s="775"/>
      <c r="S52" s="775"/>
      <c r="T52" s="776"/>
      <c r="U52" s="776"/>
      <c r="V52" s="775"/>
      <c r="W52" s="775"/>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DATA:__X__BASE  PERIOD____FORECASTED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__X__ ORIGINAL  _____ UPDATED  _____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171</v>
      </c>
      <c r="X55" s="617"/>
    </row>
    <row r="56" spans="1:24" ht="18.95" customHeight="1">
      <c r="A56" s="67" t="s">
        <v>1198</v>
      </c>
      <c r="W56" s="75" t="str">
        <f>W8</f>
        <v>WITNESS:   C. M. GARRETT</v>
      </c>
    </row>
    <row r="57" spans="1:24" ht="18.95" customHeight="1">
      <c r="A57" s="624"/>
    </row>
    <row r="58" spans="1:24" ht="38.25">
      <c r="A58" s="159" t="s">
        <v>131</v>
      </c>
      <c r="B58" s="159"/>
      <c r="C58" s="159" t="s">
        <v>205</v>
      </c>
      <c r="D58" s="625">
        <f>D10</f>
        <v>43070</v>
      </c>
      <c r="E58" s="625">
        <f t="shared" ref="E58:P58" si="8">E10</f>
        <v>43101</v>
      </c>
      <c r="F58" s="625">
        <f t="shared" si="8"/>
        <v>43132</v>
      </c>
      <c r="G58" s="625">
        <f t="shared" si="8"/>
        <v>43160</v>
      </c>
      <c r="H58" s="625">
        <f t="shared" si="8"/>
        <v>43191</v>
      </c>
      <c r="I58" s="625">
        <f t="shared" si="8"/>
        <v>43221</v>
      </c>
      <c r="J58" s="625">
        <f t="shared" si="8"/>
        <v>43252</v>
      </c>
      <c r="K58" s="625">
        <f t="shared" si="8"/>
        <v>43282</v>
      </c>
      <c r="L58" s="625">
        <f t="shared" si="8"/>
        <v>43313</v>
      </c>
      <c r="M58" s="625">
        <f t="shared" si="8"/>
        <v>43344</v>
      </c>
      <c r="N58" s="625">
        <f t="shared" si="8"/>
        <v>43374</v>
      </c>
      <c r="O58" s="625">
        <f t="shared" si="8"/>
        <v>43405</v>
      </c>
      <c r="P58" s="625">
        <f t="shared" si="8"/>
        <v>43435</v>
      </c>
      <c r="Q58" s="159" t="s">
        <v>1202</v>
      </c>
      <c r="R58" s="159"/>
      <c r="S58" s="159" t="s">
        <v>224</v>
      </c>
      <c r="T58" s="626"/>
      <c r="U58" s="627" t="s">
        <v>2646</v>
      </c>
      <c r="V58" s="159"/>
      <c r="W58" s="159" t="s">
        <v>1422</v>
      </c>
      <c r="X58" s="628"/>
    </row>
    <row r="59" spans="1:24" ht="18.95" customHeight="1"/>
    <row r="60" spans="1:24" ht="18.95" customHeight="1">
      <c r="A60" s="70">
        <v>1</v>
      </c>
      <c r="C60" s="78" t="s">
        <v>2667</v>
      </c>
      <c r="E60" s="86">
        <f ca="1">'ECR EXP B'!C25*1000</f>
        <v>2298235.0566666666</v>
      </c>
      <c r="F60" s="86">
        <f ca="1">'ECR EXP B'!D25*1000</f>
        <v>1698119.3466666667</v>
      </c>
      <c r="G60" s="86">
        <f ca="1">'ECR EXP B'!E25*1000</f>
        <v>1758975.8566666667</v>
      </c>
      <c r="H60" s="86">
        <f ca="1">'ECR EXP B'!F25*1000</f>
        <v>1732260.8666666667</v>
      </c>
      <c r="I60" s="86">
        <f ca="1">'ECR EXP B'!G25*1000</f>
        <v>2023255.4866666666</v>
      </c>
      <c r="J60" s="86">
        <f ca="1">'ECR EXP B'!H25*1000</f>
        <v>1883738.3966666667</v>
      </c>
      <c r="K60" s="86">
        <f>'ECR EXP B'!I25*1000</f>
        <v>1763197</v>
      </c>
      <c r="L60" s="86">
        <f>'ECR EXP B'!J25*1000</f>
        <v>2139506</v>
      </c>
      <c r="M60" s="86">
        <f>'ECR EXP B'!K25*1000</f>
        <v>1908887.9999999902</v>
      </c>
      <c r="N60" s="86">
        <f>'ECR EXP B'!L25*1000</f>
        <v>1954860.0000000002</v>
      </c>
      <c r="O60" s="86">
        <f>'ECR EXP B'!M25*1000</f>
        <v>1887695</v>
      </c>
      <c r="P60" s="86">
        <f>'ECR EXP B'!N25*1000</f>
        <v>2151335.9999999902</v>
      </c>
      <c r="Q60" s="86">
        <f ca="1">SUM(E60:P60)</f>
        <v>23200067.009999979</v>
      </c>
      <c r="S60" s="590">
        <v>1</v>
      </c>
      <c r="W60" s="86">
        <f ca="1">Q60*S60</f>
        <v>23200067.009999979</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 ca="1">Q60-Q62</f>
        <v>23200067.009999979</v>
      </c>
      <c r="W64" s="94">
        <f ca="1">W60-W62</f>
        <v>23200067.009999979</v>
      </c>
    </row>
    <row r="65" spans="1:32" ht="18.95" customHeight="1" thickTop="1">
      <c r="A65" s="70"/>
      <c r="C65" s="78"/>
      <c r="Q65" s="86"/>
      <c r="W65" s="86"/>
    </row>
    <row r="66" spans="1:32" ht="18.95" customHeight="1" thickBot="1">
      <c r="A66" s="70">
        <v>4</v>
      </c>
      <c r="C66" s="78" t="s">
        <v>2663</v>
      </c>
      <c r="Q66" s="94">
        <f ca="1">Q64*0.125</f>
        <v>2900008.3762499974</v>
      </c>
      <c r="W66" s="94">
        <f ca="1">W64*0.125</f>
        <v>2900008.3762499974</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workbookViewId="0"/>
  </sheetViews>
  <sheetFormatPr defaultColWidth="9" defaultRowHeight="12.75"/>
  <cols>
    <col min="1" max="16384" width="9" style="419"/>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11" activePane="bottomRight" state="frozen"/>
      <selection activeCell="K45" sqref="K45"/>
      <selection pane="topRight" activeCell="K45" sqref="K45"/>
      <selection pane="bottomLeft" activeCell="K45" sqref="K45"/>
      <selection pane="bottomRight" activeCell="C11" sqref="C11"/>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71" t="str">
        <f>'Rate Case Constants'!C9</f>
        <v>KENTUCKY UTILITIES COMPANY</v>
      </c>
      <c r="B1" s="771"/>
      <c r="C1" s="771"/>
      <c r="D1" s="771"/>
      <c r="E1" s="771"/>
      <c r="F1" s="771"/>
      <c r="G1" s="771"/>
      <c r="H1" s="771"/>
      <c r="I1" s="771"/>
      <c r="J1" s="771"/>
      <c r="K1" s="771"/>
      <c r="L1" s="771"/>
      <c r="M1" s="771"/>
      <c r="N1" s="771"/>
      <c r="O1" s="771"/>
      <c r="P1" s="771"/>
      <c r="Q1" s="771"/>
      <c r="R1" s="585"/>
    </row>
    <row r="2" spans="1:18" ht="15.95" customHeight="1">
      <c r="A2" s="771" t="str">
        <f>'Rate Case Constants'!C10</f>
        <v>CASE NO. 2018-00294</v>
      </c>
      <c r="B2" s="771"/>
      <c r="C2" s="771"/>
      <c r="D2" s="771"/>
      <c r="E2" s="771"/>
      <c r="F2" s="771"/>
      <c r="G2" s="771"/>
      <c r="H2" s="771"/>
      <c r="I2" s="771"/>
      <c r="J2" s="771"/>
      <c r="K2" s="771"/>
      <c r="L2" s="771"/>
      <c r="M2" s="771"/>
      <c r="N2" s="771"/>
      <c r="O2" s="771"/>
      <c r="P2" s="771"/>
      <c r="Q2" s="771"/>
      <c r="R2" s="585"/>
    </row>
    <row r="3" spans="1:18" ht="15.95" customHeight="1">
      <c r="A3" s="771" t="s">
        <v>1436</v>
      </c>
      <c r="B3" s="771"/>
      <c r="C3" s="771"/>
      <c r="D3" s="771"/>
      <c r="E3" s="771"/>
      <c r="F3" s="771"/>
      <c r="G3" s="771"/>
      <c r="H3" s="771"/>
      <c r="I3" s="771"/>
      <c r="J3" s="771"/>
      <c r="K3" s="771"/>
      <c r="L3" s="771"/>
      <c r="M3" s="771"/>
      <c r="N3" s="771"/>
      <c r="O3" s="771"/>
      <c r="P3" s="771"/>
      <c r="Q3" s="771"/>
      <c r="R3" s="585"/>
    </row>
    <row r="4" spans="1:18" ht="15.95" customHeight="1">
      <c r="A4" s="771" t="str">
        <f>'Rate Case Constants'!C21</f>
        <v>FORECAST PERIOD FOR THE 12 MONTHS ENDED APRIL 30, 2020</v>
      </c>
      <c r="B4" s="771"/>
      <c r="C4" s="771"/>
      <c r="D4" s="771"/>
      <c r="E4" s="771"/>
      <c r="F4" s="771"/>
      <c r="G4" s="771"/>
      <c r="H4" s="771"/>
      <c r="I4" s="771"/>
      <c r="J4" s="771"/>
      <c r="K4" s="771"/>
      <c r="L4" s="771"/>
      <c r="M4" s="771"/>
      <c r="N4" s="771"/>
      <c r="O4" s="771"/>
      <c r="P4" s="771"/>
      <c r="Q4" s="771"/>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161</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__X__ ORIGINAL  _____ UPDATED  _____ REVISED</v>
      </c>
      <c r="B7" s="650"/>
      <c r="C7" s="650"/>
      <c r="D7" s="650"/>
      <c r="E7" s="650"/>
      <c r="F7" s="650"/>
      <c r="G7" s="650"/>
      <c r="H7" s="650"/>
      <c r="I7" s="650"/>
      <c r="J7" s="650"/>
      <c r="K7" s="650"/>
      <c r="L7" s="650"/>
      <c r="M7" s="650"/>
      <c r="N7" s="650"/>
      <c r="O7" s="650"/>
      <c r="P7" s="650"/>
      <c r="Q7" s="75" t="s">
        <v>168</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2590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295804201.68000001</v>
      </c>
      <c r="D12" s="595"/>
      <c r="E12" s="596">
        <v>0.9410091595713157</v>
      </c>
      <c r="F12" s="597"/>
      <c r="G12" s="594">
        <v>278354463.22056079</v>
      </c>
      <c r="H12" s="598"/>
      <c r="I12" s="598">
        <v>760531.32027475629</v>
      </c>
      <c r="K12" s="591">
        <v>45.298333333333332</v>
      </c>
      <c r="L12" s="591"/>
      <c r="M12" s="591">
        <v>-27.28</v>
      </c>
      <c r="O12" s="591">
        <f>K12+M12</f>
        <v>18.018333333333331</v>
      </c>
      <c r="P12" s="591"/>
      <c r="Q12" s="598">
        <f>I12*O12</f>
        <v>13703506.839150649</v>
      </c>
    </row>
    <row r="13" spans="1:18" ht="15.95" customHeight="1">
      <c r="A13" s="651">
        <f>A12+1</f>
        <v>2</v>
      </c>
      <c r="B13" s="593" t="s">
        <v>2598</v>
      </c>
      <c r="C13" s="594">
        <v>127316246</v>
      </c>
      <c r="D13" s="595"/>
      <c r="E13" s="596">
        <v>0.9410091595713157</v>
      </c>
      <c r="F13" s="597"/>
      <c r="G13" s="594">
        <v>119805753.64823489</v>
      </c>
      <c r="H13" s="598"/>
      <c r="I13" s="598">
        <v>327338.12472195324</v>
      </c>
      <c r="K13" s="591">
        <v>45.298333333333332</v>
      </c>
      <c r="L13" s="591"/>
      <c r="M13" s="591">
        <v>-39.32</v>
      </c>
      <c r="O13" s="591">
        <f t="shared" ref="O13:O26" si="0">K13+M13</f>
        <v>5.9783333333333317</v>
      </c>
      <c r="P13" s="591"/>
      <c r="Q13" s="598">
        <f t="shared" ref="Q13:Q26" si="1">I13*O13</f>
        <v>1956936.4222960765</v>
      </c>
    </row>
    <row r="14" spans="1:18" ht="15.95" customHeight="1">
      <c r="A14" s="651">
        <f>A13+1</f>
        <v>3</v>
      </c>
      <c r="B14" s="593" t="s">
        <v>2599</v>
      </c>
      <c r="C14" s="594">
        <v>2965299.7</v>
      </c>
      <c r="D14" s="595"/>
      <c r="E14" s="596">
        <v>0.9410091595713157</v>
      </c>
      <c r="F14" s="597"/>
      <c r="G14" s="594">
        <v>2790374.1785740745</v>
      </c>
      <c r="H14" s="598"/>
      <c r="I14" s="598">
        <v>7623.9731655029354</v>
      </c>
      <c r="K14" s="591">
        <v>45.298333333333332</v>
      </c>
      <c r="L14" s="591"/>
      <c r="M14" s="591">
        <v>-17.32</v>
      </c>
      <c r="O14" s="591">
        <f t="shared" si="0"/>
        <v>27.978333333333332</v>
      </c>
      <c r="P14" s="591"/>
      <c r="Q14" s="598">
        <f t="shared" si="1"/>
        <v>213306.06254882962</v>
      </c>
    </row>
    <row r="15" spans="1:18" ht="15.95" customHeight="1">
      <c r="A15" s="651">
        <f>A14+1</f>
        <v>4</v>
      </c>
      <c r="B15" s="593" t="s">
        <v>2600</v>
      </c>
      <c r="C15" s="594">
        <v>11163321</v>
      </c>
      <c r="D15" s="595"/>
      <c r="E15" s="596">
        <v>0.9410091595713157</v>
      </c>
      <c r="F15" s="597"/>
      <c r="G15" s="594">
        <v>10504787.312234819</v>
      </c>
      <c r="H15" s="598"/>
      <c r="I15" s="598">
        <v>28701.60467823721</v>
      </c>
      <c r="K15" s="591">
        <v>45.298333333333332</v>
      </c>
      <c r="L15" s="591"/>
      <c r="M15" s="591">
        <v>-27.76</v>
      </c>
      <c r="O15" s="591">
        <f t="shared" si="0"/>
        <v>17.53833333333333</v>
      </c>
      <c r="P15" s="591"/>
      <c r="Q15" s="598">
        <f t="shared" si="1"/>
        <v>503378.31004848354</v>
      </c>
    </row>
    <row r="16" spans="1:18" ht="15.95" customHeight="1">
      <c r="A16" s="651">
        <f>A15+1</f>
        <v>5</v>
      </c>
      <c r="B16" s="593" t="s">
        <v>2601</v>
      </c>
      <c r="C16" s="599">
        <v>58036196.183791012</v>
      </c>
      <c r="D16" s="595"/>
      <c r="E16" s="596">
        <v>0.94025938944617093</v>
      </c>
      <c r="F16" s="597"/>
      <c r="G16" s="599">
        <v>54569078.389549531</v>
      </c>
      <c r="H16" s="598"/>
      <c r="I16" s="598">
        <v>149095.84259439763</v>
      </c>
      <c r="K16" s="591">
        <v>45.298333333333332</v>
      </c>
      <c r="L16" s="591"/>
      <c r="M16" s="591">
        <v>-23.664370061149086</v>
      </c>
      <c r="O16" s="591">
        <f t="shared" si="0"/>
        <v>21.633963272184246</v>
      </c>
      <c r="P16" s="591"/>
      <c r="Q16" s="598">
        <f t="shared" si="1"/>
        <v>3225533.9827225618</v>
      </c>
    </row>
    <row r="17" spans="1:17" ht="15.95" customHeight="1">
      <c r="A17" s="651">
        <f>A16+1</f>
        <v>6</v>
      </c>
      <c r="B17" s="593" t="s">
        <v>2602</v>
      </c>
      <c r="C17" s="594">
        <v>42880206</v>
      </c>
      <c r="D17" s="595"/>
      <c r="E17" s="596">
        <v>0.94069865484010706</v>
      </c>
      <c r="F17" s="597"/>
      <c r="G17" s="594">
        <v>40337352.10346669</v>
      </c>
      <c r="H17" s="598"/>
      <c r="I17" s="598">
        <v>110211.34454499095</v>
      </c>
      <c r="K17" s="591">
        <v>45.298333333333332</v>
      </c>
      <c r="L17" s="591"/>
      <c r="M17" s="591">
        <v>-13.010845763287058</v>
      </c>
      <c r="O17" s="591">
        <f t="shared" si="0"/>
        <v>32.287487570046274</v>
      </c>
      <c r="P17" s="591"/>
      <c r="Q17" s="598">
        <f t="shared" si="1"/>
        <v>3558447.4170744824</v>
      </c>
    </row>
    <row r="18" spans="1:17" ht="15.95" customHeight="1">
      <c r="A18" s="651">
        <f t="shared" ref="A18:A24" si="2">A17+1</f>
        <v>7</v>
      </c>
      <c r="B18" s="593" t="s">
        <v>2603</v>
      </c>
      <c r="C18" s="594">
        <v>-1845117</v>
      </c>
      <c r="D18" s="595"/>
      <c r="E18" s="596">
        <v>0.94069865484010706</v>
      </c>
      <c r="F18" s="597"/>
      <c r="G18" s="594">
        <v>-1735699.0799226139</v>
      </c>
      <c r="H18" s="598"/>
      <c r="I18" s="598">
        <v>-4742.3472129033171</v>
      </c>
      <c r="K18" s="591">
        <v>45.298333333333332</v>
      </c>
      <c r="L18" s="591"/>
      <c r="M18" s="591">
        <v>0</v>
      </c>
      <c r="O18" s="591">
        <f t="shared" si="0"/>
        <v>45.298333333333332</v>
      </c>
      <c r="P18" s="591"/>
      <c r="Q18" s="598">
        <f t="shared" si="1"/>
        <v>-214820.42483249874</v>
      </c>
    </row>
    <row r="19" spans="1:17" ht="15.95" customHeight="1">
      <c r="A19" s="651">
        <f t="shared" si="2"/>
        <v>8</v>
      </c>
      <c r="B19" s="593" t="s">
        <v>2604</v>
      </c>
      <c r="C19" s="594">
        <v>425663</v>
      </c>
      <c r="D19" s="595"/>
      <c r="E19" s="596">
        <v>0.94069865484010706</v>
      </c>
      <c r="F19" s="597"/>
      <c r="G19" s="594">
        <v>400420.61151520448</v>
      </c>
      <c r="H19" s="598"/>
      <c r="I19" s="598">
        <v>1094.0453866535643</v>
      </c>
      <c r="K19" s="591">
        <v>45.298333333333332</v>
      </c>
      <c r="L19" s="591"/>
      <c r="M19" s="591">
        <v>0</v>
      </c>
      <c r="O19" s="591">
        <f t="shared" si="0"/>
        <v>45.298333333333332</v>
      </c>
      <c r="P19" s="591"/>
      <c r="Q19" s="598">
        <f t="shared" si="1"/>
        <v>49558.432606428702</v>
      </c>
    </row>
    <row r="20" spans="1:17" ht="15.95" customHeight="1">
      <c r="A20" s="651">
        <f>A19+1</f>
        <v>9</v>
      </c>
      <c r="B20" s="593" t="s">
        <v>2605</v>
      </c>
      <c r="C20" s="594">
        <v>3289813.4510399993</v>
      </c>
      <c r="D20" s="595"/>
      <c r="E20" s="596">
        <v>0.94069865484010706</v>
      </c>
      <c r="F20" s="597"/>
      <c r="G20" s="594">
        <v>3094723.0880682175</v>
      </c>
      <c r="H20" s="598"/>
      <c r="I20" s="598">
        <v>8455.5275630279175</v>
      </c>
      <c r="K20" s="591">
        <v>45.298333333333332</v>
      </c>
      <c r="L20" s="591"/>
      <c r="M20" s="591">
        <v>-244.79</v>
      </c>
      <c r="O20" s="591">
        <f t="shared" si="0"/>
        <v>-199.49166666666667</v>
      </c>
      <c r="P20" s="591"/>
      <c r="Q20" s="598">
        <f t="shared" si="1"/>
        <v>-1686807.2860943777</v>
      </c>
    </row>
    <row r="21" spans="1:17" ht="15.95" customHeight="1">
      <c r="A21" s="651">
        <f>A20+1</f>
        <v>10</v>
      </c>
      <c r="B21" s="593" t="s">
        <v>2606</v>
      </c>
      <c r="C21" s="594">
        <v>2387490</v>
      </c>
      <c r="D21" s="595"/>
      <c r="E21" s="596">
        <v>0.94069865484010706</v>
      </c>
      <c r="F21" s="597"/>
      <c r="G21" s="594">
        <v>2245908.6314442074</v>
      </c>
      <c r="H21" s="598"/>
      <c r="I21" s="598">
        <v>6136.3623809951023</v>
      </c>
      <c r="K21" s="591">
        <v>45.298333333333332</v>
      </c>
      <c r="L21" s="591"/>
      <c r="M21" s="591">
        <v>-22.558255780356177</v>
      </c>
      <c r="O21" s="591">
        <f t="shared" si="0"/>
        <v>22.740077552977155</v>
      </c>
      <c r="P21" s="591"/>
      <c r="Q21" s="598">
        <f t="shared" si="1"/>
        <v>139541.35643700018</v>
      </c>
    </row>
    <row r="22" spans="1:17" ht="15.95" customHeight="1">
      <c r="A22" s="651">
        <f t="shared" si="2"/>
        <v>11</v>
      </c>
      <c r="B22" s="593" t="s">
        <v>2607</v>
      </c>
      <c r="C22" s="594">
        <v>1020651</v>
      </c>
      <c r="D22" s="595"/>
      <c r="E22" s="596">
        <v>0.94069865484010706</v>
      </c>
      <c r="F22" s="597"/>
      <c r="G22" s="594">
        <v>960125.0227612101</v>
      </c>
      <c r="H22" s="598"/>
      <c r="I22" s="598">
        <v>2623.2924119158747</v>
      </c>
      <c r="K22" s="591">
        <v>45.298333333333332</v>
      </c>
      <c r="L22" s="591"/>
      <c r="M22" s="591">
        <v>-283.5</v>
      </c>
      <c r="O22" s="591">
        <f t="shared" si="0"/>
        <v>-238.20166666666665</v>
      </c>
      <c r="P22" s="591"/>
      <c r="Q22" s="598">
        <f t="shared" si="1"/>
        <v>-624872.62467238121</v>
      </c>
    </row>
    <row r="23" spans="1:17" ht="15.95" customHeight="1">
      <c r="A23" s="651">
        <f t="shared" si="2"/>
        <v>12</v>
      </c>
      <c r="B23" s="593" t="s">
        <v>2608</v>
      </c>
      <c r="C23" s="599">
        <v>5155113.129999999</v>
      </c>
      <c r="E23" s="596">
        <v>0.95003195393362805</v>
      </c>
      <c r="F23" s="597"/>
      <c r="G23" s="594">
        <v>4897522.1996427998</v>
      </c>
      <c r="H23" s="598"/>
      <c r="I23" s="598">
        <v>13381.208195745354</v>
      </c>
      <c r="K23" s="591">
        <v>45.298333333333332</v>
      </c>
      <c r="L23" s="591"/>
      <c r="M23" s="591">
        <v>-131.69914670445385</v>
      </c>
      <c r="O23" s="591">
        <f t="shared" si="0"/>
        <v>-86.40081337112052</v>
      </c>
      <c r="P23" s="591"/>
      <c r="Q23" s="598">
        <f t="shared" si="1"/>
        <v>-1156147.2720007026</v>
      </c>
    </row>
    <row r="24" spans="1:17" ht="15.95" customHeight="1">
      <c r="A24" s="651">
        <f t="shared" si="2"/>
        <v>13</v>
      </c>
      <c r="B24" s="593" t="s">
        <v>2609</v>
      </c>
      <c r="C24" s="594">
        <v>3189917</v>
      </c>
      <c r="E24" s="596">
        <v>0.9406762052542389</v>
      </c>
      <c r="F24" s="597"/>
      <c r="G24" s="594">
        <v>3000679.0186359859</v>
      </c>
      <c r="H24" s="598"/>
      <c r="I24" s="598">
        <v>8198.5765536502349</v>
      </c>
      <c r="K24" s="591">
        <v>45.298333333333332</v>
      </c>
      <c r="L24" s="591"/>
      <c r="M24" s="591">
        <v>-41.741641520962055</v>
      </c>
      <c r="O24" s="591">
        <f t="shared" si="0"/>
        <v>3.5566918123712767</v>
      </c>
      <c r="P24" s="591"/>
      <c r="Q24" s="598">
        <f t="shared" si="1"/>
        <v>29159.810101466908</v>
      </c>
    </row>
    <row r="25" spans="1:17" ht="15.95" customHeight="1">
      <c r="A25" s="651">
        <f>A24+1</f>
        <v>14</v>
      </c>
      <c r="B25" s="593" t="s">
        <v>2610</v>
      </c>
      <c r="C25" s="594">
        <v>194926535.69999999</v>
      </c>
      <c r="E25" s="596">
        <v>0.93817600093634479</v>
      </c>
      <c r="F25" s="597"/>
      <c r="G25" s="594">
        <v>182875397.73940164</v>
      </c>
      <c r="H25" s="598"/>
      <c r="I25" s="598">
        <v>499659.55666503182</v>
      </c>
      <c r="K25" s="591">
        <v>45.298333333333332</v>
      </c>
      <c r="L25" s="591"/>
      <c r="M25" s="591">
        <v>-25.38804860890605</v>
      </c>
      <c r="O25" s="591">
        <f t="shared" si="0"/>
        <v>19.910284724427282</v>
      </c>
      <c r="P25" s="591"/>
      <c r="Q25" s="598">
        <f t="shared" si="1"/>
        <v>9948364.0384818912</v>
      </c>
    </row>
    <row r="26" spans="1:17" ht="15.95" customHeight="1">
      <c r="A26" s="651">
        <f>A25+1</f>
        <v>15</v>
      </c>
      <c r="B26" s="593" t="s">
        <v>2611</v>
      </c>
      <c r="C26" s="611">
        <v>188803771.28689563</v>
      </c>
      <c r="D26" s="600"/>
      <c r="E26" s="596">
        <v>0.92882960641465739</v>
      </c>
      <c r="F26" s="597"/>
      <c r="G26" s="611">
        <v>175366532.57401025</v>
      </c>
      <c r="H26" s="601"/>
      <c r="I26" s="598">
        <v>479143.53162297886</v>
      </c>
      <c r="K26" s="591">
        <v>45.298333333333332</v>
      </c>
      <c r="L26" s="591"/>
      <c r="M26" s="591">
        <v>-48.047788467578023</v>
      </c>
      <c r="O26" s="591">
        <f t="shared" si="0"/>
        <v>-2.7494551342446911</v>
      </c>
      <c r="P26" s="591"/>
      <c r="Q26" s="602">
        <f t="shared" si="1"/>
        <v>-1317383.6430609326</v>
      </c>
    </row>
    <row r="27" spans="1:17" ht="15.95" customHeight="1">
      <c r="A27" s="651">
        <f>A26+1</f>
        <v>16</v>
      </c>
      <c r="B27" s="603" t="s">
        <v>2612</v>
      </c>
      <c r="C27" s="594">
        <v>935519308.13172662</v>
      </c>
      <c r="D27" s="604"/>
      <c r="E27" s="596"/>
      <c r="F27" s="597"/>
      <c r="G27" s="594">
        <v>877467418.65817773</v>
      </c>
      <c r="H27" s="598"/>
      <c r="I27" s="598"/>
      <c r="K27" s="591"/>
      <c r="L27" s="591"/>
      <c r="O27" s="591"/>
      <c r="P27" s="591"/>
      <c r="Q27" s="598">
        <f>SUM(Q12:Q26)</f>
        <v>28327701.420806978</v>
      </c>
    </row>
    <row r="28" spans="1:17" ht="15.95" customHeight="1">
      <c r="B28" s="603"/>
      <c r="C28" s="605">
        <v>0</v>
      </c>
      <c r="D28" s="604"/>
      <c r="E28" s="596"/>
      <c r="F28" s="597"/>
      <c r="G28" s="594">
        <v>0</v>
      </c>
      <c r="I28" s="606"/>
      <c r="K28" s="591"/>
      <c r="L28" s="591"/>
      <c r="O28" s="591"/>
      <c r="P28" s="591"/>
    </row>
    <row r="29" spans="1:17" ht="15.95" customHeight="1">
      <c r="A29" s="651">
        <f>A27+1</f>
        <v>17</v>
      </c>
      <c r="B29" s="586" t="s">
        <v>2613</v>
      </c>
      <c r="C29" s="607"/>
      <c r="E29" s="596"/>
      <c r="F29" s="597"/>
      <c r="G29" s="607"/>
      <c r="I29" s="598"/>
      <c r="K29" s="591"/>
      <c r="L29" s="591"/>
      <c r="O29" s="591"/>
      <c r="P29" s="591"/>
      <c r="Q29" s="598"/>
    </row>
    <row r="30" spans="1:17" ht="15.95" customHeight="1">
      <c r="A30" s="651">
        <f>A29+1</f>
        <v>18</v>
      </c>
      <c r="B30" s="593" t="s">
        <v>2614</v>
      </c>
      <c r="C30" s="594">
        <v>358688938.99594986</v>
      </c>
      <c r="E30" s="596">
        <v>0.93593342927844025</v>
      </c>
      <c r="F30" s="597"/>
      <c r="G30" s="594">
        <v>335708968.71872461</v>
      </c>
      <c r="I30" s="598">
        <v>917237.61945006729</v>
      </c>
      <c r="K30" s="591">
        <v>45.298333333333332</v>
      </c>
      <c r="L30" s="591"/>
      <c r="M30" s="591">
        <v>0</v>
      </c>
      <c r="O30" s="591">
        <f>K30+M30</f>
        <v>45.298333333333332</v>
      </c>
      <c r="P30" s="591"/>
      <c r="Q30" s="598">
        <f>I30*O30</f>
        <v>41549335.431722298</v>
      </c>
    </row>
    <row r="31" spans="1:17" ht="15.95" customHeight="1">
      <c r="A31" s="651">
        <f>A30+1</f>
        <v>19</v>
      </c>
      <c r="B31" s="593" t="s">
        <v>2615</v>
      </c>
      <c r="C31" s="594">
        <v>9627285.11531399</v>
      </c>
      <c r="E31" s="596">
        <v>0.8822812676236983</v>
      </c>
      <c r="F31" s="597"/>
      <c r="G31" s="594">
        <v>8493973.3153139893</v>
      </c>
      <c r="I31" s="598">
        <v>23207.577364245873</v>
      </c>
      <c r="K31" s="591">
        <v>45.298333333333332</v>
      </c>
      <c r="L31" s="591"/>
      <c r="M31" s="591">
        <v>0</v>
      </c>
      <c r="O31" s="591">
        <f>K31+M31</f>
        <v>45.298333333333332</v>
      </c>
      <c r="P31" s="591"/>
      <c r="Q31" s="598">
        <f>I31*O31</f>
        <v>1051264.575304731</v>
      </c>
    </row>
    <row r="32" spans="1:17" ht="15.95" customHeight="1">
      <c r="A32" s="651">
        <f>A31+1</f>
        <v>20</v>
      </c>
      <c r="B32" s="593" t="s">
        <v>2616</v>
      </c>
      <c r="C32" s="594">
        <v>6650186.4000000004</v>
      </c>
      <c r="E32" s="596">
        <v>1</v>
      </c>
      <c r="F32" s="597"/>
      <c r="G32" s="594">
        <v>6650186.4000000004</v>
      </c>
      <c r="I32" s="598">
        <v>18169.908196721313</v>
      </c>
      <c r="K32" s="591">
        <v>45.298333333333332</v>
      </c>
      <c r="L32" s="591"/>
      <c r="M32" s="591">
        <v>0</v>
      </c>
      <c r="O32" s="591">
        <f>K32+M32</f>
        <v>45.298333333333332</v>
      </c>
      <c r="P32" s="591"/>
      <c r="Q32" s="598">
        <f>I32*O32</f>
        <v>823066.55813114764</v>
      </c>
    </row>
    <row r="33" spans="1:20" ht="15.95" customHeight="1">
      <c r="A33" s="651">
        <f>A32+1</f>
        <v>21</v>
      </c>
      <c r="B33" s="593" t="s">
        <v>2617</v>
      </c>
      <c r="C33" s="594">
        <v>-3183172.832000385</v>
      </c>
      <c r="E33" s="596">
        <v>1</v>
      </c>
      <c r="F33" s="597"/>
      <c r="G33" s="594">
        <v>-3183172.832000385</v>
      </c>
      <c r="I33" s="598">
        <v>-8697.1935300556961</v>
      </c>
      <c r="K33" s="591">
        <v>45.298333333333332</v>
      </c>
      <c r="L33" s="591"/>
      <c r="M33" s="591">
        <v>0</v>
      </c>
      <c r="O33" s="591">
        <f>K33+M33</f>
        <v>45.298333333333332</v>
      </c>
      <c r="P33" s="591"/>
      <c r="Q33" s="598">
        <f>I33*O33</f>
        <v>-393968.37158897292</v>
      </c>
    </row>
    <row r="34" spans="1:20" ht="15.95" customHeight="1">
      <c r="A34" s="651">
        <f>A33+1</f>
        <v>22</v>
      </c>
      <c r="B34" s="603" t="s">
        <v>2618</v>
      </c>
      <c r="C34" s="608">
        <v>371783237.67926347</v>
      </c>
      <c r="D34" s="604"/>
      <c r="E34" s="596"/>
      <c r="F34" s="597"/>
      <c r="G34" s="608">
        <v>347669955.6020382</v>
      </c>
      <c r="H34" s="598"/>
      <c r="I34" s="598"/>
      <c r="K34" s="591"/>
      <c r="L34" s="591"/>
      <c r="O34" s="591"/>
      <c r="P34" s="591"/>
      <c r="Q34" s="608">
        <f>SUM(Q30:Q33)</f>
        <v>43029698.193569206</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13364717.785626812</v>
      </c>
      <c r="D37" s="595"/>
      <c r="E37" s="596">
        <v>0.98532473640519058</v>
      </c>
      <c r="F37" s="597"/>
      <c r="G37" s="594">
        <v>13168587.029252501</v>
      </c>
      <c r="H37" s="598"/>
      <c r="I37" s="598">
        <v>35979.745981564214</v>
      </c>
      <c r="K37" s="591">
        <v>45.298333333333332</v>
      </c>
      <c r="L37" s="591"/>
      <c r="M37" s="591">
        <v>-37.5</v>
      </c>
      <c r="O37" s="591">
        <f>K37+M37</f>
        <v>7.798333333333332</v>
      </c>
      <c r="P37" s="591"/>
      <c r="Q37" s="598">
        <f>I37*O37</f>
        <v>280582.05241289822</v>
      </c>
      <c r="T37" s="599"/>
    </row>
    <row r="38" spans="1:20" ht="15.95" customHeight="1">
      <c r="A38" s="651">
        <f>A37+1</f>
        <v>25</v>
      </c>
      <c r="B38" s="593" t="s">
        <v>2621</v>
      </c>
      <c r="C38" s="594">
        <v>-265338.0264236331</v>
      </c>
      <c r="D38" s="595"/>
      <c r="E38" s="596">
        <v>0.98532473640519069</v>
      </c>
      <c r="F38" s="597"/>
      <c r="G38" s="594">
        <v>-261444.12094413981</v>
      </c>
      <c r="H38" s="598"/>
      <c r="I38" s="598">
        <v>-714.32819930092842</v>
      </c>
      <c r="K38" s="591">
        <v>45.298333333333332</v>
      </c>
      <c r="L38" s="591"/>
      <c r="M38" s="591">
        <v>-37.5</v>
      </c>
      <c r="O38" s="591">
        <f>K38+M38</f>
        <v>7.798333333333332</v>
      </c>
      <c r="P38" s="591"/>
      <c r="Q38" s="598">
        <f>I38*O38</f>
        <v>-5570.5694075484062</v>
      </c>
      <c r="T38" s="599"/>
    </row>
    <row r="39" spans="1:20" ht="15.95" customHeight="1">
      <c r="A39" s="651">
        <f>A38+1</f>
        <v>26</v>
      </c>
      <c r="B39" s="593" t="s">
        <v>2622</v>
      </c>
      <c r="C39" s="611">
        <v>34343273.930316225</v>
      </c>
      <c r="D39" s="612"/>
      <c r="E39" s="596">
        <v>0.98532473640519069</v>
      </c>
      <c r="F39" s="597"/>
      <c r="G39" s="611">
        <v>33839277.332680091</v>
      </c>
      <c r="H39" s="601"/>
      <c r="I39" s="598">
        <v>92457.041892568552</v>
      </c>
      <c r="K39" s="591">
        <v>45.298333333333332</v>
      </c>
      <c r="L39" s="591"/>
      <c r="M39" s="591">
        <v>0</v>
      </c>
      <c r="O39" s="591">
        <f>K39+M39</f>
        <v>45.298333333333332</v>
      </c>
      <c r="P39" s="591"/>
      <c r="Q39" s="602">
        <f>I39*O39</f>
        <v>4188149.9026635345</v>
      </c>
      <c r="T39" s="599"/>
    </row>
    <row r="40" spans="1:20" ht="15.95" customHeight="1">
      <c r="A40" s="651">
        <f>A39+1</f>
        <v>27</v>
      </c>
      <c r="B40" s="603" t="s">
        <v>2623</v>
      </c>
      <c r="C40" s="608">
        <v>47442653.850000001</v>
      </c>
      <c r="D40" s="604"/>
      <c r="E40" s="596"/>
      <c r="F40" s="597"/>
      <c r="G40" s="608">
        <v>46746420.399113953</v>
      </c>
      <c r="H40" s="598"/>
      <c r="I40" s="598"/>
      <c r="K40" s="591"/>
      <c r="L40" s="591"/>
      <c r="O40" s="591"/>
      <c r="P40" s="591"/>
      <c r="Q40" s="598">
        <f>SUM(Q37:Q39)</f>
        <v>4463161.385668884</v>
      </c>
      <c r="T40" s="613"/>
    </row>
    <row r="41" spans="1:20" ht="15.95" customHeight="1">
      <c r="B41" s="603"/>
      <c r="C41" s="604"/>
      <c r="D41" s="604"/>
      <c r="E41" s="596"/>
      <c r="F41" s="597"/>
      <c r="G41" s="604">
        <v>-0.15812550485134125</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34311578.519000001</v>
      </c>
      <c r="D43" s="595"/>
      <c r="E43" s="596">
        <v>0.93811409830939052</v>
      </c>
      <c r="F43" s="597"/>
      <c r="G43" s="594">
        <v>32188175.543923538</v>
      </c>
      <c r="H43" s="598"/>
      <c r="I43" s="598">
        <v>87945.834819463213</v>
      </c>
      <c r="K43" s="591">
        <v>45.298333333333332</v>
      </c>
      <c r="L43" s="591"/>
      <c r="M43" s="591">
        <v>-157.56749538820867</v>
      </c>
      <c r="O43" s="591">
        <f>K43+M43</f>
        <v>-112.26916205487534</v>
      </c>
      <c r="P43" s="591"/>
      <c r="Q43" s="598">
        <f>I43*O43</f>
        <v>-9873605.1813976131</v>
      </c>
    </row>
    <row r="44" spans="1:20" ht="15.95" customHeight="1">
      <c r="A44" s="651">
        <f>A43+1</f>
        <v>30</v>
      </c>
      <c r="B44" s="593" t="s">
        <v>2626</v>
      </c>
      <c r="C44" s="594">
        <v>10653785.999999998</v>
      </c>
      <c r="D44" s="595"/>
      <c r="E44" s="596">
        <v>0.94069865484010717</v>
      </c>
      <c r="F44" s="597"/>
      <c r="G44" s="594">
        <v>10022002.159154365</v>
      </c>
      <c r="H44" s="598"/>
      <c r="I44" s="598">
        <v>27382.519560531051</v>
      </c>
      <c r="K44" s="591">
        <v>45.298333333333332</v>
      </c>
      <c r="L44" s="591"/>
      <c r="M44" s="591">
        <v>-35.635795614897127</v>
      </c>
      <c r="O44" s="591">
        <f>K44+M44</f>
        <v>9.6625377184362051</v>
      </c>
      <c r="P44" s="591"/>
      <c r="Q44" s="598">
        <f>I44*O44</f>
        <v>264584.62807944848</v>
      </c>
    </row>
    <row r="45" spans="1:20" ht="15.95" customHeight="1">
      <c r="A45" s="651">
        <f>A44+1</f>
        <v>31</v>
      </c>
      <c r="B45" s="593" t="s">
        <v>2627</v>
      </c>
      <c r="C45" s="611">
        <v>3406958</v>
      </c>
      <c r="D45" s="612"/>
      <c r="E45" s="596">
        <v>1</v>
      </c>
      <c r="F45" s="597"/>
      <c r="G45" s="611">
        <v>3406958</v>
      </c>
      <c r="H45" s="601"/>
      <c r="I45" s="598">
        <v>9308.6284153005472</v>
      </c>
      <c r="K45" s="591">
        <v>45.298333333333332</v>
      </c>
      <c r="L45" s="591"/>
      <c r="M45" s="591">
        <v>152.00463677122599</v>
      </c>
      <c r="O45" s="591">
        <f>K45+M45</f>
        <v>197.30297010455934</v>
      </c>
      <c r="P45" s="591"/>
      <c r="Q45" s="602">
        <f>I45*O45</f>
        <v>1836620.0339384954</v>
      </c>
    </row>
    <row r="46" spans="1:20" ht="15.95" customHeight="1">
      <c r="A46" s="651">
        <f>A45+1</f>
        <v>32</v>
      </c>
      <c r="B46" s="603" t="s">
        <v>2628</v>
      </c>
      <c r="C46" s="594">
        <v>48372322.519000001</v>
      </c>
      <c r="D46" s="604"/>
      <c r="E46" s="596"/>
      <c r="F46" s="597"/>
      <c r="G46" s="608">
        <v>45617135.703077905</v>
      </c>
      <c r="H46" s="598"/>
      <c r="I46" s="598"/>
      <c r="K46" s="591"/>
      <c r="L46" s="591"/>
      <c r="O46" s="591"/>
      <c r="P46" s="591"/>
      <c r="Q46" s="598">
        <f>SUM(Q43:Q45)</f>
        <v>-7772400.5193796698</v>
      </c>
    </row>
    <row r="47" spans="1:20" ht="15.95" customHeight="1">
      <c r="C47" s="609"/>
      <c r="E47" s="596"/>
      <c r="F47" s="597"/>
      <c r="I47" s="606"/>
      <c r="K47" s="591"/>
      <c r="L47" s="591"/>
      <c r="O47" s="591"/>
      <c r="P47" s="591"/>
    </row>
    <row r="48" spans="1:20" ht="15.95" customHeight="1">
      <c r="A48" s="651">
        <f>A46+1</f>
        <v>33</v>
      </c>
      <c r="B48" s="586" t="s">
        <v>786</v>
      </c>
      <c r="C48" s="594">
        <v>-2364.2750347616302</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0</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0</v>
      </c>
      <c r="E52" s="596">
        <v>0</v>
      </c>
      <c r="F52" s="597"/>
      <c r="G52" s="594">
        <v>0</v>
      </c>
      <c r="H52" s="598"/>
      <c r="I52" s="614">
        <v>0</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1513100</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435510.9</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-2455452.1116974447</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-153487.43652066868</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116394856.27503476</v>
      </c>
      <c r="E62" s="596">
        <v>0.93818723051555686</v>
      </c>
      <c r="F62" s="597"/>
      <c r="G62" s="594">
        <v>109200167.85493115</v>
      </c>
      <c r="H62" s="598"/>
      <c r="I62" s="598">
        <v>298361.11435773538</v>
      </c>
      <c r="K62" s="591">
        <v>45.298333333333332</v>
      </c>
      <c r="L62" s="591"/>
      <c r="M62" s="591">
        <v>-88.649999999999991</v>
      </c>
      <c r="O62" s="591">
        <f>K62+M62</f>
        <v>-43.351666666666659</v>
      </c>
      <c r="P62" s="591"/>
      <c r="Q62" s="598">
        <f>I62*O62</f>
        <v>-12934451.575931756</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217238011.45394555</v>
      </c>
      <c r="D64" s="600"/>
      <c r="E64" s="596"/>
      <c r="F64" s="597"/>
      <c r="G64" s="611">
        <v>210335403.81357762</v>
      </c>
      <c r="H64" s="601"/>
      <c r="I64" s="598">
        <v>574686.89566551265</v>
      </c>
      <c r="J64" s="600"/>
      <c r="K64" s="591">
        <v>45.298333333333332</v>
      </c>
      <c r="L64" s="591"/>
      <c r="M64" s="591">
        <v>-45.298333333333332</v>
      </c>
      <c r="O64" s="591">
        <f>K64+M64</f>
        <v>0</v>
      </c>
      <c r="P64" s="591"/>
      <c r="Q64" s="602">
        <f>I64*O64</f>
        <v>0</v>
      </c>
    </row>
    <row r="65" spans="1:17" ht="15.95" customHeight="1">
      <c r="C65" s="609"/>
      <c r="E65" s="596"/>
      <c r="F65" s="597"/>
      <c r="G65" s="598"/>
      <c r="H65" s="598"/>
      <c r="I65" s="598"/>
      <c r="K65" s="591"/>
      <c r="L65" s="591"/>
      <c r="O65" s="591"/>
      <c r="P65" s="591"/>
      <c r="Q65" s="598"/>
    </row>
    <row r="66" spans="1:17" ht="15.95" customHeight="1">
      <c r="A66" s="651">
        <f>A64+1</f>
        <v>42</v>
      </c>
      <c r="B66" s="586" t="s">
        <v>2026</v>
      </c>
      <c r="C66" s="598">
        <v>1736087696.9857178</v>
      </c>
      <c r="E66" s="596"/>
      <c r="F66" s="597"/>
      <c r="G66" s="598">
        <v>1637036502.0309165</v>
      </c>
      <c r="I66" s="598">
        <v>873048.01002324803</v>
      </c>
      <c r="O66" s="591"/>
      <c r="P66" s="591"/>
      <c r="Q66" s="598">
        <f>Q27+Q34+Q40+Q46+Q48+Q50+Q52+Q54+Q56+Q58+Q60+Q62+Q64</f>
        <v>55113708.904733643</v>
      </c>
    </row>
    <row r="67" spans="1:17" ht="15.95" customHeight="1">
      <c r="C67" s="609"/>
      <c r="E67" s="596"/>
      <c r="F67" s="597"/>
      <c r="O67" s="591"/>
      <c r="P67" s="591"/>
      <c r="Q67" s="598"/>
    </row>
    <row r="68" spans="1:17" ht="15.95" customHeight="1">
      <c r="A68" s="651">
        <f>A66+1</f>
        <v>43</v>
      </c>
      <c r="B68" s="586" t="s">
        <v>2637</v>
      </c>
      <c r="C68" s="594">
        <v>35572411.769999996</v>
      </c>
      <c r="E68" s="596">
        <v>1</v>
      </c>
      <c r="F68" s="597"/>
      <c r="G68" s="594">
        <v>35572411.769999996</v>
      </c>
      <c r="I68" s="598">
        <v>97192.381885245893</v>
      </c>
      <c r="K68" s="591">
        <v>45.298333333333332</v>
      </c>
      <c r="L68" s="591"/>
      <c r="M68" s="591">
        <v>-39.803821524307487</v>
      </c>
      <c r="O68" s="591">
        <f>K68+M68</f>
        <v>5.4945118090258447</v>
      </c>
      <c r="P68" s="591"/>
      <c r="Q68" s="598">
        <f>I68*O68</f>
        <v>534024.69001583313</v>
      </c>
    </row>
    <row r="69" spans="1:17" ht="15.95" customHeight="1">
      <c r="C69" s="609"/>
      <c r="E69" s="596"/>
      <c r="F69" s="597"/>
      <c r="O69" s="591"/>
      <c r="P69" s="591"/>
      <c r="Q69" s="598"/>
    </row>
    <row r="70" spans="1:17" ht="15.95" customHeight="1">
      <c r="A70" s="651">
        <f>A68+1</f>
        <v>44</v>
      </c>
      <c r="B70" s="586" t="s">
        <v>2638</v>
      </c>
      <c r="C70" s="594">
        <v>39016853.540000007</v>
      </c>
      <c r="E70" s="596">
        <v>1</v>
      </c>
      <c r="F70" s="597"/>
      <c r="G70" s="594">
        <v>39016853.540000007</v>
      </c>
      <c r="I70" s="598">
        <v>106603.42497267762</v>
      </c>
      <c r="K70" s="591">
        <v>45.298333333333332</v>
      </c>
      <c r="L70" s="591"/>
      <c r="M70" s="591">
        <v>-34.949170045269938</v>
      </c>
      <c r="O70" s="591">
        <f>K70+M70</f>
        <v>10.349163288063394</v>
      </c>
      <c r="P70" s="591"/>
      <c r="Q70" s="598">
        <f>I70*O70</f>
        <v>1103256.2521090556</v>
      </c>
    </row>
    <row r="71" spans="1:17" ht="15.95" customHeight="1">
      <c r="C71" s="609"/>
      <c r="E71" s="596"/>
      <c r="F71" s="597"/>
      <c r="K71" s="591"/>
      <c r="L71" s="591"/>
      <c r="O71" s="591"/>
      <c r="P71" s="591"/>
      <c r="Q71" s="598"/>
    </row>
    <row r="72" spans="1:17" ht="15.95" customHeight="1">
      <c r="A72" s="651">
        <f>A70+1</f>
        <v>45</v>
      </c>
      <c r="B72" s="586" t="s">
        <v>2639</v>
      </c>
      <c r="C72" s="594">
        <v>28463762.329999998</v>
      </c>
      <c r="E72" s="596">
        <v>1</v>
      </c>
      <c r="F72" s="597"/>
      <c r="G72" s="594">
        <v>28463762.329999998</v>
      </c>
      <c r="I72" s="598">
        <v>77769.842431693978</v>
      </c>
      <c r="K72" s="591">
        <v>45.298333333333332</v>
      </c>
      <c r="L72" s="591"/>
      <c r="M72" s="591">
        <v>-67.158413809956485</v>
      </c>
      <c r="O72" s="591">
        <f>K72+M72</f>
        <v>-21.860080476623153</v>
      </c>
      <c r="P72" s="591"/>
      <c r="Q72" s="602">
        <f>I72*O72</f>
        <v>-1700055.0142111324</v>
      </c>
    </row>
    <row r="73" spans="1:17" ht="15.95" customHeight="1">
      <c r="E73" s="597"/>
      <c r="F73" s="597"/>
      <c r="Q73" s="598"/>
    </row>
    <row r="74" spans="1:17" ht="15.95" customHeight="1">
      <c r="A74" s="651">
        <f>A72+1</f>
        <v>46</v>
      </c>
      <c r="B74" s="586" t="s">
        <v>2640</v>
      </c>
      <c r="E74" s="597"/>
      <c r="F74" s="597"/>
      <c r="Q74" s="601">
        <f>SUM(Q66:Q72)</f>
        <v>55050934.832647398</v>
      </c>
    </row>
    <row r="75" spans="1:17" ht="15.95" customHeight="1">
      <c r="E75" s="597"/>
      <c r="F75" s="597"/>
      <c r="Q75" s="598"/>
    </row>
    <row r="76" spans="1:17" ht="15.95" customHeight="1">
      <c r="A76" s="651">
        <f>A74+1</f>
        <v>47</v>
      </c>
      <c r="B76" s="586" t="s">
        <v>3415</v>
      </c>
      <c r="E76" s="597"/>
      <c r="F76" s="597"/>
      <c r="Q76" s="602">
        <f>'SCH B-5.2 F (2)'!W38</f>
        <v>42083714.050000027</v>
      </c>
    </row>
    <row r="77" spans="1:17" ht="15.95" customHeight="1">
      <c r="E77" s="597"/>
      <c r="F77" s="597"/>
      <c r="Q77" s="598"/>
    </row>
    <row r="78" spans="1:17" ht="15.95" customHeight="1" thickBot="1">
      <c r="A78" s="651">
        <f>A76+1</f>
        <v>48</v>
      </c>
      <c r="B78" s="586" t="s">
        <v>2642</v>
      </c>
      <c r="E78" s="597"/>
      <c r="F78" s="597"/>
      <c r="Q78" s="615">
        <f>SUM(Q74:Q76)</f>
        <v>97134648.882647425</v>
      </c>
    </row>
    <row r="79" spans="1:17" ht="15.95" customHeight="1" thickTop="1">
      <c r="E79" s="597"/>
      <c r="F79" s="597"/>
      <c r="Q79" s="598"/>
    </row>
    <row r="80" spans="1:17" ht="15.95" customHeight="1" thickBot="1">
      <c r="A80" s="651">
        <f>A78+1</f>
        <v>49</v>
      </c>
      <c r="B80" s="586" t="s">
        <v>3414</v>
      </c>
      <c r="E80" s="597"/>
      <c r="F80" s="597"/>
      <c r="Q80" s="615">
        <f>'SCH B-5.2 F (2)'!W66</f>
        <v>2498510.75</v>
      </c>
    </row>
    <row r="81" spans="1:18" ht="15.95" customHeight="1" thickTop="1">
      <c r="E81" s="597"/>
      <c r="F81" s="597"/>
      <c r="Q81" s="598"/>
    </row>
    <row r="82" spans="1:18" ht="15.95" customHeight="1" thickBot="1">
      <c r="A82" s="651">
        <f>A80+1</f>
        <v>50</v>
      </c>
      <c r="B82" s="586" t="s">
        <v>2644</v>
      </c>
      <c r="E82" s="597"/>
      <c r="F82" s="597"/>
      <c r="Q82" s="615">
        <f>Q78-Q80</f>
        <v>94636138.132647425</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85" zoomScaleNormal="85" workbookViewId="0">
      <pane xSplit="3" ySplit="11" topLeftCell="Q12" activePane="bottomRight" state="frozen"/>
      <selection activeCell="S84" sqref="S84"/>
      <selection pane="topRight" activeCell="S84" sqref="S84"/>
      <selection pane="bottomLeft" activeCell="S84" sqref="S84"/>
      <selection pane="bottomRight" activeCell="X23" sqref="X23"/>
    </sheetView>
  </sheetViews>
  <sheetFormatPr defaultRowHeight="12.75" outlineLevelCol="2"/>
  <cols>
    <col min="1" max="1" width="6.21875" style="587" customWidth="1"/>
    <col min="2" max="2" width="9.88671875" style="586" customWidth="1"/>
    <col min="3" max="3" width="58.88671875" style="621" customWidth="1"/>
    <col min="4" max="4" width="12.77734375" style="586" hidden="1" customWidth="1" outlineLevel="1"/>
    <col min="5" max="16" width="12.77734375" style="586" hidden="1" customWidth="1" outlineLevel="2"/>
    <col min="17" max="17" width="15.77734375" style="586" customWidth="1" collapsed="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2" t="str">
        <f>'Rate Case Constants'!C9</f>
        <v>KENTUCKY UTILITIES COMPANY</v>
      </c>
      <c r="B1" s="775"/>
      <c r="C1" s="775"/>
      <c r="D1" s="775"/>
      <c r="E1" s="775"/>
      <c r="F1" s="775"/>
      <c r="G1" s="775"/>
      <c r="H1" s="775"/>
      <c r="I1" s="775"/>
      <c r="J1" s="775"/>
      <c r="K1" s="775"/>
      <c r="L1" s="775"/>
      <c r="M1" s="775"/>
      <c r="N1" s="775"/>
      <c r="O1" s="775"/>
      <c r="P1" s="775"/>
      <c r="Q1" s="775"/>
      <c r="R1" s="775"/>
      <c r="S1" s="775"/>
      <c r="T1" s="776"/>
      <c r="U1" s="776"/>
      <c r="V1" s="775"/>
      <c r="W1" s="775"/>
      <c r="X1" s="616"/>
    </row>
    <row r="2" spans="1:25" ht="18.95" customHeight="1">
      <c r="A2" s="772" t="str">
        <f>'Rate Case Constants'!C10</f>
        <v>CASE NO. 2018-00294</v>
      </c>
      <c r="B2" s="775"/>
      <c r="C2" s="775"/>
      <c r="D2" s="775"/>
      <c r="E2" s="775"/>
      <c r="F2" s="775"/>
      <c r="G2" s="775"/>
      <c r="H2" s="775"/>
      <c r="I2" s="775"/>
      <c r="J2" s="775"/>
      <c r="K2" s="775"/>
      <c r="L2" s="775"/>
      <c r="M2" s="775"/>
      <c r="N2" s="775"/>
      <c r="O2" s="775"/>
      <c r="P2" s="775"/>
      <c r="Q2" s="775"/>
      <c r="R2" s="775"/>
      <c r="S2" s="775"/>
      <c r="T2" s="776"/>
      <c r="U2" s="776"/>
      <c r="V2" s="775"/>
      <c r="W2" s="775"/>
      <c r="X2" s="616"/>
    </row>
    <row r="3" spans="1:25" ht="18.95" customHeight="1">
      <c r="A3" s="775" t="s">
        <v>1436</v>
      </c>
      <c r="B3" s="775"/>
      <c r="C3" s="775"/>
      <c r="D3" s="775"/>
      <c r="E3" s="775"/>
      <c r="F3" s="775"/>
      <c r="G3" s="775"/>
      <c r="H3" s="775"/>
      <c r="I3" s="775"/>
      <c r="J3" s="775"/>
      <c r="K3" s="775"/>
      <c r="L3" s="775"/>
      <c r="M3" s="775"/>
      <c r="N3" s="775"/>
      <c r="O3" s="775"/>
      <c r="P3" s="775"/>
      <c r="Q3" s="775"/>
      <c r="R3" s="775"/>
      <c r="S3" s="775"/>
      <c r="T3" s="776"/>
      <c r="U3" s="776"/>
      <c r="V3" s="775"/>
      <c r="W3" s="775"/>
      <c r="X3" s="617"/>
    </row>
    <row r="4" spans="1:25" ht="18.95" customHeight="1">
      <c r="A4" s="772" t="str">
        <f>'Rate Case Constants'!C21</f>
        <v>FORECAST PERIOD FOR THE 12 MONTHS ENDED APRIL 30, 2020</v>
      </c>
      <c r="B4" s="775"/>
      <c r="C4" s="775"/>
      <c r="D4" s="775"/>
      <c r="E4" s="775"/>
      <c r="F4" s="775"/>
      <c r="G4" s="775"/>
      <c r="H4" s="775"/>
      <c r="I4" s="775"/>
      <c r="J4" s="775"/>
      <c r="K4" s="775"/>
      <c r="L4" s="775"/>
      <c r="M4" s="775"/>
      <c r="N4" s="775"/>
      <c r="O4" s="775"/>
      <c r="P4" s="775"/>
      <c r="Q4" s="775"/>
      <c r="R4" s="775"/>
      <c r="S4" s="775"/>
      <c r="T4" s="776"/>
      <c r="U4" s="776"/>
      <c r="V4" s="775"/>
      <c r="W4" s="775"/>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161</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__X__ ORIGINAL  _____ UPDATED  _____ REVISED</v>
      </c>
      <c r="B7" s="619"/>
      <c r="C7" s="619"/>
      <c r="D7" s="619"/>
      <c r="E7" s="619"/>
      <c r="F7" s="619"/>
      <c r="G7" s="619"/>
      <c r="H7" s="619"/>
      <c r="I7" s="619"/>
      <c r="J7" s="619"/>
      <c r="K7" s="619"/>
      <c r="L7" s="619"/>
      <c r="M7" s="619"/>
      <c r="N7" s="619"/>
      <c r="O7" s="619"/>
      <c r="P7" s="619"/>
      <c r="Q7" s="619"/>
      <c r="R7" s="619"/>
      <c r="S7" s="619"/>
      <c r="T7" s="620"/>
      <c r="U7" s="620"/>
      <c r="V7" s="619"/>
      <c r="W7" s="74" t="s">
        <v>169</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t="s">
        <v>2532</v>
      </c>
      <c r="E10" s="625" t="s">
        <v>2533</v>
      </c>
      <c r="F10" s="625" t="s">
        <v>2534</v>
      </c>
      <c r="G10" s="625" t="s">
        <v>2535</v>
      </c>
      <c r="H10" s="625" t="s">
        <v>2536</v>
      </c>
      <c r="I10" s="625" t="s">
        <v>2537</v>
      </c>
      <c r="J10" s="625" t="s">
        <v>2538</v>
      </c>
      <c r="K10" s="625" t="s">
        <v>2539</v>
      </c>
      <c r="L10" s="625" t="s">
        <v>2540</v>
      </c>
      <c r="M10" s="625" t="s">
        <v>2541</v>
      </c>
      <c r="N10" s="625" t="s">
        <v>2542</v>
      </c>
      <c r="O10" s="625" t="s">
        <v>2543</v>
      </c>
      <c r="P10" s="625" t="s">
        <v>2544</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20762133.4533333</v>
      </c>
      <c r="E14" s="86">
        <v>21395857.536666602</v>
      </c>
      <c r="F14" s="86">
        <v>22029581.620000001</v>
      </c>
      <c r="G14" s="86">
        <v>22663305.7033333</v>
      </c>
      <c r="H14" s="86">
        <v>23297029.786666602</v>
      </c>
      <c r="I14" s="86">
        <v>23930753.870000001</v>
      </c>
      <c r="J14" s="86">
        <v>24564477.9533333</v>
      </c>
      <c r="K14" s="86">
        <v>25198202.036666602</v>
      </c>
      <c r="L14" s="86">
        <v>25831926.120000001</v>
      </c>
      <c r="M14" s="86">
        <v>26522610.120000001</v>
      </c>
      <c r="N14" s="86">
        <v>27213294.119999997</v>
      </c>
      <c r="O14" s="86">
        <v>27903978.120000001</v>
      </c>
      <c r="P14" s="86">
        <v>28594662.120000001</v>
      </c>
      <c r="Q14" s="86">
        <f t="shared" ref="Q14:Q19" si="0">AVERAGE(D14:P14)</f>
        <v>24608293.273846131</v>
      </c>
      <c r="R14" s="589"/>
      <c r="S14" s="629">
        <v>0.94069865484010706</v>
      </c>
      <c r="T14" s="630"/>
      <c r="U14" s="631">
        <v>1</v>
      </c>
      <c r="W14" s="86">
        <f t="shared" ref="W14:W19" si="1">ROUND($Q14*$S14*$U14,2)</f>
        <v>23148988.379999999</v>
      </c>
      <c r="X14" s="598"/>
      <c r="Y14" s="198"/>
    </row>
    <row r="15" spans="1:25" ht="18.95" customHeight="1">
      <c r="A15" s="587">
        <f>A14+1</f>
        <v>2</v>
      </c>
      <c r="B15" s="587">
        <v>182</v>
      </c>
      <c r="C15" s="621" t="s">
        <v>2649</v>
      </c>
      <c r="D15" s="86">
        <v>130169432.64046299</v>
      </c>
      <c r="E15" s="86">
        <v>129709946.197759</v>
      </c>
      <c r="F15" s="86">
        <v>129439883.547557</v>
      </c>
      <c r="G15" s="86">
        <v>128980397.10485299</v>
      </c>
      <c r="H15" s="86">
        <v>128520910.66214901</v>
      </c>
      <c r="I15" s="86">
        <v>128250848.01194701</v>
      </c>
      <c r="J15" s="86">
        <v>127791361.569243</v>
      </c>
      <c r="K15" s="86">
        <v>127331875.12653901</v>
      </c>
      <c r="L15" s="86">
        <v>127061812.476337</v>
      </c>
      <c r="M15" s="86">
        <v>126612180.693141</v>
      </c>
      <c r="N15" s="86">
        <v>126162548.90994501</v>
      </c>
      <c r="O15" s="86">
        <v>125813239.54886299</v>
      </c>
      <c r="P15" s="86">
        <v>125363607.76566699</v>
      </c>
      <c r="Q15" s="86">
        <f t="shared" si="0"/>
        <v>127785234.17342022</v>
      </c>
      <c r="R15" s="589"/>
      <c r="S15" s="629">
        <v>0.94069865484010706</v>
      </c>
      <c r="T15" s="630"/>
      <c r="U15" s="631">
        <v>1</v>
      </c>
      <c r="W15" s="86">
        <f t="shared" si="1"/>
        <v>120207397.90000001</v>
      </c>
      <c r="X15" s="598"/>
      <c r="Y15" s="198"/>
    </row>
    <row r="16" spans="1:25" ht="18.95" customHeight="1">
      <c r="A16" s="641">
        <f t="shared" ref="A16:A19" si="2">A15+1</f>
        <v>3</v>
      </c>
      <c r="B16" s="587">
        <v>183</v>
      </c>
      <c r="C16" s="621" t="s">
        <v>2650</v>
      </c>
      <c r="D16" s="86">
        <v>4177727.75</v>
      </c>
      <c r="E16" s="86">
        <v>4177727.75</v>
      </c>
      <c r="F16" s="86">
        <v>4177727.75</v>
      </c>
      <c r="G16" s="86">
        <v>4177727.75</v>
      </c>
      <c r="H16" s="86">
        <v>4177727.75</v>
      </c>
      <c r="I16" s="86">
        <v>4177727.75</v>
      </c>
      <c r="J16" s="86">
        <v>4177727.75</v>
      </c>
      <c r="K16" s="86">
        <v>4177727.75</v>
      </c>
      <c r="L16" s="86">
        <v>4177727.75</v>
      </c>
      <c r="M16" s="86">
        <v>4177727.75</v>
      </c>
      <c r="N16" s="86">
        <v>4177727.75</v>
      </c>
      <c r="O16" s="86">
        <v>4177727.75</v>
      </c>
      <c r="P16" s="86">
        <v>4177727.75</v>
      </c>
      <c r="Q16" s="86">
        <f>AVERAGE(D16:P16)</f>
        <v>4177727.75</v>
      </c>
      <c r="R16" s="600"/>
      <c r="S16" s="629">
        <v>0.93818723051555686</v>
      </c>
      <c r="T16" s="632"/>
      <c r="U16" s="631">
        <v>1</v>
      </c>
      <c r="W16" s="86">
        <f t="shared" si="1"/>
        <v>3919490.83</v>
      </c>
      <c r="X16" s="598"/>
      <c r="Y16" s="198"/>
    </row>
    <row r="17" spans="1:25" ht="18.95" customHeight="1">
      <c r="A17" s="641">
        <f t="shared" si="2"/>
        <v>4</v>
      </c>
      <c r="B17" s="641">
        <v>184</v>
      </c>
      <c r="C17" s="621" t="s">
        <v>2671</v>
      </c>
      <c r="D17" s="86">
        <v>3774532.3400000012</v>
      </c>
      <c r="E17" s="86">
        <v>3774532.3400000012</v>
      </c>
      <c r="F17" s="86">
        <v>3774532.3400000012</v>
      </c>
      <c r="G17" s="86">
        <v>3774532.3400000012</v>
      </c>
      <c r="H17" s="86">
        <v>3774532.3400000012</v>
      </c>
      <c r="I17" s="86">
        <v>3774532.3400000012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3774532.3400000017</v>
      </c>
      <c r="R17" s="600"/>
      <c r="S17" s="629">
        <v>0.94069865484010706</v>
      </c>
      <c r="T17" s="630"/>
      <c r="U17" s="631">
        <v>1</v>
      </c>
      <c r="W17" s="86">
        <f t="shared" si="1"/>
        <v>3550697.49</v>
      </c>
      <c r="X17" s="598"/>
      <c r="Y17" s="198"/>
    </row>
    <row r="18" spans="1:25" ht="18.95" customHeight="1">
      <c r="A18" s="641">
        <f t="shared" si="2"/>
        <v>5</v>
      </c>
      <c r="B18" s="587">
        <v>186</v>
      </c>
      <c r="C18" s="621" t="s">
        <v>2651</v>
      </c>
      <c r="D18" s="86">
        <v>19321838.131558001</v>
      </c>
      <c r="E18" s="86">
        <v>18438773.839013103</v>
      </c>
      <c r="F18" s="86">
        <v>18911701.3780597</v>
      </c>
      <c r="G18" s="86">
        <v>19412748.808189698</v>
      </c>
      <c r="H18" s="86">
        <v>19926259.987299401</v>
      </c>
      <c r="I18" s="86">
        <v>20341909.1133691</v>
      </c>
      <c r="J18" s="86">
        <v>20749057.941222798</v>
      </c>
      <c r="K18" s="86">
        <v>21286986.3980693</v>
      </c>
      <c r="L18" s="86">
        <v>21760183.379903398</v>
      </c>
      <c r="M18" s="86">
        <v>22508078.4972881</v>
      </c>
      <c r="N18" s="86">
        <v>22827901.119197</v>
      </c>
      <c r="O18" s="86">
        <v>8275984.7449352397</v>
      </c>
      <c r="P18" s="86">
        <v>4757509.1288919905</v>
      </c>
      <c r="Q18" s="86">
        <f t="shared" si="0"/>
        <v>18347610.189768989</v>
      </c>
      <c r="R18" s="600"/>
      <c r="S18" s="629">
        <v>0.94069865484010706</v>
      </c>
      <c r="T18" s="630"/>
      <c r="U18" s="631">
        <v>1</v>
      </c>
      <c r="W18" s="86">
        <f t="shared" si="1"/>
        <v>17259572.23</v>
      </c>
      <c r="X18" s="598"/>
      <c r="Y18" s="198"/>
    </row>
    <row r="19" spans="1:25" ht="18.95" customHeight="1">
      <c r="A19" s="641">
        <f t="shared" si="2"/>
        <v>6</v>
      </c>
      <c r="B19" s="587">
        <v>188</v>
      </c>
      <c r="C19" s="621" t="s">
        <v>2652</v>
      </c>
      <c r="D19" s="86">
        <v>866939.40999999992</v>
      </c>
      <c r="E19" s="86">
        <v>840726.84999999905</v>
      </c>
      <c r="F19" s="86">
        <v>814514.28999999911</v>
      </c>
      <c r="G19" s="86">
        <v>788301.72999999905</v>
      </c>
      <c r="H19" s="86">
        <v>762089.16999999899</v>
      </c>
      <c r="I19" s="86">
        <v>735876.60999999905</v>
      </c>
      <c r="J19" s="86">
        <v>709664.049999999</v>
      </c>
      <c r="K19" s="86">
        <v>683451.48999999906</v>
      </c>
      <c r="L19" s="86">
        <v>657238.929999999</v>
      </c>
      <c r="M19" s="86">
        <v>631026.36999999906</v>
      </c>
      <c r="N19" s="86">
        <v>604813.80999999901</v>
      </c>
      <c r="O19" s="86">
        <v>578601.24999999907</v>
      </c>
      <c r="P19" s="86">
        <v>552388.68999999901</v>
      </c>
      <c r="Q19" s="131">
        <f t="shared" si="0"/>
        <v>709664.04999999912</v>
      </c>
      <c r="R19" s="600"/>
      <c r="S19" s="629">
        <v>0.94069865484010706</v>
      </c>
      <c r="T19" s="630"/>
      <c r="U19" s="631">
        <v>1</v>
      </c>
      <c r="W19" s="131">
        <f t="shared" si="1"/>
        <v>667580.02</v>
      </c>
      <c r="X19" s="598"/>
      <c r="Y19" s="198"/>
    </row>
    <row r="20" spans="1:25" ht="18.95" customHeight="1">
      <c r="Y20" s="198"/>
    </row>
    <row r="21" spans="1:25" ht="18.95" customHeight="1" thickBot="1">
      <c r="A21" s="587">
        <f>A19+1</f>
        <v>7</v>
      </c>
      <c r="C21" s="586" t="s">
        <v>2653</v>
      </c>
      <c r="Q21" s="94">
        <f>SUM(Q14:Q19)</f>
        <v>179403061.77703536</v>
      </c>
      <c r="R21" s="589"/>
      <c r="T21" s="630"/>
      <c r="W21" s="94">
        <f>SUM(W14:W19)</f>
        <v>168753726.85000002</v>
      </c>
      <c r="X21" s="601"/>
      <c r="Y21" s="198"/>
    </row>
    <row r="22" spans="1:25" ht="18.95" customHeight="1" thickTop="1">
      <c r="Y22" s="198"/>
    </row>
    <row r="23" spans="1:25" ht="18.95" customHeight="1">
      <c r="A23" s="624"/>
      <c r="Y23" s="198"/>
    </row>
    <row r="24" spans="1:25" ht="38.25">
      <c r="A24" s="159" t="s">
        <v>131</v>
      </c>
      <c r="B24" s="159" t="s">
        <v>134</v>
      </c>
      <c r="C24" s="159" t="s">
        <v>205</v>
      </c>
      <c r="D24" s="625" t="str">
        <f t="shared" ref="D24:P24" si="4">D10</f>
        <v>Apr 2019</v>
      </c>
      <c r="E24" s="625" t="str">
        <f t="shared" si="4"/>
        <v>May 2019</v>
      </c>
      <c r="F24" s="625" t="str">
        <f t="shared" si="4"/>
        <v>Jun 2019</v>
      </c>
      <c r="G24" s="625" t="str">
        <f t="shared" si="4"/>
        <v>Jul 2019</v>
      </c>
      <c r="H24" s="625" t="str">
        <f t="shared" si="4"/>
        <v>Aug 2019</v>
      </c>
      <c r="I24" s="625" t="str">
        <f t="shared" si="4"/>
        <v>Sep 2019</v>
      </c>
      <c r="J24" s="625" t="str">
        <f t="shared" si="4"/>
        <v>Oct 2019</v>
      </c>
      <c r="K24" s="625" t="str">
        <f t="shared" si="4"/>
        <v>Nov 2019</v>
      </c>
      <c r="L24" s="625" t="str">
        <f t="shared" si="4"/>
        <v>Dec 2019</v>
      </c>
      <c r="M24" s="625" t="str">
        <f t="shared" si="4"/>
        <v>Jan 2020</v>
      </c>
      <c r="N24" s="625" t="str">
        <f t="shared" si="4"/>
        <v>Feb 2020</v>
      </c>
      <c r="O24" s="625" t="str">
        <f t="shared" si="4"/>
        <v>Mar 2020</v>
      </c>
      <c r="P24" s="625" t="str">
        <f t="shared" si="4"/>
        <v>Apr 2020</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-3198333.0800000005</v>
      </c>
      <c r="E28" s="86">
        <v>-3198333.0800000005</v>
      </c>
      <c r="F28" s="86">
        <v>-3198333.0800000005</v>
      </c>
      <c r="G28" s="86">
        <v>-3198333.0800000005</v>
      </c>
      <c r="H28" s="86">
        <v>-3198333.0800000005</v>
      </c>
      <c r="I28" s="86">
        <v>-3198333.0800000005</v>
      </c>
      <c r="J28" s="86">
        <v>-3198333.0800000005</v>
      </c>
      <c r="K28" s="86">
        <v>-3198333.0800000005</v>
      </c>
      <c r="L28" s="86">
        <v>-3198333.0800000005</v>
      </c>
      <c r="M28" s="86">
        <v>-3198333.0800000005</v>
      </c>
      <c r="N28" s="86">
        <v>-3198333.0800000005</v>
      </c>
      <c r="O28" s="86">
        <v>-3198333.0800000005</v>
      </c>
      <c r="P28" s="86">
        <v>-3198333.0800000005</v>
      </c>
      <c r="Q28" s="86">
        <f>AVERAGE(D28:P28)</f>
        <v>-3198333.0800000005</v>
      </c>
      <c r="R28" s="589"/>
      <c r="S28" s="629">
        <v>0.94069865484010706</v>
      </c>
      <c r="T28" s="630"/>
      <c r="U28" s="631">
        <v>1</v>
      </c>
      <c r="W28" s="86">
        <f t="shared" ref="W28:W34" si="5">ROUND($Q28*$S28*$U28,2)</f>
        <v>-3008667.63</v>
      </c>
      <c r="X28" s="598"/>
      <c r="Y28" s="198"/>
    </row>
    <row r="29" spans="1:25" ht="18.95" customHeight="1">
      <c r="A29" s="587">
        <f t="shared" ref="A29:A34" si="6">A28+1</f>
        <v>9</v>
      </c>
      <c r="B29" s="587">
        <v>228.3</v>
      </c>
      <c r="C29" s="621" t="s">
        <v>2656</v>
      </c>
      <c r="D29" s="86">
        <v>-27932084.096666601</v>
      </c>
      <c r="E29" s="86">
        <v>-27983160.013333302</v>
      </c>
      <c r="F29" s="86">
        <v>-26744469.68</v>
      </c>
      <c r="G29" s="86">
        <v>-26795545.596666601</v>
      </c>
      <c r="H29" s="86">
        <v>-26846621.513333298</v>
      </c>
      <c r="I29" s="86">
        <v>-25607931.18</v>
      </c>
      <c r="J29" s="86">
        <v>-25659007.096666601</v>
      </c>
      <c r="K29" s="86">
        <v>-25710083.013333302</v>
      </c>
      <c r="L29" s="86">
        <v>-24471392.68</v>
      </c>
      <c r="M29" s="86">
        <v>-24518321.68</v>
      </c>
      <c r="N29" s="86">
        <v>-24565250.68</v>
      </c>
      <c r="O29" s="86">
        <v>-23299402.68</v>
      </c>
      <c r="P29" s="86">
        <v>-23346331.68</v>
      </c>
      <c r="Q29" s="86">
        <f t="shared" ref="Q29:Q34" si="7">AVERAGE(D29:P29)</f>
        <v>-25652277.045384593</v>
      </c>
      <c r="R29" s="589"/>
      <c r="S29" s="629">
        <v>0.94069865484010706</v>
      </c>
      <c r="T29" s="630"/>
      <c r="U29" s="631">
        <v>1</v>
      </c>
      <c r="W29" s="86">
        <f t="shared" si="5"/>
        <v>-24131062.510000002</v>
      </c>
      <c r="X29" s="598"/>
      <c r="Y29" s="198"/>
    </row>
    <row r="30" spans="1:25" ht="18.95" customHeight="1">
      <c r="A30" s="587">
        <f t="shared" si="6"/>
        <v>10</v>
      </c>
      <c r="B30" s="587">
        <v>242</v>
      </c>
      <c r="C30" s="621" t="s">
        <v>2657</v>
      </c>
      <c r="D30" s="86">
        <v>-18870550.530080914</v>
      </c>
      <c r="E30" s="86">
        <v>-18945393.056926444</v>
      </c>
      <c r="F30" s="86">
        <v>-18998281.831429817</v>
      </c>
      <c r="G30" s="86">
        <v>-19068455.076913461</v>
      </c>
      <c r="H30" s="86">
        <v>-19144375.808218062</v>
      </c>
      <c r="I30" s="86">
        <v>-19207190.23549803</v>
      </c>
      <c r="J30" s="86">
        <v>-19286718.063394494</v>
      </c>
      <c r="K30" s="86">
        <v>-19343286.012912739</v>
      </c>
      <c r="L30" s="86">
        <v>-19397787.48360971</v>
      </c>
      <c r="M30" s="86">
        <v>-19486414.709200215</v>
      </c>
      <c r="N30" s="86">
        <v>-19555716.15506798</v>
      </c>
      <c r="O30" s="86">
        <v>-18382657.459085189</v>
      </c>
      <c r="P30" s="86">
        <v>-18458439.94427133</v>
      </c>
      <c r="Q30" s="86">
        <f t="shared" si="7"/>
        <v>-19088097.412816029</v>
      </c>
      <c r="R30" s="589"/>
      <c r="S30" s="629">
        <v>0.94069865484010706</v>
      </c>
      <c r="T30" s="630"/>
      <c r="U30" s="631">
        <v>1</v>
      </c>
      <c r="W30" s="86">
        <f t="shared" si="5"/>
        <v>-17956147.559999999</v>
      </c>
      <c r="X30" s="598"/>
      <c r="Y30" s="198"/>
    </row>
    <row r="31" spans="1:25" ht="18.95" customHeight="1">
      <c r="A31" s="587">
        <f t="shared" si="6"/>
        <v>11</v>
      </c>
      <c r="B31" s="587">
        <v>253</v>
      </c>
      <c r="C31" s="621" t="s">
        <v>2658</v>
      </c>
      <c r="D31" s="86">
        <v>-1739959.09</v>
      </c>
      <c r="E31" s="86">
        <v>-1739959.09</v>
      </c>
      <c r="F31" s="86">
        <v>-1739959.09</v>
      </c>
      <c r="G31" s="86">
        <v>-1739959.09</v>
      </c>
      <c r="H31" s="86">
        <v>-1739959.09</v>
      </c>
      <c r="I31" s="86">
        <v>-1739959.09</v>
      </c>
      <c r="J31" s="86">
        <v>-1739959.09</v>
      </c>
      <c r="K31" s="86">
        <v>-1739959.09</v>
      </c>
      <c r="L31" s="86">
        <v>-1739959.09</v>
      </c>
      <c r="M31" s="86">
        <v>-1739959.09</v>
      </c>
      <c r="N31" s="86">
        <v>-1739959.09</v>
      </c>
      <c r="O31" s="86">
        <v>-1739959.09</v>
      </c>
      <c r="P31" s="86">
        <v>-1739959.09</v>
      </c>
      <c r="Q31" s="86">
        <f t="shared" si="7"/>
        <v>-1739959.09</v>
      </c>
      <c r="R31" s="600"/>
      <c r="S31" s="629">
        <v>0.93818723051555686</v>
      </c>
      <c r="T31" s="632"/>
      <c r="U31" s="631">
        <v>1</v>
      </c>
      <c r="W31" s="86">
        <f t="shared" si="5"/>
        <v>-1632407.4</v>
      </c>
      <c r="X31" s="598"/>
      <c r="Y31" s="198"/>
    </row>
    <row r="32" spans="1:25" ht="18.95" customHeight="1">
      <c r="A32" s="587">
        <f t="shared" si="6"/>
        <v>12</v>
      </c>
      <c r="B32" s="587">
        <v>254</v>
      </c>
      <c r="C32" s="621" t="s">
        <v>2666</v>
      </c>
      <c r="D32" s="86">
        <v>-29116514.5</v>
      </c>
      <c r="E32" s="86">
        <v>-29113495.25</v>
      </c>
      <c r="F32" s="86">
        <v>-29110476</v>
      </c>
      <c r="G32" s="86">
        <v>-29107456.749999899</v>
      </c>
      <c r="H32" s="86">
        <v>-29104437.499999903</v>
      </c>
      <c r="I32" s="86">
        <v>-29101418.249999899</v>
      </c>
      <c r="J32" s="86">
        <v>-29098398.999999899</v>
      </c>
      <c r="K32" s="86">
        <v>-29095379.749999899</v>
      </c>
      <c r="L32" s="86">
        <v>-29092360.499999899</v>
      </c>
      <c r="M32" s="86">
        <v>-29091310.666666597</v>
      </c>
      <c r="N32" s="86">
        <v>-29090260.833333302</v>
      </c>
      <c r="O32" s="86">
        <v>-29089210.999999899</v>
      </c>
      <c r="P32" s="86">
        <v>-29088161.166666601</v>
      </c>
      <c r="Q32" s="86">
        <f t="shared" ref="Q32" si="8">AVERAGE(D32:P32)</f>
        <v>-29099913.935897373</v>
      </c>
      <c r="R32" s="589"/>
      <c r="S32" s="629">
        <v>0.94069865484010706</v>
      </c>
      <c r="T32" s="630"/>
      <c r="U32" s="631">
        <v>1</v>
      </c>
      <c r="W32" s="86">
        <f t="shared" si="5"/>
        <v>-27374249.899999999</v>
      </c>
      <c r="X32" s="598"/>
      <c r="Y32" s="198"/>
    </row>
    <row r="33" spans="1:32" ht="18.95" customHeight="1">
      <c r="A33" s="587">
        <f t="shared" si="6"/>
        <v>13</v>
      </c>
      <c r="B33" s="633" t="s">
        <v>2659</v>
      </c>
      <c r="C33" s="621" t="s">
        <v>2660</v>
      </c>
      <c r="D33" s="86">
        <v>-50874798.697527327</v>
      </c>
      <c r="E33" s="86">
        <v>-36249211.454186752</v>
      </c>
      <c r="F33" s="86">
        <v>-39755143.755106501</v>
      </c>
      <c r="G33" s="86">
        <v>-31121269.626538616</v>
      </c>
      <c r="H33" s="86">
        <v>-33542564.951725226</v>
      </c>
      <c r="I33" s="86">
        <v>-38096728.735319182</v>
      </c>
      <c r="J33" s="86">
        <v>-37192976.810039282</v>
      </c>
      <c r="K33" s="86">
        <v>-55790259.287347563</v>
      </c>
      <c r="L33" s="86">
        <v>-69134596.253628984</v>
      </c>
      <c r="M33" s="86">
        <v>-76822940.317957625</v>
      </c>
      <c r="N33" s="86">
        <v>-82551809.345769554</v>
      </c>
      <c r="O33" s="86">
        <v>-56217849.349048503</v>
      </c>
      <c r="P33" s="86">
        <v>-86010205.040230244</v>
      </c>
      <c r="Q33" s="86">
        <f t="shared" si="7"/>
        <v>-53335411.817263491</v>
      </c>
      <c r="R33" s="600"/>
      <c r="S33" s="629">
        <v>0.93818723051555686</v>
      </c>
      <c r="T33" s="634"/>
      <c r="U33" s="635">
        <v>1</v>
      </c>
      <c r="W33" s="86">
        <f t="shared" si="5"/>
        <v>-50038602.299999997</v>
      </c>
      <c r="X33" s="598"/>
      <c r="Y33" s="629"/>
    </row>
    <row r="34" spans="1:32" ht="18.95" customHeight="1">
      <c r="A34" s="587">
        <f t="shared" si="6"/>
        <v>14</v>
      </c>
      <c r="B34" s="633" t="s">
        <v>2659</v>
      </c>
      <c r="C34" s="621" t="s">
        <v>2661</v>
      </c>
      <c r="D34" s="86">
        <v>-5065419.6189497877</v>
      </c>
      <c r="E34" s="86">
        <v>-2838346.5830462556</v>
      </c>
      <c r="F34" s="86">
        <v>-1967717.3935813785</v>
      </c>
      <c r="G34" s="86">
        <v>-2814630.1033493965</v>
      </c>
      <c r="H34" s="86">
        <v>-3354916.3879868039</v>
      </c>
      <c r="I34" s="86">
        <v>-2839124.6460700398</v>
      </c>
      <c r="J34" s="86">
        <v>-1674624.5968120005</v>
      </c>
      <c r="K34" s="86">
        <v>-1648240.0671513719</v>
      </c>
      <c r="L34" s="86">
        <v>-4912730.6232296778</v>
      </c>
      <c r="M34" s="86">
        <v>-2344316.7307966407</v>
      </c>
      <c r="N34" s="86">
        <v>-2366018.1285970705</v>
      </c>
      <c r="O34" s="86">
        <v>-1164996.7742526599</v>
      </c>
      <c r="P34" s="86">
        <v>-2050304.9561831078</v>
      </c>
      <c r="Q34" s="131">
        <f t="shared" si="7"/>
        <v>-2695491.2776927846</v>
      </c>
      <c r="R34" s="600"/>
      <c r="S34" s="629">
        <v>0.93818723051555686</v>
      </c>
      <c r="T34" s="630"/>
      <c r="U34" s="631">
        <v>1</v>
      </c>
      <c r="W34" s="131">
        <f t="shared" si="5"/>
        <v>-2528875.5</v>
      </c>
      <c r="X34" s="598"/>
      <c r="Y34" s="629"/>
    </row>
    <row r="35" spans="1:32" ht="18.95" customHeight="1">
      <c r="X35" s="598"/>
    </row>
    <row r="36" spans="1:32" ht="18.95" customHeight="1" thickBot="1">
      <c r="A36" s="587">
        <f>A34+1</f>
        <v>15</v>
      </c>
      <c r="C36" s="586" t="s">
        <v>2662</v>
      </c>
      <c r="Q36" s="94">
        <f>SUM(Q28:Q34)</f>
        <v>-134809483.65905428</v>
      </c>
      <c r="R36" s="589"/>
      <c r="T36" s="630"/>
      <c r="W36" s="94">
        <f>SUM(W28:W34)</f>
        <v>-126670012.8</v>
      </c>
      <c r="X36" s="601"/>
    </row>
    <row r="37" spans="1:32" ht="18.95" customHeight="1" thickTop="1">
      <c r="W37" s="598"/>
      <c r="X37" s="598"/>
    </row>
    <row r="38" spans="1:32" ht="18.95" customHeight="1" thickBot="1">
      <c r="A38" s="587">
        <f>A36+1</f>
        <v>16</v>
      </c>
      <c r="B38" s="586" t="s">
        <v>3416</v>
      </c>
      <c r="C38" s="586"/>
      <c r="Q38" s="94">
        <f>Q21+Q36</f>
        <v>44593578.117981076</v>
      </c>
      <c r="R38" s="589"/>
      <c r="T38" s="630"/>
      <c r="W38" s="94">
        <f>W21+W36</f>
        <v>42083714.050000027</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2" t="str">
        <f>$A1</f>
        <v>KENTUCKY UTILITIES COMPANY</v>
      </c>
      <c r="B49" s="775"/>
      <c r="C49" s="775"/>
      <c r="D49" s="775"/>
      <c r="E49" s="775"/>
      <c r="F49" s="775"/>
      <c r="G49" s="775"/>
      <c r="H49" s="775"/>
      <c r="I49" s="775"/>
      <c r="J49" s="775"/>
      <c r="K49" s="775"/>
      <c r="L49" s="775"/>
      <c r="M49" s="775"/>
      <c r="N49" s="775"/>
      <c r="O49" s="775"/>
      <c r="P49" s="775"/>
      <c r="Q49" s="775"/>
      <c r="R49" s="775"/>
      <c r="S49" s="775"/>
      <c r="T49" s="776"/>
      <c r="U49" s="776"/>
      <c r="V49" s="775"/>
      <c r="W49" s="775"/>
      <c r="X49" s="616"/>
    </row>
    <row r="50" spans="1:24" ht="18.95" customHeight="1">
      <c r="A50" s="772" t="str">
        <f>$A2</f>
        <v>CASE NO. 2018-00294</v>
      </c>
      <c r="B50" s="775"/>
      <c r="C50" s="775"/>
      <c r="D50" s="775"/>
      <c r="E50" s="775"/>
      <c r="F50" s="775"/>
      <c r="G50" s="775"/>
      <c r="H50" s="775"/>
      <c r="I50" s="775"/>
      <c r="J50" s="775"/>
      <c r="K50" s="775"/>
      <c r="L50" s="775"/>
      <c r="M50" s="775"/>
      <c r="N50" s="775"/>
      <c r="O50" s="775"/>
      <c r="P50" s="775"/>
      <c r="Q50" s="775"/>
      <c r="R50" s="775"/>
      <c r="S50" s="775"/>
      <c r="T50" s="776"/>
      <c r="U50" s="776"/>
      <c r="V50" s="775"/>
      <c r="W50" s="775"/>
      <c r="X50" s="616"/>
    </row>
    <row r="51" spans="1:24" ht="18.95" customHeight="1">
      <c r="A51" s="772" t="s">
        <v>1436</v>
      </c>
      <c r="B51" s="773"/>
      <c r="C51" s="773"/>
      <c r="D51" s="773"/>
      <c r="E51" s="773"/>
      <c r="F51" s="773"/>
      <c r="G51" s="773"/>
      <c r="H51" s="773"/>
      <c r="I51" s="773"/>
      <c r="J51" s="773"/>
      <c r="K51" s="773"/>
      <c r="L51" s="773"/>
      <c r="M51" s="773"/>
      <c r="N51" s="773"/>
      <c r="O51" s="773"/>
      <c r="P51" s="773"/>
      <c r="Q51" s="773"/>
      <c r="R51" s="773"/>
      <c r="S51" s="773"/>
      <c r="T51" s="774"/>
      <c r="U51" s="774"/>
      <c r="V51" s="773"/>
      <c r="W51" s="773"/>
      <c r="X51" s="617"/>
    </row>
    <row r="52" spans="1:24" ht="18.95" customHeight="1">
      <c r="A52" s="772" t="str">
        <f>$A4</f>
        <v>FORECAST PERIOD FOR THE 12 MONTHS ENDED APRIL 30, 2020</v>
      </c>
      <c r="B52" s="775"/>
      <c r="C52" s="775"/>
      <c r="D52" s="775"/>
      <c r="E52" s="775"/>
      <c r="F52" s="775"/>
      <c r="G52" s="775"/>
      <c r="H52" s="775"/>
      <c r="I52" s="775"/>
      <c r="J52" s="775"/>
      <c r="K52" s="775"/>
      <c r="L52" s="775"/>
      <c r="M52" s="775"/>
      <c r="N52" s="775"/>
      <c r="O52" s="775"/>
      <c r="P52" s="775"/>
      <c r="Q52" s="775"/>
      <c r="R52" s="775"/>
      <c r="S52" s="775"/>
      <c r="T52" s="776"/>
      <c r="U52" s="776"/>
      <c r="V52" s="775"/>
      <c r="W52" s="775"/>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DATA:____BASE  PERIOD__X__FORECASTED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__X__ ORIGINAL  _____ UPDATED  _____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170</v>
      </c>
      <c r="X55" s="617"/>
    </row>
    <row r="56" spans="1:24" ht="18.95" customHeight="1">
      <c r="A56" s="67" t="s">
        <v>1198</v>
      </c>
      <c r="W56" s="75" t="str">
        <f>W8</f>
        <v>WITNESS:   C. M. GARRETT</v>
      </c>
    </row>
    <row r="57" spans="1:24" ht="18.95" customHeight="1">
      <c r="A57" s="624"/>
    </row>
    <row r="58" spans="1:24" ht="38.25">
      <c r="A58" s="159" t="s">
        <v>131</v>
      </c>
      <c r="B58" s="159"/>
      <c r="C58" s="159" t="s">
        <v>205</v>
      </c>
      <c r="D58" s="625" t="s">
        <v>2532</v>
      </c>
      <c r="E58" s="625" t="s">
        <v>2533</v>
      </c>
      <c r="F58" s="625" t="s">
        <v>2534</v>
      </c>
      <c r="G58" s="625" t="s">
        <v>2535</v>
      </c>
      <c r="H58" s="625" t="s">
        <v>2536</v>
      </c>
      <c r="I58" s="625" t="s">
        <v>2537</v>
      </c>
      <c r="J58" s="625" t="s">
        <v>2538</v>
      </c>
      <c r="K58" s="625" t="s">
        <v>2539</v>
      </c>
      <c r="L58" s="625" t="s">
        <v>2540</v>
      </c>
      <c r="M58" s="625" t="s">
        <v>2541</v>
      </c>
      <c r="N58" s="625" t="s">
        <v>2542</v>
      </c>
      <c r="O58" s="625" t="s">
        <v>2543</v>
      </c>
      <c r="P58" s="625" t="s">
        <v>2544</v>
      </c>
      <c r="Q58" s="159" t="s">
        <v>1202</v>
      </c>
      <c r="R58" s="159"/>
      <c r="S58" s="159" t="s">
        <v>224</v>
      </c>
      <c r="T58" s="626"/>
      <c r="U58" s="627" t="s">
        <v>2646</v>
      </c>
      <c r="V58" s="159"/>
      <c r="W58" s="159" t="s">
        <v>1422</v>
      </c>
      <c r="X58" s="628"/>
    </row>
    <row r="59" spans="1:24" ht="18.95" customHeight="1"/>
    <row r="60" spans="1:24" ht="18.95" customHeight="1">
      <c r="A60" s="70">
        <v>1</v>
      </c>
      <c r="C60" s="78" t="s">
        <v>2667</v>
      </c>
      <c r="E60" s="86">
        <f>'ECR EXP F'!B24*1000</f>
        <v>1557225</v>
      </c>
      <c r="F60" s="86">
        <f>'ECR EXP F'!C24*1000</f>
        <v>1633544</v>
      </c>
      <c r="G60" s="86">
        <f>'ECR EXP F'!D24*1000</f>
        <v>1724141.9999999998</v>
      </c>
      <c r="H60" s="86">
        <f>'ECR EXP F'!E24*1000</f>
        <v>1801824</v>
      </c>
      <c r="I60" s="86">
        <f>'ECR EXP F'!F24*1000</f>
        <v>1604930.0000000002</v>
      </c>
      <c r="J60" s="86">
        <f>'ECR EXP F'!G24*1000</f>
        <v>1607086.0000000002</v>
      </c>
      <c r="K60" s="86">
        <f>'ECR EXP F'!H24*1000</f>
        <v>1269076.9999999991</v>
      </c>
      <c r="L60" s="86">
        <f>'ECR EXP F'!I24*1000</f>
        <v>1696142</v>
      </c>
      <c r="M60" s="86">
        <f>'ECR EXP F'!J24*1000</f>
        <v>1851579</v>
      </c>
      <c r="N60" s="86">
        <f>'ECR EXP F'!K24*1000</f>
        <v>1834867</v>
      </c>
      <c r="O60" s="86">
        <f>'ECR EXP F'!L24*1000</f>
        <v>1649113.9999999991</v>
      </c>
      <c r="P60" s="86">
        <f>'ECR EXP F'!M24*1000</f>
        <v>1758555.9999999991</v>
      </c>
      <c r="Q60" s="86">
        <f>SUM(E60:P60)</f>
        <v>19988086</v>
      </c>
      <c r="S60" s="590">
        <v>1</v>
      </c>
      <c r="W60" s="86">
        <f>Q60*S60</f>
        <v>19988086</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Q60-Q62</f>
        <v>19988086</v>
      </c>
      <c r="W64" s="94">
        <f>W60-W62</f>
        <v>19988086</v>
      </c>
    </row>
    <row r="65" spans="1:32" ht="18.95" customHeight="1" thickTop="1">
      <c r="A65" s="70"/>
      <c r="C65" s="78"/>
      <c r="Q65" s="86"/>
      <c r="W65" s="86"/>
    </row>
    <row r="66" spans="1:32" ht="18.95" customHeight="1" thickBot="1">
      <c r="A66" s="70">
        <v>4</v>
      </c>
      <c r="C66" s="78" t="s">
        <v>2663</v>
      </c>
      <c r="Q66" s="94">
        <f>Q64*0.125</f>
        <v>2498510.75</v>
      </c>
      <c r="W66" s="94">
        <f>W64*0.125</f>
        <v>2498510.75</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43"/>
  <sheetViews>
    <sheetView zoomScaleNormal="100" workbookViewId="0">
      <selection sqref="A1:H1"/>
    </sheetView>
  </sheetViews>
  <sheetFormatPr defaultColWidth="9" defaultRowHeight="12.75"/>
  <cols>
    <col min="1" max="1" width="6" style="69" customWidth="1"/>
    <col min="2" max="2" width="16.33203125" style="69" customWidth="1"/>
    <col min="3" max="3" width="34.21875" style="69" customWidth="1"/>
    <col min="4" max="4" width="16.77734375" style="69" customWidth="1"/>
    <col min="5" max="5" width="13.6640625" style="69" customWidth="1"/>
    <col min="6" max="6" width="15.77734375" style="69" customWidth="1"/>
    <col min="7" max="7" width="14.77734375" style="69" customWidth="1"/>
    <col min="8" max="8" width="13.6640625" style="69" customWidth="1"/>
    <col min="9" max="9" width="1.6640625" style="69" customWidth="1"/>
    <col min="10" max="16384" width="9" style="69"/>
  </cols>
  <sheetData>
    <row r="1" spans="1:8" s="68" customFormat="1" ht="20.100000000000001" customHeight="1">
      <c r="A1" s="767" t="str">
        <f>'Rate Case Constants'!C9</f>
        <v>KENTUCKY UTILITIES COMPANY</v>
      </c>
      <c r="B1" s="767"/>
      <c r="C1" s="767"/>
      <c r="D1" s="767"/>
      <c r="E1" s="767"/>
      <c r="F1" s="767"/>
      <c r="G1" s="767"/>
      <c r="H1" s="767"/>
    </row>
    <row r="2" spans="1:8" s="68" customFormat="1" ht="20.100000000000001" customHeight="1">
      <c r="A2" s="767" t="str">
        <f>'Rate Case Constants'!C10</f>
        <v>CASE NO. 2018-00294</v>
      </c>
      <c r="B2" s="767"/>
      <c r="C2" s="767"/>
      <c r="D2" s="767"/>
      <c r="E2" s="767"/>
      <c r="F2" s="767"/>
      <c r="G2" s="767"/>
      <c r="H2" s="767"/>
    </row>
    <row r="3" spans="1:8" s="68" customFormat="1" ht="20.100000000000001" customHeight="1">
      <c r="A3" s="767" t="s">
        <v>1441</v>
      </c>
      <c r="B3" s="767"/>
      <c r="C3" s="767"/>
      <c r="D3" s="767"/>
      <c r="E3" s="767"/>
      <c r="F3" s="767"/>
      <c r="G3" s="767"/>
      <c r="H3" s="767"/>
    </row>
    <row r="4" spans="1:8" s="68" customFormat="1" ht="20.100000000000001" customHeight="1">
      <c r="A4" s="767" t="str">
        <f>'Rate Case Constants'!C12</f>
        <v>AS OF DECEMBER 31, 2018</v>
      </c>
      <c r="B4" s="767"/>
      <c r="C4" s="767"/>
      <c r="D4" s="767"/>
      <c r="E4" s="767"/>
      <c r="F4" s="767"/>
      <c r="G4" s="767"/>
      <c r="H4" s="767"/>
    </row>
    <row r="5" spans="1:8" s="68" customFormat="1" ht="20.100000000000001" customHeight="1">
      <c r="A5" s="138"/>
      <c r="B5" s="138"/>
      <c r="C5" s="138"/>
      <c r="D5" s="138"/>
      <c r="E5" s="138"/>
      <c r="F5" s="138"/>
      <c r="G5" s="138"/>
      <c r="H5" s="138"/>
    </row>
    <row r="6" spans="1:8" s="68" customFormat="1" ht="20.100000000000001" customHeight="1">
      <c r="A6" s="67" t="s">
        <v>133</v>
      </c>
      <c r="B6" s="67"/>
      <c r="G6" s="74"/>
      <c r="H6" s="74" t="s">
        <v>1440</v>
      </c>
    </row>
    <row r="7" spans="1:8" s="68" customFormat="1" ht="20.100000000000001" customHeight="1">
      <c r="A7" s="68" t="str">
        <f>'Rate Case Constants'!C29</f>
        <v>TYPE OF FILING: __X__ ORIGINAL  _____ UPDATED  _____ REVISED</v>
      </c>
      <c r="G7" s="74"/>
      <c r="H7" s="74" t="s">
        <v>177</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205</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v>252</v>
      </c>
      <c r="C12" s="78" t="s">
        <v>1191</v>
      </c>
      <c r="D12" s="86">
        <f>'JURISSEP B'!$E$372</f>
        <v>980981.37</v>
      </c>
      <c r="E12" s="130">
        <f>F12/D12</f>
        <v>0.97009645926567778</v>
      </c>
      <c r="F12" s="86">
        <f>'JURISSEP B'!$G$372</f>
        <v>951646.55364259379</v>
      </c>
      <c r="G12" s="86">
        <v>0</v>
      </c>
      <c r="H12" s="86">
        <f>SUM(F12:G12)</f>
        <v>951646.55364259379</v>
      </c>
    </row>
    <row r="13" spans="1:8" ht="18.95" customHeight="1">
      <c r="A13" s="70"/>
      <c r="B13" s="71"/>
      <c r="C13" s="78"/>
      <c r="D13" s="86"/>
      <c r="E13" s="130"/>
      <c r="F13" s="86"/>
      <c r="G13" s="86"/>
      <c r="H13" s="86"/>
    </row>
    <row r="14" spans="1:8" ht="18.95" customHeight="1">
      <c r="A14" s="70">
        <v>2</v>
      </c>
      <c r="B14" s="71">
        <v>255</v>
      </c>
      <c r="C14" s="78" t="s">
        <v>1442</v>
      </c>
      <c r="D14" s="86">
        <f>'JURISSEP B'!$E$370</f>
        <v>91624046.000000015</v>
      </c>
      <c r="E14" s="130">
        <f>F14/D14</f>
        <v>0.87037987585411292</v>
      </c>
      <c r="F14" s="86">
        <f>'JURISSEP B'!$G$370</f>
        <v>79747725.782731548</v>
      </c>
      <c r="G14" s="86">
        <v>0</v>
      </c>
      <c r="H14" s="86">
        <f t="shared" ref="H14" si="0">SUM(F14:G14)</f>
        <v>79747725.782731548</v>
      </c>
    </row>
    <row r="15" spans="1:8" ht="18.95" customHeight="1">
      <c r="A15" s="70"/>
      <c r="B15" s="71"/>
      <c r="C15" s="78"/>
      <c r="D15" s="86"/>
      <c r="E15" s="130"/>
      <c r="F15" s="86"/>
      <c r="G15" s="86"/>
      <c r="H15" s="86"/>
    </row>
    <row r="16" spans="1:8" ht="18.95" customHeight="1">
      <c r="A16" s="70">
        <v>3</v>
      </c>
      <c r="B16" s="70" t="s">
        <v>1452</v>
      </c>
      <c r="C16" s="78" t="s">
        <v>2016</v>
      </c>
      <c r="D16" s="86">
        <f>'JURISSEP B'!$E$361</f>
        <v>1380626004.0000002</v>
      </c>
      <c r="E16" s="130">
        <f>F16/D16</f>
        <v>0.89489397364209733</v>
      </c>
      <c r="F16" s="86">
        <f>'JURISSEP B'!$G$361</f>
        <v>1235513890.8331704</v>
      </c>
      <c r="G16" s="86">
        <f>'ECR DEFTAX'!$M4+'DSM DEFTAX'!$M2</f>
        <v>-296291209.83449155</v>
      </c>
      <c r="H16" s="86">
        <f t="shared" ref="H16" si="1">SUM(F16:G16)</f>
        <v>939222680.99867892</v>
      </c>
    </row>
    <row r="17" spans="1:8" ht="18.95" customHeight="1">
      <c r="A17" s="70"/>
      <c r="B17" s="71"/>
      <c r="C17" s="78"/>
      <c r="D17" s="86"/>
      <c r="E17" s="470"/>
      <c r="F17" s="86"/>
      <c r="G17" s="86"/>
      <c r="H17" s="86"/>
    </row>
    <row r="18" spans="1:8" ht="18.75" customHeight="1">
      <c r="A18" s="70">
        <v>4</v>
      </c>
      <c r="B18" s="70" t="s">
        <v>2265</v>
      </c>
      <c r="C18" s="78" t="s">
        <v>2266</v>
      </c>
      <c r="D18" s="86">
        <f>-'JURISSEP B'!$E$332</f>
        <v>-69633622.427637115</v>
      </c>
      <c r="E18" s="130">
        <f>F18/D18</f>
        <v>0.89459223616774031</v>
      </c>
      <c r="F18" s="86">
        <f>-'JURISSEP B'!$G$332</f>
        <v>-62293698</v>
      </c>
      <c r="G18" s="86">
        <f>-F18</f>
        <v>62293698</v>
      </c>
      <c r="H18" s="86">
        <f t="shared" ref="H18" si="2">SUM(F18:G18)</f>
        <v>0</v>
      </c>
    </row>
    <row r="19" spans="1:8" ht="18.95" customHeight="1">
      <c r="A19" s="70"/>
      <c r="B19" s="70"/>
      <c r="C19" s="78"/>
      <c r="D19" s="86"/>
      <c r="E19" s="130"/>
      <c r="F19" s="86"/>
      <c r="G19" s="86"/>
      <c r="H19" s="86"/>
    </row>
    <row r="20" spans="1:8" ht="18.95" customHeight="1">
      <c r="A20" s="70"/>
      <c r="B20" s="70"/>
      <c r="C20" s="67" t="s">
        <v>2267</v>
      </c>
      <c r="D20" s="86"/>
      <c r="E20" s="86"/>
      <c r="F20" s="86"/>
      <c r="G20" s="86"/>
      <c r="H20" s="86"/>
    </row>
    <row r="21" spans="1:8" ht="18.95" customHeight="1">
      <c r="A21" s="70"/>
      <c r="B21" s="70"/>
      <c r="C21" s="78"/>
      <c r="D21" s="86"/>
      <c r="E21" s="86"/>
      <c r="F21" s="86"/>
      <c r="G21" s="86"/>
      <c r="H21" s="86"/>
    </row>
    <row r="22" spans="1:8" s="68" customFormat="1" ht="20.100000000000001" customHeight="1">
      <c r="A22" s="767" t="str">
        <f>$A$1</f>
        <v>KENTUCKY UTILITIES COMPANY</v>
      </c>
      <c r="B22" s="767"/>
      <c r="C22" s="767"/>
      <c r="D22" s="767"/>
      <c r="E22" s="767"/>
      <c r="F22" s="767"/>
      <c r="G22" s="767"/>
      <c r="H22" s="767"/>
    </row>
    <row r="23" spans="1:8" s="68" customFormat="1" ht="20.100000000000001" customHeight="1">
      <c r="A23" s="767" t="str">
        <f>$A$2</f>
        <v>CASE NO. 2018-00294</v>
      </c>
      <c r="B23" s="767"/>
      <c r="C23" s="767"/>
      <c r="D23" s="767"/>
      <c r="E23" s="767"/>
      <c r="F23" s="767"/>
      <c r="G23" s="767"/>
      <c r="H23" s="767"/>
    </row>
    <row r="24" spans="1:8" s="68" customFormat="1" ht="20.100000000000001" customHeight="1">
      <c r="A24" s="767" t="str">
        <f>A3</f>
        <v>CERTAIN DEFERRED CREDITS AND ACCUMULATED DEFERRED INCOME TAXES</v>
      </c>
      <c r="B24" s="767"/>
      <c r="C24" s="767"/>
      <c r="D24" s="767"/>
      <c r="E24" s="767"/>
      <c r="F24" s="767"/>
      <c r="G24" s="767"/>
      <c r="H24" s="767"/>
    </row>
    <row r="25" spans="1:8" s="68" customFormat="1" ht="20.100000000000001" customHeight="1">
      <c r="A25" s="766" t="str">
        <f>'Rate Case Constants'!C20</f>
        <v>FROM MAY 1, 2019 TO APRIL 30, 2020</v>
      </c>
      <c r="B25" s="770"/>
      <c r="C25" s="770"/>
      <c r="D25" s="770"/>
      <c r="E25" s="770"/>
      <c r="F25" s="770"/>
      <c r="G25" s="770"/>
      <c r="H25" s="770"/>
    </row>
    <row r="26" spans="1:8" s="68" customFormat="1" ht="20.100000000000001" customHeight="1">
      <c r="A26" s="138"/>
      <c r="B26" s="138"/>
      <c r="C26" s="138"/>
      <c r="D26" s="138"/>
      <c r="E26" s="138"/>
      <c r="F26" s="138"/>
      <c r="G26" s="138"/>
      <c r="H26" s="138"/>
    </row>
    <row r="27" spans="1:8" s="68" customFormat="1" ht="20.100000000000001" customHeight="1">
      <c r="A27" s="67" t="s">
        <v>161</v>
      </c>
      <c r="B27" s="67"/>
      <c r="G27" s="74"/>
      <c r="H27" s="74" t="s">
        <v>1440</v>
      </c>
    </row>
    <row r="28" spans="1:8" s="68" customFormat="1" ht="20.100000000000001" customHeight="1">
      <c r="A28" s="68" t="str">
        <f>$A$7</f>
        <v>TYPE OF FILING: __X__ ORIGINAL  _____ UPDATED  _____ REVISED</v>
      </c>
      <c r="G28" s="74"/>
      <c r="H28" s="74" t="s">
        <v>185</v>
      </c>
    </row>
    <row r="29" spans="1:8" s="68" customFormat="1" ht="20.100000000000001" customHeight="1">
      <c r="A29" s="67" t="s">
        <v>1416</v>
      </c>
      <c r="B29" s="67"/>
      <c r="F29" s="67"/>
      <c r="G29" s="75"/>
      <c r="H29" s="75" t="str">
        <f>$H$8</f>
        <v>WITNESS:   C. M. GARRETT</v>
      </c>
    </row>
    <row r="30" spans="1:8" s="68" customFormat="1" ht="20.100000000000001" customHeight="1"/>
    <row r="31" spans="1:8" s="68" customFormat="1" ht="21.75" customHeight="1">
      <c r="A31" s="96"/>
      <c r="B31" s="96"/>
      <c r="C31" s="96"/>
      <c r="D31" s="769" t="s">
        <v>2263</v>
      </c>
      <c r="E31" s="769"/>
      <c r="F31" s="769"/>
      <c r="G31" s="769"/>
      <c r="H31" s="769"/>
    </row>
    <row r="32" spans="1:8" ht="53.25" customHeight="1">
      <c r="A32" s="98" t="s">
        <v>131</v>
      </c>
      <c r="B32" s="98" t="s">
        <v>134</v>
      </c>
      <c r="C32" s="161" t="s">
        <v>205</v>
      </c>
      <c r="D32" s="98" t="s">
        <v>3421</v>
      </c>
      <c r="E32" s="98" t="s">
        <v>224</v>
      </c>
      <c r="F32" s="98" t="s">
        <v>225</v>
      </c>
      <c r="G32" s="98" t="s">
        <v>226</v>
      </c>
      <c r="H32" s="98" t="s">
        <v>227</v>
      </c>
    </row>
    <row r="33" spans="1:8" ht="23.1" customHeight="1">
      <c r="A33" s="73"/>
      <c r="B33" s="73"/>
      <c r="C33" s="132"/>
      <c r="D33" s="95" t="s">
        <v>142</v>
      </c>
      <c r="E33" s="95"/>
      <c r="F33" s="95" t="s">
        <v>142</v>
      </c>
      <c r="G33" s="95" t="s">
        <v>142</v>
      </c>
      <c r="H33" s="95" t="s">
        <v>142</v>
      </c>
    </row>
    <row r="34" spans="1:8" ht="23.1" customHeight="1">
      <c r="A34" s="73">
        <v>1</v>
      </c>
      <c r="B34" s="73">
        <v>252</v>
      </c>
      <c r="C34" s="78" t="s">
        <v>1191</v>
      </c>
      <c r="D34" s="86">
        <f>'JURISSEP F'!$E$372</f>
        <v>980981.36999999965</v>
      </c>
      <c r="E34" s="130">
        <f>F34/D34</f>
        <v>0.97009645926567778</v>
      </c>
      <c r="F34" s="86">
        <f>'JURISSEP F'!$G$372</f>
        <v>951646.55364259344</v>
      </c>
      <c r="G34" s="86">
        <v>0</v>
      </c>
      <c r="H34" s="86">
        <f>SUM(F34:G34)</f>
        <v>951646.55364259344</v>
      </c>
    </row>
    <row r="35" spans="1:8" ht="18.95" customHeight="1">
      <c r="A35" s="70"/>
      <c r="B35" s="71"/>
      <c r="C35" s="78"/>
      <c r="D35" s="86"/>
      <c r="E35" s="130"/>
      <c r="F35" s="86"/>
      <c r="G35" s="86"/>
      <c r="H35" s="86"/>
    </row>
    <row r="36" spans="1:8" ht="18.95" customHeight="1">
      <c r="A36" s="70">
        <v>2</v>
      </c>
      <c r="B36" s="71">
        <v>255</v>
      </c>
      <c r="C36" s="78" t="s">
        <v>1442</v>
      </c>
      <c r="D36" s="86">
        <f>'JURISSEP F'!$E$370</f>
        <v>89931576</v>
      </c>
      <c r="E36" s="130">
        <f>F36/D36</f>
        <v>0.9356483078528135</v>
      </c>
      <c r="F36" s="86">
        <f>'JURISSEP F'!$G$370</f>
        <v>84144326.90693669</v>
      </c>
      <c r="G36" s="86">
        <v>0</v>
      </c>
      <c r="H36" s="86">
        <f t="shared" ref="H36" si="3">SUM(F36:G36)</f>
        <v>84144326.90693669</v>
      </c>
    </row>
    <row r="37" spans="1:8" ht="18.95" customHeight="1">
      <c r="A37" s="70"/>
      <c r="B37" s="71"/>
      <c r="C37" s="78"/>
      <c r="D37" s="86"/>
      <c r="E37" s="130"/>
      <c r="F37" s="86"/>
      <c r="G37" s="86"/>
      <c r="H37" s="86"/>
    </row>
    <row r="38" spans="1:8" ht="18.95" customHeight="1">
      <c r="A38" s="70">
        <v>3</v>
      </c>
      <c r="B38" s="70" t="s">
        <v>1452</v>
      </c>
      <c r="C38" s="78" t="s">
        <v>2016</v>
      </c>
      <c r="D38" s="86">
        <f>'JURISSEP F'!$E$361</f>
        <v>1404997153</v>
      </c>
      <c r="E38" s="130">
        <f>F38/D38</f>
        <v>0.93818434347992641</v>
      </c>
      <c r="F38" s="86">
        <f>'JURISSEP F'!$G$361</f>
        <v>1318146331.5784707</v>
      </c>
      <c r="G38" s="86">
        <f>'ECR DEFTAX'!$AD4+'DSM DEFTAX'!$AD2</f>
        <v>-341814950.53195554</v>
      </c>
      <c r="H38" s="86">
        <f t="shared" ref="H38" si="4">SUM(F38:G38)</f>
        <v>976331381.04651523</v>
      </c>
    </row>
    <row r="39" spans="1:8" ht="18.95" customHeight="1">
      <c r="A39" s="70"/>
      <c r="B39" s="71"/>
      <c r="C39" s="78"/>
      <c r="D39" s="86"/>
      <c r="E39" s="470"/>
      <c r="F39" s="86"/>
      <c r="G39" s="86"/>
      <c r="H39" s="86"/>
    </row>
    <row r="40" spans="1:8" ht="18.75" customHeight="1">
      <c r="A40" s="70">
        <v>4</v>
      </c>
      <c r="B40" s="70" t="s">
        <v>2265</v>
      </c>
      <c r="C40" s="78" t="s">
        <v>2266</v>
      </c>
      <c r="D40" s="86">
        <f>-'JURISSEP F'!$E$332</f>
        <v>-101937692.82886787</v>
      </c>
      <c r="E40" s="130">
        <f>F40/D40</f>
        <v>0.94512239120166086</v>
      </c>
      <c r="F40" s="86">
        <f>-'JURISSEP F'!$G$332</f>
        <v>-96343596</v>
      </c>
      <c r="G40" s="86">
        <f>-F40</f>
        <v>96343596</v>
      </c>
      <c r="H40" s="86">
        <f t="shared" ref="H40" si="5">SUM(F40:G40)</f>
        <v>0</v>
      </c>
    </row>
    <row r="41" spans="1:8" ht="18.95" customHeight="1">
      <c r="A41" s="70"/>
      <c r="B41" s="70"/>
      <c r="C41" s="78"/>
      <c r="D41" s="86"/>
      <c r="E41" s="130"/>
      <c r="F41" s="86"/>
      <c r="G41" s="86"/>
      <c r="H41" s="86"/>
    </row>
    <row r="42" spans="1:8" ht="18.95" customHeight="1">
      <c r="A42" s="70"/>
      <c r="B42" s="70"/>
      <c r="C42" s="67" t="s">
        <v>2267</v>
      </c>
      <c r="D42" s="86"/>
      <c r="E42" s="86"/>
      <c r="F42" s="86"/>
      <c r="G42" s="86"/>
      <c r="H42" s="86"/>
    </row>
    <row r="43" spans="1:8" ht="18.95" customHeight="1">
      <c r="A43" s="70"/>
      <c r="B43" s="70"/>
      <c r="C43" s="78"/>
      <c r="D43" s="86"/>
      <c r="E43" s="86"/>
      <c r="F43" s="86"/>
      <c r="G43" s="86"/>
      <c r="H43" s="86"/>
    </row>
  </sheetData>
  <mergeCells count="9">
    <mergeCell ref="A1:H1"/>
    <mergeCell ref="A2:H2"/>
    <mergeCell ref="A3:H3"/>
    <mergeCell ref="A4:H4"/>
    <mergeCell ref="D31:H31"/>
    <mergeCell ref="A22:H22"/>
    <mergeCell ref="A23:H23"/>
    <mergeCell ref="A24:H24"/>
    <mergeCell ref="A25:H25"/>
  </mergeCells>
  <pageMargins left="0.95" right="0.5" top="0.75" bottom="0.75" header="0.3" footer="0.3"/>
  <pageSetup scale="69" fitToHeight="0" orientation="portrait" r:id="rId1"/>
  <rowBreaks count="1" manualBreakCount="1">
    <brk id="2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3"/>
  <sheetViews>
    <sheetView zoomScaleNormal="100" workbookViewId="0">
      <selection sqref="A1:F1"/>
    </sheetView>
  </sheetViews>
  <sheetFormatPr defaultColWidth="9" defaultRowHeight="12.75"/>
  <cols>
    <col min="1" max="1" width="6" style="69" customWidth="1"/>
    <col min="2" max="2" width="16.1093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7" t="str">
        <f>'Rate Case Constants'!C9</f>
        <v>KENTUCKY UTILITIES COMPANY</v>
      </c>
      <c r="B1" s="767"/>
      <c r="C1" s="767"/>
      <c r="D1" s="767"/>
      <c r="E1" s="767"/>
      <c r="F1" s="767"/>
    </row>
    <row r="2" spans="1:6" s="68" customFormat="1" ht="20.100000000000001" customHeight="1">
      <c r="A2" s="767" t="str">
        <f>'Rate Case Constants'!C10</f>
        <v>CASE NO. 2018-00294</v>
      </c>
      <c r="B2" s="767"/>
      <c r="C2" s="767"/>
      <c r="D2" s="767"/>
      <c r="E2" s="767"/>
      <c r="F2" s="767"/>
    </row>
    <row r="3" spans="1:6" s="68" customFormat="1" ht="20.100000000000001" customHeight="1">
      <c r="A3" s="767" t="s">
        <v>1455</v>
      </c>
      <c r="B3" s="767"/>
      <c r="C3" s="767"/>
      <c r="D3" s="767"/>
      <c r="E3" s="767"/>
      <c r="F3" s="767"/>
    </row>
    <row r="4" spans="1:6" s="68" customFormat="1" ht="20.100000000000001" customHeight="1">
      <c r="A4" s="766" t="str">
        <f>'Rate Case Constants'!C15</f>
        <v>BASE YEAR FOR THE 12 MONTHS ENDED DECEMBER 31, 2018</v>
      </c>
      <c r="B4" s="766"/>
      <c r="C4" s="766"/>
      <c r="D4" s="766"/>
      <c r="E4" s="766"/>
      <c r="F4" s="766"/>
    </row>
    <row r="5" spans="1:6" s="68" customFormat="1" ht="20.100000000000001" customHeight="1">
      <c r="A5" s="379"/>
      <c r="B5" s="379"/>
      <c r="C5" s="379"/>
      <c r="D5" s="379"/>
      <c r="E5" s="379"/>
      <c r="F5" s="379"/>
    </row>
    <row r="6" spans="1:6" s="68" customFormat="1" ht="20.100000000000001" customHeight="1">
      <c r="A6" s="67" t="s">
        <v>133</v>
      </c>
      <c r="B6" s="67"/>
      <c r="E6" s="380"/>
      <c r="F6" s="74" t="s">
        <v>1454</v>
      </c>
    </row>
    <row r="7" spans="1:6" s="68" customFormat="1" ht="20.100000000000001" customHeight="1">
      <c r="A7" s="68" t="str">
        <f>'Rate Case Constants'!C29</f>
        <v>TYPE OF FILING: __X__ ORIGINAL  _____ UPDATED  _____ REVISED</v>
      </c>
      <c r="E7" s="380"/>
      <c r="F7" s="74" t="s">
        <v>2173</v>
      </c>
    </row>
    <row r="8" spans="1:6" s="68" customFormat="1" ht="20.100000000000001" customHeight="1">
      <c r="A8" s="67" t="s">
        <v>1416</v>
      </c>
      <c r="B8" s="67"/>
      <c r="E8" s="380"/>
      <c r="F8" s="75" t="str">
        <f>'Rate Case Constants'!C37</f>
        <v>WITNESS:   C. M. GARRETT</v>
      </c>
    </row>
    <row r="9" spans="1:6" s="68" customFormat="1" ht="20.100000000000001" customHeight="1">
      <c r="E9" s="380"/>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B'!G1245</f>
        <v>0.89020970434593893</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0.89020970434593893</v>
      </c>
      <c r="E16" s="363" t="s">
        <v>296</v>
      </c>
      <c r="F16" s="376" t="s">
        <v>2105</v>
      </c>
    </row>
    <row r="17" spans="1:6" ht="18.95" customHeight="1">
      <c r="A17" s="70"/>
      <c r="B17" s="70"/>
      <c r="D17" s="130"/>
      <c r="E17" s="363"/>
      <c r="F17" s="86"/>
    </row>
    <row r="18" spans="1:6" ht="18.95" customHeight="1">
      <c r="A18" s="70">
        <f>A16+1</f>
        <v>6</v>
      </c>
      <c r="B18" s="70"/>
      <c r="C18" s="386" t="s">
        <v>72</v>
      </c>
      <c r="D18" s="130"/>
    </row>
    <row r="19" spans="1:6" ht="18.95" customHeight="1">
      <c r="A19" s="70">
        <f t="shared" si="0"/>
        <v>7</v>
      </c>
      <c r="B19" s="71" t="s">
        <v>1626</v>
      </c>
      <c r="C19" s="78" t="s">
        <v>154</v>
      </c>
      <c r="D19" s="130">
        <f>'JURISSEP B'!G1153</f>
        <v>0.87673530496058716</v>
      </c>
      <c r="E19" s="363" t="s">
        <v>304</v>
      </c>
      <c r="F19" s="376" t="s">
        <v>2108</v>
      </c>
    </row>
    <row r="20" spans="1:6" ht="18.95" customHeight="1">
      <c r="A20" s="70">
        <f t="shared" si="0"/>
        <v>8</v>
      </c>
      <c r="B20" s="71" t="s">
        <v>1627</v>
      </c>
      <c r="C20" s="78" t="s">
        <v>148</v>
      </c>
      <c r="D20" s="130">
        <f>D$19</f>
        <v>0.87673530496058716</v>
      </c>
      <c r="E20" s="363" t="s">
        <v>304</v>
      </c>
      <c r="F20" s="376" t="s">
        <v>2108</v>
      </c>
    </row>
    <row r="21" spans="1:6" ht="18.95" customHeight="1">
      <c r="A21" s="70">
        <f t="shared" si="0"/>
        <v>9</v>
      </c>
      <c r="B21" s="71" t="s">
        <v>1628</v>
      </c>
      <c r="C21" s="78" t="s">
        <v>1629</v>
      </c>
      <c r="D21" s="130">
        <f t="shared" ref="D21:D26" si="1">D$19</f>
        <v>0.87673530496058716</v>
      </c>
      <c r="E21" s="363" t="s">
        <v>304</v>
      </c>
      <c r="F21" s="376" t="s">
        <v>2108</v>
      </c>
    </row>
    <row r="22" spans="1:6" ht="18.95" customHeight="1">
      <c r="A22" s="70">
        <f>A20+1</f>
        <v>9</v>
      </c>
      <c r="B22" s="71">
        <v>313</v>
      </c>
      <c r="C22" s="78" t="s">
        <v>144</v>
      </c>
      <c r="D22" s="130">
        <f t="shared" si="1"/>
        <v>0.87673530496058716</v>
      </c>
      <c r="E22" s="363" t="s">
        <v>304</v>
      </c>
      <c r="F22" s="376" t="s">
        <v>2108</v>
      </c>
    </row>
    <row r="23" spans="1:6" ht="18.95" customHeight="1">
      <c r="A23" s="70">
        <f>A21+1</f>
        <v>10</v>
      </c>
      <c r="B23" s="71" t="s">
        <v>1630</v>
      </c>
      <c r="C23" s="78" t="s">
        <v>1631</v>
      </c>
      <c r="D23" s="130">
        <f t="shared" si="1"/>
        <v>0.87673530496058716</v>
      </c>
      <c r="E23" s="363" t="s">
        <v>304</v>
      </c>
      <c r="F23" s="376" t="s">
        <v>2108</v>
      </c>
    </row>
    <row r="24" spans="1:6" ht="18.95" customHeight="1">
      <c r="A24" s="70">
        <f t="shared" si="0"/>
        <v>11</v>
      </c>
      <c r="B24" s="71" t="s">
        <v>1632</v>
      </c>
      <c r="C24" s="78" t="s">
        <v>1633</v>
      </c>
      <c r="D24" s="130">
        <f t="shared" si="1"/>
        <v>0.87673530496058716</v>
      </c>
      <c r="E24" s="363" t="s">
        <v>304</v>
      </c>
      <c r="F24" s="376" t="s">
        <v>2108</v>
      </c>
    </row>
    <row r="25" spans="1:6" ht="18.95" customHeight="1">
      <c r="A25" s="70">
        <f t="shared" si="0"/>
        <v>12</v>
      </c>
      <c r="B25" s="71" t="s">
        <v>1634</v>
      </c>
      <c r="C25" s="78" t="s">
        <v>1635</v>
      </c>
      <c r="D25" s="130">
        <f t="shared" si="1"/>
        <v>0.87673530496058716</v>
      </c>
      <c r="E25" s="363" t="s">
        <v>304</v>
      </c>
      <c r="F25" s="376" t="s">
        <v>2108</v>
      </c>
    </row>
    <row r="26" spans="1:6" ht="18.95" customHeight="1">
      <c r="A26" s="70">
        <f>A25+1</f>
        <v>13</v>
      </c>
      <c r="B26" s="71" t="s">
        <v>1636</v>
      </c>
      <c r="C26" s="78" t="s">
        <v>1655</v>
      </c>
      <c r="D26" s="130">
        <f t="shared" si="1"/>
        <v>0.87673530496058716</v>
      </c>
      <c r="E26" s="363" t="s">
        <v>304</v>
      </c>
      <c r="F26" s="376" t="s">
        <v>2108</v>
      </c>
    </row>
    <row r="27" spans="1:6" ht="18.95" customHeight="1">
      <c r="A27" s="70">
        <f>A26+1</f>
        <v>14</v>
      </c>
      <c r="B27" s="384" t="s">
        <v>2123</v>
      </c>
      <c r="C27" s="78" t="s">
        <v>2103</v>
      </c>
      <c r="D27" s="130">
        <v>0</v>
      </c>
      <c r="E27" s="363" t="s">
        <v>312</v>
      </c>
      <c r="F27" s="699" t="s">
        <v>2106</v>
      </c>
    </row>
    <row r="28" spans="1:6" ht="18.95" customHeight="1">
      <c r="A28" s="70"/>
      <c r="C28" s="78"/>
      <c r="D28" s="130"/>
    </row>
    <row r="29" spans="1:6" ht="18.95" customHeight="1">
      <c r="A29" s="70">
        <f>A27+1</f>
        <v>15</v>
      </c>
      <c r="C29" s="386" t="s">
        <v>47</v>
      </c>
      <c r="D29" s="130"/>
    </row>
    <row r="30" spans="1:6" ht="18.95" customHeight="1">
      <c r="A30" s="70">
        <f t="shared" si="0"/>
        <v>16</v>
      </c>
      <c r="B30" s="71" t="s">
        <v>1637</v>
      </c>
      <c r="C30" s="78" t="s">
        <v>154</v>
      </c>
      <c r="D30" s="130">
        <f t="shared" ref="D30:D37" si="2">D$19</f>
        <v>0.87673530496058716</v>
      </c>
      <c r="E30" s="363" t="s">
        <v>304</v>
      </c>
      <c r="F30" s="376" t="s">
        <v>2108</v>
      </c>
    </row>
    <row r="31" spans="1:6" ht="18.95" customHeight="1">
      <c r="A31" s="70">
        <f t="shared" si="0"/>
        <v>17</v>
      </c>
      <c r="B31" s="71" t="s">
        <v>1638</v>
      </c>
      <c r="C31" s="78" t="s">
        <v>148</v>
      </c>
      <c r="D31" s="130">
        <f t="shared" si="2"/>
        <v>0.87673530496058716</v>
      </c>
      <c r="E31" s="363" t="s">
        <v>304</v>
      </c>
      <c r="F31" s="376" t="s">
        <v>2108</v>
      </c>
    </row>
    <row r="32" spans="1:6" ht="18.95" customHeight="1">
      <c r="A32" s="70">
        <f t="shared" si="0"/>
        <v>18</v>
      </c>
      <c r="B32" s="71" t="s">
        <v>1639</v>
      </c>
      <c r="C32" s="78" t="s">
        <v>1640</v>
      </c>
      <c r="D32" s="130">
        <f t="shared" si="2"/>
        <v>0.87673530496058716</v>
      </c>
      <c r="E32" s="363" t="s">
        <v>304</v>
      </c>
      <c r="F32" s="376" t="s">
        <v>2108</v>
      </c>
    </row>
    <row r="33" spans="1:6" ht="18.95" customHeight="1">
      <c r="A33" s="70">
        <f t="shared" si="0"/>
        <v>19</v>
      </c>
      <c r="B33" s="71" t="s">
        <v>1641</v>
      </c>
      <c r="C33" s="78" t="s">
        <v>1642</v>
      </c>
      <c r="D33" s="130">
        <f t="shared" si="2"/>
        <v>0.87673530496058716</v>
      </c>
      <c r="E33" s="363" t="s">
        <v>304</v>
      </c>
      <c r="F33" s="376" t="s">
        <v>2108</v>
      </c>
    </row>
    <row r="34" spans="1:6" ht="18.95" customHeight="1">
      <c r="A34" s="70">
        <f t="shared" si="0"/>
        <v>20</v>
      </c>
      <c r="B34" s="71" t="s">
        <v>1643</v>
      </c>
      <c r="C34" s="78" t="s">
        <v>1633</v>
      </c>
      <c r="D34" s="130">
        <f t="shared" si="2"/>
        <v>0.87673530496058716</v>
      </c>
      <c r="E34" s="363" t="s">
        <v>304</v>
      </c>
      <c r="F34" s="376" t="s">
        <v>2108</v>
      </c>
    </row>
    <row r="35" spans="1:6" ht="18.95" customHeight="1">
      <c r="A35" s="70">
        <f t="shared" si="0"/>
        <v>21</v>
      </c>
      <c r="B35" s="71" t="s">
        <v>1644</v>
      </c>
      <c r="C35" s="78" t="s">
        <v>1645</v>
      </c>
      <c r="D35" s="130">
        <f t="shared" si="2"/>
        <v>0.87673530496058716</v>
      </c>
      <c r="E35" s="363" t="s">
        <v>304</v>
      </c>
      <c r="F35" s="376" t="s">
        <v>2108</v>
      </c>
    </row>
    <row r="36" spans="1:6" ht="18.95" customHeight="1">
      <c r="A36" s="70">
        <f t="shared" si="0"/>
        <v>22</v>
      </c>
      <c r="B36" s="71" t="s">
        <v>1646</v>
      </c>
      <c r="C36" s="78" t="s">
        <v>1647</v>
      </c>
      <c r="D36" s="130">
        <f t="shared" si="2"/>
        <v>0.87673530496058716</v>
      </c>
      <c r="E36" s="363" t="s">
        <v>304</v>
      </c>
      <c r="F36" s="376" t="s">
        <v>2108</v>
      </c>
    </row>
    <row r="37" spans="1:6" ht="18.95" customHeight="1">
      <c r="A37" s="70">
        <f t="shared" si="0"/>
        <v>23</v>
      </c>
      <c r="B37" s="71" t="s">
        <v>1648</v>
      </c>
      <c r="C37" s="78" t="s">
        <v>1656</v>
      </c>
      <c r="D37" s="130">
        <f t="shared" si="2"/>
        <v>0.87673530496058716</v>
      </c>
      <c r="E37" s="363" t="s">
        <v>304</v>
      </c>
      <c r="F37" s="376" t="s">
        <v>2108</v>
      </c>
    </row>
    <row r="38" spans="1:6" ht="18.95" customHeight="1">
      <c r="A38" s="70">
        <f>A37+1</f>
        <v>24</v>
      </c>
      <c r="B38" s="384" t="s">
        <v>2124</v>
      </c>
      <c r="C38" s="78" t="s">
        <v>2103</v>
      </c>
      <c r="D38" s="130">
        <v>0</v>
      </c>
      <c r="E38" s="363" t="s">
        <v>312</v>
      </c>
      <c r="F38" s="699" t="s">
        <v>2106</v>
      </c>
    </row>
    <row r="39" spans="1:6" ht="18.95" customHeight="1">
      <c r="A39" s="70"/>
      <c r="B39" s="71"/>
      <c r="C39" s="78"/>
      <c r="D39" s="130"/>
    </row>
    <row r="40" spans="1:6" ht="18.95" customHeight="1">
      <c r="A40" s="70">
        <f>A38+1</f>
        <v>25</v>
      </c>
      <c r="C40" s="386" t="s">
        <v>61</v>
      </c>
      <c r="D40" s="130"/>
    </row>
    <row r="41" spans="1:6" ht="18.95" customHeight="1">
      <c r="A41" s="70">
        <f t="shared" si="0"/>
        <v>26</v>
      </c>
      <c r="B41" s="71" t="s">
        <v>1649</v>
      </c>
      <c r="C41" s="78" t="s">
        <v>154</v>
      </c>
      <c r="D41" s="130">
        <f t="shared" ref="D41:D48" si="3">D$19</f>
        <v>0.87673530496058716</v>
      </c>
      <c r="E41" s="363" t="s">
        <v>304</v>
      </c>
      <c r="F41" s="376" t="s">
        <v>2108</v>
      </c>
    </row>
    <row r="42" spans="1:6" ht="18.95" customHeight="1">
      <c r="A42" s="70">
        <f t="shared" si="0"/>
        <v>27</v>
      </c>
      <c r="B42" s="71" t="s">
        <v>1650</v>
      </c>
      <c r="C42" s="78" t="s">
        <v>148</v>
      </c>
      <c r="D42" s="130">
        <f t="shared" si="3"/>
        <v>0.87673530496058716</v>
      </c>
      <c r="E42" s="363" t="s">
        <v>304</v>
      </c>
      <c r="F42" s="376" t="s">
        <v>2108</v>
      </c>
    </row>
    <row r="43" spans="1:6" ht="18.95" customHeight="1">
      <c r="A43" s="70">
        <f t="shared" si="0"/>
        <v>28</v>
      </c>
      <c r="B43" s="71" t="s">
        <v>1651</v>
      </c>
      <c r="C43" s="78" t="s">
        <v>1652</v>
      </c>
      <c r="D43" s="130">
        <f t="shared" si="3"/>
        <v>0.87673530496058716</v>
      </c>
      <c r="E43" s="363" t="s">
        <v>304</v>
      </c>
      <c r="F43" s="376" t="s">
        <v>2108</v>
      </c>
    </row>
    <row r="44" spans="1:6" ht="18.95" customHeight="1">
      <c r="A44" s="70">
        <f t="shared" si="0"/>
        <v>29</v>
      </c>
      <c r="B44" s="71" t="s">
        <v>1653</v>
      </c>
      <c r="C44" s="78" t="s">
        <v>1654</v>
      </c>
      <c r="D44" s="130">
        <f t="shared" si="3"/>
        <v>0.87673530496058716</v>
      </c>
      <c r="E44" s="363" t="s">
        <v>304</v>
      </c>
      <c r="F44" s="376" t="s">
        <v>2108</v>
      </c>
    </row>
    <row r="45" spans="1:6" ht="18.95" customHeight="1">
      <c r="A45" s="70">
        <f>A44+1</f>
        <v>30</v>
      </c>
      <c r="B45" s="71" t="s">
        <v>1657</v>
      </c>
      <c r="C45" s="78" t="s">
        <v>1658</v>
      </c>
      <c r="D45" s="130">
        <f t="shared" si="3"/>
        <v>0.87673530496058716</v>
      </c>
      <c r="E45" s="363" t="s">
        <v>304</v>
      </c>
      <c r="F45" s="376" t="s">
        <v>2108</v>
      </c>
    </row>
    <row r="46" spans="1:6" ht="18.95" customHeight="1">
      <c r="A46" s="70">
        <f t="shared" si="0"/>
        <v>31</v>
      </c>
      <c r="B46" s="71" t="s">
        <v>1659</v>
      </c>
      <c r="C46" s="78" t="s">
        <v>1633</v>
      </c>
      <c r="D46" s="130">
        <f t="shared" si="3"/>
        <v>0.87673530496058716</v>
      </c>
      <c r="E46" s="363" t="s">
        <v>304</v>
      </c>
      <c r="F46" s="376" t="s">
        <v>2108</v>
      </c>
    </row>
    <row r="47" spans="1:6" ht="18.95" customHeight="1">
      <c r="A47" s="70">
        <f t="shared" si="0"/>
        <v>32</v>
      </c>
      <c r="B47" s="71" t="s">
        <v>1660</v>
      </c>
      <c r="C47" s="78" t="s">
        <v>1645</v>
      </c>
      <c r="D47" s="130">
        <f t="shared" si="3"/>
        <v>0.87673530496058716</v>
      </c>
      <c r="E47" s="363" t="s">
        <v>304</v>
      </c>
      <c r="F47" s="376" t="s">
        <v>2108</v>
      </c>
    </row>
    <row r="48" spans="1:6" ht="18.95" customHeight="1">
      <c r="A48" s="70">
        <f t="shared" si="0"/>
        <v>33</v>
      </c>
      <c r="B48" s="71" t="s">
        <v>1661</v>
      </c>
      <c r="C48" s="78" t="s">
        <v>1696</v>
      </c>
      <c r="D48" s="130">
        <f t="shared" si="3"/>
        <v>0.87673530496058716</v>
      </c>
      <c r="E48" s="363" t="s">
        <v>304</v>
      </c>
      <c r="F48" s="376" t="s">
        <v>2108</v>
      </c>
    </row>
    <row r="49" spans="1:6" ht="18.95" customHeight="1">
      <c r="A49" s="70">
        <f>A48+1</f>
        <v>34</v>
      </c>
      <c r="B49" s="384" t="s">
        <v>2125</v>
      </c>
      <c r="C49" s="78" t="s">
        <v>2103</v>
      </c>
      <c r="D49" s="130">
        <v>0</v>
      </c>
      <c r="E49" s="363" t="s">
        <v>312</v>
      </c>
      <c r="F49" s="699" t="s">
        <v>2106</v>
      </c>
    </row>
    <row r="50" spans="1:6" ht="18.95" customHeight="1">
      <c r="D50" s="130"/>
    </row>
    <row r="51" spans="1:6" ht="18.95" customHeight="1">
      <c r="A51" s="70">
        <f>A49+1</f>
        <v>35</v>
      </c>
      <c r="C51" s="386" t="s">
        <v>84</v>
      </c>
      <c r="D51" s="130"/>
    </row>
    <row r="52" spans="1:6" ht="18.95" customHeight="1">
      <c r="A52" s="70">
        <f>A51+1</f>
        <v>36</v>
      </c>
      <c r="C52" s="387" t="s">
        <v>2107</v>
      </c>
      <c r="D52" s="130"/>
    </row>
    <row r="53" spans="1:6" ht="18.95" customHeight="1">
      <c r="A53" s="70">
        <f>A52+1</f>
        <v>37</v>
      </c>
      <c r="B53" s="71" t="s">
        <v>1662</v>
      </c>
      <c r="C53" s="78" t="s">
        <v>154</v>
      </c>
      <c r="D53" s="130">
        <f>'JURISSEP B'!G1162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67" t="str">
        <f>A$1</f>
        <v>KENTUCKY UTILITIES COMPANY</v>
      </c>
      <c r="B61" s="767"/>
      <c r="C61" s="767"/>
      <c r="D61" s="767"/>
      <c r="E61" s="767"/>
      <c r="F61" s="767"/>
    </row>
    <row r="62" spans="1:6" s="68" customFormat="1" ht="20.100000000000001" customHeight="1">
      <c r="A62" s="767" t="str">
        <f>A$2</f>
        <v>CASE NO. 2018-00294</v>
      </c>
      <c r="B62" s="767"/>
      <c r="C62" s="767"/>
      <c r="D62" s="767"/>
      <c r="E62" s="767"/>
      <c r="F62" s="767"/>
    </row>
    <row r="63" spans="1:6" s="68" customFormat="1" ht="20.100000000000001" customHeight="1">
      <c r="A63" s="767" t="s">
        <v>1455</v>
      </c>
      <c r="B63" s="767"/>
      <c r="C63" s="767"/>
      <c r="D63" s="767"/>
      <c r="E63" s="767"/>
      <c r="F63" s="767"/>
    </row>
    <row r="64" spans="1:6" s="68" customFormat="1" ht="20.100000000000001" customHeight="1">
      <c r="A64" s="766" t="str">
        <f>A$4</f>
        <v>BASE YEAR FOR THE 12 MONTHS ENDED DECEMBER 31, 2018</v>
      </c>
      <c r="B64" s="767"/>
      <c r="C64" s="767"/>
      <c r="D64" s="767"/>
      <c r="E64" s="767"/>
      <c r="F64" s="767"/>
    </row>
    <row r="65" spans="1:6" s="68" customFormat="1" ht="20.100000000000001" customHeight="1">
      <c r="A65" s="379"/>
      <c r="B65" s="379"/>
      <c r="C65" s="379"/>
      <c r="D65" s="379"/>
      <c r="E65" s="379"/>
      <c r="F65" s="379"/>
    </row>
    <row r="66" spans="1:6" s="68" customFormat="1" ht="20.100000000000001" customHeight="1">
      <c r="A66" s="67" t="str">
        <f>A$6</f>
        <v>DATA:__X__BASE  PERIOD____FORECASTED  PERIOD</v>
      </c>
      <c r="B66" s="67"/>
      <c r="E66" s="380"/>
      <c r="F66" s="74" t="s">
        <v>1454</v>
      </c>
    </row>
    <row r="67" spans="1:6" s="68" customFormat="1" ht="20.100000000000001" customHeight="1">
      <c r="A67" s="67" t="str">
        <f>A$7</f>
        <v>TYPE OF FILING: __X__ ORIGINAL  _____ UPDATED  _____ REVISED</v>
      </c>
      <c r="E67" s="380"/>
      <c r="F67" s="74" t="s">
        <v>2174</v>
      </c>
    </row>
    <row r="68" spans="1:6" s="68" customFormat="1" ht="20.100000000000001" customHeight="1">
      <c r="A68" s="67" t="str">
        <f>A$8</f>
        <v xml:space="preserve">WORKPAPER REFERENCE NO(S).: </v>
      </c>
      <c r="B68" s="67"/>
      <c r="E68" s="380"/>
      <c r="F68" s="75" t="str">
        <f>F$8</f>
        <v>WITNESS:   C. M. GARRETT</v>
      </c>
    </row>
    <row r="69" spans="1:6" s="68" customFormat="1" ht="20.100000000000001" customHeight="1">
      <c r="E69" s="380"/>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v>0</v>
      </c>
      <c r="E73" s="363" t="s">
        <v>312</v>
      </c>
      <c r="F73" s="699" t="s">
        <v>2106</v>
      </c>
    </row>
    <row r="74" spans="1:6" ht="18.95" customHeight="1">
      <c r="A74" s="70"/>
      <c r="B74" s="71"/>
      <c r="D74" s="130"/>
    </row>
    <row r="75" spans="1:6" ht="18.95" customHeight="1">
      <c r="A75" s="70">
        <f>A73+1</f>
        <v>47</v>
      </c>
      <c r="C75" s="387"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6" t="s">
        <v>16</v>
      </c>
      <c r="D84" s="130"/>
    </row>
    <row r="85" spans="1:6" ht="18.95" customHeight="1">
      <c r="A85" s="70">
        <f>A84+1</f>
        <v>48</v>
      </c>
      <c r="C85" s="387" t="s">
        <v>2107</v>
      </c>
      <c r="D85" s="130"/>
    </row>
    <row r="86" spans="1:6" ht="18.95" customHeight="1">
      <c r="A86" s="70">
        <f>A85+1</f>
        <v>49</v>
      </c>
      <c r="B86" s="71" t="s">
        <v>1676</v>
      </c>
      <c r="C86" s="78" t="s">
        <v>154</v>
      </c>
      <c r="D86" s="130">
        <f>'JURISSEP B'!G1167</f>
        <v>0.99900244778853997</v>
      </c>
      <c r="E86" s="363" t="s">
        <v>733</v>
      </c>
      <c r="F86" s="376" t="s">
        <v>2114</v>
      </c>
    </row>
    <row r="87" spans="1:6" ht="18.95" customHeight="1">
      <c r="A87" s="70">
        <f t="shared" si="4"/>
        <v>50</v>
      </c>
      <c r="B87" s="71" t="s">
        <v>1677</v>
      </c>
      <c r="C87" s="78" t="s">
        <v>148</v>
      </c>
      <c r="D87" s="130">
        <f>'JURISSEP B'!G1168</f>
        <v>0.98241797145821541</v>
      </c>
      <c r="E87" s="363" t="s">
        <v>733</v>
      </c>
      <c r="F87" s="376" t="s">
        <v>2114</v>
      </c>
    </row>
    <row r="88" spans="1:6" ht="18.95" customHeight="1">
      <c r="A88" s="70">
        <f t="shared" si="4"/>
        <v>51</v>
      </c>
      <c r="B88" s="71" t="s">
        <v>1678</v>
      </c>
      <c r="C88" s="78" t="s">
        <v>1679</v>
      </c>
      <c r="D88" s="130">
        <f>'JURISSEP B'!G1169</f>
        <v>0.98596554072711895</v>
      </c>
      <c r="E88" s="363" t="s">
        <v>733</v>
      </c>
      <c r="F88" s="376" t="s">
        <v>2114</v>
      </c>
    </row>
    <row r="89" spans="1:6" ht="18.95" customHeight="1">
      <c r="A89" s="70">
        <f t="shared" si="4"/>
        <v>52</v>
      </c>
      <c r="B89" s="71" t="s">
        <v>1680</v>
      </c>
      <c r="C89" s="78" t="s">
        <v>1681</v>
      </c>
      <c r="D89" s="130">
        <f>'JURISSEP B'!G1170</f>
        <v>1</v>
      </c>
      <c r="E89" s="363" t="s">
        <v>733</v>
      </c>
      <c r="F89" s="376" t="s">
        <v>2113</v>
      </c>
    </row>
    <row r="90" spans="1:6" ht="18.95" customHeight="1">
      <c r="A90" s="70">
        <f t="shared" si="4"/>
        <v>53</v>
      </c>
      <c r="B90" s="71" t="s">
        <v>1682</v>
      </c>
      <c r="C90" s="78" t="s">
        <v>1670</v>
      </c>
      <c r="D90" s="130">
        <f>'JURISSEP B'!G1171</f>
        <v>1</v>
      </c>
      <c r="E90" s="363" t="s">
        <v>733</v>
      </c>
      <c r="F90" s="376" t="s">
        <v>2113</v>
      </c>
    </row>
    <row r="91" spans="1:6" ht="18.95" customHeight="1">
      <c r="A91" s="70">
        <f t="shared" si="4"/>
        <v>54</v>
      </c>
      <c r="B91" s="71" t="s">
        <v>1683</v>
      </c>
      <c r="C91" s="78" t="s">
        <v>1672</v>
      </c>
      <c r="D91" s="130">
        <f>'JURISSEP B'!G1172</f>
        <v>1</v>
      </c>
      <c r="E91" s="363" t="s">
        <v>733</v>
      </c>
      <c r="F91" s="376" t="s">
        <v>2113</v>
      </c>
    </row>
    <row r="92" spans="1:6" ht="18.95" customHeight="1">
      <c r="A92" s="70">
        <f t="shared" si="4"/>
        <v>55</v>
      </c>
      <c r="B92" s="71" t="s">
        <v>1684</v>
      </c>
      <c r="C92" s="78" t="s">
        <v>1674</v>
      </c>
      <c r="D92" s="130">
        <f>'JURISSEP B'!G1173</f>
        <v>1</v>
      </c>
      <c r="E92" s="363" t="s">
        <v>733</v>
      </c>
      <c r="F92" s="376" t="s">
        <v>2113</v>
      </c>
    </row>
    <row r="93" spans="1:6" ht="18.95" customHeight="1">
      <c r="A93" s="70">
        <f t="shared" si="4"/>
        <v>56</v>
      </c>
      <c r="B93" s="71" t="s">
        <v>1685</v>
      </c>
      <c r="C93" s="78" t="s">
        <v>1686</v>
      </c>
      <c r="D93" s="130">
        <f>'JURISSEP B'!G171/'JURISSEP B'!E171</f>
        <v>1</v>
      </c>
      <c r="E93" s="363" t="s">
        <v>733</v>
      </c>
      <c r="F93" s="376" t="s">
        <v>2113</v>
      </c>
    </row>
    <row r="94" spans="1:6" ht="18.95" customHeight="1">
      <c r="A94" s="70">
        <f t="shared" si="4"/>
        <v>57</v>
      </c>
      <c r="B94" s="71" t="s">
        <v>1687</v>
      </c>
      <c r="C94" s="78" t="s">
        <v>1688</v>
      </c>
      <c r="D94" s="130">
        <f>'JURISSEP B'!G172/'JURISSEP B'!E172</f>
        <v>1</v>
      </c>
      <c r="E94" s="363" t="s">
        <v>733</v>
      </c>
      <c r="F94" s="376" t="s">
        <v>2113</v>
      </c>
    </row>
    <row r="95" spans="1:6" ht="18.95" customHeight="1">
      <c r="A95" s="70">
        <f>A94+1</f>
        <v>58</v>
      </c>
      <c r="B95" s="71" t="s">
        <v>1689</v>
      </c>
      <c r="C95" s="78" t="s">
        <v>1690</v>
      </c>
      <c r="D95" s="130">
        <f>'JURISSEP B'!G173/'JURISSEP B'!E173</f>
        <v>0.99558113479196875</v>
      </c>
      <c r="E95" s="363" t="s">
        <v>733</v>
      </c>
      <c r="F95" s="376" t="s">
        <v>2114</v>
      </c>
    </row>
    <row r="96" spans="1:6" ht="18.95" customHeight="1">
      <c r="A96" s="70">
        <f t="shared" si="4"/>
        <v>59</v>
      </c>
      <c r="B96" s="71" t="s">
        <v>1691</v>
      </c>
      <c r="C96" s="78" t="s">
        <v>1692</v>
      </c>
      <c r="D96" s="130">
        <f>'JURISSEP B'!G174/'JURISSEP B'!E174</f>
        <v>1</v>
      </c>
      <c r="E96" s="363" t="s">
        <v>733</v>
      </c>
      <c r="F96" s="376" t="s">
        <v>2113</v>
      </c>
    </row>
    <row r="97" spans="1:6" ht="18.95" customHeight="1">
      <c r="A97" s="70">
        <f t="shared" si="4"/>
        <v>60</v>
      </c>
      <c r="B97" s="71" t="s">
        <v>1693</v>
      </c>
      <c r="C97" s="78" t="s">
        <v>1694</v>
      </c>
      <c r="D97" s="130">
        <f>'JURISSEP B'!G175/'JURISSEP B'!E175</f>
        <v>1</v>
      </c>
      <c r="E97" s="363" t="s">
        <v>733</v>
      </c>
      <c r="F97" s="376" t="s">
        <v>2113</v>
      </c>
    </row>
    <row r="98" spans="1:6" ht="18.95" customHeight="1">
      <c r="A98" s="70">
        <f t="shared" si="4"/>
        <v>61</v>
      </c>
      <c r="B98" s="71" t="s">
        <v>1695</v>
      </c>
      <c r="C98" s="78" t="s">
        <v>151</v>
      </c>
      <c r="D98" s="130">
        <f>'JURISSEP B'!G176/'JURISSEP B'!E176</f>
        <v>1</v>
      </c>
      <c r="E98" s="363" t="s">
        <v>733</v>
      </c>
      <c r="F98" s="376" t="s">
        <v>2113</v>
      </c>
    </row>
    <row r="99" spans="1:6" ht="18.95" customHeight="1">
      <c r="A99" s="70"/>
      <c r="B99" s="71"/>
      <c r="C99" s="78"/>
      <c r="D99" s="130"/>
    </row>
    <row r="100" spans="1:6" ht="18.95" customHeight="1">
      <c r="A100" s="70">
        <f>A98+1</f>
        <v>62</v>
      </c>
      <c r="C100" s="387"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7"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67" t="str">
        <f>A$1</f>
        <v>KENTUCKY UTILITIES COMPANY</v>
      </c>
      <c r="B122" s="767"/>
      <c r="C122" s="767"/>
      <c r="D122" s="767"/>
      <c r="E122" s="767"/>
      <c r="F122" s="767"/>
    </row>
    <row r="123" spans="1:6" s="68" customFormat="1" ht="20.100000000000001" customHeight="1">
      <c r="A123" s="767" t="str">
        <f>A$2</f>
        <v>CASE NO. 2018-00294</v>
      </c>
      <c r="B123" s="767"/>
      <c r="C123" s="767"/>
      <c r="D123" s="767"/>
      <c r="E123" s="767"/>
      <c r="F123" s="767"/>
    </row>
    <row r="124" spans="1:6" s="68" customFormat="1" ht="20.100000000000001" customHeight="1">
      <c r="A124" s="767" t="s">
        <v>1455</v>
      </c>
      <c r="B124" s="767"/>
      <c r="C124" s="767"/>
      <c r="D124" s="767"/>
      <c r="E124" s="767"/>
      <c r="F124" s="767"/>
    </row>
    <row r="125" spans="1:6" s="68" customFormat="1" ht="20.100000000000001" customHeight="1">
      <c r="A125" s="766" t="str">
        <f>A$4</f>
        <v>BASE YEAR FOR THE 12 MONTHS ENDED DECEMBER 31, 2018</v>
      </c>
      <c r="B125" s="767"/>
      <c r="C125" s="767"/>
      <c r="D125" s="767"/>
      <c r="E125" s="767"/>
      <c r="F125" s="767"/>
    </row>
    <row r="126" spans="1:6" s="68" customFormat="1" ht="20.100000000000001" customHeight="1">
      <c r="A126" s="379"/>
      <c r="B126" s="379"/>
      <c r="C126" s="379"/>
      <c r="D126" s="379"/>
      <c r="E126" s="379"/>
      <c r="F126" s="379"/>
    </row>
    <row r="127" spans="1:6" s="68" customFormat="1" ht="20.100000000000001" customHeight="1">
      <c r="A127" s="67" t="str">
        <f>A$6</f>
        <v>DATA:__X__BASE  PERIOD____FORECASTED  PERIOD</v>
      </c>
      <c r="B127" s="67"/>
      <c r="E127" s="380"/>
      <c r="F127" s="74" t="s">
        <v>1454</v>
      </c>
    </row>
    <row r="128" spans="1:6" s="68" customFormat="1" ht="20.100000000000001" customHeight="1">
      <c r="A128" s="67" t="str">
        <f>A$7</f>
        <v>TYPE OF FILING: __X__ ORIGINAL  _____ UPDATED  _____ REVISED</v>
      </c>
      <c r="E128" s="380"/>
      <c r="F128" s="74" t="s">
        <v>2175</v>
      </c>
    </row>
    <row r="129" spans="1:6" s="68" customFormat="1" ht="20.100000000000001" customHeight="1">
      <c r="A129" s="67" t="str">
        <f>A$8</f>
        <v xml:space="preserve">WORKPAPER REFERENCE NO(S).: </v>
      </c>
      <c r="B129" s="67"/>
      <c r="E129" s="380"/>
      <c r="F129" s="75" t="str">
        <f>F$8</f>
        <v>WITNESS:   C. M. GARRETT</v>
      </c>
    </row>
    <row r="130" spans="1:6" s="68" customFormat="1" ht="20.100000000000001" customHeight="1">
      <c r="E130" s="380"/>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6" t="s">
        <v>32</v>
      </c>
      <c r="D138" s="130"/>
      <c r="E138" s="363"/>
    </row>
    <row r="139" spans="1:6" ht="18.95" customHeight="1">
      <c r="A139" s="70">
        <f t="shared" ref="A139:A147" si="9">A138+1</f>
        <v>88</v>
      </c>
      <c r="B139" s="71" t="s">
        <v>1697</v>
      </c>
      <c r="C139" s="78" t="s">
        <v>154</v>
      </c>
      <c r="D139" s="130">
        <f>'JURISSEP B'!G213/'JURISSEP B'!E213</f>
        <v>0.90503374622094968</v>
      </c>
      <c r="E139" s="363" t="s">
        <v>419</v>
      </c>
      <c r="F139" s="376" t="s">
        <v>2118</v>
      </c>
    </row>
    <row r="140" spans="1:6" ht="18.95" customHeight="1">
      <c r="A140" s="70">
        <f t="shared" si="9"/>
        <v>89</v>
      </c>
      <c r="B140" s="71" t="s">
        <v>1698</v>
      </c>
      <c r="C140" s="78" t="s">
        <v>148</v>
      </c>
      <c r="D140" s="130">
        <f>'JURISSEP B'!G214/'JURISSEP B'!E214</f>
        <v>0.90503374622094968</v>
      </c>
      <c r="E140" s="363" t="s">
        <v>419</v>
      </c>
      <c r="F140" s="376" t="s">
        <v>2118</v>
      </c>
    </row>
    <row r="141" spans="1:6" ht="18.95" customHeight="1">
      <c r="A141" s="70">
        <f t="shared" si="9"/>
        <v>90</v>
      </c>
      <c r="B141" s="71" t="s">
        <v>1699</v>
      </c>
      <c r="C141" s="78" t="s">
        <v>156</v>
      </c>
      <c r="D141" s="130">
        <f>'JURISSEP B'!G215/'JURISSEP B'!E215</f>
        <v>0.90503374622094956</v>
      </c>
      <c r="E141" s="363" t="s">
        <v>419</v>
      </c>
      <c r="F141" s="376" t="s">
        <v>2118</v>
      </c>
    </row>
    <row r="142" spans="1:6" ht="18.95" customHeight="1">
      <c r="A142" s="70">
        <f t="shared" si="9"/>
        <v>91</v>
      </c>
      <c r="B142" s="71" t="s">
        <v>1700</v>
      </c>
      <c r="C142" s="78" t="s">
        <v>155</v>
      </c>
      <c r="D142" s="130">
        <f>'JURISSEP B'!G216/'JURISSEP B'!E216</f>
        <v>0.90503374622094956</v>
      </c>
      <c r="E142" s="363" t="s">
        <v>419</v>
      </c>
      <c r="F142" s="376" t="s">
        <v>2118</v>
      </c>
    </row>
    <row r="143" spans="1:6" ht="18.95" customHeight="1">
      <c r="A143" s="70">
        <f t="shared" si="9"/>
        <v>92</v>
      </c>
      <c r="B143" s="71" t="s">
        <v>1701</v>
      </c>
      <c r="C143" s="78" t="s">
        <v>1702</v>
      </c>
      <c r="D143" s="130">
        <f>'JURISSEP B'!G217/'JURISSEP B'!E217</f>
        <v>0.90503374622094968</v>
      </c>
      <c r="E143" s="363" t="s">
        <v>419</v>
      </c>
      <c r="F143" s="376" t="s">
        <v>2118</v>
      </c>
    </row>
    <row r="144" spans="1:6" ht="18.95" customHeight="1">
      <c r="A144" s="70">
        <f t="shared" si="9"/>
        <v>93</v>
      </c>
      <c r="B144" s="71" t="s">
        <v>1703</v>
      </c>
      <c r="C144" s="78" t="s">
        <v>1704</v>
      </c>
      <c r="D144" s="130">
        <f>'JURISSEP B'!G218/'JURISSEP B'!E218</f>
        <v>0.90503374622094968</v>
      </c>
      <c r="E144" s="363" t="s">
        <v>419</v>
      </c>
      <c r="F144" s="376" t="s">
        <v>2118</v>
      </c>
    </row>
    <row r="145" spans="1:6" ht="18.95" customHeight="1">
      <c r="A145" s="70">
        <f t="shared" si="9"/>
        <v>94</v>
      </c>
      <c r="B145" s="71" t="s">
        <v>1705</v>
      </c>
      <c r="C145" s="78" t="s">
        <v>1706</v>
      </c>
      <c r="D145" s="130">
        <f>D139</f>
        <v>0.90503374622094968</v>
      </c>
      <c r="E145" s="363" t="s">
        <v>419</v>
      </c>
      <c r="F145" s="376" t="s">
        <v>2118</v>
      </c>
    </row>
    <row r="146" spans="1:6" ht="18.95" customHeight="1">
      <c r="A146" s="70">
        <f>A145+1</f>
        <v>95</v>
      </c>
      <c r="B146" s="71" t="s">
        <v>1707</v>
      </c>
      <c r="C146" s="78" t="s">
        <v>1708</v>
      </c>
      <c r="D146" s="130">
        <f>'JURISSEP B'!G220/'JURISSEP B'!E220</f>
        <v>0.90503374622094968</v>
      </c>
      <c r="E146" s="363" t="s">
        <v>419</v>
      </c>
      <c r="F146" s="376" t="s">
        <v>2118</v>
      </c>
    </row>
    <row r="147" spans="1:6" ht="18.95" customHeight="1">
      <c r="A147" s="70">
        <f t="shared" si="9"/>
        <v>96</v>
      </c>
      <c r="B147" s="71" t="s">
        <v>1709</v>
      </c>
      <c r="C147" s="78" t="s">
        <v>157</v>
      </c>
      <c r="D147" s="130">
        <f>'JURISSEP B'!G224/'JURISSEP B'!E224</f>
        <v>0.91621593489678077</v>
      </c>
      <c r="E147" s="363" t="s">
        <v>2119</v>
      </c>
      <c r="F147" s="376" t="s">
        <v>2120</v>
      </c>
    </row>
    <row r="148" spans="1:6" ht="18.95" customHeight="1">
      <c r="A148" s="70">
        <f>A147+1</f>
        <v>97</v>
      </c>
      <c r="B148" s="71" t="s">
        <v>1710</v>
      </c>
      <c r="C148" s="78" t="s">
        <v>1711</v>
      </c>
      <c r="D148" s="130">
        <f>D139</f>
        <v>0.90503374622094968</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B'!G275/'JURISSEP B'!E275</f>
        <v>1</v>
      </c>
      <c r="E151" s="363" t="s">
        <v>470</v>
      </c>
      <c r="F151" s="376" t="s">
        <v>2121</v>
      </c>
    </row>
    <row r="152" spans="1:6" ht="18.95" customHeight="1">
      <c r="A152" s="70">
        <f t="shared" ref="A152" si="10">A151+1</f>
        <v>100</v>
      </c>
      <c r="B152" s="71">
        <v>303</v>
      </c>
      <c r="C152" s="78" t="s">
        <v>1625</v>
      </c>
      <c r="D152" s="130">
        <f>'JURISSEP B'!G276/'JURISSEP B'!E276</f>
        <v>0.89020970434593893</v>
      </c>
      <c r="E152" s="363" t="s">
        <v>472</v>
      </c>
      <c r="F152" s="376" t="s">
        <v>2122</v>
      </c>
    </row>
    <row r="153" spans="1:6" ht="18.95" customHeight="1">
      <c r="A153" s="70">
        <f>A152+1</f>
        <v>101</v>
      </c>
      <c r="B153" s="384" t="s">
        <v>2128</v>
      </c>
      <c r="C153" s="388" t="s">
        <v>72</v>
      </c>
      <c r="D153" s="130">
        <f>'JURISSEP B'!G$1249</f>
        <v>0.87673530496058716</v>
      </c>
      <c r="E153" s="363" t="s">
        <v>444</v>
      </c>
      <c r="F153" s="376" t="s">
        <v>2129</v>
      </c>
    </row>
    <row r="154" spans="1:6" ht="18.95" customHeight="1">
      <c r="A154" s="70">
        <f>A153+1</f>
        <v>102</v>
      </c>
      <c r="B154" s="384" t="s">
        <v>2131</v>
      </c>
      <c r="C154" s="388" t="s">
        <v>47</v>
      </c>
      <c r="D154" s="130">
        <f>'JURISSEP B'!G1250</f>
        <v>0.87673530496058716</v>
      </c>
      <c r="E154" s="363" t="s">
        <v>449</v>
      </c>
      <c r="F154" s="376" t="s">
        <v>2132</v>
      </c>
    </row>
    <row r="155" spans="1:6" ht="18.95" customHeight="1">
      <c r="A155" s="70">
        <f>A154+1</f>
        <v>103</v>
      </c>
      <c r="B155" s="384" t="s">
        <v>2134</v>
      </c>
      <c r="C155" s="388" t="s">
        <v>61</v>
      </c>
      <c r="D155" s="130">
        <f>'JURISSEP B'!G1251</f>
        <v>0.87673530496058705</v>
      </c>
      <c r="E155" s="363" t="s">
        <v>452</v>
      </c>
      <c r="F155" s="376" t="s">
        <v>2133</v>
      </c>
    </row>
    <row r="156" spans="1:6" ht="18.95" customHeight="1">
      <c r="A156" s="70">
        <f t="shared" ref="A156:A159" si="11">A155+1</f>
        <v>104</v>
      </c>
      <c r="B156" s="384" t="s">
        <v>2137</v>
      </c>
      <c r="C156" s="388" t="s">
        <v>2135</v>
      </c>
      <c r="D156" s="130">
        <f>'JURISSEP B'!G1252</f>
        <v>0.9522071248992201</v>
      </c>
      <c r="E156" s="363" t="s">
        <v>1006</v>
      </c>
      <c r="F156" s="376" t="s">
        <v>2139</v>
      </c>
    </row>
    <row r="157" spans="1:6" ht="18.95" customHeight="1">
      <c r="A157" s="70">
        <f t="shared" si="11"/>
        <v>105</v>
      </c>
      <c r="B157" s="384" t="s">
        <v>2138</v>
      </c>
      <c r="C157" s="388" t="s">
        <v>2136</v>
      </c>
      <c r="D157" s="130">
        <f>'JURISSEP B'!G1272</f>
        <v>0.12268550952560241</v>
      </c>
      <c r="E157" s="363" t="s">
        <v>459</v>
      </c>
      <c r="F157" s="376" t="s">
        <v>2157</v>
      </c>
    </row>
    <row r="158" spans="1:6" ht="18.95" customHeight="1">
      <c r="A158" s="70">
        <f t="shared" si="11"/>
        <v>106</v>
      </c>
      <c r="B158" s="384" t="s">
        <v>2143</v>
      </c>
      <c r="C158" s="388" t="s">
        <v>2141</v>
      </c>
      <c r="D158" s="130">
        <f>'JURISSEP B'!G270/'JURISSEP B'!E270</f>
        <v>0.99786233100753829</v>
      </c>
      <c r="E158" s="363" t="s">
        <v>2144</v>
      </c>
      <c r="F158" s="376" t="s">
        <v>2145</v>
      </c>
    </row>
    <row r="159" spans="1:6" ht="18.95" customHeight="1">
      <c r="A159" s="70">
        <f t="shared" si="11"/>
        <v>107</v>
      </c>
      <c r="B159" s="384" t="s">
        <v>2142</v>
      </c>
      <c r="C159" s="388" t="s">
        <v>2140</v>
      </c>
      <c r="D159" s="130">
        <v>0</v>
      </c>
      <c r="E159" s="363" t="s">
        <v>464</v>
      </c>
      <c r="F159" s="376" t="s">
        <v>2146</v>
      </c>
    </row>
    <row r="160" spans="1:6" ht="18.95" customHeight="1">
      <c r="A160" s="70">
        <f>A159+1</f>
        <v>108</v>
      </c>
      <c r="B160" s="384" t="s">
        <v>2147</v>
      </c>
      <c r="C160" s="388" t="s">
        <v>2148</v>
      </c>
      <c r="D160" s="130">
        <f>'JURISSEP B'!G273/'JURISSEP B'!E273</f>
        <v>0.90848299807617505</v>
      </c>
      <c r="E160" s="363" t="s">
        <v>468</v>
      </c>
      <c r="F160" s="376" t="s">
        <v>2149</v>
      </c>
    </row>
    <row r="161" spans="1:6" ht="18.95" customHeight="1">
      <c r="A161" s="70">
        <f>A160+1</f>
        <v>109</v>
      </c>
      <c r="B161" s="384" t="s">
        <v>2130</v>
      </c>
      <c r="C161" s="78" t="s">
        <v>2103</v>
      </c>
      <c r="D161" s="130">
        <v>0</v>
      </c>
      <c r="E161" s="363" t="s">
        <v>312</v>
      </c>
      <c r="F161" s="699" t="s">
        <v>2106</v>
      </c>
    </row>
    <row r="162" spans="1:6" ht="18.95" customHeight="1">
      <c r="A162" s="70"/>
      <c r="B162" s="384"/>
      <c r="C162" s="388"/>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B'!G1260</f>
        <v>0.87673530496058716</v>
      </c>
      <c r="E164" s="363" t="s">
        <v>478</v>
      </c>
      <c r="F164" s="376" t="s">
        <v>2152</v>
      </c>
    </row>
    <row r="165" spans="1:6" ht="18.95" customHeight="1">
      <c r="A165" s="70">
        <f t="shared" ref="A165:A170" si="12">A164+1</f>
        <v>112</v>
      </c>
      <c r="B165" s="384" t="s">
        <v>2137</v>
      </c>
      <c r="C165" s="388" t="s">
        <v>2135</v>
      </c>
      <c r="D165" s="130">
        <f>'JURISSEP B'!G$1344</f>
        <v>0.95534169690147608</v>
      </c>
      <c r="E165" s="363" t="s">
        <v>1006</v>
      </c>
      <c r="F165" s="376" t="s">
        <v>2139</v>
      </c>
    </row>
    <row r="166" spans="1:6" ht="18.95" customHeight="1">
      <c r="A166" s="70">
        <f t="shared" si="12"/>
        <v>113</v>
      </c>
      <c r="B166" s="384" t="s">
        <v>2138</v>
      </c>
      <c r="C166" s="388" t="s">
        <v>2136</v>
      </c>
      <c r="D166" s="130">
        <v>0</v>
      </c>
      <c r="E166" s="363" t="s">
        <v>484</v>
      </c>
      <c r="F166" s="376" t="s">
        <v>2156</v>
      </c>
    </row>
    <row r="167" spans="1:6" ht="18.95" customHeight="1">
      <c r="A167" s="70">
        <f t="shared" si="12"/>
        <v>114</v>
      </c>
      <c r="B167" s="384" t="s">
        <v>2143</v>
      </c>
      <c r="C167" s="388" t="s">
        <v>2141</v>
      </c>
      <c r="D167" s="130">
        <f>'JURISSEP B'!G1275</f>
        <v>1</v>
      </c>
      <c r="E167" s="363" t="s">
        <v>489</v>
      </c>
      <c r="F167" s="376" t="s">
        <v>2155</v>
      </c>
    </row>
    <row r="168" spans="1:6" ht="18.95" customHeight="1">
      <c r="A168" s="70">
        <f t="shared" si="12"/>
        <v>115</v>
      </c>
      <c r="B168" s="384" t="s">
        <v>2142</v>
      </c>
      <c r="C168" s="388" t="s">
        <v>2140</v>
      </c>
      <c r="D168" s="130">
        <v>0</v>
      </c>
      <c r="E168" s="363" t="s">
        <v>487</v>
      </c>
      <c r="F168" s="376" t="s">
        <v>2153</v>
      </c>
    </row>
    <row r="169" spans="1:6" ht="18.95" customHeight="1">
      <c r="A169" s="70">
        <f t="shared" si="12"/>
        <v>116</v>
      </c>
      <c r="B169" s="384" t="s">
        <v>2147</v>
      </c>
      <c r="C169" s="388" t="s">
        <v>2148</v>
      </c>
      <c r="D169" s="130">
        <f>'JURISSEP B'!G1257</f>
        <v>0.90848299807617483</v>
      </c>
      <c r="E169" s="363" t="s">
        <v>468</v>
      </c>
      <c r="F169" s="376" t="s">
        <v>2149</v>
      </c>
    </row>
    <row r="170" spans="1:6" ht="18.95" customHeight="1">
      <c r="A170" s="70">
        <f t="shared" si="12"/>
        <v>117</v>
      </c>
      <c r="B170" s="71" t="s">
        <v>2130</v>
      </c>
      <c r="C170" s="78" t="s">
        <v>2103</v>
      </c>
      <c r="D170" s="130">
        <v>0</v>
      </c>
      <c r="E170" s="363" t="s">
        <v>312</v>
      </c>
      <c r="F170" s="699" t="s">
        <v>2106</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B'!G1210</f>
        <v>0.88026422050572484</v>
      </c>
      <c r="E173" s="363" t="s">
        <v>495</v>
      </c>
      <c r="F173" s="376" t="s">
        <v>2159</v>
      </c>
    </row>
    <row r="174" spans="1:6" ht="18.95" customHeight="1">
      <c r="A174" s="70">
        <f t="shared" ref="A174:A177" si="13">A173+1</f>
        <v>120</v>
      </c>
      <c r="B174" s="71">
        <v>154</v>
      </c>
      <c r="C174" s="78" t="s">
        <v>2160</v>
      </c>
      <c r="D174" s="130">
        <f>'JURISSEP B'!G$1264</f>
        <v>0.88827240123189766</v>
      </c>
      <c r="E174" s="363" t="s">
        <v>2161</v>
      </c>
      <c r="F174" s="376" t="s">
        <v>2162</v>
      </c>
    </row>
    <row r="175" spans="1:6" ht="18.95" customHeight="1">
      <c r="A175" s="70">
        <f t="shared" si="13"/>
        <v>121</v>
      </c>
      <c r="B175" s="71">
        <v>158</v>
      </c>
      <c r="C175" s="78" t="s">
        <v>2163</v>
      </c>
      <c r="D175" s="130">
        <f t="shared" ref="D175" si="14">D$19</f>
        <v>0.87673530496058716</v>
      </c>
      <c r="E175" s="363" t="s">
        <v>304</v>
      </c>
      <c r="F175" s="376" t="s">
        <v>2108</v>
      </c>
    </row>
    <row r="176" spans="1:6" ht="18.95" customHeight="1">
      <c r="A176" s="70">
        <f t="shared" si="13"/>
        <v>122</v>
      </c>
      <c r="B176" s="71">
        <v>163</v>
      </c>
      <c r="C176" s="78" t="s">
        <v>2164</v>
      </c>
      <c r="D176" s="130">
        <f>'JURISSEP B'!G$1264</f>
        <v>0.88827240123189766</v>
      </c>
      <c r="E176" s="363" t="s">
        <v>2165</v>
      </c>
      <c r="F176" s="376" t="s">
        <v>2166</v>
      </c>
    </row>
    <row r="177" spans="1:6" ht="18.95" customHeight="1">
      <c r="A177" s="70">
        <f t="shared" si="13"/>
        <v>123</v>
      </c>
      <c r="B177" s="71">
        <v>165</v>
      </c>
      <c r="C177" s="78" t="s">
        <v>1521</v>
      </c>
      <c r="D177" s="130">
        <f>'JURISSEP B'!G1265</f>
        <v>0.89638134513413836</v>
      </c>
      <c r="E177" s="363" t="s">
        <v>2167</v>
      </c>
      <c r="F177" s="376" t="s">
        <v>2168</v>
      </c>
    </row>
    <row r="178" spans="1:6" ht="18.95" customHeight="1">
      <c r="A178" s="70"/>
      <c r="B178" s="71"/>
      <c r="C178" s="78"/>
      <c r="D178" s="130"/>
      <c r="E178" s="363"/>
      <c r="F178" s="376"/>
    </row>
    <row r="179" spans="1:6" ht="36.75" customHeight="1">
      <c r="A179" s="70">
        <f>A177+1</f>
        <v>124</v>
      </c>
      <c r="B179" s="71"/>
      <c r="C179" s="381" t="s">
        <v>2270</v>
      </c>
      <c r="D179" s="130"/>
      <c r="E179" s="363"/>
      <c r="F179" s="376"/>
    </row>
    <row r="180" spans="1:6" ht="18.95" customHeight="1">
      <c r="A180" s="70">
        <f>A179+1</f>
        <v>125</v>
      </c>
      <c r="B180" s="70" t="s">
        <v>1452</v>
      </c>
      <c r="C180" s="78" t="s">
        <v>2150</v>
      </c>
      <c r="D180" s="130">
        <f>D164</f>
        <v>0.87673530496058716</v>
      </c>
      <c r="E180" s="363" t="s">
        <v>478</v>
      </c>
      <c r="F180" s="376" t="s">
        <v>2152</v>
      </c>
    </row>
    <row r="181" spans="1:6" ht="18.95" customHeight="1">
      <c r="A181" s="70">
        <f t="shared" ref="A181:A197" si="15">A180+1</f>
        <v>126</v>
      </c>
      <c r="B181" s="70" t="s">
        <v>1452</v>
      </c>
      <c r="C181" s="388" t="s">
        <v>2135</v>
      </c>
      <c r="D181" s="130">
        <f>D165</f>
        <v>0.95534169690147608</v>
      </c>
      <c r="E181" s="363" t="s">
        <v>1006</v>
      </c>
      <c r="F181" s="376" t="s">
        <v>2139</v>
      </c>
    </row>
    <row r="182" spans="1:6" ht="18.95" customHeight="1">
      <c r="A182" s="70">
        <f t="shared" si="15"/>
        <v>127</v>
      </c>
      <c r="B182" s="70" t="s">
        <v>1452</v>
      </c>
      <c r="C182" s="388" t="s">
        <v>2136</v>
      </c>
      <c r="D182" s="130">
        <v>0</v>
      </c>
      <c r="E182" s="363" t="s">
        <v>484</v>
      </c>
      <c r="F182" s="376" t="s">
        <v>2156</v>
      </c>
    </row>
    <row r="183" spans="1:6" s="68" customFormat="1" ht="20.100000000000001" customHeight="1">
      <c r="A183" s="767" t="str">
        <f>A$1</f>
        <v>KENTUCKY UTILITIES COMPANY</v>
      </c>
      <c r="B183" s="767"/>
      <c r="C183" s="767"/>
      <c r="D183" s="767"/>
      <c r="E183" s="767"/>
      <c r="F183" s="767"/>
    </row>
    <row r="184" spans="1:6" s="68" customFormat="1" ht="20.100000000000001" customHeight="1">
      <c r="A184" s="767" t="str">
        <f>A$2</f>
        <v>CASE NO. 2018-00294</v>
      </c>
      <c r="B184" s="767"/>
      <c r="C184" s="767"/>
      <c r="D184" s="767"/>
      <c r="E184" s="767"/>
      <c r="F184" s="767"/>
    </row>
    <row r="185" spans="1:6" s="68" customFormat="1" ht="20.100000000000001" customHeight="1">
      <c r="A185" s="767" t="s">
        <v>1455</v>
      </c>
      <c r="B185" s="767"/>
      <c r="C185" s="767"/>
      <c r="D185" s="767"/>
      <c r="E185" s="767"/>
      <c r="F185" s="767"/>
    </row>
    <row r="186" spans="1:6" s="68" customFormat="1" ht="20.100000000000001" customHeight="1">
      <c r="A186" s="766" t="str">
        <f>A$4</f>
        <v>BASE YEAR FOR THE 12 MONTHS ENDED DECEMBER 31, 2018</v>
      </c>
      <c r="B186" s="767"/>
      <c r="C186" s="767"/>
      <c r="D186" s="767"/>
      <c r="E186" s="767"/>
      <c r="F186" s="767"/>
    </row>
    <row r="187" spans="1:6" s="68" customFormat="1" ht="20.100000000000001" customHeight="1">
      <c r="A187" s="379"/>
      <c r="B187" s="379"/>
      <c r="C187" s="379"/>
      <c r="D187" s="379"/>
      <c r="E187" s="379"/>
      <c r="F187" s="379"/>
    </row>
    <row r="188" spans="1:6" s="68" customFormat="1" ht="20.100000000000001" customHeight="1">
      <c r="A188" s="67" t="str">
        <f>A$6</f>
        <v>DATA:__X__BASE  PERIOD____FORECASTED  PERIOD</v>
      </c>
      <c r="B188" s="67"/>
      <c r="E188" s="380"/>
      <c r="F188" s="74" t="s">
        <v>1454</v>
      </c>
    </row>
    <row r="189" spans="1:6" s="68" customFormat="1" ht="20.100000000000001" customHeight="1">
      <c r="A189" s="67" t="str">
        <f>A$7</f>
        <v>TYPE OF FILING: __X__ ORIGINAL  _____ UPDATED  _____ REVISED</v>
      </c>
      <c r="E189" s="380"/>
      <c r="F189" s="74" t="s">
        <v>2176</v>
      </c>
    </row>
    <row r="190" spans="1:6" s="68" customFormat="1" ht="20.100000000000001" customHeight="1">
      <c r="A190" s="67" t="str">
        <f>A$8</f>
        <v xml:space="preserve">WORKPAPER REFERENCE NO(S).: </v>
      </c>
      <c r="B190" s="67"/>
      <c r="E190" s="380"/>
      <c r="F190" s="75" t="str">
        <f>F$8</f>
        <v>WITNESS:   C. M. GARRETT</v>
      </c>
    </row>
    <row r="191" spans="1:6" s="68" customFormat="1" ht="20.100000000000001" customHeight="1">
      <c r="E191" s="380"/>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8" t="s">
        <v>2170</v>
      </c>
      <c r="D194" s="130">
        <f>D167</f>
        <v>1</v>
      </c>
      <c r="E194" s="363" t="s">
        <v>489</v>
      </c>
      <c r="F194" s="376" t="s">
        <v>2155</v>
      </c>
    </row>
    <row r="195" spans="1:6" ht="18.95" customHeight="1">
      <c r="A195" s="70">
        <f t="shared" si="15"/>
        <v>129</v>
      </c>
      <c r="B195" s="70" t="s">
        <v>1452</v>
      </c>
      <c r="C195" s="388" t="s">
        <v>2169</v>
      </c>
      <c r="D195" s="130">
        <v>0</v>
      </c>
      <c r="E195" s="363" t="s">
        <v>487</v>
      </c>
      <c r="F195" s="376" t="s">
        <v>2171</v>
      </c>
    </row>
    <row r="196" spans="1:6" ht="18.95" customHeight="1">
      <c r="A196" s="70">
        <f t="shared" si="15"/>
        <v>130</v>
      </c>
      <c r="B196" s="70" t="s">
        <v>1452</v>
      </c>
      <c r="C196" s="388" t="s">
        <v>2148</v>
      </c>
      <c r="D196" s="130">
        <f>D169</f>
        <v>0.90848299807617483</v>
      </c>
      <c r="E196" s="363" t="s">
        <v>468</v>
      </c>
      <c r="F196" s="376" t="s">
        <v>2149</v>
      </c>
    </row>
    <row r="197" spans="1:6" ht="18.95" customHeight="1">
      <c r="A197" s="70">
        <f t="shared" si="15"/>
        <v>131</v>
      </c>
      <c r="B197" s="70" t="s">
        <v>1452</v>
      </c>
      <c r="C197" s="78" t="s">
        <v>2103</v>
      </c>
      <c r="D197" s="130">
        <v>0</v>
      </c>
      <c r="E197" s="363" t="s">
        <v>312</v>
      </c>
      <c r="F197" s="699" t="s">
        <v>2106</v>
      </c>
    </row>
    <row r="198" spans="1:6" ht="18.95" customHeight="1">
      <c r="A198" s="70"/>
      <c r="B198" s="71"/>
      <c r="C198" s="78"/>
      <c r="D198" s="130"/>
      <c r="E198" s="363"/>
      <c r="F198" s="376"/>
    </row>
    <row r="199" spans="1:6" ht="18.95" customHeight="1">
      <c r="A199" s="70">
        <f>A197+1</f>
        <v>132</v>
      </c>
      <c r="B199" s="73">
        <v>252</v>
      </c>
      <c r="C199" s="78" t="s">
        <v>1191</v>
      </c>
      <c r="D199" s="130">
        <f>'JURISSEP B'!G1221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B'!G1261</f>
        <v>0.87037987585411303</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0.87673530496058716</v>
      </c>
      <c r="E203" s="363" t="s">
        <v>304</v>
      </c>
      <c r="F203" s="376" t="s">
        <v>2108</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ht="18.95" customHeight="1">
      <c r="A260" s="70"/>
      <c r="B260" s="71"/>
      <c r="C260" s="78"/>
      <c r="D260" s="130"/>
      <c r="E260" s="363"/>
      <c r="F260" s="376"/>
    </row>
    <row r="261" spans="1:6" ht="18.95" customHeight="1">
      <c r="A261" s="70"/>
      <c r="B261" s="71"/>
      <c r="C261" s="78"/>
      <c r="D261" s="130"/>
      <c r="E261" s="363"/>
      <c r="F261" s="376"/>
    </row>
    <row r="262" spans="1:6">
      <c r="D262" s="130"/>
    </row>
    <row r="263" spans="1:6">
      <c r="D263" s="130"/>
    </row>
  </sheetData>
  <mergeCells count="16">
    <mergeCell ref="A124:F124"/>
    <mergeCell ref="A1:F1"/>
    <mergeCell ref="A2:F2"/>
    <mergeCell ref="A3:F3"/>
    <mergeCell ref="A4:F4"/>
    <mergeCell ref="A61:F61"/>
    <mergeCell ref="A62:F62"/>
    <mergeCell ref="A63:F63"/>
    <mergeCell ref="A64:F64"/>
    <mergeCell ref="A122:F122"/>
    <mergeCell ref="A123:F123"/>
    <mergeCell ref="A125:F125"/>
    <mergeCell ref="A183:F183"/>
    <mergeCell ref="A184:F184"/>
    <mergeCell ref="A185:F185"/>
    <mergeCell ref="A186:F186"/>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261"/>
  <sheetViews>
    <sheetView zoomScaleNormal="100" workbookViewId="0">
      <selection sqref="A1:F1"/>
    </sheetView>
  </sheetViews>
  <sheetFormatPr defaultColWidth="9" defaultRowHeight="12.75"/>
  <cols>
    <col min="1" max="1" width="6" style="69" customWidth="1"/>
    <col min="2" max="2" width="16.218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7" t="str">
        <f>'Rate Case Constants'!C9</f>
        <v>KENTUCKY UTILITIES COMPANY</v>
      </c>
      <c r="B1" s="767"/>
      <c r="C1" s="767"/>
      <c r="D1" s="767"/>
      <c r="E1" s="767"/>
      <c r="F1" s="767"/>
    </row>
    <row r="2" spans="1:6" s="68" customFormat="1" ht="20.100000000000001" customHeight="1">
      <c r="A2" s="767" t="str">
        <f>'Rate Case Constants'!C10</f>
        <v>CASE NO. 2018-00294</v>
      </c>
      <c r="B2" s="767"/>
      <c r="C2" s="767"/>
      <c r="D2" s="767"/>
      <c r="E2" s="767"/>
      <c r="F2" s="767"/>
    </row>
    <row r="3" spans="1:6" s="68" customFormat="1" ht="20.100000000000001" customHeight="1">
      <c r="A3" s="767" t="s">
        <v>1455</v>
      </c>
      <c r="B3" s="767"/>
      <c r="C3" s="767"/>
      <c r="D3" s="767"/>
      <c r="E3" s="767"/>
      <c r="F3" s="767"/>
    </row>
    <row r="4" spans="1:6" s="68" customFormat="1" ht="20.100000000000001" customHeight="1">
      <c r="A4" s="766" t="str">
        <f>'Rate Case Constants'!C21</f>
        <v>FORECAST PERIOD FOR THE 12 MONTHS ENDED APRIL 30, 2020</v>
      </c>
      <c r="B4" s="766"/>
      <c r="C4" s="766"/>
      <c r="D4" s="766"/>
      <c r="E4" s="766"/>
      <c r="F4" s="766"/>
    </row>
    <row r="5" spans="1:6" s="68" customFormat="1" ht="20.100000000000001" customHeight="1">
      <c r="A5" s="138"/>
      <c r="B5" s="138"/>
      <c r="C5" s="138"/>
      <c r="D5" s="138"/>
      <c r="E5" s="372"/>
      <c r="F5" s="138"/>
    </row>
    <row r="6" spans="1:6" s="68" customFormat="1" ht="20.100000000000001" customHeight="1">
      <c r="A6" s="67" t="s">
        <v>161</v>
      </c>
      <c r="B6" s="67"/>
      <c r="E6" s="373"/>
      <c r="F6" s="74" t="s">
        <v>1454</v>
      </c>
    </row>
    <row r="7" spans="1:6" s="68" customFormat="1" ht="20.100000000000001" customHeight="1">
      <c r="A7" s="68" t="str">
        <f>'Rate Case Constants'!C29</f>
        <v>TYPE OF FILING: __X__ ORIGINAL  _____ UPDATED  _____ REVISED</v>
      </c>
      <c r="E7" s="373"/>
      <c r="F7" s="74" t="s">
        <v>2178</v>
      </c>
    </row>
    <row r="8" spans="1:6" s="68" customFormat="1" ht="20.100000000000001" customHeight="1">
      <c r="A8" s="67" t="s">
        <v>1416</v>
      </c>
      <c r="B8" s="67"/>
      <c r="E8" s="373"/>
      <c r="F8" s="75" t="str">
        <f>'Rate Case Constants'!C37</f>
        <v>WITNESS:   C. M. GARRETT</v>
      </c>
    </row>
    <row r="9" spans="1:6" s="68" customFormat="1" ht="20.100000000000001" customHeight="1">
      <c r="E9" s="373"/>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F'!G1245</f>
        <v>0.9350015839291943</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0.9350015839291943</v>
      </c>
      <c r="E16" s="363" t="s">
        <v>296</v>
      </c>
      <c r="F16" s="376" t="s">
        <v>2105</v>
      </c>
    </row>
    <row r="17" spans="1:6" ht="18.95" customHeight="1">
      <c r="A17" s="70"/>
      <c r="B17" s="70"/>
      <c r="D17" s="130"/>
      <c r="E17" s="363"/>
      <c r="F17" s="86"/>
    </row>
    <row r="18" spans="1:6" ht="18.95" customHeight="1">
      <c r="A18" s="70">
        <f>A16+1</f>
        <v>6</v>
      </c>
      <c r="B18" s="70"/>
      <c r="C18" s="382" t="s">
        <v>72</v>
      </c>
      <c r="D18" s="130"/>
    </row>
    <row r="19" spans="1:6" ht="18.95" customHeight="1">
      <c r="A19" s="70">
        <f t="shared" si="0"/>
        <v>7</v>
      </c>
      <c r="B19" s="71" t="s">
        <v>1626</v>
      </c>
      <c r="C19" s="78" t="s">
        <v>154</v>
      </c>
      <c r="D19" s="130">
        <f>'JURISSEP F'!G1153</f>
        <v>0.93741603079505242</v>
      </c>
      <c r="E19" s="363" t="s">
        <v>304</v>
      </c>
      <c r="F19" s="376" t="s">
        <v>2108</v>
      </c>
    </row>
    <row r="20" spans="1:6" ht="18.95" customHeight="1">
      <c r="A20" s="70">
        <f t="shared" si="0"/>
        <v>8</v>
      </c>
      <c r="B20" s="71" t="s">
        <v>1627</v>
      </c>
      <c r="C20" s="78" t="s">
        <v>148</v>
      </c>
      <c r="D20" s="130">
        <f>D$19</f>
        <v>0.93741603079505242</v>
      </c>
      <c r="E20" s="363" t="s">
        <v>304</v>
      </c>
      <c r="F20" s="376" t="s">
        <v>2108</v>
      </c>
    </row>
    <row r="21" spans="1:6" ht="18.95" customHeight="1">
      <c r="A21" s="70">
        <f t="shared" si="0"/>
        <v>9</v>
      </c>
      <c r="B21" s="71" t="s">
        <v>1628</v>
      </c>
      <c r="C21" s="78" t="s">
        <v>1629</v>
      </c>
      <c r="D21" s="130">
        <f t="shared" ref="D21:D26" si="1">D$19</f>
        <v>0.93741603079505242</v>
      </c>
      <c r="E21" s="363" t="s">
        <v>304</v>
      </c>
      <c r="F21" s="376" t="s">
        <v>2108</v>
      </c>
    </row>
    <row r="22" spans="1:6" ht="18.95" customHeight="1">
      <c r="A22" s="70">
        <f>A20+1</f>
        <v>9</v>
      </c>
      <c r="B22" s="71">
        <v>313</v>
      </c>
      <c r="C22" s="78" t="s">
        <v>144</v>
      </c>
      <c r="D22" s="130">
        <f t="shared" si="1"/>
        <v>0.93741603079505242</v>
      </c>
      <c r="E22" s="363" t="s">
        <v>304</v>
      </c>
      <c r="F22" s="376" t="s">
        <v>2108</v>
      </c>
    </row>
    <row r="23" spans="1:6" ht="18.95" customHeight="1">
      <c r="A23" s="70">
        <f>A21+1</f>
        <v>10</v>
      </c>
      <c r="B23" s="71" t="s">
        <v>1630</v>
      </c>
      <c r="C23" s="78" t="s">
        <v>1631</v>
      </c>
      <c r="D23" s="130">
        <f t="shared" si="1"/>
        <v>0.93741603079505242</v>
      </c>
      <c r="E23" s="363" t="s">
        <v>304</v>
      </c>
      <c r="F23" s="376" t="s">
        <v>2108</v>
      </c>
    </row>
    <row r="24" spans="1:6" ht="18.95" customHeight="1">
      <c r="A24" s="70">
        <f t="shared" si="0"/>
        <v>11</v>
      </c>
      <c r="B24" s="71" t="s">
        <v>1632</v>
      </c>
      <c r="C24" s="78" t="s">
        <v>1633</v>
      </c>
      <c r="D24" s="130">
        <f t="shared" si="1"/>
        <v>0.93741603079505242</v>
      </c>
      <c r="E24" s="363" t="s">
        <v>304</v>
      </c>
      <c r="F24" s="376" t="s">
        <v>2108</v>
      </c>
    </row>
    <row r="25" spans="1:6" ht="18.95" customHeight="1">
      <c r="A25" s="70">
        <f t="shared" si="0"/>
        <v>12</v>
      </c>
      <c r="B25" s="71" t="s">
        <v>1634</v>
      </c>
      <c r="C25" s="78" t="s">
        <v>1635</v>
      </c>
      <c r="D25" s="130">
        <f t="shared" si="1"/>
        <v>0.93741603079505242</v>
      </c>
      <c r="E25" s="363" t="s">
        <v>304</v>
      </c>
      <c r="F25" s="376" t="s">
        <v>2108</v>
      </c>
    </row>
    <row r="26" spans="1:6" ht="18.95" customHeight="1">
      <c r="A26" s="70">
        <f>A25+1</f>
        <v>13</v>
      </c>
      <c r="B26" s="71" t="s">
        <v>1636</v>
      </c>
      <c r="C26" s="78" t="s">
        <v>1655</v>
      </c>
      <c r="D26" s="130">
        <f t="shared" si="1"/>
        <v>0.93741603079505242</v>
      </c>
      <c r="E26" s="363" t="s">
        <v>304</v>
      </c>
      <c r="F26" s="376" t="s">
        <v>2108</v>
      </c>
    </row>
    <row r="27" spans="1:6" ht="18.95" customHeight="1">
      <c r="A27" s="70">
        <f>A26+1</f>
        <v>14</v>
      </c>
      <c r="B27" s="384" t="s">
        <v>2123</v>
      </c>
      <c r="C27" s="78" t="s">
        <v>2103</v>
      </c>
      <c r="D27" s="130">
        <f>('JURISSEP F'!G$86+'JURISSEP F'!G$87)/('JURISSEP F'!E$86+'JURISSEP F'!E$87)</f>
        <v>0.67590013410172212</v>
      </c>
      <c r="E27" s="363" t="s">
        <v>312</v>
      </c>
      <c r="F27" s="699" t="s">
        <v>3410</v>
      </c>
    </row>
    <row r="28" spans="1:6" ht="18.95" customHeight="1">
      <c r="A28" s="70"/>
      <c r="C28" s="78"/>
      <c r="D28" s="130"/>
    </row>
    <row r="29" spans="1:6" ht="18.95" customHeight="1">
      <c r="A29" s="70">
        <f>A27+1</f>
        <v>15</v>
      </c>
      <c r="C29" s="382" t="s">
        <v>47</v>
      </c>
      <c r="D29" s="130"/>
    </row>
    <row r="30" spans="1:6" ht="18.95" customHeight="1">
      <c r="A30" s="70">
        <f t="shared" si="0"/>
        <v>16</v>
      </c>
      <c r="B30" s="71" t="s">
        <v>1637</v>
      </c>
      <c r="C30" s="78" t="s">
        <v>154</v>
      </c>
      <c r="D30" s="130">
        <f t="shared" ref="D30:D37" si="2">D$19</f>
        <v>0.93741603079505242</v>
      </c>
      <c r="E30" s="363" t="s">
        <v>304</v>
      </c>
      <c r="F30" s="376" t="s">
        <v>2108</v>
      </c>
    </row>
    <row r="31" spans="1:6" ht="18.95" customHeight="1">
      <c r="A31" s="70">
        <f t="shared" si="0"/>
        <v>17</v>
      </c>
      <c r="B31" s="71" t="s">
        <v>1638</v>
      </c>
      <c r="C31" s="78" t="s">
        <v>148</v>
      </c>
      <c r="D31" s="130">
        <f t="shared" si="2"/>
        <v>0.93741603079505242</v>
      </c>
      <c r="E31" s="363" t="s">
        <v>304</v>
      </c>
      <c r="F31" s="376" t="s">
        <v>2108</v>
      </c>
    </row>
    <row r="32" spans="1:6" ht="18.95" customHeight="1">
      <c r="A32" s="70">
        <f t="shared" si="0"/>
        <v>18</v>
      </c>
      <c r="B32" s="71" t="s">
        <v>1639</v>
      </c>
      <c r="C32" s="78" t="s">
        <v>1640</v>
      </c>
      <c r="D32" s="130">
        <f t="shared" si="2"/>
        <v>0.93741603079505242</v>
      </c>
      <c r="E32" s="363" t="s">
        <v>304</v>
      </c>
      <c r="F32" s="376" t="s">
        <v>2108</v>
      </c>
    </row>
    <row r="33" spans="1:6" ht="18.95" customHeight="1">
      <c r="A33" s="70">
        <f t="shared" si="0"/>
        <v>19</v>
      </c>
      <c r="B33" s="71" t="s">
        <v>1641</v>
      </c>
      <c r="C33" s="78" t="s">
        <v>1642</v>
      </c>
      <c r="D33" s="130">
        <f t="shared" si="2"/>
        <v>0.93741603079505242</v>
      </c>
      <c r="E33" s="363" t="s">
        <v>304</v>
      </c>
      <c r="F33" s="376" t="s">
        <v>2108</v>
      </c>
    </row>
    <row r="34" spans="1:6" ht="18.95" customHeight="1">
      <c r="A34" s="70">
        <f t="shared" si="0"/>
        <v>20</v>
      </c>
      <c r="B34" s="71" t="s">
        <v>1643</v>
      </c>
      <c r="C34" s="78" t="s">
        <v>1633</v>
      </c>
      <c r="D34" s="130">
        <f t="shared" si="2"/>
        <v>0.93741603079505242</v>
      </c>
      <c r="E34" s="363" t="s">
        <v>304</v>
      </c>
      <c r="F34" s="376" t="s">
        <v>2108</v>
      </c>
    </row>
    <row r="35" spans="1:6" ht="18.95" customHeight="1">
      <c r="A35" s="70">
        <f t="shared" si="0"/>
        <v>21</v>
      </c>
      <c r="B35" s="71" t="s">
        <v>1644</v>
      </c>
      <c r="C35" s="78" t="s">
        <v>1645</v>
      </c>
      <c r="D35" s="130">
        <f t="shared" si="2"/>
        <v>0.93741603079505242</v>
      </c>
      <c r="E35" s="363" t="s">
        <v>304</v>
      </c>
      <c r="F35" s="376" t="s">
        <v>2108</v>
      </c>
    </row>
    <row r="36" spans="1:6" ht="18.95" customHeight="1">
      <c r="A36" s="70">
        <f t="shared" si="0"/>
        <v>22</v>
      </c>
      <c r="B36" s="71" t="s">
        <v>1646</v>
      </c>
      <c r="C36" s="78" t="s">
        <v>1647</v>
      </c>
      <c r="D36" s="130">
        <f t="shared" si="2"/>
        <v>0.93741603079505242</v>
      </c>
      <c r="E36" s="363" t="s">
        <v>304</v>
      </c>
      <c r="F36" s="376" t="s">
        <v>2108</v>
      </c>
    </row>
    <row r="37" spans="1:6" ht="18.95" customHeight="1">
      <c r="A37" s="70">
        <f t="shared" si="0"/>
        <v>23</v>
      </c>
      <c r="B37" s="71" t="s">
        <v>1648</v>
      </c>
      <c r="C37" s="78" t="s">
        <v>1656</v>
      </c>
      <c r="D37" s="130">
        <f t="shared" si="2"/>
        <v>0.93741603079505242</v>
      </c>
      <c r="E37" s="363" t="s">
        <v>304</v>
      </c>
      <c r="F37" s="376" t="s">
        <v>2108</v>
      </c>
    </row>
    <row r="38" spans="1:6" ht="18.95" customHeight="1">
      <c r="A38" s="70">
        <f>A37+1</f>
        <v>24</v>
      </c>
      <c r="B38" s="384" t="s">
        <v>2124</v>
      </c>
      <c r="C38" s="78" t="s">
        <v>2103</v>
      </c>
      <c r="D38" s="130">
        <f>('JURISSEP F'!G$99+'JURISSEP F'!G$100)/('JURISSEP F'!E$99+'JURISSEP F'!E$100)</f>
        <v>0.77686310131920888</v>
      </c>
      <c r="E38" s="363" t="s">
        <v>312</v>
      </c>
      <c r="F38" s="699" t="s">
        <v>3410</v>
      </c>
    </row>
    <row r="39" spans="1:6" ht="18.95" customHeight="1">
      <c r="A39" s="70"/>
      <c r="B39" s="71"/>
      <c r="C39" s="78"/>
      <c r="D39" s="130"/>
    </row>
    <row r="40" spans="1:6" ht="18.95" customHeight="1">
      <c r="A40" s="70">
        <f>A38+1</f>
        <v>25</v>
      </c>
      <c r="C40" s="382" t="s">
        <v>61</v>
      </c>
      <c r="D40" s="130"/>
    </row>
    <row r="41" spans="1:6" ht="18.95" customHeight="1">
      <c r="A41" s="70">
        <f t="shared" si="0"/>
        <v>26</v>
      </c>
      <c r="B41" s="71" t="s">
        <v>1649</v>
      </c>
      <c r="C41" s="78" t="s">
        <v>154</v>
      </c>
      <c r="D41" s="130">
        <f t="shared" ref="D41:D48" si="3">D$19</f>
        <v>0.93741603079505242</v>
      </c>
      <c r="E41" s="363" t="s">
        <v>304</v>
      </c>
      <c r="F41" s="376" t="s">
        <v>2108</v>
      </c>
    </row>
    <row r="42" spans="1:6" ht="18.95" customHeight="1">
      <c r="A42" s="70">
        <f t="shared" si="0"/>
        <v>27</v>
      </c>
      <c r="B42" s="71" t="s">
        <v>1650</v>
      </c>
      <c r="C42" s="78" t="s">
        <v>148</v>
      </c>
      <c r="D42" s="130">
        <f t="shared" si="3"/>
        <v>0.93741603079505242</v>
      </c>
      <c r="E42" s="363" t="s">
        <v>304</v>
      </c>
      <c r="F42" s="376" t="s">
        <v>2108</v>
      </c>
    </row>
    <row r="43" spans="1:6" ht="18.95" customHeight="1">
      <c r="A43" s="70">
        <f t="shared" si="0"/>
        <v>28</v>
      </c>
      <c r="B43" s="71" t="s">
        <v>1651</v>
      </c>
      <c r="C43" s="78" t="s">
        <v>1652</v>
      </c>
      <c r="D43" s="130">
        <f t="shared" si="3"/>
        <v>0.93741603079505242</v>
      </c>
      <c r="E43" s="363" t="s">
        <v>304</v>
      </c>
      <c r="F43" s="376" t="s">
        <v>2108</v>
      </c>
    </row>
    <row r="44" spans="1:6" ht="18.95" customHeight="1">
      <c r="A44" s="70">
        <f t="shared" si="0"/>
        <v>29</v>
      </c>
      <c r="B44" s="71" t="s">
        <v>1653</v>
      </c>
      <c r="C44" s="78" t="s">
        <v>1654</v>
      </c>
      <c r="D44" s="130">
        <f t="shared" si="3"/>
        <v>0.93741603079505242</v>
      </c>
      <c r="E44" s="363" t="s">
        <v>304</v>
      </c>
      <c r="F44" s="376" t="s">
        <v>2108</v>
      </c>
    </row>
    <row r="45" spans="1:6" ht="18.95" customHeight="1">
      <c r="A45" s="70">
        <f>A44+1</f>
        <v>30</v>
      </c>
      <c r="B45" s="71" t="s">
        <v>1657</v>
      </c>
      <c r="C45" s="78" t="s">
        <v>1658</v>
      </c>
      <c r="D45" s="130">
        <f t="shared" si="3"/>
        <v>0.93741603079505242</v>
      </c>
      <c r="E45" s="363" t="s">
        <v>304</v>
      </c>
      <c r="F45" s="376" t="s">
        <v>2108</v>
      </c>
    </row>
    <row r="46" spans="1:6" ht="18.95" customHeight="1">
      <c r="A46" s="70">
        <f t="shared" si="0"/>
        <v>31</v>
      </c>
      <c r="B46" s="71" t="s">
        <v>1659</v>
      </c>
      <c r="C46" s="78" t="s">
        <v>1633</v>
      </c>
      <c r="D46" s="130">
        <f t="shared" si="3"/>
        <v>0.93741603079505242</v>
      </c>
      <c r="E46" s="363" t="s">
        <v>304</v>
      </c>
      <c r="F46" s="376" t="s">
        <v>2108</v>
      </c>
    </row>
    <row r="47" spans="1:6" ht="18.95" customHeight="1">
      <c r="A47" s="70">
        <f t="shared" si="0"/>
        <v>32</v>
      </c>
      <c r="B47" s="71" t="s">
        <v>1660</v>
      </c>
      <c r="C47" s="78" t="s">
        <v>1645</v>
      </c>
      <c r="D47" s="130">
        <f t="shared" si="3"/>
        <v>0.93741603079505242</v>
      </c>
      <c r="E47" s="363" t="s">
        <v>304</v>
      </c>
      <c r="F47" s="376" t="s">
        <v>2108</v>
      </c>
    </row>
    <row r="48" spans="1:6" ht="18.95" customHeight="1">
      <c r="A48" s="70">
        <f t="shared" si="0"/>
        <v>33</v>
      </c>
      <c r="B48" s="71" t="s">
        <v>1661</v>
      </c>
      <c r="C48" s="78" t="s">
        <v>1696</v>
      </c>
      <c r="D48" s="130">
        <f t="shared" si="3"/>
        <v>0.93741603079505242</v>
      </c>
      <c r="E48" s="363" t="s">
        <v>304</v>
      </c>
      <c r="F48" s="376" t="s">
        <v>2108</v>
      </c>
    </row>
    <row r="49" spans="1:6" ht="18.95" customHeight="1">
      <c r="A49" s="70">
        <f>A48+1</f>
        <v>34</v>
      </c>
      <c r="B49" s="384" t="s">
        <v>2125</v>
      </c>
      <c r="C49" s="78" t="s">
        <v>2103</v>
      </c>
      <c r="D49" s="130">
        <f>('JURISSEP F'!G$112+'JURISSEP F'!G$113)/('JURISSEP F'!E$112+'JURISSEP F'!E$113)</f>
        <v>0.77872407589598414</v>
      </c>
      <c r="E49" s="363" t="s">
        <v>312</v>
      </c>
      <c r="F49" s="699" t="s">
        <v>3410</v>
      </c>
    </row>
    <row r="50" spans="1:6" ht="18.95" customHeight="1">
      <c r="D50" s="130"/>
    </row>
    <row r="51" spans="1:6" ht="18.95" customHeight="1">
      <c r="A51" s="70">
        <f>A49+1</f>
        <v>35</v>
      </c>
      <c r="C51" s="382" t="s">
        <v>84</v>
      </c>
      <c r="D51" s="130"/>
    </row>
    <row r="52" spans="1:6" ht="18.95" customHeight="1">
      <c r="A52" s="70">
        <f>A51+1</f>
        <v>36</v>
      </c>
      <c r="C52" s="383" t="s">
        <v>2107</v>
      </c>
      <c r="D52" s="130"/>
    </row>
    <row r="53" spans="1:6" ht="18.95" customHeight="1">
      <c r="A53" s="70">
        <f>A52+1</f>
        <v>37</v>
      </c>
      <c r="B53" s="71" t="s">
        <v>1662</v>
      </c>
      <c r="C53" s="78" t="s">
        <v>154</v>
      </c>
      <c r="D53" s="130">
        <f>'JURISSEP F'!G1162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67" t="str">
        <f>A$1</f>
        <v>KENTUCKY UTILITIES COMPANY</v>
      </c>
      <c r="B61" s="767"/>
      <c r="C61" s="767"/>
      <c r="D61" s="767"/>
      <c r="E61" s="767"/>
      <c r="F61" s="767"/>
    </row>
    <row r="62" spans="1:6" s="68" customFormat="1" ht="20.100000000000001" customHeight="1">
      <c r="A62" s="767" t="str">
        <f>A$2</f>
        <v>CASE NO. 2018-00294</v>
      </c>
      <c r="B62" s="767"/>
      <c r="C62" s="767"/>
      <c r="D62" s="767"/>
      <c r="E62" s="767"/>
      <c r="F62" s="767"/>
    </row>
    <row r="63" spans="1:6" s="68" customFormat="1" ht="20.100000000000001" customHeight="1">
      <c r="A63" s="767" t="s">
        <v>1455</v>
      </c>
      <c r="B63" s="767"/>
      <c r="C63" s="767"/>
      <c r="D63" s="767"/>
      <c r="E63" s="767"/>
      <c r="F63" s="767"/>
    </row>
    <row r="64" spans="1:6" s="68" customFormat="1" ht="20.100000000000001" customHeight="1">
      <c r="A64" s="766" t="str">
        <f>A$4</f>
        <v>FORECAST PERIOD FOR THE 12 MONTHS ENDED APRIL 30, 2020</v>
      </c>
      <c r="B64" s="767"/>
      <c r="C64" s="767"/>
      <c r="D64" s="767"/>
      <c r="E64" s="767"/>
      <c r="F64" s="767"/>
    </row>
    <row r="65" spans="1:6" s="68" customFormat="1" ht="20.100000000000001" customHeight="1">
      <c r="A65" s="374"/>
      <c r="B65" s="374"/>
      <c r="C65" s="374"/>
      <c r="D65" s="374"/>
      <c r="E65" s="374"/>
      <c r="F65" s="374"/>
    </row>
    <row r="66" spans="1:6" s="68" customFormat="1" ht="20.100000000000001" customHeight="1">
      <c r="A66" s="67" t="str">
        <f>A$6</f>
        <v>DATA:____BASE  PERIOD__X__FORECASTED  PERIOD</v>
      </c>
      <c r="B66" s="67"/>
      <c r="E66" s="375"/>
      <c r="F66" s="74" t="s">
        <v>1454</v>
      </c>
    </row>
    <row r="67" spans="1:6" s="68" customFormat="1" ht="20.100000000000001" customHeight="1">
      <c r="A67" s="67" t="str">
        <f>A$7</f>
        <v>TYPE OF FILING: __X__ ORIGINAL  _____ UPDATED  _____ REVISED</v>
      </c>
      <c r="E67" s="375"/>
      <c r="F67" s="74" t="s">
        <v>2177</v>
      </c>
    </row>
    <row r="68" spans="1:6" s="68" customFormat="1" ht="20.100000000000001" customHeight="1">
      <c r="A68" s="67" t="str">
        <f>A$8</f>
        <v xml:space="preserve">WORKPAPER REFERENCE NO(S).: </v>
      </c>
      <c r="B68" s="67"/>
      <c r="E68" s="375"/>
      <c r="F68" s="75" t="str">
        <f>F$8</f>
        <v>WITNESS:   C. M. GARRETT</v>
      </c>
    </row>
    <row r="69" spans="1:6" s="68" customFormat="1" ht="20.100000000000001" customHeight="1">
      <c r="E69" s="375"/>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f>('JURISSEP F'!G$131+'JURISSEP F'!G$132)/('JURISSEP F'!E$131+'JURISSEP F'!E$132)</f>
        <v>0.61030438797161957</v>
      </c>
      <c r="E73" s="363" t="s">
        <v>312</v>
      </c>
      <c r="F73" s="699" t="s">
        <v>3410</v>
      </c>
    </row>
    <row r="74" spans="1:6" ht="18.95" customHeight="1">
      <c r="A74" s="70"/>
      <c r="B74" s="71"/>
      <c r="D74" s="130"/>
    </row>
    <row r="75" spans="1:6" ht="18.95" customHeight="1">
      <c r="A75" s="70">
        <f>A73+1</f>
        <v>47</v>
      </c>
      <c r="C75" s="383"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2" t="s">
        <v>16</v>
      </c>
      <c r="D84" s="130"/>
    </row>
    <row r="85" spans="1:6" ht="18.95" customHeight="1">
      <c r="A85" s="70">
        <f>A84+1</f>
        <v>48</v>
      </c>
      <c r="C85" s="383" t="s">
        <v>2107</v>
      </c>
      <c r="D85" s="130"/>
    </row>
    <row r="86" spans="1:6" ht="18.95" customHeight="1">
      <c r="A86" s="70">
        <f>A85+1</f>
        <v>49</v>
      </c>
      <c r="B86" s="71" t="s">
        <v>1676</v>
      </c>
      <c r="C86" s="78" t="s">
        <v>154</v>
      </c>
      <c r="D86" s="130">
        <f>'JURISSEP F'!G1167</f>
        <v>0.99901483124385737</v>
      </c>
      <c r="E86" s="363" t="s">
        <v>733</v>
      </c>
      <c r="F86" s="376" t="s">
        <v>2114</v>
      </c>
    </row>
    <row r="87" spans="1:6" ht="18.95" customHeight="1">
      <c r="A87" s="70">
        <f t="shared" si="4"/>
        <v>50</v>
      </c>
      <c r="B87" s="71" t="s">
        <v>1677</v>
      </c>
      <c r="C87" s="78" t="s">
        <v>148</v>
      </c>
      <c r="D87" s="130">
        <f>'JURISSEP F'!G1168</f>
        <v>0.98746795933790532</v>
      </c>
      <c r="E87" s="363" t="s">
        <v>733</v>
      </c>
      <c r="F87" s="376" t="s">
        <v>2114</v>
      </c>
    </row>
    <row r="88" spans="1:6" ht="18.95" customHeight="1">
      <c r="A88" s="70">
        <f t="shared" si="4"/>
        <v>51</v>
      </c>
      <c r="B88" s="71" t="s">
        <v>1678</v>
      </c>
      <c r="C88" s="78" t="s">
        <v>1679</v>
      </c>
      <c r="D88" s="130">
        <f>'JURISSEP F'!G1169</f>
        <v>0.98679067105804885</v>
      </c>
      <c r="E88" s="363" t="s">
        <v>733</v>
      </c>
      <c r="F88" s="376" t="s">
        <v>2114</v>
      </c>
    </row>
    <row r="89" spans="1:6" ht="18.95" customHeight="1">
      <c r="A89" s="70">
        <f t="shared" si="4"/>
        <v>52</v>
      </c>
      <c r="B89" s="71" t="s">
        <v>1680</v>
      </c>
      <c r="C89" s="78" t="s">
        <v>1681</v>
      </c>
      <c r="D89" s="130">
        <f>'JURISSEP F'!G1170</f>
        <v>1</v>
      </c>
      <c r="E89" s="363" t="s">
        <v>733</v>
      </c>
      <c r="F89" s="376" t="s">
        <v>2113</v>
      </c>
    </row>
    <row r="90" spans="1:6" ht="18.95" customHeight="1">
      <c r="A90" s="70">
        <f t="shared" si="4"/>
        <v>53</v>
      </c>
      <c r="B90" s="71" t="s">
        <v>1682</v>
      </c>
      <c r="C90" s="78" t="s">
        <v>1670</v>
      </c>
      <c r="D90" s="130">
        <f>'JURISSEP F'!G1171</f>
        <v>1</v>
      </c>
      <c r="E90" s="363" t="s">
        <v>733</v>
      </c>
      <c r="F90" s="376" t="s">
        <v>2113</v>
      </c>
    </row>
    <row r="91" spans="1:6" ht="18.95" customHeight="1">
      <c r="A91" s="70">
        <f t="shared" si="4"/>
        <v>54</v>
      </c>
      <c r="B91" s="71" t="s">
        <v>1683</v>
      </c>
      <c r="C91" s="78" t="s">
        <v>1672</v>
      </c>
      <c r="D91" s="130">
        <f>'JURISSEP F'!G1172</f>
        <v>1</v>
      </c>
      <c r="E91" s="363" t="s">
        <v>733</v>
      </c>
      <c r="F91" s="376" t="s">
        <v>2113</v>
      </c>
    </row>
    <row r="92" spans="1:6" ht="18.95" customHeight="1">
      <c r="A92" s="70">
        <f t="shared" si="4"/>
        <v>55</v>
      </c>
      <c r="B92" s="71" t="s">
        <v>1684</v>
      </c>
      <c r="C92" s="78" t="s">
        <v>1674</v>
      </c>
      <c r="D92" s="130">
        <f>'JURISSEP F'!G1173</f>
        <v>1</v>
      </c>
      <c r="E92" s="363" t="s">
        <v>733</v>
      </c>
      <c r="F92" s="376" t="s">
        <v>2113</v>
      </c>
    </row>
    <row r="93" spans="1:6" ht="18.95" customHeight="1">
      <c r="A93" s="70">
        <f t="shared" si="4"/>
        <v>56</v>
      </c>
      <c r="B93" s="71" t="s">
        <v>1685</v>
      </c>
      <c r="C93" s="78" t="s">
        <v>1686</v>
      </c>
      <c r="D93" s="130">
        <f>'JURISSEP F'!G171/'JURISSEP F'!E171</f>
        <v>1</v>
      </c>
      <c r="E93" s="363" t="s">
        <v>733</v>
      </c>
      <c r="F93" s="376" t="s">
        <v>2113</v>
      </c>
    </row>
    <row r="94" spans="1:6" ht="18.95" customHeight="1">
      <c r="A94" s="70">
        <f t="shared" si="4"/>
        <v>57</v>
      </c>
      <c r="B94" s="71" t="s">
        <v>1687</v>
      </c>
      <c r="C94" s="78" t="s">
        <v>1688</v>
      </c>
      <c r="D94" s="130">
        <f>'JURISSEP F'!G172/'JURISSEP F'!E172</f>
        <v>1</v>
      </c>
      <c r="E94" s="363" t="s">
        <v>733</v>
      </c>
      <c r="F94" s="376" t="s">
        <v>2113</v>
      </c>
    </row>
    <row r="95" spans="1:6" ht="18.95" customHeight="1">
      <c r="A95" s="70">
        <f>A94+1</f>
        <v>58</v>
      </c>
      <c r="B95" s="71" t="s">
        <v>1689</v>
      </c>
      <c r="C95" s="78" t="s">
        <v>1690</v>
      </c>
      <c r="D95" s="130">
        <f>'JURISSEP F'!G173/'JURISSEP F'!E173</f>
        <v>0.99940025072756267</v>
      </c>
      <c r="E95" s="363" t="s">
        <v>733</v>
      </c>
      <c r="F95" s="376" t="s">
        <v>2114</v>
      </c>
    </row>
    <row r="96" spans="1:6" ht="18.95" customHeight="1">
      <c r="A96" s="70">
        <f t="shared" si="4"/>
        <v>59</v>
      </c>
      <c r="B96" s="71" t="s">
        <v>1691</v>
      </c>
      <c r="C96" s="78" t="s">
        <v>1692</v>
      </c>
      <c r="D96" s="130">
        <f>'JURISSEP F'!G174/'JURISSEP F'!E174</f>
        <v>1</v>
      </c>
      <c r="E96" s="363" t="s">
        <v>733</v>
      </c>
      <c r="F96" s="376" t="s">
        <v>2113</v>
      </c>
    </row>
    <row r="97" spans="1:6" ht="18.95" customHeight="1">
      <c r="A97" s="70">
        <f t="shared" si="4"/>
        <v>60</v>
      </c>
      <c r="B97" s="71" t="s">
        <v>1693</v>
      </c>
      <c r="C97" s="78" t="s">
        <v>1694</v>
      </c>
      <c r="D97" s="130">
        <f>'JURISSEP F'!G175/'JURISSEP F'!E175</f>
        <v>1</v>
      </c>
      <c r="E97" s="363" t="s">
        <v>733</v>
      </c>
      <c r="F97" s="376" t="s">
        <v>2113</v>
      </c>
    </row>
    <row r="98" spans="1:6" ht="18.95" customHeight="1">
      <c r="A98" s="70">
        <f t="shared" si="4"/>
        <v>61</v>
      </c>
      <c r="B98" s="71" t="s">
        <v>1695</v>
      </c>
      <c r="C98" s="78" t="s">
        <v>151</v>
      </c>
      <c r="D98" s="130">
        <f>'JURISSEP F'!G176/'JURISSEP F'!E176</f>
        <v>1</v>
      </c>
      <c r="E98" s="363" t="s">
        <v>733</v>
      </c>
      <c r="F98" s="376" t="s">
        <v>2113</v>
      </c>
    </row>
    <row r="99" spans="1:6" ht="18.95" customHeight="1">
      <c r="A99" s="70"/>
      <c r="B99" s="71"/>
      <c r="C99" s="78"/>
      <c r="D99" s="130"/>
    </row>
    <row r="100" spans="1:6" ht="18.95" customHeight="1">
      <c r="A100" s="70">
        <f>A98+1</f>
        <v>62</v>
      </c>
      <c r="C100" s="383"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3"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67" t="str">
        <f>A$1</f>
        <v>KENTUCKY UTILITIES COMPANY</v>
      </c>
      <c r="B122" s="767"/>
      <c r="C122" s="767"/>
      <c r="D122" s="767"/>
      <c r="E122" s="767"/>
      <c r="F122" s="767"/>
    </row>
    <row r="123" spans="1:6" s="68" customFormat="1" ht="20.100000000000001" customHeight="1">
      <c r="A123" s="767" t="str">
        <f>A$2</f>
        <v>CASE NO. 2018-00294</v>
      </c>
      <c r="B123" s="767"/>
      <c r="C123" s="767"/>
      <c r="D123" s="767"/>
      <c r="E123" s="767"/>
      <c r="F123" s="767"/>
    </row>
    <row r="124" spans="1:6" s="68" customFormat="1" ht="20.100000000000001" customHeight="1">
      <c r="A124" s="767" t="s">
        <v>1455</v>
      </c>
      <c r="B124" s="767"/>
      <c r="C124" s="767"/>
      <c r="D124" s="767"/>
      <c r="E124" s="767"/>
      <c r="F124" s="767"/>
    </row>
    <row r="125" spans="1:6" s="68" customFormat="1" ht="20.100000000000001" customHeight="1">
      <c r="A125" s="766" t="str">
        <f>A$4</f>
        <v>FORECAST PERIOD FOR THE 12 MONTHS ENDED APRIL 30, 2020</v>
      </c>
      <c r="B125" s="767"/>
      <c r="C125" s="767"/>
      <c r="D125" s="767"/>
      <c r="E125" s="767"/>
      <c r="F125" s="767"/>
    </row>
    <row r="126" spans="1:6" s="68" customFormat="1" ht="20.100000000000001" customHeight="1">
      <c r="A126" s="374"/>
      <c r="B126" s="374"/>
      <c r="C126" s="374"/>
      <c r="D126" s="374"/>
      <c r="E126" s="374"/>
      <c r="F126" s="374"/>
    </row>
    <row r="127" spans="1:6" s="68" customFormat="1" ht="20.100000000000001" customHeight="1">
      <c r="A127" s="67" t="str">
        <f>A$6</f>
        <v>DATA:____BASE  PERIOD__X__FORECASTED  PERIOD</v>
      </c>
      <c r="B127" s="67"/>
      <c r="E127" s="375"/>
      <c r="F127" s="74" t="s">
        <v>1454</v>
      </c>
    </row>
    <row r="128" spans="1:6" s="68" customFormat="1" ht="20.100000000000001" customHeight="1">
      <c r="A128" s="67" t="str">
        <f>A$7</f>
        <v>TYPE OF FILING: __X__ ORIGINAL  _____ UPDATED  _____ REVISED</v>
      </c>
      <c r="E128" s="375"/>
      <c r="F128" s="74" t="s">
        <v>2179</v>
      </c>
    </row>
    <row r="129" spans="1:6" s="68" customFormat="1" ht="20.100000000000001" customHeight="1">
      <c r="A129" s="67" t="str">
        <f>A$8</f>
        <v xml:space="preserve">WORKPAPER REFERENCE NO(S).: </v>
      </c>
      <c r="B129" s="67"/>
      <c r="E129" s="375"/>
      <c r="F129" s="75" t="str">
        <f>F$8</f>
        <v>WITNESS:   C. M. GARRETT</v>
      </c>
    </row>
    <row r="130" spans="1:6" s="68" customFormat="1" ht="20.100000000000001" customHeight="1">
      <c r="E130" s="375"/>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2" t="s">
        <v>32</v>
      </c>
      <c r="D138" s="130"/>
      <c r="E138" s="363"/>
    </row>
    <row r="139" spans="1:6" ht="18.95" customHeight="1">
      <c r="A139" s="70">
        <f t="shared" ref="A139:A147" si="9">A138+1</f>
        <v>88</v>
      </c>
      <c r="B139" s="71" t="s">
        <v>1697</v>
      </c>
      <c r="C139" s="78" t="s">
        <v>154</v>
      </c>
      <c r="D139" s="130">
        <f>'JURISSEP F'!G213/'JURISSEP F'!E213</f>
        <v>0.94069865484010717</v>
      </c>
      <c r="E139" s="363" t="s">
        <v>419</v>
      </c>
      <c r="F139" s="376" t="s">
        <v>2118</v>
      </c>
    </row>
    <row r="140" spans="1:6" ht="18.95" customHeight="1">
      <c r="A140" s="70">
        <f t="shared" si="9"/>
        <v>89</v>
      </c>
      <c r="B140" s="71" t="s">
        <v>1698</v>
      </c>
      <c r="C140" s="78" t="s">
        <v>148</v>
      </c>
      <c r="D140" s="130">
        <f>'JURISSEP F'!G214/'JURISSEP F'!E214</f>
        <v>0.94069865484010706</v>
      </c>
      <c r="E140" s="363" t="s">
        <v>419</v>
      </c>
      <c r="F140" s="376" t="s">
        <v>2118</v>
      </c>
    </row>
    <row r="141" spans="1:6" ht="18.95" customHeight="1">
      <c r="A141" s="70">
        <f t="shared" si="9"/>
        <v>90</v>
      </c>
      <c r="B141" s="71" t="s">
        <v>1699</v>
      </c>
      <c r="C141" s="78" t="s">
        <v>156</v>
      </c>
      <c r="D141" s="130">
        <f>'JURISSEP F'!G215/'JURISSEP F'!E215</f>
        <v>0.94069865484010717</v>
      </c>
      <c r="E141" s="363" t="s">
        <v>419</v>
      </c>
      <c r="F141" s="376" t="s">
        <v>2118</v>
      </c>
    </row>
    <row r="142" spans="1:6" ht="18.95" customHeight="1">
      <c r="A142" s="70">
        <f t="shared" si="9"/>
        <v>91</v>
      </c>
      <c r="B142" s="71" t="s">
        <v>1700</v>
      </c>
      <c r="C142" s="78" t="s">
        <v>155</v>
      </c>
      <c r="D142" s="130">
        <f>'JURISSEP F'!G216/'JURISSEP F'!E216</f>
        <v>0.94069865484010717</v>
      </c>
      <c r="E142" s="363" t="s">
        <v>419</v>
      </c>
      <c r="F142" s="376" t="s">
        <v>2118</v>
      </c>
    </row>
    <row r="143" spans="1:6" ht="18.95" customHeight="1">
      <c r="A143" s="70">
        <f t="shared" si="9"/>
        <v>92</v>
      </c>
      <c r="B143" s="71" t="s">
        <v>1701</v>
      </c>
      <c r="C143" s="78" t="s">
        <v>1702</v>
      </c>
      <c r="D143" s="130">
        <f>'JURISSEP F'!G217/'JURISSEP F'!E217</f>
        <v>0.94069865484010717</v>
      </c>
      <c r="E143" s="363" t="s">
        <v>419</v>
      </c>
      <c r="F143" s="376" t="s">
        <v>2118</v>
      </c>
    </row>
    <row r="144" spans="1:6" ht="18.95" customHeight="1">
      <c r="A144" s="70">
        <f t="shared" si="9"/>
        <v>93</v>
      </c>
      <c r="B144" s="71" t="s">
        <v>1703</v>
      </c>
      <c r="C144" s="78" t="s">
        <v>1704</v>
      </c>
      <c r="D144" s="130">
        <f>'JURISSEP F'!G218/'JURISSEP F'!E218</f>
        <v>0.94069865484010717</v>
      </c>
      <c r="E144" s="363" t="s">
        <v>419</v>
      </c>
      <c r="F144" s="376" t="s">
        <v>2118</v>
      </c>
    </row>
    <row r="145" spans="1:6" ht="18.95" customHeight="1">
      <c r="A145" s="70">
        <f t="shared" si="9"/>
        <v>94</v>
      </c>
      <c r="B145" s="71" t="s">
        <v>1705</v>
      </c>
      <c r="C145" s="78" t="s">
        <v>1706</v>
      </c>
      <c r="D145" s="130">
        <f>D139</f>
        <v>0.94069865484010717</v>
      </c>
      <c r="E145" s="363" t="s">
        <v>419</v>
      </c>
      <c r="F145" s="376" t="s">
        <v>2118</v>
      </c>
    </row>
    <row r="146" spans="1:6" ht="18.95" customHeight="1">
      <c r="A146" s="70">
        <f>A145+1</f>
        <v>95</v>
      </c>
      <c r="B146" s="71" t="s">
        <v>1707</v>
      </c>
      <c r="C146" s="78" t="s">
        <v>1708</v>
      </c>
      <c r="D146" s="130">
        <f>'JURISSEP F'!G220/'JURISSEP F'!E220</f>
        <v>0.94069865484010717</v>
      </c>
      <c r="E146" s="363" t="s">
        <v>419</v>
      </c>
      <c r="F146" s="376" t="s">
        <v>2118</v>
      </c>
    </row>
    <row r="147" spans="1:6" ht="18.95" customHeight="1">
      <c r="A147" s="70">
        <f t="shared" si="9"/>
        <v>96</v>
      </c>
      <c r="B147" s="71" t="s">
        <v>1709</v>
      </c>
      <c r="C147" s="78" t="s">
        <v>157</v>
      </c>
      <c r="D147" s="130">
        <f>'JURISSEP F'!G224/'JURISSEP F'!E224</f>
        <v>0.94769551090972881</v>
      </c>
      <c r="E147" s="363" t="s">
        <v>2119</v>
      </c>
      <c r="F147" s="376" t="s">
        <v>2120</v>
      </c>
    </row>
    <row r="148" spans="1:6" ht="18.95" customHeight="1">
      <c r="A148" s="70">
        <f>A147+1</f>
        <v>97</v>
      </c>
      <c r="B148" s="71" t="s">
        <v>1710</v>
      </c>
      <c r="C148" s="78" t="s">
        <v>1711</v>
      </c>
      <c r="D148" s="130">
        <f>D139</f>
        <v>0.94069865484010717</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F'!G275/'JURISSEP F'!E275</f>
        <v>1</v>
      </c>
      <c r="E151" s="363"/>
      <c r="F151" s="376" t="s">
        <v>2121</v>
      </c>
    </row>
    <row r="152" spans="1:6" ht="18.95" customHeight="1">
      <c r="A152" s="70">
        <f t="shared" ref="A152" si="10">A151+1</f>
        <v>100</v>
      </c>
      <c r="B152" s="71">
        <v>303</v>
      </c>
      <c r="C152" s="78" t="s">
        <v>1625</v>
      </c>
      <c r="D152" s="130">
        <f>'JURISSEP F'!G276/'JURISSEP F'!E276</f>
        <v>0.93500158392919441</v>
      </c>
      <c r="E152" s="363"/>
      <c r="F152" s="376" t="s">
        <v>2122</v>
      </c>
    </row>
    <row r="153" spans="1:6" ht="18.95" customHeight="1">
      <c r="A153" s="70">
        <f>A152+1</f>
        <v>101</v>
      </c>
      <c r="B153" s="384" t="s">
        <v>2128</v>
      </c>
      <c r="C153" s="385" t="s">
        <v>72</v>
      </c>
      <c r="D153" s="130">
        <f>'JURISSEP F'!G$1249</f>
        <v>0.93741603079505231</v>
      </c>
      <c r="E153" s="363" t="s">
        <v>444</v>
      </c>
      <c r="F153" s="376" t="s">
        <v>2129</v>
      </c>
    </row>
    <row r="154" spans="1:6" ht="18.95" customHeight="1">
      <c r="A154" s="70">
        <f>A153+1</f>
        <v>102</v>
      </c>
      <c r="B154" s="384" t="s">
        <v>2131</v>
      </c>
      <c r="C154" s="385" t="s">
        <v>47</v>
      </c>
      <c r="D154" s="130">
        <f>'JURISSEP F'!G1250</f>
        <v>0.93741603079505254</v>
      </c>
      <c r="E154" s="363" t="s">
        <v>449</v>
      </c>
      <c r="F154" s="376" t="s">
        <v>2132</v>
      </c>
    </row>
    <row r="155" spans="1:6" ht="18.95" customHeight="1">
      <c r="A155" s="70">
        <f>A154+1</f>
        <v>103</v>
      </c>
      <c r="B155" s="384" t="s">
        <v>2134</v>
      </c>
      <c r="C155" s="385" t="s">
        <v>61</v>
      </c>
      <c r="D155" s="130">
        <f>'JURISSEP F'!G1251</f>
        <v>0.93741603079505242</v>
      </c>
      <c r="E155" s="363" t="s">
        <v>452</v>
      </c>
      <c r="F155" s="376" t="s">
        <v>2133</v>
      </c>
    </row>
    <row r="156" spans="1:6" ht="18.95" customHeight="1">
      <c r="A156" s="70">
        <f t="shared" ref="A156:A159" si="11">A155+1</f>
        <v>104</v>
      </c>
      <c r="B156" s="384" t="s">
        <v>2137</v>
      </c>
      <c r="C156" s="385" t="s">
        <v>2135</v>
      </c>
      <c r="D156" s="130">
        <f>'JURISSEP F'!G1252</f>
        <v>0.95484801861125845</v>
      </c>
      <c r="E156" s="363" t="s">
        <v>1006</v>
      </c>
      <c r="F156" s="376" t="s">
        <v>2139</v>
      </c>
    </row>
    <row r="157" spans="1:6" ht="18.95" customHeight="1">
      <c r="A157" s="70">
        <f t="shared" si="11"/>
        <v>105</v>
      </c>
      <c r="B157" s="384" t="s">
        <v>2138</v>
      </c>
      <c r="C157" s="385" t="s">
        <v>2136</v>
      </c>
      <c r="D157" s="130">
        <f>'JURISSEP F'!G1272</f>
        <v>0.12102305144291675</v>
      </c>
      <c r="E157" s="363" t="s">
        <v>459</v>
      </c>
      <c r="F157" s="376" t="s">
        <v>2157</v>
      </c>
    </row>
    <row r="158" spans="1:6" ht="18.95" customHeight="1">
      <c r="A158" s="70">
        <f t="shared" si="11"/>
        <v>106</v>
      </c>
      <c r="B158" s="384" t="s">
        <v>2143</v>
      </c>
      <c r="C158" s="385" t="s">
        <v>2141</v>
      </c>
      <c r="D158" s="130">
        <f>'JURISSEP F'!G270/'JURISSEP F'!E270</f>
        <v>0.99810520022843585</v>
      </c>
      <c r="E158" s="363" t="s">
        <v>2144</v>
      </c>
      <c r="F158" s="376" t="s">
        <v>2145</v>
      </c>
    </row>
    <row r="159" spans="1:6" ht="18.95" customHeight="1">
      <c r="A159" s="70">
        <f t="shared" si="11"/>
        <v>107</v>
      </c>
      <c r="B159" s="384" t="s">
        <v>2142</v>
      </c>
      <c r="C159" s="385" t="s">
        <v>2140</v>
      </c>
      <c r="D159" s="130">
        <v>0</v>
      </c>
      <c r="E159" s="363" t="s">
        <v>464</v>
      </c>
      <c r="F159" s="376" t="s">
        <v>2146</v>
      </c>
    </row>
    <row r="160" spans="1:6" ht="18.95" customHeight="1">
      <c r="A160" s="70">
        <f>A159+1</f>
        <v>108</v>
      </c>
      <c r="B160" s="384" t="s">
        <v>2147</v>
      </c>
      <c r="C160" s="385" t="s">
        <v>2148</v>
      </c>
      <c r="D160" s="130">
        <f>'JURISSEP F'!G273/'JURISSEP F'!E273</f>
        <v>0.94276900725831292</v>
      </c>
      <c r="E160" s="363" t="s">
        <v>468</v>
      </c>
      <c r="F160" s="376" t="s">
        <v>2149</v>
      </c>
    </row>
    <row r="161" spans="1:6" ht="18.95" customHeight="1">
      <c r="A161" s="70">
        <f>A160+1</f>
        <v>109</v>
      </c>
      <c r="B161" s="384" t="s">
        <v>2130</v>
      </c>
      <c r="C161" s="78" t="s">
        <v>2103</v>
      </c>
      <c r="D161" s="130">
        <f>SUM('JURISSEP F'!G244,'JURISSEP F'!G245,'JURISSEP F'!G250,'JURISSEP F'!G251,'JURISSEP F'!G256,'JURISSEP F'!G257,'JURISSEP F'!G265,'JURISSEP F'!G266)/SUM('JURISSEP F'!E244,'JURISSEP F'!E245,'JURISSEP F'!E250,'JURISSEP F'!E251,'JURISSEP F'!E256,'JURISSEP F'!E257,'JURISSEP F'!E265,'JURISSEP F'!E266)</f>
        <v>0.6057984824119973</v>
      </c>
      <c r="E161" s="363" t="s">
        <v>312</v>
      </c>
      <c r="F161" s="699" t="s">
        <v>3410</v>
      </c>
    </row>
    <row r="162" spans="1:6" ht="18.95" customHeight="1">
      <c r="A162" s="70"/>
      <c r="B162" s="384"/>
      <c r="C162" s="385"/>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F'!G1260</f>
        <v>0.93741603079505242</v>
      </c>
      <c r="E164" s="363" t="s">
        <v>478</v>
      </c>
      <c r="F164" s="376" t="s">
        <v>2152</v>
      </c>
    </row>
    <row r="165" spans="1:6" ht="18.95" customHeight="1">
      <c r="A165" s="70">
        <f t="shared" ref="A165:A170" si="12">A164+1</f>
        <v>112</v>
      </c>
      <c r="B165" s="384" t="s">
        <v>2137</v>
      </c>
      <c r="C165" s="385" t="s">
        <v>2135</v>
      </c>
      <c r="D165" s="130">
        <f>'JURISSEP F'!G$1344</f>
        <v>0.95550049685621619</v>
      </c>
      <c r="E165" s="363" t="s">
        <v>457</v>
      </c>
      <c r="F165" s="376" t="s">
        <v>2139</v>
      </c>
    </row>
    <row r="166" spans="1:6" ht="18.95" customHeight="1">
      <c r="A166" s="70">
        <f t="shared" si="12"/>
        <v>113</v>
      </c>
      <c r="B166" s="384" t="s">
        <v>2138</v>
      </c>
      <c r="C166" s="385" t="s">
        <v>2136</v>
      </c>
      <c r="D166" s="130">
        <v>0</v>
      </c>
      <c r="E166" s="363" t="s">
        <v>484</v>
      </c>
      <c r="F166" s="376" t="s">
        <v>2156</v>
      </c>
    </row>
    <row r="167" spans="1:6" ht="18.95" customHeight="1">
      <c r="A167" s="70">
        <f t="shared" si="12"/>
        <v>114</v>
      </c>
      <c r="B167" s="384" t="s">
        <v>2143</v>
      </c>
      <c r="C167" s="385" t="s">
        <v>2141</v>
      </c>
      <c r="D167" s="130">
        <f>'JURISSEP F'!G1275</f>
        <v>1</v>
      </c>
      <c r="E167" s="363" t="s">
        <v>489</v>
      </c>
      <c r="F167" s="376" t="s">
        <v>2155</v>
      </c>
    </row>
    <row r="168" spans="1:6" ht="18.95" customHeight="1">
      <c r="A168" s="70">
        <f t="shared" si="12"/>
        <v>115</v>
      </c>
      <c r="B168" s="384" t="s">
        <v>2142</v>
      </c>
      <c r="C168" s="385" t="s">
        <v>2140</v>
      </c>
      <c r="D168" s="130">
        <v>0</v>
      </c>
      <c r="E168" s="363" t="s">
        <v>487</v>
      </c>
      <c r="F168" s="376" t="s">
        <v>2153</v>
      </c>
    </row>
    <row r="169" spans="1:6" ht="18.95" customHeight="1">
      <c r="A169" s="70">
        <f t="shared" si="12"/>
        <v>116</v>
      </c>
      <c r="B169" s="384" t="s">
        <v>2147</v>
      </c>
      <c r="C169" s="385" t="s">
        <v>2148</v>
      </c>
      <c r="D169" s="130">
        <f>'JURISSEP F'!G1257</f>
        <v>0.94276900725831281</v>
      </c>
      <c r="E169" s="363" t="s">
        <v>468</v>
      </c>
      <c r="F169" s="376" t="s">
        <v>2149</v>
      </c>
    </row>
    <row r="170" spans="1:6" ht="18.95" customHeight="1">
      <c r="A170" s="70">
        <f t="shared" si="12"/>
        <v>117</v>
      </c>
      <c r="B170" s="71" t="s">
        <v>2130</v>
      </c>
      <c r="C170" s="78" t="s">
        <v>2103</v>
      </c>
      <c r="D170" s="130">
        <f>('JURISSEP F'!G$290)/('JURISSEP F'!E$290)</f>
        <v>0.7788225176236363</v>
      </c>
      <c r="E170" s="363" t="s">
        <v>312</v>
      </c>
      <c r="F170" s="699" t="s">
        <v>3410</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F'!G1210</f>
        <v>0.9410091595713157</v>
      </c>
      <c r="E173" s="363" t="s">
        <v>495</v>
      </c>
      <c r="F173" s="376" t="s">
        <v>2159</v>
      </c>
    </row>
    <row r="174" spans="1:6" ht="18.95" customHeight="1">
      <c r="A174" s="70">
        <f t="shared" ref="A174:A177" si="13">A173+1</f>
        <v>120</v>
      </c>
      <c r="B174" s="71">
        <v>154</v>
      </c>
      <c r="C174" s="78" t="s">
        <v>2160</v>
      </c>
      <c r="D174" s="130">
        <f>'JURISSEP F'!G$1264</f>
        <v>0.93156190196932931</v>
      </c>
      <c r="E174" s="363" t="s">
        <v>2161</v>
      </c>
      <c r="F174" s="376" t="s">
        <v>2162</v>
      </c>
    </row>
    <row r="175" spans="1:6" ht="18.95" customHeight="1">
      <c r="A175" s="70">
        <f t="shared" si="13"/>
        <v>121</v>
      </c>
      <c r="B175" s="71">
        <v>158</v>
      </c>
      <c r="C175" s="78" t="s">
        <v>2163</v>
      </c>
      <c r="D175" s="130">
        <f t="shared" ref="D175" si="14">D$19</f>
        <v>0.93741603079505242</v>
      </c>
      <c r="E175" s="363" t="s">
        <v>304</v>
      </c>
      <c r="F175" s="376" t="s">
        <v>2108</v>
      </c>
    </row>
    <row r="176" spans="1:6" ht="18.95" customHeight="1">
      <c r="A176" s="70">
        <f t="shared" si="13"/>
        <v>122</v>
      </c>
      <c r="B176" s="71">
        <v>163</v>
      </c>
      <c r="C176" s="78" t="s">
        <v>2164</v>
      </c>
      <c r="D176" s="130">
        <f>'JURISSEP F'!G$1264</f>
        <v>0.93156190196932931</v>
      </c>
      <c r="E176" s="363" t="s">
        <v>2165</v>
      </c>
      <c r="F176" s="376" t="s">
        <v>2166</v>
      </c>
    </row>
    <row r="177" spans="1:6" ht="18.95" customHeight="1">
      <c r="A177" s="70">
        <f t="shared" si="13"/>
        <v>123</v>
      </c>
      <c r="B177" s="71">
        <v>165</v>
      </c>
      <c r="C177" s="78" t="s">
        <v>1521</v>
      </c>
      <c r="D177" s="130">
        <f>'JURISSEP F'!G1265</f>
        <v>0.9375480184339865</v>
      </c>
      <c r="E177" s="363" t="s">
        <v>2167</v>
      </c>
      <c r="F177" s="376" t="s">
        <v>2168</v>
      </c>
    </row>
    <row r="178" spans="1:6" ht="18.95" customHeight="1">
      <c r="A178" s="70"/>
      <c r="B178" s="71"/>
      <c r="C178" s="78"/>
      <c r="D178" s="130"/>
      <c r="E178" s="363"/>
      <c r="F178" s="376"/>
    </row>
    <row r="179" spans="1:6" ht="33.75" customHeight="1">
      <c r="A179" s="70">
        <f>A177+1</f>
        <v>124</v>
      </c>
      <c r="B179" s="71"/>
      <c r="C179" s="381" t="s">
        <v>2270</v>
      </c>
      <c r="D179" s="130"/>
      <c r="E179" s="363"/>
      <c r="F179" s="376"/>
    </row>
    <row r="180" spans="1:6" ht="18.95" customHeight="1">
      <c r="A180" s="70">
        <f>A179+1</f>
        <v>125</v>
      </c>
      <c r="B180" s="70" t="s">
        <v>1452</v>
      </c>
      <c r="C180" s="78" t="s">
        <v>2150</v>
      </c>
      <c r="D180" s="130">
        <f>D164</f>
        <v>0.93741603079505242</v>
      </c>
      <c r="E180" s="363" t="s">
        <v>478</v>
      </c>
      <c r="F180" s="376" t="s">
        <v>2152</v>
      </c>
    </row>
    <row r="181" spans="1:6" ht="18.95" customHeight="1">
      <c r="A181" s="70">
        <f t="shared" ref="A181:A197" si="15">A180+1</f>
        <v>126</v>
      </c>
      <c r="B181" s="70" t="s">
        <v>1452</v>
      </c>
      <c r="C181" s="385" t="s">
        <v>2135</v>
      </c>
      <c r="D181" s="130">
        <f>D165</f>
        <v>0.95550049685621619</v>
      </c>
      <c r="E181" s="363" t="s">
        <v>457</v>
      </c>
      <c r="F181" s="376" t="s">
        <v>2139</v>
      </c>
    </row>
    <row r="182" spans="1:6" ht="18.95" customHeight="1">
      <c r="A182" s="70">
        <f t="shared" si="15"/>
        <v>127</v>
      </c>
      <c r="B182" s="70" t="s">
        <v>1452</v>
      </c>
      <c r="C182" s="385" t="s">
        <v>2136</v>
      </c>
      <c r="D182" s="130">
        <v>0</v>
      </c>
      <c r="E182" s="363" t="s">
        <v>484</v>
      </c>
      <c r="F182" s="376" t="s">
        <v>2156</v>
      </c>
    </row>
    <row r="183" spans="1:6" s="68" customFormat="1" ht="20.100000000000001" customHeight="1">
      <c r="A183" s="767" t="str">
        <f>A$1</f>
        <v>KENTUCKY UTILITIES COMPANY</v>
      </c>
      <c r="B183" s="767"/>
      <c r="C183" s="767"/>
      <c r="D183" s="767"/>
      <c r="E183" s="767"/>
      <c r="F183" s="767"/>
    </row>
    <row r="184" spans="1:6" s="68" customFormat="1" ht="20.100000000000001" customHeight="1">
      <c r="A184" s="767" t="str">
        <f>A$2</f>
        <v>CASE NO. 2018-00294</v>
      </c>
      <c r="B184" s="767"/>
      <c r="C184" s="767"/>
      <c r="D184" s="767"/>
      <c r="E184" s="767"/>
      <c r="F184" s="767"/>
    </row>
    <row r="185" spans="1:6" s="68" customFormat="1" ht="20.100000000000001" customHeight="1">
      <c r="A185" s="767" t="s">
        <v>1455</v>
      </c>
      <c r="B185" s="767"/>
      <c r="C185" s="767"/>
      <c r="D185" s="767"/>
      <c r="E185" s="767"/>
      <c r="F185" s="767"/>
    </row>
    <row r="186" spans="1:6" s="68" customFormat="1" ht="20.100000000000001" customHeight="1">
      <c r="A186" s="766" t="str">
        <f>A$4</f>
        <v>FORECAST PERIOD FOR THE 12 MONTHS ENDED APRIL 30, 2020</v>
      </c>
      <c r="B186" s="767"/>
      <c r="C186" s="767"/>
      <c r="D186" s="767"/>
      <c r="E186" s="767"/>
      <c r="F186" s="767"/>
    </row>
    <row r="187" spans="1:6" s="68" customFormat="1" ht="20.100000000000001" customHeight="1">
      <c r="A187" s="374"/>
      <c r="B187" s="374"/>
      <c r="C187" s="374"/>
      <c r="D187" s="374"/>
      <c r="E187" s="374"/>
      <c r="F187" s="374"/>
    </row>
    <row r="188" spans="1:6" s="68" customFormat="1" ht="20.100000000000001" customHeight="1">
      <c r="A188" s="67" t="str">
        <f>A$6</f>
        <v>DATA:____BASE  PERIOD__X__FORECASTED  PERIOD</v>
      </c>
      <c r="B188" s="67"/>
      <c r="E188" s="375"/>
      <c r="F188" s="74" t="s">
        <v>1454</v>
      </c>
    </row>
    <row r="189" spans="1:6" s="68" customFormat="1" ht="20.100000000000001" customHeight="1">
      <c r="A189" s="67" t="str">
        <f>A$7</f>
        <v>TYPE OF FILING: __X__ ORIGINAL  _____ UPDATED  _____ REVISED</v>
      </c>
      <c r="E189" s="375"/>
      <c r="F189" s="74" t="s">
        <v>2180</v>
      </c>
    </row>
    <row r="190" spans="1:6" s="68" customFormat="1" ht="20.100000000000001" customHeight="1">
      <c r="A190" s="67" t="str">
        <f>A$8</f>
        <v xml:space="preserve">WORKPAPER REFERENCE NO(S).: </v>
      </c>
      <c r="B190" s="67"/>
      <c r="E190" s="375"/>
      <c r="F190" s="75" t="str">
        <f>F$8</f>
        <v>WITNESS:   C. M. GARRETT</v>
      </c>
    </row>
    <row r="191" spans="1:6" s="68" customFormat="1" ht="20.100000000000001" customHeight="1">
      <c r="E191" s="375"/>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5" t="s">
        <v>2170</v>
      </c>
      <c r="D194" s="130">
        <f>D167</f>
        <v>1</v>
      </c>
      <c r="E194" s="363" t="s">
        <v>489</v>
      </c>
      <c r="F194" s="376" t="s">
        <v>2155</v>
      </c>
    </row>
    <row r="195" spans="1:6" ht="18.95" customHeight="1">
      <c r="A195" s="70">
        <f t="shared" si="15"/>
        <v>129</v>
      </c>
      <c r="B195" s="70" t="s">
        <v>1452</v>
      </c>
      <c r="C195" s="385" t="s">
        <v>2169</v>
      </c>
      <c r="D195" s="130">
        <v>0</v>
      </c>
      <c r="E195" s="363" t="s">
        <v>487</v>
      </c>
      <c r="F195" s="376" t="s">
        <v>2171</v>
      </c>
    </row>
    <row r="196" spans="1:6" ht="18.95" customHeight="1">
      <c r="A196" s="70">
        <f t="shared" si="15"/>
        <v>130</v>
      </c>
      <c r="B196" s="70" t="s">
        <v>1452</v>
      </c>
      <c r="C196" s="385" t="s">
        <v>2148</v>
      </c>
      <c r="D196" s="130">
        <f>D169</f>
        <v>0.94276900725831281</v>
      </c>
      <c r="E196" s="363" t="s">
        <v>468</v>
      </c>
      <c r="F196" s="376" t="s">
        <v>2149</v>
      </c>
    </row>
    <row r="197" spans="1:6" ht="18.95" customHeight="1">
      <c r="A197" s="70">
        <f t="shared" si="15"/>
        <v>131</v>
      </c>
      <c r="B197" s="70" t="s">
        <v>1452</v>
      </c>
      <c r="C197" s="78" t="s">
        <v>2103</v>
      </c>
      <c r="D197" s="130">
        <f>SUM('JURISSEP F'!G343,'JURISSEP F'!G344,'JURISSEP F'!G351,'JURISSEP F'!G352)/SUM('JURISSEP F'!E343,'JURISSEP F'!E344,'JURISSEP F'!E351,'JURISSEP F'!E352)</f>
        <v>0.77645703997269588</v>
      </c>
      <c r="E197" s="363" t="s">
        <v>312</v>
      </c>
      <c r="F197" s="699" t="s">
        <v>3410</v>
      </c>
    </row>
    <row r="198" spans="1:6" ht="18.95" customHeight="1">
      <c r="A198" s="70"/>
      <c r="B198" s="71"/>
      <c r="C198" s="78"/>
      <c r="D198" s="130"/>
      <c r="E198" s="363"/>
      <c r="F198" s="376"/>
    </row>
    <row r="199" spans="1:6" ht="18.95" customHeight="1">
      <c r="A199" s="70">
        <f>A197+1</f>
        <v>132</v>
      </c>
      <c r="B199" s="73">
        <v>252</v>
      </c>
      <c r="C199" s="78" t="s">
        <v>1191</v>
      </c>
      <c r="D199" s="130">
        <f>'JURISSEP F'!G1221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F'!G1261</f>
        <v>0.9356483078528135</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0.93741603079505242</v>
      </c>
      <c r="E203" s="363" t="s">
        <v>444</v>
      </c>
      <c r="F203" s="376" t="s">
        <v>2129</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c r="D260" s="130"/>
    </row>
    <row r="261" spans="1:6">
      <c r="D261" s="130"/>
    </row>
  </sheetData>
  <mergeCells count="16">
    <mergeCell ref="A4:F4"/>
    <mergeCell ref="A1:F1"/>
    <mergeCell ref="A2:F2"/>
    <mergeCell ref="A3:F3"/>
    <mergeCell ref="A61:F61"/>
    <mergeCell ref="A62:F62"/>
    <mergeCell ref="A63:F63"/>
    <mergeCell ref="A64:F64"/>
    <mergeCell ref="A122:F122"/>
    <mergeCell ref="A185:F185"/>
    <mergeCell ref="A186:F186"/>
    <mergeCell ref="A123:F123"/>
    <mergeCell ref="A124:F124"/>
    <mergeCell ref="A125:F125"/>
    <mergeCell ref="A183:F183"/>
    <mergeCell ref="A184:F184"/>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Normal="100" workbookViewId="0">
      <selection activeCell="F18" sqref="F18"/>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7" t="str">
        <f>'Rate Case Constants'!C9</f>
        <v>KENTUCKY UTILITIES COMPANY</v>
      </c>
      <c r="B1" s="767"/>
      <c r="C1" s="767"/>
      <c r="D1" s="767"/>
      <c r="E1" s="767"/>
      <c r="F1" s="767"/>
      <c r="G1" s="767"/>
    </row>
    <row r="2" spans="1:9" s="68" customFormat="1" ht="20.100000000000001" customHeight="1">
      <c r="A2" s="767" t="str">
        <f>'Rate Case Constants'!C10</f>
        <v>CASE NO. 2018-00294</v>
      </c>
      <c r="B2" s="767"/>
      <c r="C2" s="767"/>
      <c r="D2" s="767"/>
      <c r="E2" s="767"/>
      <c r="F2" s="767"/>
      <c r="G2" s="767"/>
    </row>
    <row r="3" spans="1:9" s="68" customFormat="1" ht="20.100000000000001" customHeight="1">
      <c r="A3" s="767" t="s">
        <v>1469</v>
      </c>
      <c r="B3" s="767"/>
      <c r="C3" s="767"/>
      <c r="D3" s="767"/>
      <c r="E3" s="767"/>
      <c r="F3" s="767"/>
      <c r="G3" s="767"/>
    </row>
    <row r="4" spans="1:9" s="68" customFormat="1" ht="20.100000000000001" customHeight="1">
      <c r="A4" s="766" t="str">
        <f>'Rate Case Constants'!C15</f>
        <v>BASE YEAR FOR THE 12 MONTHS ENDED DECEMBER 31, 2018</v>
      </c>
      <c r="B4" s="766"/>
      <c r="C4" s="766"/>
      <c r="D4" s="766"/>
      <c r="E4" s="766"/>
      <c r="F4" s="766"/>
      <c r="G4" s="766"/>
    </row>
    <row r="5" spans="1:9" s="68" customFormat="1" ht="20.100000000000001" customHeight="1">
      <c r="A5" s="366"/>
      <c r="B5" s="366"/>
      <c r="C5" s="366"/>
      <c r="D5" s="366"/>
      <c r="E5" s="366"/>
      <c r="F5" s="366"/>
      <c r="G5" s="366"/>
    </row>
    <row r="6" spans="1:9" s="68" customFormat="1" ht="20.100000000000001" customHeight="1">
      <c r="A6" s="67" t="s">
        <v>133</v>
      </c>
      <c r="G6" s="74" t="s">
        <v>1468</v>
      </c>
    </row>
    <row r="7" spans="1:9" s="68" customFormat="1" ht="20.100000000000001" customHeight="1">
      <c r="A7" s="68" t="str">
        <f>'Rate Case Constants'!C29</f>
        <v>TYPE OF FILING: __X__ ORIGINAL  _____ UPDATED  _____ REVISED</v>
      </c>
      <c r="G7" s="74" t="s">
        <v>177</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B'!D113</f>
        <v>9781498702.2099781</v>
      </c>
      <c r="D13" s="86">
        <f>'SCH B-2.2'!D30</f>
        <v>-1624952953.7399995</v>
      </c>
      <c r="E13" s="86">
        <f>C13+D13</f>
        <v>8156545748.4699783</v>
      </c>
      <c r="F13" s="86">
        <f>'SCH B-1'!D14</f>
        <v>7291034407.0916672</v>
      </c>
      <c r="G13" s="130">
        <f>F13/E13</f>
        <v>0.89388751463318095</v>
      </c>
      <c r="I13" s="130"/>
    </row>
    <row r="14" spans="1:9" ht="18.95" customHeight="1">
      <c r="A14" s="70">
        <v>2</v>
      </c>
      <c r="B14" s="78" t="s">
        <v>1184</v>
      </c>
      <c r="C14" s="86">
        <f>SUM('SCH B-2.6'!D13:D18)</f>
        <v>1912919.75</v>
      </c>
      <c r="D14" s="86">
        <v>0</v>
      </c>
      <c r="E14" s="86">
        <f t="shared" ref="E14:E15" si="0">C14+D14</f>
        <v>1912919.75</v>
      </c>
      <c r="F14" s="86">
        <f>SUM('SCH B-2.6'!G13:G18)</f>
        <v>1538145.0550993024</v>
      </c>
      <c r="G14" s="130">
        <f t="shared" ref="G14:G18" si="1">F14/E14</f>
        <v>0.80408237465230958</v>
      </c>
      <c r="I14" s="130"/>
    </row>
    <row r="15" spans="1:9" ht="18.95" customHeight="1">
      <c r="A15" s="70">
        <v>3</v>
      </c>
      <c r="B15" s="78" t="s">
        <v>1181</v>
      </c>
      <c r="C15" s="131">
        <f>'SCH B-3 B'!E116</f>
        <v>-3457985896.0317564</v>
      </c>
      <c r="D15" s="131">
        <f>'SCH B-3.1'!D29</f>
        <v>255066869.46095124</v>
      </c>
      <c r="E15" s="131">
        <f t="shared" si="0"/>
        <v>-3202919026.5708051</v>
      </c>
      <c r="F15" s="131">
        <f>'SCH B-1'!D16</f>
        <v>-2833816108.8014693</v>
      </c>
      <c r="G15" s="130">
        <f t="shared" si="1"/>
        <v>0.88476045922256286</v>
      </c>
      <c r="I15" s="130"/>
    </row>
    <row r="16" spans="1:9" ht="18.95" customHeight="1">
      <c r="A16" s="70">
        <v>4</v>
      </c>
      <c r="B16" s="78" t="s">
        <v>1208</v>
      </c>
      <c r="C16" s="86">
        <f>SUM(C13:C15)</f>
        <v>6325425725.9282217</v>
      </c>
      <c r="D16" s="86">
        <f>SUM(D13:D15)</f>
        <v>-1369886084.2790482</v>
      </c>
      <c r="E16" s="86">
        <f>SUM(E13:E15)</f>
        <v>4955539641.6491737</v>
      </c>
      <c r="F16" s="86">
        <f>SUM(F13:F15)</f>
        <v>4458756443.3452969</v>
      </c>
      <c r="G16" s="130">
        <f t="shared" si="1"/>
        <v>0.89975194747134535</v>
      </c>
      <c r="I16" s="130"/>
    </row>
    <row r="17" spans="1:9" ht="18.95" customHeight="1">
      <c r="A17" s="70">
        <v>5</v>
      </c>
      <c r="B17" s="78" t="s">
        <v>1182</v>
      </c>
      <c r="C17" s="131">
        <f>'SCH B-4'!F22</f>
        <v>321301919.96124214</v>
      </c>
      <c r="D17" s="131">
        <f>'SCH B-4.1'!C12</f>
        <v>-250332183.44501829</v>
      </c>
      <c r="E17" s="131">
        <f>C17+D17</f>
        <v>70969736.516223848</v>
      </c>
      <c r="F17" s="131">
        <f>'SCH B-1'!D18</f>
        <v>65060093.249033287</v>
      </c>
      <c r="G17" s="130">
        <f t="shared" si="1"/>
        <v>0.91673009430097574</v>
      </c>
      <c r="I17" s="130"/>
    </row>
    <row r="18" spans="1:9" ht="18.95" customHeight="1">
      <c r="A18" s="70">
        <v>6</v>
      </c>
      <c r="B18" s="78" t="s">
        <v>1209</v>
      </c>
      <c r="C18" s="86">
        <f>SUM(C16:C17)</f>
        <v>6646727645.8894634</v>
      </c>
      <c r="D18" s="86">
        <f>SUM(D16:D17)</f>
        <v>-1620218267.7240665</v>
      </c>
      <c r="E18" s="86">
        <f>SUM(E16:E17)</f>
        <v>5026509378.1653976</v>
      </c>
      <c r="F18" s="86">
        <f>SUM(F16:F17)</f>
        <v>4523816536.5943298</v>
      </c>
      <c r="G18" s="130">
        <f t="shared" si="1"/>
        <v>0.89999166344845394</v>
      </c>
      <c r="I18" s="130"/>
    </row>
    <row r="19" spans="1:9" ht="18.95" customHeight="1">
      <c r="A19" s="70"/>
      <c r="B19" s="78"/>
      <c r="C19" s="86"/>
      <c r="D19" s="86"/>
      <c r="E19" s="86"/>
      <c r="F19" s="86"/>
    </row>
    <row r="20" spans="1:9" ht="18.95" customHeight="1">
      <c r="A20" s="70">
        <v>7</v>
      </c>
      <c r="B20" s="78" t="s">
        <v>1183</v>
      </c>
      <c r="C20" s="86">
        <f>'SUPP SCH B-1.1 B'!R38</f>
        <v>68863047.242275745</v>
      </c>
      <c r="D20" s="86">
        <f ca="1">-'ECR EXP B'!O26*1000</f>
        <v>-2900008.3762499969</v>
      </c>
      <c r="E20" s="86">
        <f t="shared" ref="E20:E25" ca="1" si="2">C20+D20</f>
        <v>65963038.866025746</v>
      </c>
      <c r="F20" s="86">
        <f ca="1">'SCH B-1'!D21</f>
        <v>52828914.766290925</v>
      </c>
      <c r="G20" s="130">
        <f t="shared" ref="G20:G24" ca="1" si="3">F20/E20</f>
        <v>0.80088661278309381</v>
      </c>
      <c r="I20" s="130"/>
    </row>
    <row r="21" spans="1:9" ht="18.95" customHeight="1">
      <c r="A21" s="70">
        <v>8</v>
      </c>
      <c r="B21" s="78" t="s">
        <v>1190</v>
      </c>
      <c r="C21" s="86">
        <f>'SUPP SCH B-1.1 B'!R35+'SUPP SCH B-1.1 B'!R36+'SUPP SCH B-1.1 B'!R37</f>
        <v>139755532.56770104</v>
      </c>
      <c r="D21" s="86">
        <f>-'ECR ALLOW'!N5*1000</f>
        <v>-129522.07999999999</v>
      </c>
      <c r="E21" s="86">
        <f t="shared" si="2"/>
        <v>139626010.48770103</v>
      </c>
      <c r="F21" s="86">
        <f>'SCH B-1'!D22</f>
        <v>124398073.22599292</v>
      </c>
      <c r="G21" s="130">
        <f t="shared" si="3"/>
        <v>0.89093767551963776</v>
      </c>
      <c r="I21" s="130"/>
    </row>
    <row r="22" spans="1:9" ht="18.95" customHeight="1">
      <c r="A22" s="70">
        <v>9</v>
      </c>
      <c r="B22" s="78" t="s">
        <v>1191</v>
      </c>
      <c r="C22" s="86">
        <f>-'SUPP SCH B-1.1 B'!R26</f>
        <v>-980981.37</v>
      </c>
      <c r="D22" s="86">
        <v>0</v>
      </c>
      <c r="E22" s="86">
        <f t="shared" si="2"/>
        <v>-980981.37</v>
      </c>
      <c r="F22" s="86">
        <f>'SCH B-1'!D23</f>
        <v>-951646.55364259379</v>
      </c>
      <c r="G22" s="130">
        <f t="shared" si="3"/>
        <v>0.97009645926567778</v>
      </c>
      <c r="I22" s="130"/>
    </row>
    <row r="23" spans="1:9" ht="18.95" customHeight="1">
      <c r="A23" s="70">
        <v>10</v>
      </c>
      <c r="B23" s="78" t="s">
        <v>1193</v>
      </c>
      <c r="C23" s="86">
        <f>-'SUPP SCH B-1.1 B'!R27</f>
        <v>-1380626004.0000002</v>
      </c>
      <c r="D23" s="86">
        <f>-'ECR DEFTAX'!M2</f>
        <v>335914909.39955503</v>
      </c>
      <c r="E23" s="86">
        <f t="shared" si="2"/>
        <v>-1044711094.6004453</v>
      </c>
      <c r="F23" s="86">
        <f>'SCH B-1'!D24</f>
        <v>-939222680.99867892</v>
      </c>
      <c r="G23" s="130">
        <f t="shared" si="3"/>
        <v>0.89902623400193626</v>
      </c>
      <c r="I23" s="130"/>
    </row>
    <row r="24" spans="1:9" ht="18.95" customHeight="1">
      <c r="A24" s="70">
        <v>11</v>
      </c>
      <c r="B24" s="78" t="s">
        <v>1194</v>
      </c>
      <c r="C24" s="86">
        <f>-'SUPP SCH B-1.1 B'!R28</f>
        <v>-91624046.000000015</v>
      </c>
      <c r="D24" s="86">
        <v>0</v>
      </c>
      <c r="E24" s="86">
        <f t="shared" si="2"/>
        <v>-91624046.000000015</v>
      </c>
      <c r="F24" s="86">
        <f>'SCH B-1'!D25</f>
        <v>-79747725.782731548</v>
      </c>
      <c r="G24" s="130">
        <f t="shared" si="3"/>
        <v>0.87037987585411292</v>
      </c>
      <c r="I24" s="130"/>
    </row>
    <row r="25" spans="1:9" ht="18.95" customHeight="1">
      <c r="A25" s="70">
        <v>12</v>
      </c>
      <c r="B25" s="78" t="s">
        <v>1195</v>
      </c>
      <c r="C25" s="131">
        <f>-'SCH B-6'!D18</f>
        <v>69633622.427637115</v>
      </c>
      <c r="D25" s="131">
        <f>-C25</f>
        <v>-69633622.427637115</v>
      </c>
      <c r="E25" s="131">
        <f t="shared" si="2"/>
        <v>0</v>
      </c>
      <c r="F25" s="131">
        <f>'SCH B-1'!F26</f>
        <v>0</v>
      </c>
      <c r="G25" s="130">
        <v>0</v>
      </c>
      <c r="I25" s="130"/>
    </row>
    <row r="26" spans="1:9" ht="18.95" customHeight="1">
      <c r="A26" s="70"/>
      <c r="B26" s="78"/>
      <c r="C26" s="86"/>
      <c r="D26" s="86"/>
      <c r="E26" s="86"/>
      <c r="F26" s="86"/>
    </row>
    <row r="27" spans="1:9" ht="18.95" customHeight="1" thickBot="1">
      <c r="A27" s="70">
        <v>13</v>
      </c>
      <c r="B27" s="78" t="s">
        <v>1196</v>
      </c>
      <c r="C27" s="94">
        <f>SUM(C18:C25)</f>
        <v>5451748816.7570782</v>
      </c>
      <c r="D27" s="94">
        <f ca="1">SUM(D18:D25)</f>
        <v>-1356966511.2083986</v>
      </c>
      <c r="E27" s="94">
        <f ca="1">SUM(E18:E25)</f>
        <v>4094782305.5486798</v>
      </c>
      <c r="F27" s="94">
        <f ca="1">SUM(F18:F25)</f>
        <v>3681121471.2515607</v>
      </c>
      <c r="G27" s="130">
        <f ca="1">F27/E27</f>
        <v>0.8989785528435581</v>
      </c>
      <c r="I27" s="130"/>
    </row>
    <row r="28" spans="1:9" ht="18.95" customHeight="1" thickTop="1">
      <c r="C28" s="86"/>
      <c r="D28" s="86"/>
      <c r="E28" s="86"/>
      <c r="F28" s="86"/>
    </row>
    <row r="29" spans="1:9" ht="18.95" customHeight="1">
      <c r="C29" s="86"/>
      <c r="D29" s="86"/>
      <c r="E29" s="86"/>
      <c r="F29" s="86">
        <f ca="1">'SUPP SCH B-1.1 B'!N43</f>
        <v>3681121471.2515645</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topLeftCell="A4" zoomScaleNormal="100" workbookViewId="0">
      <selection activeCell="E13" sqref="E13"/>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7" t="str">
        <f>'Rate Case Constants'!C9</f>
        <v>KENTUCKY UTILITIES COMPANY</v>
      </c>
      <c r="B1" s="767"/>
      <c r="C1" s="767"/>
      <c r="D1" s="767"/>
      <c r="E1" s="767"/>
      <c r="F1" s="767"/>
      <c r="G1" s="767"/>
    </row>
    <row r="2" spans="1:9" s="68" customFormat="1" ht="20.100000000000001" customHeight="1">
      <c r="A2" s="767" t="str">
        <f>'Rate Case Constants'!C10</f>
        <v>CASE NO. 2018-00294</v>
      </c>
      <c r="B2" s="767"/>
      <c r="C2" s="767"/>
      <c r="D2" s="767"/>
      <c r="E2" s="767"/>
      <c r="F2" s="767"/>
      <c r="G2" s="767"/>
    </row>
    <row r="3" spans="1:9" s="68" customFormat="1" ht="20.100000000000001" customHeight="1">
      <c r="A3" s="767" t="s">
        <v>1469</v>
      </c>
      <c r="B3" s="767"/>
      <c r="C3" s="767"/>
      <c r="D3" s="767"/>
      <c r="E3" s="767"/>
      <c r="F3" s="767"/>
      <c r="G3" s="767"/>
    </row>
    <row r="4" spans="1:9" s="68" customFormat="1" ht="20.100000000000001" customHeight="1">
      <c r="A4" s="766" t="str">
        <f>'Rate Case Constants'!C21</f>
        <v>FORECAST PERIOD FOR THE 12 MONTHS ENDED APRIL 30, 2020</v>
      </c>
      <c r="B4" s="770"/>
      <c r="C4" s="770"/>
      <c r="D4" s="770"/>
      <c r="E4" s="770"/>
      <c r="F4" s="770"/>
      <c r="G4" s="770"/>
    </row>
    <row r="5" spans="1:9" s="68" customFormat="1" ht="20.100000000000001" customHeight="1">
      <c r="A5" s="366"/>
      <c r="B5" s="366"/>
      <c r="C5" s="366"/>
      <c r="D5" s="366"/>
      <c r="E5" s="366"/>
      <c r="F5" s="366"/>
      <c r="G5" s="366"/>
    </row>
    <row r="6" spans="1:9" s="68" customFormat="1" ht="20.100000000000001" customHeight="1">
      <c r="A6" s="67" t="s">
        <v>161</v>
      </c>
      <c r="G6" s="74" t="s">
        <v>1468</v>
      </c>
    </row>
    <row r="7" spans="1:9" s="68" customFormat="1" ht="20.100000000000001" customHeight="1">
      <c r="A7" s="68" t="str">
        <f>'Rate Case Constants'!C29</f>
        <v>TYPE OF FILING: __X__ ORIGINAL  _____ UPDATED  _____ REVISED</v>
      </c>
      <c r="G7" s="74" t="s">
        <v>185</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F'!D113</f>
        <v>10078782127.167679</v>
      </c>
      <c r="D13" s="86">
        <f>'SCH B-2.2'!D61</f>
        <v>-1820961795.5784624</v>
      </c>
      <c r="E13" s="86">
        <f>C13+D13</f>
        <v>8257820331.5892162</v>
      </c>
      <c r="F13" s="86">
        <f>'SCH B-1'!F14</f>
        <v>7719113381.123044</v>
      </c>
      <c r="G13" s="130">
        <f>F13/E13</f>
        <v>0.93476402624002131</v>
      </c>
      <c r="I13" s="130"/>
    </row>
    <row r="14" spans="1:9" ht="18.95" customHeight="1">
      <c r="A14" s="70">
        <v>2</v>
      </c>
      <c r="B14" s="78" t="s">
        <v>1184</v>
      </c>
      <c r="C14" s="86">
        <f>SUM('SCH B-2.6'!D34:D39)</f>
        <v>1912919.75</v>
      </c>
      <c r="D14" s="86">
        <v>0</v>
      </c>
      <c r="E14" s="86">
        <f t="shared" ref="E14:E15" si="0">C14+D14</f>
        <v>1912919.75</v>
      </c>
      <c r="F14" s="86">
        <f>SUM('SCH B-2.6'!G34:G39)</f>
        <v>1561634.4282905909</v>
      </c>
      <c r="G14" s="130">
        <f t="shared" ref="G14:G18" si="1">F14/E14</f>
        <v>0.81636170481829717</v>
      </c>
      <c r="I14" s="130"/>
    </row>
    <row r="15" spans="1:9" ht="18.95" customHeight="1">
      <c r="A15" s="70">
        <v>3</v>
      </c>
      <c r="B15" s="78" t="s">
        <v>1181</v>
      </c>
      <c r="C15" s="131">
        <f>'SCH B-3 F'!E116</f>
        <v>-3497188448.226778</v>
      </c>
      <c r="D15" s="131">
        <f>'SCH B-3.1'!D59</f>
        <v>294842674.10810292</v>
      </c>
      <c r="E15" s="131">
        <f t="shared" si="0"/>
        <v>-3202345774.1186752</v>
      </c>
      <c r="F15" s="131">
        <f>'SCH B-1'!F16</f>
        <v>-2974075465.3504395</v>
      </c>
      <c r="G15" s="130">
        <f t="shared" si="1"/>
        <v>0.92871778225414825</v>
      </c>
      <c r="I15" s="130"/>
    </row>
    <row r="16" spans="1:9" ht="18.95" customHeight="1">
      <c r="A16" s="70">
        <v>4</v>
      </c>
      <c r="B16" s="78" t="s">
        <v>1208</v>
      </c>
      <c r="C16" s="86">
        <f>SUM(C13:C15)</f>
        <v>6583506598.6909008</v>
      </c>
      <c r="D16" s="86">
        <f>SUM(D13:D15)</f>
        <v>-1526119121.4703593</v>
      </c>
      <c r="E16" s="86">
        <f>SUM(E13:E15)</f>
        <v>5057387477.220541</v>
      </c>
      <c r="F16" s="86">
        <f>SUM(F13:F15)</f>
        <v>4746599550.2008953</v>
      </c>
      <c r="G16" s="130">
        <f t="shared" si="1"/>
        <v>0.93854773271387748</v>
      </c>
      <c r="I16" s="130"/>
    </row>
    <row r="17" spans="1:9" ht="18.95" customHeight="1">
      <c r="A17" s="70">
        <v>5</v>
      </c>
      <c r="B17" s="78" t="s">
        <v>1182</v>
      </c>
      <c r="C17" s="131">
        <f>'SCH B-4'!F47</f>
        <v>238614173.85720006</v>
      </c>
      <c r="D17" s="131">
        <f>'SCH B-4.1'!C35</f>
        <v>-94313350.284252077</v>
      </c>
      <c r="E17" s="131">
        <f>C17+D17</f>
        <v>144300823.57294798</v>
      </c>
      <c r="F17" s="131">
        <f>'SCH B-1'!F18</f>
        <v>134479318.04190978</v>
      </c>
      <c r="G17" s="130">
        <f t="shared" si="1"/>
        <v>0.93193728706563372</v>
      </c>
      <c r="I17" s="130"/>
    </row>
    <row r="18" spans="1:9" ht="18.95" customHeight="1">
      <c r="A18" s="70">
        <v>6</v>
      </c>
      <c r="B18" s="78" t="s">
        <v>1209</v>
      </c>
      <c r="C18" s="86">
        <f>SUM(C16:C17)</f>
        <v>6822120772.5481005</v>
      </c>
      <c r="D18" s="86">
        <f>SUM(D16:D17)</f>
        <v>-1620432471.7546115</v>
      </c>
      <c r="E18" s="86">
        <f>SUM(E16:E17)</f>
        <v>5201688300.7934895</v>
      </c>
      <c r="F18" s="86">
        <f>SUM(F16:F17)</f>
        <v>4881078868.2428055</v>
      </c>
      <c r="G18" s="130">
        <f t="shared" si="1"/>
        <v>0.93836435133920337</v>
      </c>
      <c r="I18" s="130"/>
    </row>
    <row r="19" spans="1:9" ht="18.95" customHeight="1">
      <c r="A19" s="70"/>
      <c r="B19" s="78"/>
      <c r="C19" s="86"/>
      <c r="D19" s="86"/>
      <c r="E19" s="86"/>
      <c r="F19" s="86"/>
    </row>
    <row r="20" spans="1:9" ht="18.95" customHeight="1">
      <c r="A20" s="70">
        <v>7</v>
      </c>
      <c r="B20" s="78" t="s">
        <v>1183</v>
      </c>
      <c r="C20" s="86">
        <f>'SUPP SCH B-1.1 F'!R38</f>
        <v>106088753.94732079</v>
      </c>
      <c r="D20" s="86">
        <f>-'ECR EXP F'!N25*1000</f>
        <v>-2498510.7499999995</v>
      </c>
      <c r="E20" s="86">
        <f t="shared" ref="E20:E25" si="2">C20+D20</f>
        <v>103590243.19732079</v>
      </c>
      <c r="F20" s="86">
        <f>'SCH B-1'!F21</f>
        <v>94636138.132647425</v>
      </c>
      <c r="G20" s="130">
        <f t="shared" ref="G20:G24" si="3">F20/E20</f>
        <v>0.91356227393329503</v>
      </c>
      <c r="I20" s="130"/>
    </row>
    <row r="21" spans="1:9" ht="18.95" customHeight="1">
      <c r="A21" s="70">
        <v>8</v>
      </c>
      <c r="B21" s="78" t="s">
        <v>1190</v>
      </c>
      <c r="C21" s="86">
        <f>'SUPP SCH B-1.1 F'!R35+'SUPP SCH B-1.1 F'!R36+'SUPP SCH B-1.1 F'!R37</f>
        <v>139117896.6417447</v>
      </c>
      <c r="D21" s="86">
        <f>-'ECR ALLOW'!AF5*1000</f>
        <v>-129522.07999999999</v>
      </c>
      <c r="E21" s="86">
        <f t="shared" si="2"/>
        <v>138988374.56174469</v>
      </c>
      <c r="F21" s="86">
        <f>'SCH B-1'!F22</f>
        <v>130931331.47053622</v>
      </c>
      <c r="G21" s="130">
        <f t="shared" si="3"/>
        <v>0.94203081288910839</v>
      </c>
      <c r="I21" s="130"/>
    </row>
    <row r="22" spans="1:9" ht="18.95" customHeight="1">
      <c r="A22" s="70">
        <v>9</v>
      </c>
      <c r="B22" s="78" t="s">
        <v>1191</v>
      </c>
      <c r="C22" s="86">
        <f>-'SUPP SCH B-1.1 F'!R26</f>
        <v>-980981.36999999965</v>
      </c>
      <c r="D22" s="86">
        <v>0</v>
      </c>
      <c r="E22" s="86">
        <f t="shared" si="2"/>
        <v>-980981.36999999965</v>
      </c>
      <c r="F22" s="86">
        <f>'SCH B-1'!F23</f>
        <v>-951646.55364259344</v>
      </c>
      <c r="G22" s="130">
        <f t="shared" si="3"/>
        <v>0.97009645926567778</v>
      </c>
      <c r="I22" s="130"/>
    </row>
    <row r="23" spans="1:9" ht="18.95" customHeight="1">
      <c r="A23" s="70">
        <v>10</v>
      </c>
      <c r="B23" s="78" t="s">
        <v>1193</v>
      </c>
      <c r="C23" s="86">
        <f>-'SUPP SCH B-1.1 F'!R27</f>
        <v>-1404997153</v>
      </c>
      <c r="D23" s="86">
        <f>-'ECR DEFTAX'!AD2</f>
        <v>362896950.06479907</v>
      </c>
      <c r="E23" s="86">
        <f t="shared" si="2"/>
        <v>-1042100202.9352009</v>
      </c>
      <c r="F23" s="86">
        <f>'SCH B-1'!F24</f>
        <v>-976331381.04651523</v>
      </c>
      <c r="G23" s="130">
        <f t="shared" si="3"/>
        <v>0.93688819779188226</v>
      </c>
      <c r="I23" s="130"/>
    </row>
    <row r="24" spans="1:9" ht="18.95" customHeight="1">
      <c r="A24" s="70">
        <v>11</v>
      </c>
      <c r="B24" s="78" t="s">
        <v>1194</v>
      </c>
      <c r="C24" s="86">
        <f>-'SUPP SCH B-1.1 F'!R28</f>
        <v>-89931576</v>
      </c>
      <c r="D24" s="86">
        <v>0</v>
      </c>
      <c r="E24" s="86">
        <f t="shared" si="2"/>
        <v>-89931576</v>
      </c>
      <c r="F24" s="86">
        <f>'SCH B-1'!F25</f>
        <v>-84144326.90693669</v>
      </c>
      <c r="G24" s="130">
        <f t="shared" si="3"/>
        <v>0.9356483078528135</v>
      </c>
      <c r="I24" s="130"/>
    </row>
    <row r="25" spans="1:9" ht="18.95" customHeight="1">
      <c r="A25" s="70">
        <v>12</v>
      </c>
      <c r="B25" s="78" t="s">
        <v>1195</v>
      </c>
      <c r="C25" s="131">
        <f>-'SCH B-6'!D40</f>
        <v>101937692.82886787</v>
      </c>
      <c r="D25" s="131">
        <f>-C25</f>
        <v>-101937692.82886787</v>
      </c>
      <c r="E25" s="131">
        <f t="shared" si="2"/>
        <v>0</v>
      </c>
      <c r="F25" s="131">
        <f>'SCH B-1'!F26</f>
        <v>0</v>
      </c>
      <c r="G25" s="130">
        <v>0</v>
      </c>
      <c r="I25" s="130"/>
    </row>
    <row r="26" spans="1:9" ht="18.95" customHeight="1">
      <c r="A26" s="70"/>
      <c r="B26" s="78"/>
      <c r="C26" s="86"/>
      <c r="D26" s="86"/>
      <c r="E26" s="86"/>
      <c r="F26" s="86"/>
    </row>
    <row r="27" spans="1:9" ht="18.95" customHeight="1" thickBot="1">
      <c r="A27" s="70">
        <v>13</v>
      </c>
      <c r="B27" s="78" t="s">
        <v>1196</v>
      </c>
      <c r="C27" s="94">
        <f>SUM(C18:C25)</f>
        <v>5673355405.596034</v>
      </c>
      <c r="D27" s="94">
        <f>SUM(D18:D25)</f>
        <v>-1362101247.3486803</v>
      </c>
      <c r="E27" s="94">
        <f>SUM(E18:E25)</f>
        <v>4311254158.2473545</v>
      </c>
      <c r="F27" s="94">
        <f>SUM(F18:F25)</f>
        <v>4045218983.3388948</v>
      </c>
      <c r="G27" s="130">
        <f>F27/E27</f>
        <v>0.93829285745087909</v>
      </c>
      <c r="I27" s="130"/>
    </row>
    <row r="28" spans="1:9" ht="18.95" customHeight="1" thickTop="1">
      <c r="C28" s="86"/>
      <c r="D28" s="86"/>
      <c r="E28" s="86"/>
      <c r="F28" s="86"/>
    </row>
    <row r="29" spans="1:9" ht="18.95" customHeight="1">
      <c r="C29" s="86"/>
      <c r="D29" s="86"/>
      <c r="E29" s="86"/>
      <c r="F29" s="86">
        <f>'SUPP SCH B-1.1 F'!N43</f>
        <v>4045218983.3388948</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8"/>
  <sheetViews>
    <sheetView zoomScaleNormal="100" workbookViewId="0">
      <selection activeCell="E9" sqref="E9"/>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7" t="str">
        <f>'Rate Case Constants'!C9</f>
        <v>KENTUCKY UTILITIES COMPANY</v>
      </c>
      <c r="B1" s="767"/>
      <c r="C1" s="767"/>
      <c r="D1" s="767"/>
      <c r="E1" s="767"/>
    </row>
    <row r="2" spans="1:5" s="68" customFormat="1" ht="20.100000000000001" customHeight="1">
      <c r="A2" s="767" t="str">
        <f>'Rate Case Constants'!C10</f>
        <v>CASE NO. 2018-00294</v>
      </c>
      <c r="B2" s="767"/>
      <c r="C2" s="767"/>
      <c r="D2" s="767"/>
      <c r="E2" s="767"/>
    </row>
    <row r="3" spans="1:5" s="68" customFormat="1" ht="20.100000000000001" customHeight="1">
      <c r="A3" s="767" t="s">
        <v>1478</v>
      </c>
      <c r="B3" s="767"/>
      <c r="C3" s="767"/>
      <c r="D3" s="767"/>
      <c r="E3" s="767"/>
    </row>
    <row r="4" spans="1:5" s="68" customFormat="1" ht="20.100000000000001" customHeight="1">
      <c r="A4" s="766" t="str">
        <f>'Rate Case Constants'!C15</f>
        <v>BASE YEAR FOR THE 12 MONTHS ENDED DECEMBER 31, 2018</v>
      </c>
      <c r="B4" s="766"/>
      <c r="C4" s="766"/>
      <c r="D4" s="766"/>
      <c r="E4" s="766"/>
    </row>
    <row r="5" spans="1:5" s="68" customFormat="1" ht="20.100000000000001" customHeight="1">
      <c r="A5" s="766"/>
      <c r="B5" s="766"/>
      <c r="C5" s="766"/>
      <c r="D5" s="766"/>
      <c r="E5" s="766"/>
    </row>
    <row r="6" spans="1:5" s="68" customFormat="1" ht="20.100000000000001" customHeight="1">
      <c r="A6" s="158"/>
      <c r="B6" s="158"/>
      <c r="C6" s="158"/>
      <c r="D6" s="158"/>
      <c r="E6" s="158"/>
    </row>
    <row r="7" spans="1:5" s="68" customFormat="1" ht="20.100000000000001" customHeight="1">
      <c r="A7" s="67" t="s">
        <v>133</v>
      </c>
      <c r="B7" s="67"/>
      <c r="D7" s="74"/>
      <c r="E7" s="74" t="s">
        <v>1479</v>
      </c>
    </row>
    <row r="8" spans="1:5" s="68" customFormat="1" ht="20.100000000000001" customHeight="1">
      <c r="A8" s="68" t="str">
        <f>'Rate Case Constants'!C29</f>
        <v>TYPE OF FILING: __X__ ORIGINAL  _____ UPDATED  _____ REVISED</v>
      </c>
      <c r="D8" s="74"/>
      <c r="E8" s="74" t="s">
        <v>177</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s="68" customFormat="1" ht="20.100000000000001" customHeight="1">
      <c r="A13" s="767" t="s">
        <v>2101</v>
      </c>
      <c r="B13" s="767"/>
      <c r="C13" s="767"/>
      <c r="D13" s="767"/>
      <c r="E13" s="767"/>
    </row>
    <row r="14" spans="1:5" ht="18.95" customHeight="1">
      <c r="A14" s="70"/>
      <c r="B14" s="71"/>
      <c r="C14" s="78"/>
      <c r="D14" s="86"/>
      <c r="E14" s="86"/>
    </row>
    <row r="15" spans="1:5" ht="18.95" customHeight="1">
      <c r="A15" s="70"/>
      <c r="B15" s="71"/>
      <c r="C15" s="78"/>
      <c r="D15" s="86"/>
      <c r="E15" s="86"/>
    </row>
    <row r="16" spans="1:5" ht="18.95" customHeight="1">
      <c r="A16" s="70"/>
      <c r="B16" s="71"/>
      <c r="C16" s="78"/>
      <c r="D16" s="86"/>
      <c r="E16" s="86"/>
    </row>
    <row r="17" spans="1:5" ht="18.95" customHeight="1">
      <c r="A17" s="70"/>
      <c r="B17" s="70"/>
      <c r="C17" s="78"/>
      <c r="D17" s="86"/>
      <c r="E17" s="86"/>
    </row>
    <row r="18" spans="1:5" ht="18.95" customHeight="1">
      <c r="A18" s="70"/>
      <c r="B18" s="70"/>
      <c r="C18" s="78"/>
      <c r="D18" s="86"/>
      <c r="E18" s="86"/>
    </row>
  </sheetData>
  <mergeCells count="6">
    <mergeCell ref="A13:E13"/>
    <mergeCell ref="A1:E1"/>
    <mergeCell ref="A2:E2"/>
    <mergeCell ref="A3:E3"/>
    <mergeCell ref="A4:E4"/>
    <mergeCell ref="A5:E5"/>
  </mergeCells>
  <pageMargins left="0.95" right="0.5" top="0.75" bottom="0.75" header="0.3" footer="0.3"/>
  <pageSetup scale="8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zoomScale="85" zoomScaleNormal="85" workbookViewId="0">
      <selection activeCell="D17" sqref="D17"/>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7" t="str">
        <f>'Rate Case Constants'!C9</f>
        <v>KENTUCKY UTILITIES COMPANY</v>
      </c>
      <c r="B1" s="767"/>
      <c r="C1" s="767"/>
      <c r="D1" s="767"/>
      <c r="E1" s="767"/>
    </row>
    <row r="2" spans="1:5" s="68" customFormat="1" ht="20.100000000000001" customHeight="1">
      <c r="A2" s="767" t="str">
        <f>'Rate Case Constants'!C10</f>
        <v>CASE NO. 2018-00294</v>
      </c>
      <c r="B2" s="767"/>
      <c r="C2" s="767"/>
      <c r="D2" s="767"/>
      <c r="E2" s="767"/>
    </row>
    <row r="3" spans="1:5" s="68" customFormat="1" ht="20.100000000000001" customHeight="1">
      <c r="A3" s="767" t="s">
        <v>1478</v>
      </c>
      <c r="B3" s="767"/>
      <c r="C3" s="767"/>
      <c r="D3" s="767"/>
      <c r="E3" s="767"/>
    </row>
    <row r="4" spans="1:5" s="68" customFormat="1" ht="20.100000000000001" customHeight="1">
      <c r="A4" s="766" t="str">
        <f>'Rate Case Constants'!C21</f>
        <v>FORECAST PERIOD FOR THE 12 MONTHS ENDED APRIL 30, 2020</v>
      </c>
      <c r="B4" s="770"/>
      <c r="C4" s="770"/>
      <c r="D4" s="770"/>
      <c r="E4" s="770"/>
    </row>
    <row r="5" spans="1:5" s="68" customFormat="1" ht="20.100000000000001" customHeight="1">
      <c r="A5" s="766"/>
      <c r="B5" s="766"/>
      <c r="C5" s="766"/>
      <c r="D5" s="766"/>
      <c r="E5" s="766"/>
    </row>
    <row r="6" spans="1:5" s="68" customFormat="1" ht="20.100000000000001" customHeight="1">
      <c r="A6" s="649"/>
      <c r="B6" s="649"/>
      <c r="C6" s="649"/>
      <c r="D6" s="649"/>
      <c r="E6" s="649"/>
    </row>
    <row r="7" spans="1:5" s="68" customFormat="1" ht="20.100000000000001" customHeight="1">
      <c r="A7" s="67" t="s">
        <v>161</v>
      </c>
      <c r="B7" s="67"/>
      <c r="D7" s="74"/>
      <c r="E7" s="74" t="s">
        <v>1479</v>
      </c>
    </row>
    <row r="8" spans="1:5" s="68" customFormat="1" ht="20.100000000000001" customHeight="1">
      <c r="A8" s="68" t="str">
        <f>'Rate Case Constants'!C29</f>
        <v>TYPE OF FILING: __X__ ORIGINAL  _____ UPDATED  _____ REVISED</v>
      </c>
      <c r="D8" s="74"/>
      <c r="E8" s="74" t="s">
        <v>185</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ht="91.5" customHeight="1">
      <c r="A13" s="702">
        <v>1</v>
      </c>
      <c r="B13" s="700" t="str">
        <f>'SCH B-7 F'!B27</f>
        <v>311-316</v>
      </c>
      <c r="C13" s="701" t="s">
        <v>3412</v>
      </c>
      <c r="D13" s="72" t="s">
        <v>3411</v>
      </c>
      <c r="E13" s="72" t="s">
        <v>3413</v>
      </c>
    </row>
    <row r="14" spans="1:5" ht="18.95" customHeight="1">
      <c r="A14" s="70"/>
      <c r="B14" s="71"/>
      <c r="C14" s="78"/>
      <c r="D14" s="86"/>
      <c r="E14" s="86"/>
    </row>
    <row r="15" spans="1:5" ht="91.5" customHeight="1">
      <c r="A15" s="702">
        <v>2</v>
      </c>
      <c r="B15" s="700" t="str">
        <f>'SCH B-7 F'!B38</f>
        <v>332-335</v>
      </c>
      <c r="C15" s="701" t="s">
        <v>3412</v>
      </c>
      <c r="D15" s="72" t="s">
        <v>3411</v>
      </c>
      <c r="E15" s="72" t="s">
        <v>3413</v>
      </c>
    </row>
    <row r="16" spans="1:5" ht="18.95" customHeight="1">
      <c r="A16" s="70"/>
      <c r="B16" s="71"/>
      <c r="C16" s="78"/>
      <c r="D16" s="86"/>
      <c r="E16" s="86"/>
    </row>
    <row r="17" spans="1:5" ht="91.5" customHeight="1">
      <c r="A17" s="702">
        <v>3</v>
      </c>
      <c r="B17" s="700" t="str">
        <f>'SCH B-7 F'!B49</f>
        <v>341-346</v>
      </c>
      <c r="C17" s="701" t="s">
        <v>3412</v>
      </c>
      <c r="D17" s="72" t="s">
        <v>3411</v>
      </c>
      <c r="E17" s="72" t="s">
        <v>3413</v>
      </c>
    </row>
    <row r="18" spans="1:5" ht="18.95" customHeight="1">
      <c r="A18" s="70"/>
      <c r="B18" s="70"/>
      <c r="C18" s="78"/>
      <c r="D18" s="86"/>
      <c r="E18" s="86"/>
    </row>
    <row r="19" spans="1:5" ht="91.5" customHeight="1">
      <c r="A19" s="702">
        <v>4</v>
      </c>
      <c r="B19" s="700" t="str">
        <f>'SCH B-7 F'!B73</f>
        <v>350-358</v>
      </c>
      <c r="C19" s="701" t="s">
        <v>3412</v>
      </c>
      <c r="D19" s="72" t="s">
        <v>3411</v>
      </c>
      <c r="E19" s="72" t="s">
        <v>3413</v>
      </c>
    </row>
    <row r="20" spans="1:5" ht="18.95" customHeight="1">
      <c r="A20" s="70"/>
      <c r="B20" s="70"/>
      <c r="C20" s="78"/>
      <c r="D20" s="86"/>
      <c r="E20" s="86"/>
    </row>
    <row r="21" spans="1:5" ht="91.5" customHeight="1">
      <c r="A21" s="702">
        <v>5</v>
      </c>
      <c r="B21" s="700" t="str">
        <f>'SCH B-7 F'!B197</f>
        <v>190, 282, 283</v>
      </c>
      <c r="C21" s="701" t="s">
        <v>3412</v>
      </c>
      <c r="D21" s="72" t="s">
        <v>3411</v>
      </c>
      <c r="E21" s="72" t="s">
        <v>3413</v>
      </c>
    </row>
  </sheetData>
  <mergeCells count="5">
    <mergeCell ref="A1:E1"/>
    <mergeCell ref="A2:E2"/>
    <mergeCell ref="A3:E3"/>
    <mergeCell ref="A4:E4"/>
    <mergeCell ref="A5:E5"/>
  </mergeCells>
  <pageMargins left="0.95" right="0.5" top="0.75" bottom="0.75" header="0.3" footer="0.3"/>
  <pageSetup scale="82"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2192"/>
  <sheetViews>
    <sheetView showRuler="0" zoomScale="70" zoomScaleNormal="70" workbookViewId="0">
      <selection activeCell="K61" sqref="K61"/>
    </sheetView>
  </sheetViews>
  <sheetFormatPr defaultColWidth="9" defaultRowHeight="12.75"/>
  <cols>
    <col min="1" max="1" width="5.33203125" style="167" customWidth="1"/>
    <col min="2" max="2" width="17.44140625" style="167" customWidth="1"/>
    <col min="3" max="3" width="24.77734375" style="167" customWidth="1"/>
    <col min="4" max="4" width="16.33203125" style="167" customWidth="1"/>
    <col min="5" max="5" width="11.6640625" style="167" customWidth="1"/>
    <col min="6" max="6" width="16.3320312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9" width="16.77734375" style="167" bestFit="1" customWidth="1"/>
    <col min="20" max="22" width="9" style="167"/>
    <col min="23" max="24" width="16.77734375" style="167" bestFit="1"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2096</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__X__ ORIGINAL  _____ UPDATED  _____ REVISED</v>
      </c>
      <c r="B7" s="167"/>
      <c r="C7" s="167"/>
      <c r="D7" s="167"/>
      <c r="E7" s="167"/>
      <c r="F7" s="167"/>
      <c r="G7" s="167"/>
      <c r="H7" s="167"/>
      <c r="I7" s="167"/>
      <c r="J7" s="167"/>
      <c r="K7" s="167"/>
      <c r="L7" s="167"/>
      <c r="M7" s="167"/>
      <c r="N7" s="167"/>
      <c r="O7" s="167"/>
      <c r="P7" s="169" t="s">
        <v>2063</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174" t="s">
        <v>1466</v>
      </c>
      <c r="B11" s="167"/>
      <c r="C11" s="167"/>
      <c r="D11" s="174" t="s">
        <v>1462</v>
      </c>
      <c r="E11" s="167"/>
      <c r="F11" s="17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174" t="s">
        <v>1467</v>
      </c>
      <c r="B12" s="174" t="s">
        <v>205</v>
      </c>
      <c r="C12" s="167"/>
      <c r="D12" s="174" t="s">
        <v>1463</v>
      </c>
      <c r="E12" s="174" t="s">
        <v>1464</v>
      </c>
      <c r="F12" s="174" t="s">
        <v>1463</v>
      </c>
      <c r="G12" s="174" t="s">
        <v>1464</v>
      </c>
      <c r="H12" s="175">
        <v>2017</v>
      </c>
      <c r="I12" s="174" t="s">
        <v>1464</v>
      </c>
      <c r="J12" s="175">
        <v>2016</v>
      </c>
      <c r="K12" s="174" t="s">
        <v>1464</v>
      </c>
      <c r="L12" s="175">
        <v>2015</v>
      </c>
      <c r="M12" s="174" t="s">
        <v>1464</v>
      </c>
      <c r="N12" s="175">
        <v>2014</v>
      </c>
      <c r="O12" s="17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174">
        <v>1</v>
      </c>
      <c r="B14" s="778" t="s">
        <v>1499</v>
      </c>
      <c r="C14" s="778"/>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189"/>
      <c r="B15" s="190"/>
      <c r="C15" s="190"/>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174">
        <f>A14+1</f>
        <v>2</v>
      </c>
      <c r="B16" s="178" t="s">
        <v>1443</v>
      </c>
      <c r="C16" s="167"/>
      <c r="D16" s="191"/>
      <c r="E16" s="192"/>
      <c r="F16" s="191"/>
      <c r="G16" s="192"/>
      <c r="H16" s="191"/>
      <c r="I16" s="192"/>
      <c r="J16" s="191"/>
      <c r="K16" s="192"/>
      <c r="L16" s="191"/>
      <c r="M16" s="192"/>
      <c r="N16" s="191"/>
      <c r="O16" s="192"/>
      <c r="P16" s="191"/>
      <c r="Q16" s="180"/>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187">
        <f t="shared" ref="A17:A21" si="0">A16+1</f>
        <v>3</v>
      </c>
      <c r="B17" s="167" t="s">
        <v>1458</v>
      </c>
      <c r="C17" s="167"/>
      <c r="D17" s="204">
        <f>BS!AF$16*1000-D18</f>
        <v>10110554037.47842</v>
      </c>
      <c r="E17" s="179">
        <f t="shared" ref="E17:O21" si="1">(+D17-F17)/F17</f>
        <v>3.3438480200899824E-2</v>
      </c>
      <c r="F17" s="204">
        <f>BS!N$16*1000-F18</f>
        <v>9783411621.6699562</v>
      </c>
      <c r="G17" s="179">
        <f t="shared" si="1"/>
        <v>5.4566960627891264E-2</v>
      </c>
      <c r="H17" s="204">
        <f>9598351833.34-H18</f>
        <v>9277183893.4200001</v>
      </c>
      <c r="I17" s="179">
        <f t="shared" si="1"/>
        <v>2.1069145244668231E-2</v>
      </c>
      <c r="J17" s="204">
        <f>9266547925.93-J18</f>
        <v>9085754805.7600002</v>
      </c>
      <c r="K17" s="179">
        <f t="shared" si="1"/>
        <v>3.0717348500220926E-2</v>
      </c>
      <c r="L17" s="204">
        <f>9082008901.23-L18</f>
        <v>8814981933.6800003</v>
      </c>
      <c r="M17" s="179">
        <f t="shared" si="1"/>
        <v>0.13191963759175729</v>
      </c>
      <c r="N17" s="204">
        <f>8667708179.24-N18</f>
        <v>7787639370.2600002</v>
      </c>
      <c r="O17" s="179">
        <f t="shared" si="1"/>
        <v>0.11730955883619387</v>
      </c>
      <c r="P17" s="204">
        <f>8108605484.28-P18</f>
        <v>6969992611.8699999</v>
      </c>
      <c r="Q17" s="181"/>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187">
        <f t="shared" si="0"/>
        <v>4</v>
      </c>
      <c r="B18" s="167" t="s">
        <v>1182</v>
      </c>
      <c r="C18" s="167"/>
      <c r="D18" s="205">
        <f>'SCH B-4'!F47</f>
        <v>238614173.85720006</v>
      </c>
      <c r="E18" s="179">
        <f t="shared" si="1"/>
        <v>-0.25735216930548221</v>
      </c>
      <c r="F18" s="205">
        <f>'SCH B-4'!F22</f>
        <v>321301919.96124214</v>
      </c>
      <c r="G18" s="179">
        <f t="shared" si="1"/>
        <v>4.171650547545183E-4</v>
      </c>
      <c r="H18" s="205">
        <v>321167939.92000002</v>
      </c>
      <c r="I18" s="179">
        <f t="shared" si="1"/>
        <v>0.77643894644887712</v>
      </c>
      <c r="J18" s="205">
        <v>180793120.16999999</v>
      </c>
      <c r="K18" s="179">
        <f t="shared" si="1"/>
        <v>-0.32294059349587223</v>
      </c>
      <c r="L18" s="205">
        <v>267026967.55000001</v>
      </c>
      <c r="M18" s="179">
        <f t="shared" si="1"/>
        <v>-0.69658398885936623</v>
      </c>
      <c r="N18" s="205">
        <v>880068808.98000002</v>
      </c>
      <c r="O18" s="179">
        <f t="shared" si="1"/>
        <v>-0.22706933119661907</v>
      </c>
      <c r="P18" s="205">
        <v>1138612872.4100001</v>
      </c>
      <c r="Q18" s="181"/>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187">
        <f t="shared" si="0"/>
        <v>5</v>
      </c>
      <c r="B19" s="167" t="s">
        <v>1500</v>
      </c>
      <c r="C19" s="167"/>
      <c r="D19" s="196">
        <f>D17+D18</f>
        <v>10349168211.335621</v>
      </c>
      <c r="E19" s="179">
        <f t="shared" si="1"/>
        <v>2.4192142478584287E-2</v>
      </c>
      <c r="F19" s="196">
        <f>F17+F18</f>
        <v>10104713541.631199</v>
      </c>
      <c r="G19" s="179">
        <f t="shared" si="1"/>
        <v>5.2755068482939406E-2</v>
      </c>
      <c r="H19" s="196">
        <f>H17+H18</f>
        <v>9598351833.3400002</v>
      </c>
      <c r="I19" s="179">
        <f t="shared" si="1"/>
        <v>3.5806635875862011E-2</v>
      </c>
      <c r="J19" s="196">
        <f>J17+J18</f>
        <v>9266547925.9300003</v>
      </c>
      <c r="K19" s="179">
        <f t="shared" si="1"/>
        <v>2.0319185623679379E-2</v>
      </c>
      <c r="L19" s="196">
        <f>L17+L18</f>
        <v>9082008901.2299995</v>
      </c>
      <c r="M19" s="179">
        <f t="shared" si="1"/>
        <v>4.7798185336037281E-2</v>
      </c>
      <c r="N19" s="196">
        <f>N17+N18</f>
        <v>8667708179.2399998</v>
      </c>
      <c r="O19" s="179">
        <f t="shared" si="1"/>
        <v>6.8951769332460666E-2</v>
      </c>
      <c r="P19" s="196">
        <f>P17+P18</f>
        <v>8108605484.2799997</v>
      </c>
      <c r="Q19" s="181"/>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187">
        <f t="shared" si="0"/>
        <v>6</v>
      </c>
      <c r="B20" s="167" t="s">
        <v>1501</v>
      </c>
      <c r="C20" s="167"/>
      <c r="D20" s="201">
        <f>-BS!AF28*1000</f>
        <v>3502311757.7783217</v>
      </c>
      <c r="E20" s="179">
        <f t="shared" si="1"/>
        <v>1.2818404408842356E-2</v>
      </c>
      <c r="F20" s="201">
        <f>-BS!N28*1000</f>
        <v>3457985896.1217599</v>
      </c>
      <c r="G20" s="179">
        <f t="shared" si="1"/>
        <v>6.7892059429070922E-2</v>
      </c>
      <c r="H20" s="201">
        <v>3238141781.8299999</v>
      </c>
      <c r="I20" s="179">
        <f t="shared" si="1"/>
        <v>6.1269042899723895E-2</v>
      </c>
      <c r="J20" s="201">
        <v>3051197812.1799998</v>
      </c>
      <c r="K20" s="179">
        <f t="shared" si="1"/>
        <v>7.0651326398491088E-2</v>
      </c>
      <c r="L20" s="201">
        <v>2849851989.1100001</v>
      </c>
      <c r="M20" s="179">
        <f t="shared" si="1"/>
        <v>1.8179285510378371E-2</v>
      </c>
      <c r="N20" s="201">
        <v>2798968737.3000002</v>
      </c>
      <c r="O20" s="179">
        <f t="shared" si="1"/>
        <v>5.7247563564010367E-2</v>
      </c>
      <c r="P20" s="201">
        <v>2647410912.79</v>
      </c>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187">
        <f t="shared" si="0"/>
        <v>7</v>
      </c>
      <c r="B21" s="167" t="s">
        <v>1502</v>
      </c>
      <c r="C21" s="167"/>
      <c r="D21" s="197">
        <f>D19-D20</f>
        <v>6846856453.5572987</v>
      </c>
      <c r="E21" s="179">
        <f t="shared" si="1"/>
        <v>3.0109373923733307E-2</v>
      </c>
      <c r="F21" s="197">
        <f>F19-F20</f>
        <v>6646727645.5094395</v>
      </c>
      <c r="G21" s="179">
        <f t="shared" si="1"/>
        <v>4.5048448349817638E-2</v>
      </c>
      <c r="H21" s="197">
        <f>H19-H20</f>
        <v>6360210051.5100002</v>
      </c>
      <c r="I21" s="179">
        <f t="shared" si="1"/>
        <v>2.3306802530646133E-2</v>
      </c>
      <c r="J21" s="197">
        <f>J19-J20</f>
        <v>6215350113.75</v>
      </c>
      <c r="K21" s="179">
        <f t="shared" si="1"/>
        <v>-2.696786779760612E-3</v>
      </c>
      <c r="L21" s="197">
        <f>L19-L20</f>
        <v>6232156912.1199989</v>
      </c>
      <c r="M21" s="179">
        <f t="shared" si="1"/>
        <v>6.1924280976404407E-2</v>
      </c>
      <c r="N21" s="197">
        <f>N19-N20</f>
        <v>5868739441.9399996</v>
      </c>
      <c r="O21" s="179">
        <f t="shared" si="1"/>
        <v>7.4625590631320002E-2</v>
      </c>
      <c r="P21" s="197">
        <f>P19-P20</f>
        <v>5461194571.4899998</v>
      </c>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174"/>
      <c r="B22" s="167"/>
      <c r="C22" s="167"/>
      <c r="D22" s="198"/>
      <c r="E22" s="194"/>
      <c r="F22" s="198"/>
      <c r="G22" s="194"/>
      <c r="H22" s="198"/>
      <c r="I22" s="194"/>
      <c r="J22" s="185"/>
      <c r="K22" s="194"/>
      <c r="L22" s="198"/>
      <c r="M22" s="194"/>
      <c r="N22" s="185"/>
      <c r="O22" s="194"/>
      <c r="P22" s="198"/>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174">
        <f>A21+1</f>
        <v>8</v>
      </c>
      <c r="B23" s="178" t="s">
        <v>1503</v>
      </c>
      <c r="C23" s="167"/>
      <c r="D23" s="199"/>
      <c r="E23" s="194"/>
      <c r="F23" s="199"/>
      <c r="G23" s="194"/>
      <c r="H23" s="199"/>
      <c r="I23" s="194"/>
      <c r="J23" s="193"/>
      <c r="K23" s="194"/>
      <c r="L23" s="199"/>
      <c r="M23" s="194"/>
      <c r="N23" s="193"/>
      <c r="O23" s="194"/>
      <c r="P23" s="199"/>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187">
        <f t="shared" ref="A24:A28" si="2">A23+1</f>
        <v>9</v>
      </c>
      <c r="B24" s="167" t="s">
        <v>1504</v>
      </c>
      <c r="C24" s="167"/>
      <c r="D24" s="204">
        <f>BS!AF39*1000</f>
        <v>178713.88999999998</v>
      </c>
      <c r="E24" s="179">
        <f t="shared" ref="E24:O28" si="3">(+D24-F24)/F24</f>
        <v>0</v>
      </c>
      <c r="F24" s="204">
        <f>BS!N39*1000</f>
        <v>178713.88999999998</v>
      </c>
      <c r="G24" s="179">
        <f t="shared" si="3"/>
        <v>-1.6285153021252965E-16</v>
      </c>
      <c r="H24" s="204">
        <v>178713.89</v>
      </c>
      <c r="I24" s="179">
        <f t="shared" si="3"/>
        <v>-0.8160079484153977</v>
      </c>
      <c r="J24" s="204">
        <v>971313.1</v>
      </c>
      <c r="K24" s="179">
        <f t="shared" si="3"/>
        <v>0</v>
      </c>
      <c r="L24" s="204">
        <v>971313.1</v>
      </c>
      <c r="M24" s="179">
        <f t="shared" si="3"/>
        <v>0</v>
      </c>
      <c r="N24" s="204">
        <v>971313.1</v>
      </c>
      <c r="O24" s="179">
        <f t="shared" si="3"/>
        <v>-4.1889632524348349E-4</v>
      </c>
      <c r="P24" s="204">
        <v>971720.15</v>
      </c>
      <c r="Q24" s="181"/>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187">
        <f t="shared" si="2"/>
        <v>10</v>
      </c>
      <c r="B25" s="167" t="s">
        <v>1505</v>
      </c>
      <c r="C25" s="167"/>
      <c r="D25" s="201">
        <v>0</v>
      </c>
      <c r="E25" s="179">
        <v>0</v>
      </c>
      <c r="F25" s="201">
        <v>0</v>
      </c>
      <c r="G25" s="179">
        <v>0</v>
      </c>
      <c r="H25" s="201">
        <v>0</v>
      </c>
      <c r="I25" s="179">
        <v>0</v>
      </c>
      <c r="J25" s="201">
        <v>0</v>
      </c>
      <c r="K25" s="179">
        <v>0</v>
      </c>
      <c r="L25" s="201">
        <v>0</v>
      </c>
      <c r="M25" s="179">
        <v>0</v>
      </c>
      <c r="N25" s="201">
        <v>0</v>
      </c>
      <c r="O25" s="179">
        <v>0</v>
      </c>
      <c r="P25" s="201">
        <v>0</v>
      </c>
      <c r="Q25" s="181"/>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187">
        <f t="shared" si="2"/>
        <v>11</v>
      </c>
      <c r="B26" s="167" t="s">
        <v>1506</v>
      </c>
      <c r="C26" s="167"/>
      <c r="D26" s="201">
        <f>BS!AF35*1000</f>
        <v>250000</v>
      </c>
      <c r="E26" s="179">
        <f t="shared" si="3"/>
        <v>0</v>
      </c>
      <c r="F26" s="201">
        <f>BS!N35*1000</f>
        <v>250000</v>
      </c>
      <c r="G26" s="179">
        <f t="shared" si="3"/>
        <v>0</v>
      </c>
      <c r="H26" s="201">
        <v>250000</v>
      </c>
      <c r="I26" s="179">
        <f t="shared" si="3"/>
        <v>0</v>
      </c>
      <c r="J26" s="201">
        <v>250000</v>
      </c>
      <c r="K26" s="179">
        <f t="shared" si="3"/>
        <v>0</v>
      </c>
      <c r="L26" s="201">
        <v>250000</v>
      </c>
      <c r="M26" s="179">
        <f t="shared" si="3"/>
        <v>0</v>
      </c>
      <c r="N26" s="201">
        <v>250000</v>
      </c>
      <c r="O26" s="179">
        <f t="shared" si="3"/>
        <v>0</v>
      </c>
      <c r="P26" s="201">
        <v>250000</v>
      </c>
      <c r="Q26" s="181"/>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187">
        <f t="shared" si="2"/>
        <v>12</v>
      </c>
      <c r="B27" s="167" t="s">
        <v>1507</v>
      </c>
      <c r="C27" s="167"/>
      <c r="D27" s="205">
        <f>BS!AF43*1000</f>
        <v>24608293.273846127</v>
      </c>
      <c r="E27" s="179">
        <f t="shared" si="3"/>
        <v>0.35008356515231015</v>
      </c>
      <c r="F27" s="205">
        <f>BS!N43*1000</f>
        <v>18227237.120000001</v>
      </c>
      <c r="G27" s="179">
        <v>1</v>
      </c>
      <c r="H27" s="205">
        <v>0</v>
      </c>
      <c r="I27" s="179">
        <v>0</v>
      </c>
      <c r="J27" s="205">
        <v>0</v>
      </c>
      <c r="K27" s="179">
        <v>0</v>
      </c>
      <c r="L27" s="205">
        <v>0</v>
      </c>
      <c r="M27" s="179">
        <v>0</v>
      </c>
      <c r="N27" s="205">
        <v>0</v>
      </c>
      <c r="O27" s="179">
        <v>0</v>
      </c>
      <c r="P27" s="205">
        <v>0</v>
      </c>
      <c r="Q27" s="181"/>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187">
        <f t="shared" si="2"/>
        <v>13</v>
      </c>
      <c r="B28" s="167" t="s">
        <v>1508</v>
      </c>
      <c r="C28" s="167"/>
      <c r="D28" s="200">
        <f>SUM(D24:D27)</f>
        <v>25037007.163846128</v>
      </c>
      <c r="E28" s="179">
        <f t="shared" si="3"/>
        <v>0.34203864227697311</v>
      </c>
      <c r="F28" s="200">
        <f>SUM(F24:F27)</f>
        <v>18655951.010000002</v>
      </c>
      <c r="G28" s="179">
        <f t="shared" si="3"/>
        <v>42.516087174129119</v>
      </c>
      <c r="H28" s="200">
        <f>SUM(H24:H27)</f>
        <v>428713.89</v>
      </c>
      <c r="I28" s="179">
        <f t="shared" si="3"/>
        <v>-0.64897298653391999</v>
      </c>
      <c r="J28" s="200">
        <f>SUM(J24:J27)</f>
        <v>1221313.1000000001</v>
      </c>
      <c r="K28" s="179">
        <f t="shared" si="3"/>
        <v>0</v>
      </c>
      <c r="L28" s="200">
        <f>SUM(L24:L27)</f>
        <v>1221313.1000000001</v>
      </c>
      <c r="M28" s="179">
        <f t="shared" si="3"/>
        <v>0</v>
      </c>
      <c r="N28" s="200">
        <f>SUM(N24:N27)</f>
        <v>1221313.1000000001</v>
      </c>
      <c r="O28" s="179">
        <f t="shared" si="3"/>
        <v>-3.3317777397697315E-4</v>
      </c>
      <c r="P28" s="200">
        <f>SUM(P24:P27)</f>
        <v>1221720.1499999999</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174"/>
      <c r="B29" s="167"/>
      <c r="C29" s="167"/>
      <c r="D29" s="199"/>
      <c r="E29" s="194"/>
      <c r="F29" s="199"/>
      <c r="G29" s="194"/>
      <c r="H29" s="199"/>
      <c r="I29" s="194"/>
      <c r="J29" s="193"/>
      <c r="K29" s="194"/>
      <c r="L29" s="199"/>
      <c r="M29" s="194"/>
      <c r="N29" s="193"/>
      <c r="O29" s="194"/>
      <c r="P29" s="199"/>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187">
        <f>A28+1</f>
        <v>14</v>
      </c>
      <c r="B30" s="178" t="s">
        <v>1444</v>
      </c>
      <c r="C30" s="167"/>
      <c r="D30" s="198"/>
      <c r="E30" s="192"/>
      <c r="F30" s="198"/>
      <c r="G30" s="192"/>
      <c r="H30" s="198"/>
      <c r="I30" s="192"/>
      <c r="J30" s="193"/>
      <c r="K30" s="192"/>
      <c r="L30" s="198"/>
      <c r="M30" s="192"/>
      <c r="N30" s="193"/>
      <c r="O30" s="192"/>
      <c r="P30" s="198"/>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187">
        <f t="shared" ref="A31:A47" si="4">A30+1</f>
        <v>15</v>
      </c>
      <c r="B31" s="167" t="s">
        <v>1509</v>
      </c>
      <c r="C31" s="167"/>
      <c r="D31" s="204">
        <f>BS!AF49*1000</f>
        <v>5000000</v>
      </c>
      <c r="E31" s="179">
        <f t="shared" ref="E31:O47" si="5">(+D31-F31)/F31</f>
        <v>0</v>
      </c>
      <c r="F31" s="204">
        <f>BS!N49*1000</f>
        <v>5000000</v>
      </c>
      <c r="G31" s="179">
        <f t="shared" si="5"/>
        <v>-0.60988834518360036</v>
      </c>
      <c r="H31" s="204">
        <v>12816843.43</v>
      </c>
      <c r="I31" s="179">
        <f t="shared" si="5"/>
        <v>0.75993167998248323</v>
      </c>
      <c r="J31" s="204">
        <v>7282580.0999999996</v>
      </c>
      <c r="K31" s="179">
        <f t="shared" si="5"/>
        <v>1.9828146878648433E-2</v>
      </c>
      <c r="L31" s="204">
        <v>7140987.5499999998</v>
      </c>
      <c r="M31" s="179">
        <f t="shared" si="5"/>
        <v>1.8850603852090291E-2</v>
      </c>
      <c r="N31" s="204">
        <v>7008866.1900000004</v>
      </c>
      <c r="O31" s="179">
        <f t="shared" si="5"/>
        <v>0.4029194035117975</v>
      </c>
      <c r="P31" s="204">
        <v>4995915.07</v>
      </c>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187">
        <f t="shared" si="4"/>
        <v>16</v>
      </c>
      <c r="B32" s="167" t="s">
        <v>1510</v>
      </c>
      <c r="C32" s="167"/>
      <c r="D32" s="201">
        <v>0</v>
      </c>
      <c r="E32" s="179">
        <v>0</v>
      </c>
      <c r="F32" s="201">
        <v>0</v>
      </c>
      <c r="G32" s="179">
        <v>0</v>
      </c>
      <c r="H32" s="201">
        <v>0</v>
      </c>
      <c r="I32" s="179">
        <v>0</v>
      </c>
      <c r="J32" s="201">
        <v>0</v>
      </c>
      <c r="K32" s="179">
        <v>0</v>
      </c>
      <c r="L32" s="201">
        <v>0</v>
      </c>
      <c r="M32" s="179">
        <v>0</v>
      </c>
      <c r="N32" s="201">
        <v>0</v>
      </c>
      <c r="O32" s="179">
        <v>1</v>
      </c>
      <c r="P32" s="201">
        <v>0</v>
      </c>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187">
        <f t="shared" si="4"/>
        <v>17</v>
      </c>
      <c r="B33" s="167" t="s">
        <v>1511</v>
      </c>
      <c r="C33" s="167"/>
      <c r="D33" s="201">
        <f>BS!AF50*1000</f>
        <v>61029.999999999978</v>
      </c>
      <c r="E33" s="179">
        <f t="shared" si="5"/>
        <v>-3.5765808360724687E-16</v>
      </c>
      <c r="F33" s="201">
        <f>BS!N50*1000</f>
        <v>61030</v>
      </c>
      <c r="G33" s="179">
        <f t="shared" si="5"/>
        <v>0</v>
      </c>
      <c r="H33" s="201">
        <v>61030</v>
      </c>
      <c r="I33" s="179">
        <f t="shared" si="5"/>
        <v>0</v>
      </c>
      <c r="J33" s="201">
        <v>61030</v>
      </c>
      <c r="K33" s="179">
        <f t="shared" si="5"/>
        <v>0</v>
      </c>
      <c r="L33" s="201">
        <v>61030</v>
      </c>
      <c r="M33" s="179">
        <f t="shared" si="5"/>
        <v>0</v>
      </c>
      <c r="N33" s="201">
        <v>61030</v>
      </c>
      <c r="O33" s="179">
        <f t="shared" si="5"/>
        <v>0.58396055022060733</v>
      </c>
      <c r="P33" s="201">
        <v>38530</v>
      </c>
      <c r="Q33" s="181"/>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187">
        <f t="shared" si="4"/>
        <v>18</v>
      </c>
      <c r="B34" s="167" t="s">
        <v>1512</v>
      </c>
      <c r="C34" s="167"/>
      <c r="D34" s="201">
        <f>BS!AF54*1000</f>
        <v>186967.33324459443</v>
      </c>
      <c r="E34" s="179">
        <v>1</v>
      </c>
      <c r="F34" s="201">
        <f>BS!N54*1000</f>
        <v>1.1368683772161601E-9</v>
      </c>
      <c r="G34" s="179">
        <f t="shared" si="5"/>
        <v>-0.99999999999999933</v>
      </c>
      <c r="H34" s="201">
        <v>1864128.22</v>
      </c>
      <c r="I34" s="179">
        <f t="shared" si="5"/>
        <v>12.081395913495816</v>
      </c>
      <c r="J34" s="201">
        <v>142502.24</v>
      </c>
      <c r="K34" s="179">
        <f t="shared" si="5"/>
        <v>-0.96649375978540242</v>
      </c>
      <c r="L34" s="201">
        <v>4253005.9800000004</v>
      </c>
      <c r="M34" s="179">
        <f t="shared" si="5"/>
        <v>4.5795500060173251E-2</v>
      </c>
      <c r="N34" s="201">
        <v>4066766.38</v>
      </c>
      <c r="O34" s="179">
        <f t="shared" si="5"/>
        <v>-0.74020110453364574</v>
      </c>
      <c r="P34" s="201">
        <v>15653516.82</v>
      </c>
      <c r="Q34" s="181"/>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187">
        <f t="shared" si="4"/>
        <v>19</v>
      </c>
      <c r="B35" s="167" t="s">
        <v>1513</v>
      </c>
      <c r="C35" s="167"/>
      <c r="D35" s="201">
        <f>BS!AF58*1000</f>
        <v>137605195.15793538</v>
      </c>
      <c r="E35" s="179">
        <f t="shared" si="5"/>
        <v>1.2417198819291984E-2</v>
      </c>
      <c r="F35" s="201">
        <f>BS!N58*1000</f>
        <v>135917480.77612099</v>
      </c>
      <c r="G35" s="179">
        <f t="shared" si="5"/>
        <v>3.7718652283086823E-2</v>
      </c>
      <c r="H35" s="201">
        <v>130977197.40999998</v>
      </c>
      <c r="I35" s="179">
        <f t="shared" si="5"/>
        <v>2.9351256870624891E-2</v>
      </c>
      <c r="J35" s="201">
        <v>127242470.95999999</v>
      </c>
      <c r="K35" s="179">
        <f t="shared" si="5"/>
        <v>7.1525461161309811E-2</v>
      </c>
      <c r="L35" s="201">
        <v>118748901.05</v>
      </c>
      <c r="M35" s="179">
        <f t="shared" si="5"/>
        <v>-6.2803479028231649E-2</v>
      </c>
      <c r="N35" s="201">
        <v>126706510.73999999</v>
      </c>
      <c r="O35" s="179">
        <f t="shared" si="5"/>
        <v>2.9193640704457704E-2</v>
      </c>
      <c r="P35" s="201">
        <v>123112411.23999999</v>
      </c>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187">
        <f t="shared" si="4"/>
        <v>20</v>
      </c>
      <c r="B36" s="167" t="s">
        <v>1514</v>
      </c>
      <c r="C36" s="167"/>
      <c r="D36" s="201">
        <f>SUM(BS!AF59:AF62)*1000</f>
        <v>30273407.7099999</v>
      </c>
      <c r="E36" s="179">
        <f t="shared" si="5"/>
        <v>0</v>
      </c>
      <c r="F36" s="201">
        <f>SUM(BS!N59:N62)*1000</f>
        <v>30273407.7099999</v>
      </c>
      <c r="G36" s="179">
        <f t="shared" si="5"/>
        <v>1.9249566915247734E-2</v>
      </c>
      <c r="H36" s="201">
        <v>29701663.550000001</v>
      </c>
      <c r="I36" s="179">
        <f t="shared" si="5"/>
        <v>5.4296722526738552</v>
      </c>
      <c r="J36" s="201">
        <v>4619467.74</v>
      </c>
      <c r="K36" s="179">
        <f t="shared" si="5"/>
        <v>-0.41455422035373657</v>
      </c>
      <c r="L36" s="201">
        <v>7890513.3500000006</v>
      </c>
      <c r="M36" s="179">
        <f t="shared" si="5"/>
        <v>0.40691647635198858</v>
      </c>
      <c r="N36" s="201">
        <v>5608373.6900000004</v>
      </c>
      <c r="O36" s="179">
        <f t="shared" si="5"/>
        <v>-0.49861301130818281</v>
      </c>
      <c r="P36" s="201">
        <v>11185718.449999999</v>
      </c>
      <c r="Q36" s="181"/>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187">
        <f t="shared" si="4"/>
        <v>21</v>
      </c>
      <c r="B37" s="167" t="s">
        <v>1515</v>
      </c>
      <c r="C37" s="183"/>
      <c r="D37" s="201">
        <f>-(BS!AF63+BS!AF64)*1000</f>
        <v>1300650.54999999</v>
      </c>
      <c r="E37" s="179">
        <f t="shared" si="5"/>
        <v>1.7901091392601299E-16</v>
      </c>
      <c r="F37" s="201">
        <f>-(BS!N63+BS!N64)*1000</f>
        <v>1300650.5499999898</v>
      </c>
      <c r="G37" s="179">
        <f t="shared" si="5"/>
        <v>-0.12006363195945824</v>
      </c>
      <c r="H37" s="201">
        <v>1478118.87</v>
      </c>
      <c r="I37" s="179">
        <f t="shared" si="5"/>
        <v>-0.16422364797895506</v>
      </c>
      <c r="J37" s="201">
        <v>1768557.9000000001</v>
      </c>
      <c r="K37" s="179">
        <f t="shared" si="5"/>
        <v>-3.4635068085447994E-2</v>
      </c>
      <c r="L37" s="201">
        <v>1832009.68</v>
      </c>
      <c r="M37" s="179">
        <f t="shared" si="5"/>
        <v>-0.24222989452127502</v>
      </c>
      <c r="N37" s="201">
        <v>2417632.56</v>
      </c>
      <c r="O37" s="179">
        <f t="shared" si="5"/>
        <v>-0.44852872634620761</v>
      </c>
      <c r="P37" s="201">
        <v>4383968.26</v>
      </c>
      <c r="Q37" s="181"/>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187">
        <f t="shared" si="4"/>
        <v>22</v>
      </c>
      <c r="B38" s="167" t="s">
        <v>1516</v>
      </c>
      <c r="C38" s="167"/>
      <c r="D38" s="201">
        <f>BS!AF74*1000</f>
        <v>4612765.0292307669</v>
      </c>
      <c r="E38" s="179">
        <f t="shared" si="5"/>
        <v>1.1409518502510849</v>
      </c>
      <c r="F38" s="201">
        <f>BS!N74*1000</f>
        <v>2154539.3599999901</v>
      </c>
      <c r="G38" s="179">
        <v>1</v>
      </c>
      <c r="H38" s="201">
        <v>0</v>
      </c>
      <c r="I38" s="179">
        <f t="shared" si="5"/>
        <v>-1</v>
      </c>
      <c r="J38" s="201">
        <v>-38000.730000000003</v>
      </c>
      <c r="K38" s="179">
        <f t="shared" si="5"/>
        <v>-1.0448129140412601</v>
      </c>
      <c r="L38" s="201">
        <v>847986.14</v>
      </c>
      <c r="M38" s="179">
        <f t="shared" si="5"/>
        <v>-0.98581147079927456</v>
      </c>
      <c r="N38" s="201">
        <v>59765612.630000003</v>
      </c>
      <c r="O38" s="179">
        <f t="shared" si="5"/>
        <v>914.1563533157904</v>
      </c>
      <c r="P38" s="201">
        <v>65306.45</v>
      </c>
      <c r="Q38" s="181"/>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187">
        <f t="shared" si="4"/>
        <v>23</v>
      </c>
      <c r="B39" s="167" t="s">
        <v>1517</v>
      </c>
      <c r="C39" s="167"/>
      <c r="D39" s="201">
        <f>BS!AF77*1000</f>
        <v>62955456.353642762</v>
      </c>
      <c r="E39" s="179">
        <f t="shared" si="5"/>
        <v>9.6831016433134471E-5</v>
      </c>
      <c r="F39" s="201">
        <f>BS!N77*1000</f>
        <v>62949360.903042704</v>
      </c>
      <c r="G39" s="179">
        <f t="shared" si="5"/>
        <v>1.1266611981108303E-2</v>
      </c>
      <c r="H39" s="201">
        <v>62248036.43</v>
      </c>
      <c r="I39" s="179">
        <f t="shared" si="5"/>
        <v>-0.36791001623922881</v>
      </c>
      <c r="J39" s="201">
        <v>98479707.049999997</v>
      </c>
      <c r="K39" s="179">
        <f t="shared" si="5"/>
        <v>1.4720668761336791E-2</v>
      </c>
      <c r="L39" s="201">
        <v>97051050.680000007</v>
      </c>
      <c r="M39" s="179">
        <f t="shared" si="5"/>
        <v>-2.2471382010771836E-2</v>
      </c>
      <c r="N39" s="201">
        <v>99282055.680000007</v>
      </c>
      <c r="O39" s="179">
        <f t="shared" si="5"/>
        <v>0.27598264542840378</v>
      </c>
      <c r="P39" s="201">
        <v>77808311.920000002</v>
      </c>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187">
        <f t="shared" si="4"/>
        <v>24</v>
      </c>
      <c r="B40" s="167" t="s">
        <v>1518</v>
      </c>
      <c r="C40" s="167"/>
      <c r="D40" s="201">
        <f>BS!AF78*1000</f>
        <v>48204763.562307701</v>
      </c>
      <c r="E40" s="179">
        <f t="shared" si="5"/>
        <v>-4.4535266459683504E-2</v>
      </c>
      <c r="F40" s="201">
        <f>BS!N78*1000</f>
        <v>50451640.829999998</v>
      </c>
      <c r="G40" s="179">
        <f t="shared" si="5"/>
        <v>2.3625179456200771E-2</v>
      </c>
      <c r="H40" s="201">
        <v>49287221.380000003</v>
      </c>
      <c r="I40" s="179">
        <f t="shared" si="5"/>
        <v>9.6691573698314284E-2</v>
      </c>
      <c r="J40" s="201">
        <v>44941734.359999999</v>
      </c>
      <c r="K40" s="179">
        <f t="shared" si="5"/>
        <v>9.1263192215432859E-2</v>
      </c>
      <c r="L40" s="201">
        <v>41183222.049999997</v>
      </c>
      <c r="M40" s="179">
        <f t="shared" si="5"/>
        <v>6.5390564097772538E-2</v>
      </c>
      <c r="N40" s="201">
        <v>38655516.049999997</v>
      </c>
      <c r="O40" s="179">
        <f t="shared" si="5"/>
        <v>6.1811791620693363E-2</v>
      </c>
      <c r="P40" s="201">
        <v>36405242.770000003</v>
      </c>
      <c r="Q40" s="181"/>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187">
        <f t="shared" si="4"/>
        <v>25</v>
      </c>
      <c r="B41" s="167" t="s">
        <v>1519</v>
      </c>
      <c r="C41" s="167"/>
      <c r="D41" s="201">
        <f>BS!AF79*1000</f>
        <v>129522.07999999999</v>
      </c>
      <c r="E41" s="179">
        <f t="shared" si="5"/>
        <v>0</v>
      </c>
      <c r="F41" s="201">
        <f>BS!N79*1000</f>
        <v>129522.07999999999</v>
      </c>
      <c r="G41" s="179">
        <f t="shared" si="5"/>
        <v>-1.3072841171513886E-2</v>
      </c>
      <c r="H41" s="201">
        <v>131237.73000000001</v>
      </c>
      <c r="I41" s="179">
        <f t="shared" si="5"/>
        <v>-2.9165270383332321E-2</v>
      </c>
      <c r="J41" s="201">
        <v>135180.29999999999</v>
      </c>
      <c r="K41" s="179">
        <f t="shared" si="5"/>
        <v>-3.6872771731231366E-2</v>
      </c>
      <c r="L41" s="201">
        <v>140355.6</v>
      </c>
      <c r="M41" s="179">
        <f t="shared" si="5"/>
        <v>-0.11654967212932109</v>
      </c>
      <c r="N41" s="201">
        <v>158872.09</v>
      </c>
      <c r="O41" s="179">
        <f t="shared" si="5"/>
        <v>-0.45871560664518279</v>
      </c>
      <c r="P41" s="201">
        <v>293509.46000000002</v>
      </c>
      <c r="Q41" s="181"/>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187">
        <f t="shared" si="4"/>
        <v>26</v>
      </c>
      <c r="B42" s="167" t="s">
        <v>1520</v>
      </c>
      <c r="C42" s="167"/>
      <c r="D42" s="201">
        <f>BS!AF80*1000</f>
        <v>12000185.019999899</v>
      </c>
      <c r="E42" s="179">
        <f t="shared" si="5"/>
        <v>-1.5521803589916419E-16</v>
      </c>
      <c r="F42" s="201">
        <f>BS!N80*1000</f>
        <v>12000185.019999901</v>
      </c>
      <c r="G42" s="179">
        <f t="shared" si="5"/>
        <v>3.4659889900615852E-2</v>
      </c>
      <c r="H42" s="201">
        <v>11598192.93</v>
      </c>
      <c r="I42" s="179">
        <f t="shared" si="5"/>
        <v>6.6360233962273571E-2</v>
      </c>
      <c r="J42" s="201">
        <v>10876430.460000001</v>
      </c>
      <c r="K42" s="179">
        <f t="shared" si="5"/>
        <v>0.16056980693610842</v>
      </c>
      <c r="L42" s="201">
        <v>9371629.6899999995</v>
      </c>
      <c r="M42" s="179">
        <f t="shared" si="5"/>
        <v>-0.11371137450939604</v>
      </c>
      <c r="N42" s="201">
        <v>10574015.529999999</v>
      </c>
      <c r="O42" s="179">
        <f t="shared" si="5"/>
        <v>3.5277330661142886E-2</v>
      </c>
      <c r="P42" s="201">
        <v>10213703.34</v>
      </c>
      <c r="Q42" s="181"/>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187">
        <f t="shared" si="4"/>
        <v>27</v>
      </c>
      <c r="B43" s="167" t="s">
        <v>1521</v>
      </c>
      <c r="C43" s="167"/>
      <c r="D43" s="201">
        <f>BS!AF87*1000</f>
        <v>18099151.508893799</v>
      </c>
      <c r="E43" s="179">
        <f t="shared" si="5"/>
        <v>0.11032279186200677</v>
      </c>
      <c r="F43" s="201">
        <f>BS!N87*1000</f>
        <v>16300801.5700926</v>
      </c>
      <c r="G43" s="179">
        <f t="shared" si="5"/>
        <v>1.9099970861341884E-3</v>
      </c>
      <c r="H43" s="201">
        <v>16269726.439999999</v>
      </c>
      <c r="I43" s="179">
        <f t="shared" si="5"/>
        <v>5.212355894724895E-3</v>
      </c>
      <c r="J43" s="201">
        <v>16185362.57</v>
      </c>
      <c r="K43" s="179">
        <f t="shared" si="5"/>
        <v>1.1542247488416546</v>
      </c>
      <c r="L43" s="201">
        <v>7513311.96</v>
      </c>
      <c r="M43" s="179">
        <f t="shared" si="5"/>
        <v>-1.521250399233286E-2</v>
      </c>
      <c r="N43" s="201">
        <v>7629373.8399999999</v>
      </c>
      <c r="O43" s="179">
        <f t="shared" si="5"/>
        <v>0.2901349430921274</v>
      </c>
      <c r="P43" s="201">
        <v>5913624.6799999997</v>
      </c>
      <c r="Q43" s="181"/>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187">
        <f t="shared" si="4"/>
        <v>28</v>
      </c>
      <c r="B44" s="167" t="s">
        <v>1716</v>
      </c>
      <c r="C44" s="167"/>
      <c r="D44" s="201">
        <f>SUM(BS!AF65:AF66)*1000</f>
        <v>607158.39000000025</v>
      </c>
      <c r="E44" s="179">
        <f t="shared" si="5"/>
        <v>3.8347595534975579E-16</v>
      </c>
      <c r="F44" s="201">
        <f>SUM(BS!N65:N66)*1000</f>
        <v>607158.39</v>
      </c>
      <c r="G44" s="179">
        <f t="shared" si="5"/>
        <v>-9.678794621967568E-2</v>
      </c>
      <c r="H44" s="201">
        <v>672221.30999999994</v>
      </c>
      <c r="I44" s="179">
        <f t="shared" si="5"/>
        <v>4.7275349187954126E-2</v>
      </c>
      <c r="J44" s="201">
        <v>641876.38</v>
      </c>
      <c r="K44" s="179">
        <f t="shared" si="5"/>
        <v>-0.20303462901610236</v>
      </c>
      <c r="L44" s="201">
        <v>805400.59</v>
      </c>
      <c r="M44" s="179">
        <f t="shared" si="5"/>
        <v>-0.38268341009328133</v>
      </c>
      <c r="N44" s="201">
        <v>1304679.97</v>
      </c>
      <c r="O44" s="179">
        <f t="shared" si="5"/>
        <v>0.38624694837970402</v>
      </c>
      <c r="P44" s="201">
        <v>941159.85</v>
      </c>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187">
        <f t="shared" si="4"/>
        <v>29</v>
      </c>
      <c r="B45" s="167" t="s">
        <v>1522</v>
      </c>
      <c r="C45" s="167"/>
      <c r="D45" s="206">
        <f>BS!AF67*1000</f>
        <v>91859829.28866291</v>
      </c>
      <c r="E45" s="179">
        <f t="shared" si="5"/>
        <v>-0.11792189257752887</v>
      </c>
      <c r="F45" s="206">
        <f>BS!N67*1000</f>
        <v>104140243.94856301</v>
      </c>
      <c r="G45" s="179">
        <f t="shared" si="5"/>
        <v>-7.5514139344648221E-2</v>
      </c>
      <c r="H45" s="206">
        <v>112646659.49000001</v>
      </c>
      <c r="I45" s="179">
        <f t="shared" si="5"/>
        <v>0.18653097437891</v>
      </c>
      <c r="J45" s="206">
        <v>94937816.140000001</v>
      </c>
      <c r="K45" s="179">
        <f t="shared" si="5"/>
        <v>0.18548208274739872</v>
      </c>
      <c r="L45" s="206">
        <v>80083720.810000002</v>
      </c>
      <c r="M45" s="179">
        <f t="shared" si="5"/>
        <v>-0.12061726685082533</v>
      </c>
      <c r="N45" s="206">
        <v>91068106.969999999</v>
      </c>
      <c r="O45" s="179">
        <f t="shared" si="5"/>
        <v>-3.5718183430606766E-2</v>
      </c>
      <c r="P45" s="206">
        <v>94441381.560000002</v>
      </c>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187">
        <f t="shared" si="4"/>
        <v>30</v>
      </c>
      <c r="B46" s="167" t="s">
        <v>1523</v>
      </c>
      <c r="C46" s="167"/>
      <c r="D46" s="206">
        <f>BS!AF91*1000</f>
        <v>0</v>
      </c>
      <c r="E46" s="179">
        <v>0</v>
      </c>
      <c r="F46" s="206">
        <f>BS!N91*1000</f>
        <v>0</v>
      </c>
      <c r="G46" s="179">
        <v>0</v>
      </c>
      <c r="H46" s="206">
        <v>0</v>
      </c>
      <c r="I46" s="179">
        <v>0</v>
      </c>
      <c r="J46" s="206">
        <v>0</v>
      </c>
      <c r="K46" s="179">
        <v>0</v>
      </c>
      <c r="L46" s="206">
        <v>0</v>
      </c>
      <c r="M46" s="179">
        <v>0</v>
      </c>
      <c r="N46" s="206">
        <v>0</v>
      </c>
      <c r="O46" s="179">
        <v>1</v>
      </c>
      <c r="P46" s="206">
        <v>0</v>
      </c>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187">
        <f t="shared" si="4"/>
        <v>31</v>
      </c>
      <c r="B47" s="167" t="s">
        <v>1445</v>
      </c>
      <c r="C47" s="167"/>
      <c r="D47" s="200">
        <f>SUM(D31:D36)-D37+SUM(D38:D41)+SUM(D42:D46)</f>
        <v>410294780.88391769</v>
      </c>
      <c r="E47" s="179">
        <f t="shared" si="5"/>
        <v>-2.0038799488893574E-2</v>
      </c>
      <c r="F47" s="200">
        <f>SUM(F31:F36)-F37+SUM(F38:F41)+SUM(F42:F46)</f>
        <v>418684720.03781909</v>
      </c>
      <c r="G47" s="179">
        <f t="shared" si="5"/>
        <v>-1.9005142181342003E-2</v>
      </c>
      <c r="H47" s="200">
        <f>SUM(H31:H36)-H37+SUM(H38:H41)+SUM(H42:H46)</f>
        <v>426796039.44999999</v>
      </c>
      <c r="I47" s="179">
        <f t="shared" si="5"/>
        <v>5.7107204244630318E-2</v>
      </c>
      <c r="J47" s="200">
        <f>SUM(J31:J36)-J37+SUM(J38:J41)+SUM(J42:J46)</f>
        <v>403739599.67000002</v>
      </c>
      <c r="K47" s="179">
        <f t="shared" si="5"/>
        <v>8.166041612600837E-2</v>
      </c>
      <c r="L47" s="200">
        <f>SUM(L31:L36)-L37+SUM(L38:L41)+SUM(L42:L46)</f>
        <v>373259105.77000004</v>
      </c>
      <c r="M47" s="179">
        <f t="shared" si="5"/>
        <v>-0.16956121064402174</v>
      </c>
      <c r="N47" s="200">
        <f>SUM(N31:N36)-N37+SUM(N38:N41)+SUM(N42:N46)</f>
        <v>449472147.19999999</v>
      </c>
      <c r="O47" s="179">
        <f t="shared" si="5"/>
        <v>0.19323282549525017</v>
      </c>
      <c r="P47" s="200">
        <f>SUM(P31:P36)-P37+SUM(P38:P41)+SUM(P42:P46)</f>
        <v>376684363.35000002</v>
      </c>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17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187">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187">
        <f t="shared" ref="A50:A57" si="6">A49+1</f>
        <v>33</v>
      </c>
      <c r="B50" s="167" t="s">
        <v>1525</v>
      </c>
      <c r="C50" s="167"/>
      <c r="D50" s="204">
        <f>(BS!AF98+BS!AF97)*1000</f>
        <v>18230961.764450576</v>
      </c>
      <c r="E50" s="179">
        <f t="shared" ref="E50:O57" si="7">(+D50-F50)/F50</f>
        <v>0.10186321911424751</v>
      </c>
      <c r="F50" s="204">
        <f>(BS!N98+BS!N97)*1000</f>
        <v>16545576.11888149</v>
      </c>
      <c r="G50" s="179">
        <f t="shared" si="7"/>
        <v>-8.3606612059589178E-2</v>
      </c>
      <c r="H50" s="204">
        <v>18055102.030000001</v>
      </c>
      <c r="I50" s="179">
        <f t="shared" si="7"/>
        <v>-6.0696951265631044E-2</v>
      </c>
      <c r="J50" s="204">
        <v>19221807.120000001</v>
      </c>
      <c r="K50" s="179">
        <f t="shared" si="7"/>
        <v>-8.1380596966082797E-2</v>
      </c>
      <c r="L50" s="204">
        <v>20924669.190000001</v>
      </c>
      <c r="M50" s="179">
        <f t="shared" si="7"/>
        <v>0.12408616554664349</v>
      </c>
      <c r="N50" s="204">
        <v>18614826.719999999</v>
      </c>
      <c r="O50" s="179">
        <f t="shared" si="7"/>
        <v>-6.3511006348200325E-2</v>
      </c>
      <c r="P50" s="204">
        <v>19877250.93</v>
      </c>
      <c r="Q50" s="181"/>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187">
        <f t="shared" si="6"/>
        <v>34</v>
      </c>
      <c r="B51" s="167" t="s">
        <v>1526</v>
      </c>
      <c r="C51" s="167"/>
      <c r="D51" s="201">
        <f>BS!AF115*1000</f>
        <v>432887560.19814843</v>
      </c>
      <c r="E51" s="179">
        <f t="shared" si="7"/>
        <v>2.0637361250859833E-2</v>
      </c>
      <c r="F51" s="201">
        <f>BS!N115*1000</f>
        <v>424134542.42711198</v>
      </c>
      <c r="G51" s="179">
        <f t="shared" si="7"/>
        <v>1.7236979320531989E-2</v>
      </c>
      <c r="H51" s="201">
        <v>416947624.83999997</v>
      </c>
      <c r="I51" s="179">
        <f t="shared" si="7"/>
        <v>-5.9300970714439585E-2</v>
      </c>
      <c r="J51" s="201">
        <v>443231694.57999998</v>
      </c>
      <c r="K51" s="179">
        <f t="shared" si="7"/>
        <v>0.16901056541173906</v>
      </c>
      <c r="L51" s="201">
        <v>379151145.16000003</v>
      </c>
      <c r="M51" s="179">
        <f t="shared" si="7"/>
        <v>0.15079563739056759</v>
      </c>
      <c r="N51" s="201">
        <v>329468702.20999998</v>
      </c>
      <c r="O51" s="179">
        <f t="shared" si="7"/>
        <v>0.38677822700636583</v>
      </c>
      <c r="P51" s="201">
        <v>237578508.08000001</v>
      </c>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187">
        <f t="shared" si="6"/>
        <v>35</v>
      </c>
      <c r="B52" s="167" t="s">
        <v>1527</v>
      </c>
      <c r="C52" s="167"/>
      <c r="D52" s="201">
        <f>(BS!AF118+BS!AF119)*1000</f>
        <v>4177727.75</v>
      </c>
      <c r="E52" s="179">
        <f t="shared" si="7"/>
        <v>0</v>
      </c>
      <c r="F52" s="201">
        <f>(BS!N118+BS!N119)*1000</f>
        <v>4177727.75</v>
      </c>
      <c r="G52" s="179">
        <f t="shared" si="7"/>
        <v>-0.13840439286810888</v>
      </c>
      <c r="H52" s="201">
        <v>4848826.66</v>
      </c>
      <c r="I52" s="179">
        <f t="shared" si="7"/>
        <v>-0.21206985412135626</v>
      </c>
      <c r="J52" s="201">
        <v>6153878.8499999996</v>
      </c>
      <c r="K52" s="179">
        <f t="shared" si="7"/>
        <v>-8.9892132835600241E-2</v>
      </c>
      <c r="L52" s="201">
        <v>6761702.7300000004</v>
      </c>
      <c r="M52" s="179">
        <f t="shared" si="7"/>
        <v>0.1814078226998258</v>
      </c>
      <c r="N52" s="201">
        <v>5723428.0999999996</v>
      </c>
      <c r="O52" s="179">
        <f t="shared" si="7"/>
        <v>1.414006776816042</v>
      </c>
      <c r="P52" s="201">
        <v>2370924.62</v>
      </c>
      <c r="Q52" s="181"/>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187">
        <f t="shared" si="6"/>
        <v>36</v>
      </c>
      <c r="B53" s="167" t="s">
        <v>1528</v>
      </c>
      <c r="C53" s="167"/>
      <c r="D53" s="201">
        <f>SUM(BS!AF120:AF126)*1000</f>
        <v>4132826.3538461695</v>
      </c>
      <c r="E53" s="179">
        <f t="shared" si="7"/>
        <v>1.6536062861725841E-2</v>
      </c>
      <c r="F53" s="201">
        <f>SUM(BS!N120:N126)*1000</f>
        <v>4065597.3800000213</v>
      </c>
      <c r="G53" s="179">
        <v>1</v>
      </c>
      <c r="H53" s="201">
        <v>0</v>
      </c>
      <c r="I53" s="179">
        <v>0</v>
      </c>
      <c r="J53" s="201">
        <v>0</v>
      </c>
      <c r="K53" s="179">
        <v>0</v>
      </c>
      <c r="L53" s="201">
        <v>0</v>
      </c>
      <c r="M53" s="179">
        <v>0</v>
      </c>
      <c r="N53" s="201">
        <v>0</v>
      </c>
      <c r="O53" s="179">
        <v>0</v>
      </c>
      <c r="P53" s="201">
        <v>0</v>
      </c>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187">
        <f t="shared" si="6"/>
        <v>37</v>
      </c>
      <c r="B54" s="167" t="s">
        <v>1529</v>
      </c>
      <c r="C54" s="167"/>
      <c r="D54" s="201">
        <f>SUM(BS!AF127:AF129)*1000</f>
        <v>54886441.919768944</v>
      </c>
      <c r="E54" s="179">
        <f t="shared" si="7"/>
        <v>2.0016863725047618E-2</v>
      </c>
      <c r="F54" s="201">
        <f>SUM(BS!N127:N129)*1000</f>
        <v>53809347.542869598</v>
      </c>
      <c r="G54" s="179">
        <f t="shared" si="7"/>
        <v>0.16385999973669738</v>
      </c>
      <c r="H54" s="201">
        <v>46233522.550000004</v>
      </c>
      <c r="I54" s="179">
        <f t="shared" si="7"/>
        <v>-2.9968269475776237E-2</v>
      </c>
      <c r="J54" s="201">
        <v>47661866.199999996</v>
      </c>
      <c r="K54" s="179">
        <f t="shared" si="7"/>
        <v>0.1621923297451775</v>
      </c>
      <c r="L54" s="201">
        <v>41010308.689999998</v>
      </c>
      <c r="M54" s="179">
        <f t="shared" si="7"/>
        <v>5.2572889200582909E-2</v>
      </c>
      <c r="N54" s="201">
        <v>38961965.590000004</v>
      </c>
      <c r="O54" s="179">
        <f t="shared" si="7"/>
        <v>-9.6424747834439662E-5</v>
      </c>
      <c r="P54" s="201">
        <v>38965722.850000001</v>
      </c>
      <c r="Q54" s="181"/>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187">
        <f t="shared" si="6"/>
        <v>38</v>
      </c>
      <c r="B55" s="167" t="s">
        <v>1530</v>
      </c>
      <c r="C55" s="167"/>
      <c r="D55" s="201">
        <f>BS!AF99*1000</f>
        <v>8076267.1091383277</v>
      </c>
      <c r="E55" s="179">
        <f t="shared" si="7"/>
        <v>-4.365387407255588E-2</v>
      </c>
      <c r="F55" s="201">
        <f>BS!N99*1000</f>
        <v>8444920.6099999994</v>
      </c>
      <c r="G55" s="179">
        <f t="shared" si="7"/>
        <v>-4.3183754016081446E-2</v>
      </c>
      <c r="H55" s="201">
        <v>8826063.1500000004</v>
      </c>
      <c r="I55" s="179">
        <f t="shared" si="7"/>
        <v>-6.4645574080719401E-2</v>
      </c>
      <c r="J55" s="201">
        <v>9436062.8499999996</v>
      </c>
      <c r="K55" s="179">
        <f t="shared" si="7"/>
        <v>5.9371457006506353E-2</v>
      </c>
      <c r="L55" s="201">
        <v>8907227.7599999998</v>
      </c>
      <c r="M55" s="179">
        <f t="shared" si="7"/>
        <v>-7.1267480398505098E-2</v>
      </c>
      <c r="N55" s="201">
        <v>9590735.3000000007</v>
      </c>
      <c r="O55" s="179">
        <f t="shared" si="7"/>
        <v>-4.9365834994208376E-3</v>
      </c>
      <c r="P55" s="201">
        <v>9638315.6500000004</v>
      </c>
      <c r="Q55" s="181"/>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187">
        <f t="shared" si="6"/>
        <v>39</v>
      </c>
      <c r="B56" s="167" t="s">
        <v>1531</v>
      </c>
      <c r="C56" s="167"/>
      <c r="D56" s="201">
        <f>BS!AF106*1000</f>
        <v>349065730.10999995</v>
      </c>
      <c r="E56" s="179">
        <f t="shared" si="7"/>
        <v>-1.7075478809279731E-16</v>
      </c>
      <c r="F56" s="201">
        <f>BS!N106*1000</f>
        <v>349065730.11000001</v>
      </c>
      <c r="G56" s="179">
        <f t="shared" si="7"/>
        <v>-3.6717725500958545E-2</v>
      </c>
      <c r="H56" s="201">
        <v>362371175.45999998</v>
      </c>
      <c r="I56" s="179">
        <f t="shared" si="7"/>
        <v>0.1346571340696292</v>
      </c>
      <c r="J56" s="201">
        <v>319366233.70999998</v>
      </c>
      <c r="K56" s="179">
        <f t="shared" si="7"/>
        <v>-0.10801186206074034</v>
      </c>
      <c r="L56" s="201">
        <v>358038655.58999997</v>
      </c>
      <c r="M56" s="179">
        <f t="shared" si="7"/>
        <v>0.61503532074173162</v>
      </c>
      <c r="N56" s="201">
        <v>221690913.5</v>
      </c>
      <c r="O56" s="179">
        <f t="shared" si="7"/>
        <v>6.4254584490070876E-2</v>
      </c>
      <c r="P56" s="201">
        <v>208306280.03</v>
      </c>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187">
        <f t="shared" si="6"/>
        <v>40</v>
      </c>
      <c r="B57" s="167" t="s">
        <v>1459</v>
      </c>
      <c r="C57" s="167"/>
      <c r="D57" s="200">
        <f>SUM(D50:D56)</f>
        <v>871457515.20535231</v>
      </c>
      <c r="E57" s="179">
        <f t="shared" si="7"/>
        <v>1.3035929970258634E-2</v>
      </c>
      <c r="F57" s="200">
        <f>SUM(F50:F56)</f>
        <v>860243441.93886304</v>
      </c>
      <c r="G57" s="179">
        <f t="shared" si="7"/>
        <v>3.4540864755080694E-3</v>
      </c>
      <c r="H57" s="200">
        <f>SUM(H50:H56)</f>
        <v>857282314.69000006</v>
      </c>
      <c r="I57" s="179">
        <f t="shared" si="7"/>
        <v>1.4449393636156084E-2</v>
      </c>
      <c r="J57" s="200">
        <f>SUM(J50:J56)</f>
        <v>845071543.30999994</v>
      </c>
      <c r="K57" s="179">
        <f t="shared" si="7"/>
        <v>3.7160122680255897E-2</v>
      </c>
      <c r="L57" s="200">
        <f>SUM(L50:L56)</f>
        <v>814793709.12</v>
      </c>
      <c r="M57" s="179">
        <f t="shared" si="7"/>
        <v>0.3056533339372996</v>
      </c>
      <c r="N57" s="200">
        <f>SUM(N50:N56)</f>
        <v>624050571.42000008</v>
      </c>
      <c r="O57" s="179">
        <f t="shared" si="7"/>
        <v>0.20767541091778066</v>
      </c>
      <c r="P57" s="200">
        <f>SUM(P50:P56)</f>
        <v>516737002.15999997</v>
      </c>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17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174">
        <f>A57+1</f>
        <v>41</v>
      </c>
      <c r="B59" s="167" t="s">
        <v>1460</v>
      </c>
      <c r="D59" s="203">
        <f>D21+D28+D47+D57</f>
        <v>8153645756.8104153</v>
      </c>
      <c r="E59" s="179">
        <f t="shared" ref="E59:O59" si="8">(+D59-F59)/F59</f>
        <v>2.6350174146982534E-2</v>
      </c>
      <c r="F59" s="203">
        <f>F21+F28+F47+F57</f>
        <v>7944311758.4961214</v>
      </c>
      <c r="G59" s="179">
        <f t="shared" si="8"/>
        <v>3.9189761278458884E-2</v>
      </c>
      <c r="H59" s="203">
        <f>H21+H28+H47+H57</f>
        <v>7644717119.5400009</v>
      </c>
      <c r="I59" s="179">
        <f t="shared" si="8"/>
        <v>2.4022151314086609E-2</v>
      </c>
      <c r="J59" s="203">
        <f>J21+J28+J47+J57</f>
        <v>7465382569.8299999</v>
      </c>
      <c r="K59" s="179">
        <f t="shared" si="8"/>
        <v>5.9222445755352359E-3</v>
      </c>
      <c r="L59" s="203">
        <f>L21+L28+L47+L57</f>
        <v>7421431040.1099997</v>
      </c>
      <c r="M59" s="179">
        <f t="shared" si="8"/>
        <v>6.8833974799981407E-2</v>
      </c>
      <c r="N59" s="203">
        <f>N21+N28+N47+N57</f>
        <v>6943483473.6599998</v>
      </c>
      <c r="O59" s="179">
        <f t="shared" si="8"/>
        <v>9.2457650463889374E-2</v>
      </c>
      <c r="P59" s="203">
        <f>P21+P28+P47+P57</f>
        <v>6355837657.1499996</v>
      </c>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174"/>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174"/>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TOTAL COMPANY</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__X__ ORIGINAL  _____ UPDATED  _____ REVISED</v>
      </c>
      <c r="B68" s="167"/>
      <c r="C68" s="167"/>
      <c r="D68" s="167"/>
      <c r="E68" s="167"/>
      <c r="F68" s="167"/>
      <c r="G68" s="167"/>
      <c r="H68" s="167"/>
      <c r="I68" s="167"/>
      <c r="J68" s="167"/>
      <c r="K68" s="167"/>
      <c r="L68" s="167"/>
      <c r="M68" s="167"/>
      <c r="N68" s="167"/>
      <c r="O68" s="167"/>
      <c r="P68" s="169" t="s">
        <v>2064</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174" t="s">
        <v>1466</v>
      </c>
      <c r="B72" s="167"/>
      <c r="C72" s="167"/>
      <c r="D72" s="174" t="s">
        <v>1462</v>
      </c>
      <c r="E72" s="167"/>
      <c r="F72" s="17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174" t="s">
        <v>1467</v>
      </c>
      <c r="B73" s="174" t="s">
        <v>205</v>
      </c>
      <c r="C73" s="167"/>
      <c r="D73" s="174" t="s">
        <v>1463</v>
      </c>
      <c r="E73" s="174" t="s">
        <v>1464</v>
      </c>
      <c r="F73" s="174" t="s">
        <v>1463</v>
      </c>
      <c r="G73" s="174" t="s">
        <v>1464</v>
      </c>
      <c r="H73" s="175">
        <f>+H12</f>
        <v>2017</v>
      </c>
      <c r="I73" s="174" t="s">
        <v>1464</v>
      </c>
      <c r="J73" s="175">
        <f>+J12</f>
        <v>2016</v>
      </c>
      <c r="K73" s="174" t="s">
        <v>1464</v>
      </c>
      <c r="L73" s="175">
        <f>+L12</f>
        <v>2015</v>
      </c>
      <c r="M73" s="174" t="s">
        <v>1464</v>
      </c>
      <c r="N73" s="175">
        <f>+N12</f>
        <v>2014</v>
      </c>
      <c r="O73" s="17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174">
        <v>1</v>
      </c>
      <c r="B75" s="778" t="s">
        <v>1532</v>
      </c>
      <c r="C75" s="778"/>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189"/>
      <c r="B76" s="190"/>
      <c r="C76" s="190"/>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174">
        <f>A75+1</f>
        <v>2</v>
      </c>
      <c r="B77" s="178" t="s">
        <v>1446</v>
      </c>
      <c r="C77" s="167"/>
      <c r="D77" s="207"/>
      <c r="E77" s="192"/>
      <c r="F77" s="207"/>
      <c r="G77" s="192"/>
      <c r="H77" s="207"/>
      <c r="I77" s="192"/>
      <c r="J77" s="207"/>
      <c r="K77" s="192"/>
      <c r="L77" s="207"/>
      <c r="M77" s="192"/>
      <c r="N77" s="207"/>
      <c r="O77" s="192"/>
      <c r="P77" s="207"/>
      <c r="Q77" s="181"/>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174">
        <f>A77+1</f>
        <v>3</v>
      </c>
      <c r="B78" s="167" t="s">
        <v>1533</v>
      </c>
      <c r="C78" s="167"/>
      <c r="D78" s="204">
        <f>BS!AF142*1000</f>
        <v>308139977.56</v>
      </c>
      <c r="E78" s="179">
        <f t="shared" ref="E78:O84" si="9">(+D78-F78)/F78</f>
        <v>0</v>
      </c>
      <c r="F78" s="204">
        <f>BS!N142*1000</f>
        <v>308139977.56</v>
      </c>
      <c r="G78" s="179">
        <f t="shared" si="9"/>
        <v>0</v>
      </c>
      <c r="H78" s="204">
        <v>308139977.56</v>
      </c>
      <c r="I78" s="179">
        <f t="shared" si="9"/>
        <v>0</v>
      </c>
      <c r="J78" s="204">
        <v>308139977.56</v>
      </c>
      <c r="K78" s="179">
        <f t="shared" si="9"/>
        <v>0</v>
      </c>
      <c r="L78" s="204">
        <v>308139977.56</v>
      </c>
      <c r="M78" s="179">
        <f t="shared" si="9"/>
        <v>0</v>
      </c>
      <c r="N78" s="204">
        <v>308139977.56</v>
      </c>
      <c r="O78" s="179">
        <f t="shared" si="9"/>
        <v>0</v>
      </c>
      <c r="P78" s="204">
        <v>308139977.56</v>
      </c>
      <c r="Q78" s="181"/>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189">
        <f t="shared" ref="A79:A84" si="10">A78+1</f>
        <v>4</v>
      </c>
      <c r="B79" s="167" t="s">
        <v>1534</v>
      </c>
      <c r="C79" s="167"/>
      <c r="D79" s="195">
        <f>BS!AF150*1000</f>
        <v>766800229.86065793</v>
      </c>
      <c r="E79" s="179">
        <f t="shared" si="9"/>
        <v>0.10307377020735665</v>
      </c>
      <c r="F79" s="195">
        <f>BS!N150*1000</f>
        <v>695148638.80455995</v>
      </c>
      <c r="G79" s="179">
        <f t="shared" si="9"/>
        <v>0.19061234064401905</v>
      </c>
      <c r="H79" s="195">
        <v>583858083</v>
      </c>
      <c r="I79" s="179">
        <f t="shared" si="9"/>
        <v>0</v>
      </c>
      <c r="J79" s="195">
        <v>583858083</v>
      </c>
      <c r="K79" s="179">
        <f t="shared" si="9"/>
        <v>3.5469918057377571E-2</v>
      </c>
      <c r="L79" s="195">
        <v>563858083</v>
      </c>
      <c r="M79" s="179">
        <f t="shared" si="9"/>
        <v>0</v>
      </c>
      <c r="N79" s="195">
        <v>563858083</v>
      </c>
      <c r="O79" s="179">
        <f t="shared" si="9"/>
        <v>0.19244674728337044</v>
      </c>
      <c r="P79" s="195">
        <v>472858083</v>
      </c>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189">
        <f t="shared" si="10"/>
        <v>5</v>
      </c>
      <c r="B80" s="167" t="s">
        <v>1535</v>
      </c>
      <c r="C80" s="167"/>
      <c r="D80" s="195">
        <f>-BS!AF146*1000</f>
        <v>321288.86999999994</v>
      </c>
      <c r="E80" s="179">
        <f t="shared" si="9"/>
        <v>-1.8116924160325692E-16</v>
      </c>
      <c r="F80" s="195">
        <f>-BS!N146*1000</f>
        <v>321288.87</v>
      </c>
      <c r="G80" s="179">
        <f t="shared" si="9"/>
        <v>0</v>
      </c>
      <c r="H80" s="195">
        <v>321288.87</v>
      </c>
      <c r="I80" s="179">
        <f t="shared" si="9"/>
        <v>0</v>
      </c>
      <c r="J80" s="195">
        <v>321288.87</v>
      </c>
      <c r="K80" s="179">
        <f t="shared" si="9"/>
        <v>0</v>
      </c>
      <c r="L80" s="195">
        <v>321288.87</v>
      </c>
      <c r="M80" s="179">
        <f t="shared" si="9"/>
        <v>0</v>
      </c>
      <c r="N80" s="195">
        <v>321288.87</v>
      </c>
      <c r="O80" s="179">
        <f t="shared" si="9"/>
        <v>0</v>
      </c>
      <c r="P80" s="195">
        <v>321288.87</v>
      </c>
      <c r="Q80" s="181"/>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189">
        <f t="shared" si="10"/>
        <v>6</v>
      </c>
      <c r="B81" s="167" t="s">
        <v>1536</v>
      </c>
      <c r="C81" s="167"/>
      <c r="D81" s="201">
        <f>BS!AF159*1000</f>
        <v>0.01</v>
      </c>
      <c r="E81" s="179">
        <f t="shared" si="9"/>
        <v>0</v>
      </c>
      <c r="F81" s="201">
        <f>BS!N159*1000</f>
        <v>0.01</v>
      </c>
      <c r="G81" s="179">
        <v>0</v>
      </c>
      <c r="H81" s="201">
        <v>0</v>
      </c>
      <c r="I81" s="179">
        <f t="shared" si="9"/>
        <v>-1</v>
      </c>
      <c r="J81" s="201">
        <v>-1813203.72</v>
      </c>
      <c r="K81" s="179">
        <f t="shared" si="9"/>
        <v>0.11429857973559387</v>
      </c>
      <c r="L81" s="201">
        <v>-1627215.32</v>
      </c>
      <c r="M81" s="179">
        <f t="shared" si="9"/>
        <v>0.3202458542057921</v>
      </c>
      <c r="N81" s="201">
        <v>-1232509.32</v>
      </c>
      <c r="O81" s="179">
        <f t="shared" si="9"/>
        <v>0.34403743918017599</v>
      </c>
      <c r="P81" s="201">
        <v>-917020.08</v>
      </c>
      <c r="Q81" s="181"/>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189">
        <f t="shared" si="10"/>
        <v>7</v>
      </c>
      <c r="B82" s="167" t="s">
        <v>1537</v>
      </c>
      <c r="C82" s="167"/>
      <c r="D82" s="195">
        <f>BS!AF154*1000</f>
        <v>1927329002.8147359</v>
      </c>
      <c r="E82" s="179">
        <f t="shared" si="9"/>
        <v>1.9900300053155899E-2</v>
      </c>
      <c r="F82" s="195">
        <f>BS!N154*1000</f>
        <v>1889722949.11011</v>
      </c>
      <c r="G82" s="179">
        <f t="shared" si="9"/>
        <v>1.7172165980232183E-2</v>
      </c>
      <c r="H82" s="195">
        <v>1857820153.0799999</v>
      </c>
      <c r="I82" s="179">
        <f t="shared" si="9"/>
        <v>1.7029924023486308E-2</v>
      </c>
      <c r="J82" s="195">
        <v>1826711396.78</v>
      </c>
      <c r="K82" s="179">
        <f t="shared" si="9"/>
        <v>9.6214994331803097E-3</v>
      </c>
      <c r="L82" s="195">
        <v>1809303187.1900001</v>
      </c>
      <c r="M82" s="179">
        <f t="shared" si="9"/>
        <v>4.645323908454918E-2</v>
      </c>
      <c r="N82" s="195">
        <v>1728986178.8499999</v>
      </c>
      <c r="O82" s="179">
        <f t="shared" si="9"/>
        <v>4.3106317689122077E-2</v>
      </c>
      <c r="P82" s="195">
        <v>1657535909.3599999</v>
      </c>
      <c r="Q82" s="181"/>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189">
        <f t="shared" si="10"/>
        <v>8</v>
      </c>
      <c r="B83" s="167" t="s">
        <v>1538</v>
      </c>
      <c r="C83" s="167"/>
      <c r="D83" s="206">
        <v>0</v>
      </c>
      <c r="E83" s="179">
        <v>0</v>
      </c>
      <c r="F83" s="206">
        <v>0</v>
      </c>
      <c r="G83" s="179">
        <v>0</v>
      </c>
      <c r="H83" s="206">
        <v>0</v>
      </c>
      <c r="I83" s="179">
        <v>0</v>
      </c>
      <c r="J83" s="206">
        <v>0</v>
      </c>
      <c r="K83" s="179">
        <v>0</v>
      </c>
      <c r="L83" s="206">
        <v>0</v>
      </c>
      <c r="M83" s="179">
        <v>0</v>
      </c>
      <c r="N83" s="206">
        <v>0</v>
      </c>
      <c r="O83" s="179">
        <v>0</v>
      </c>
      <c r="P83" s="206">
        <v>0</v>
      </c>
      <c r="Q83" s="181"/>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189">
        <f t="shared" si="10"/>
        <v>9</v>
      </c>
      <c r="B84" s="167" t="s">
        <v>1539</v>
      </c>
      <c r="C84" s="167"/>
      <c r="D84" s="200">
        <f>SUM(D78,D79,-D80,D81,D82,D83)</f>
        <v>3001947921.3753939</v>
      </c>
      <c r="E84" s="179">
        <f t="shared" si="9"/>
        <v>3.7770253401822489E-2</v>
      </c>
      <c r="F84" s="200">
        <f>SUM(F78,F79,-F80,F81,F82,F83)</f>
        <v>2892690276.6146698</v>
      </c>
      <c r="G84" s="179">
        <f t="shared" si="9"/>
        <v>5.2079837062064795E-2</v>
      </c>
      <c r="H84" s="200">
        <f>SUM(H78,H79,-H80,H81,H82,H83)</f>
        <v>2749496924.77</v>
      </c>
      <c r="I84" s="179">
        <f t="shared" si="9"/>
        <v>1.2118921968726054E-2</v>
      </c>
      <c r="J84" s="200">
        <f>SUM(J78,J79,-J80,J81,J82,J83)</f>
        <v>2716574964.75</v>
      </c>
      <c r="K84" s="179">
        <f t="shared" si="9"/>
        <v>1.3892243669470587E-2</v>
      </c>
      <c r="L84" s="200">
        <f>SUM(L78,L79,-L80,L81,L82,L83)</f>
        <v>2679352743.5599999</v>
      </c>
      <c r="M84" s="179">
        <f t="shared" si="9"/>
        <v>3.074608232351466E-2</v>
      </c>
      <c r="N84" s="200">
        <f>SUM(N78,N79,-N80,N81,N82,N83)</f>
        <v>2599430441.2199998</v>
      </c>
      <c r="O84" s="179">
        <f t="shared" si="9"/>
        <v>6.6522409589599513E-2</v>
      </c>
      <c r="P84" s="200">
        <f>SUM(P78,P79,-P80,P81,P82,P83)</f>
        <v>2437295660.9699998</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17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189">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189">
        <f t="shared" ref="A87:A89" si="11">A86+1</f>
        <v>11</v>
      </c>
      <c r="B87" s="167" t="s">
        <v>1540</v>
      </c>
      <c r="C87" s="167"/>
      <c r="D87" s="204">
        <f>(BS!AF167+BS!AF166)*1000</f>
        <v>2618775481.9230771</v>
      </c>
      <c r="E87" s="179">
        <f t="shared" ref="E87:O90" si="12">(+D87-F87)/F87</f>
        <v>0.11824958581156916</v>
      </c>
      <c r="F87" s="204">
        <f>(BS!N167+BS!N166)*1000</f>
        <v>2341852405</v>
      </c>
      <c r="G87" s="179">
        <f t="shared" si="12"/>
        <v>-3.797463930904227E-3</v>
      </c>
      <c r="H87" s="204">
        <v>2350779405</v>
      </c>
      <c r="I87" s="179">
        <f t="shared" si="12"/>
        <v>0</v>
      </c>
      <c r="J87" s="204">
        <v>2350779405</v>
      </c>
      <c r="K87" s="179">
        <f t="shared" si="12"/>
        <v>0</v>
      </c>
      <c r="L87" s="204">
        <v>2350779405</v>
      </c>
      <c r="M87" s="179">
        <f t="shared" si="12"/>
        <v>0.11900345148328413</v>
      </c>
      <c r="N87" s="204">
        <v>2100779405</v>
      </c>
      <c r="O87" s="179">
        <f t="shared" si="12"/>
        <v>0</v>
      </c>
      <c r="P87" s="204">
        <v>2100779405</v>
      </c>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189">
        <f t="shared" si="11"/>
        <v>12</v>
      </c>
      <c r="B88" s="167" t="s">
        <v>1562</v>
      </c>
      <c r="C88" s="167"/>
      <c r="D88" s="201">
        <v>0</v>
      </c>
      <c r="E88" s="179">
        <v>0</v>
      </c>
      <c r="F88" s="201">
        <v>0</v>
      </c>
      <c r="G88" s="179">
        <v>0</v>
      </c>
      <c r="H88" s="201">
        <v>0</v>
      </c>
      <c r="I88" s="179">
        <v>0</v>
      </c>
      <c r="J88" s="201">
        <v>0</v>
      </c>
      <c r="K88" s="179">
        <v>0</v>
      </c>
      <c r="L88" s="201">
        <v>0</v>
      </c>
      <c r="M88" s="179">
        <v>0</v>
      </c>
      <c r="N88" s="201">
        <v>0</v>
      </c>
      <c r="O88" s="179">
        <v>0</v>
      </c>
      <c r="P88" s="201">
        <v>0</v>
      </c>
      <c r="Q88" s="181"/>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189">
        <f t="shared" si="11"/>
        <v>13</v>
      </c>
      <c r="B89" s="167" t="s">
        <v>1541</v>
      </c>
      <c r="C89" s="167"/>
      <c r="D89" s="195">
        <f>BS!AF168*1000</f>
        <v>-7580273.4030769216</v>
      </c>
      <c r="E89" s="179">
        <f t="shared" si="12"/>
        <v>-5.5782090234250639E-2</v>
      </c>
      <c r="F89" s="195">
        <f>BS!N168*1000</f>
        <v>-8028097.46</v>
      </c>
      <c r="G89" s="179">
        <f t="shared" si="12"/>
        <v>-6.3236529723906573E-2</v>
      </c>
      <c r="H89" s="195">
        <v>-8570036.8499999996</v>
      </c>
      <c r="I89" s="179">
        <f t="shared" si="12"/>
        <v>-5.8794972499293587E-2</v>
      </c>
      <c r="J89" s="195">
        <v>-9105387.8800000008</v>
      </c>
      <c r="K89" s="179">
        <f t="shared" si="12"/>
        <v>-5.6319434590674573E-2</v>
      </c>
      <c r="L89" s="195">
        <v>-9648803.0099999998</v>
      </c>
      <c r="M89" s="179">
        <f t="shared" si="12"/>
        <v>-3.6204327663368903E-2</v>
      </c>
      <c r="N89" s="195">
        <v>-10011253.720000001</v>
      </c>
      <c r="O89" s="179">
        <f t="shared" si="12"/>
        <v>-6.5228171418287184E-2</v>
      </c>
      <c r="P89" s="195">
        <v>-10709836.789999999</v>
      </c>
      <c r="Q89" s="181"/>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189">
        <f t="shared" ref="A90" si="13">A89+1</f>
        <v>14</v>
      </c>
      <c r="B90" s="167" t="s">
        <v>1542</v>
      </c>
      <c r="C90" s="167"/>
      <c r="D90" s="200">
        <f>SUM(D87:D89)</f>
        <v>2611195208.52</v>
      </c>
      <c r="E90" s="179">
        <f t="shared" si="12"/>
        <v>0.11884823552650657</v>
      </c>
      <c r="F90" s="200">
        <f>SUM(F87:F89)</f>
        <v>2333824307.54</v>
      </c>
      <c r="G90" s="179">
        <f t="shared" si="12"/>
        <v>-3.579979110331667E-3</v>
      </c>
      <c r="H90" s="200">
        <f>SUM(H87:H89)</f>
        <v>2342209368.1500001</v>
      </c>
      <c r="I90" s="179">
        <f t="shared" si="12"/>
        <v>2.2861893930848341E-4</v>
      </c>
      <c r="J90" s="200">
        <f>SUM(J87:J89)</f>
        <v>2341674017.1199999</v>
      </c>
      <c r="K90" s="179">
        <f t="shared" si="12"/>
        <v>2.3211653785491616E-4</v>
      </c>
      <c r="L90" s="200">
        <f>SUM(L87:L89)</f>
        <v>2341130601.9899998</v>
      </c>
      <c r="M90" s="179">
        <f t="shared" si="12"/>
        <v>0.11974663501389388</v>
      </c>
      <c r="N90" s="200">
        <f>SUM(N87:N89)</f>
        <v>2090768151.28</v>
      </c>
      <c r="O90" s="179">
        <f t="shared" si="12"/>
        <v>3.3423914716782432E-4</v>
      </c>
      <c r="P90" s="200">
        <f>SUM(P87:P89)</f>
        <v>2090069568.21</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17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189">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189">
        <f>A92+1</f>
        <v>16</v>
      </c>
      <c r="B93" s="167" t="s">
        <v>1544</v>
      </c>
      <c r="C93" s="167"/>
      <c r="D93" s="204">
        <f>(BS!AF256+BS!AF257)*1000</f>
        <v>3198333.08</v>
      </c>
      <c r="E93" s="179">
        <f t="shared" ref="E93:O95" si="14">(+D93-F93)/F93</f>
        <v>-1.4559499453625986E-16</v>
      </c>
      <c r="F93" s="204">
        <f>(BS!N256+BS!N257)*1000</f>
        <v>3198333.0800000005</v>
      </c>
      <c r="G93" s="179">
        <f t="shared" si="14"/>
        <v>-6.5196643992748618E-2</v>
      </c>
      <c r="H93" s="204">
        <v>3421396.6599999997</v>
      </c>
      <c r="I93" s="179">
        <f t="shared" si="14"/>
        <v>0.71980971850672526</v>
      </c>
      <c r="J93" s="204">
        <v>1989404.19</v>
      </c>
      <c r="K93" s="179">
        <f t="shared" si="14"/>
        <v>-0.15093019276784669</v>
      </c>
      <c r="L93" s="204">
        <v>2343039.6100000003</v>
      </c>
      <c r="M93" s="179">
        <f t="shared" si="14"/>
        <v>0.14295078992710858</v>
      </c>
      <c r="N93" s="204">
        <v>2049991.6799999999</v>
      </c>
      <c r="O93" s="179">
        <f t="shared" si="14"/>
        <v>-6.1491539094426756E-2</v>
      </c>
      <c r="P93" s="204">
        <v>2184308.15</v>
      </c>
      <c r="Q93" s="181"/>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189">
        <f t="shared" ref="A94:A95" si="15">A93+1</f>
        <v>17</v>
      </c>
      <c r="B94" s="167" t="s">
        <v>1545</v>
      </c>
      <c r="C94" s="167"/>
      <c r="D94" s="195">
        <f>BS!AF267*1000</f>
        <v>25652277.045384593</v>
      </c>
      <c r="E94" s="179">
        <f t="shared" si="14"/>
        <v>-0.11597360975160863</v>
      </c>
      <c r="F94" s="195">
        <f>BS!N267*1000</f>
        <v>29017546.68</v>
      </c>
      <c r="G94" s="179">
        <f t="shared" si="14"/>
        <v>-0.61198261529746345</v>
      </c>
      <c r="H94" s="195">
        <v>74784140.670000002</v>
      </c>
      <c r="I94" s="179">
        <f t="shared" si="14"/>
        <v>-0.30446138876141976</v>
      </c>
      <c r="J94" s="195">
        <v>107519754.42</v>
      </c>
      <c r="K94" s="179">
        <f t="shared" si="14"/>
        <v>0.14746134454913398</v>
      </c>
      <c r="L94" s="195">
        <v>93702288.909999996</v>
      </c>
      <c r="M94" s="179">
        <f t="shared" si="14"/>
        <v>-0.2032624376175117</v>
      </c>
      <c r="N94" s="195">
        <v>117607469.93000001</v>
      </c>
      <c r="O94" s="179">
        <f t="shared" si="14"/>
        <v>0.95470795097563455</v>
      </c>
      <c r="P94" s="195">
        <v>60166261.600000001</v>
      </c>
      <c r="Q94" s="181"/>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189">
        <f t="shared" si="15"/>
        <v>18</v>
      </c>
      <c r="B95" s="167" t="s">
        <v>1546</v>
      </c>
      <c r="C95" s="167"/>
      <c r="D95" s="200">
        <f>SUM(D93:D94)</f>
        <v>28850610.125384592</v>
      </c>
      <c r="E95" s="179">
        <f t="shared" si="14"/>
        <v>-0.10445996383416506</v>
      </c>
      <c r="F95" s="200">
        <f>SUM(F93:F94)</f>
        <v>32215879.760000002</v>
      </c>
      <c r="G95" s="179">
        <f t="shared" si="14"/>
        <v>-0.5880613974422263</v>
      </c>
      <c r="H95" s="200">
        <f>SUM(H93:H94)</f>
        <v>78205537.329999998</v>
      </c>
      <c r="I95" s="179">
        <f t="shared" si="14"/>
        <v>-0.28585391100924284</v>
      </c>
      <c r="J95" s="200">
        <f>SUM(J93:J94)</f>
        <v>109509158.61</v>
      </c>
      <c r="K95" s="179">
        <f t="shared" si="14"/>
        <v>0.14018204005826648</v>
      </c>
      <c r="L95" s="200">
        <f>SUM(L93:L94)</f>
        <v>96045328.519999996</v>
      </c>
      <c r="M95" s="179">
        <f t="shared" si="14"/>
        <v>-0.19733105459782463</v>
      </c>
      <c r="N95" s="200">
        <f>SUM(N93:N94)</f>
        <v>119657461.61000001</v>
      </c>
      <c r="O95" s="179">
        <f t="shared" si="14"/>
        <v>0.91910774977320897</v>
      </c>
      <c r="P95" s="200">
        <f>SUM(P93:P94)</f>
        <v>62350569.75</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17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189">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189">
        <f>A97+1</f>
        <v>20</v>
      </c>
      <c r="B98" s="167" t="s">
        <v>1560</v>
      </c>
      <c r="C98" s="167"/>
      <c r="D98" s="204">
        <f>BS!AF182*1000</f>
        <v>70738409.729352906</v>
      </c>
      <c r="E98" s="179">
        <f t="shared" ref="E98:O107" si="16">(+D98-F98)/F98</f>
        <v>-0.72427944287934809</v>
      </c>
      <c r="F98" s="204">
        <f>BS!N182*1000</f>
        <v>256558344.68083799</v>
      </c>
      <c r="G98" s="179">
        <f t="shared" si="16"/>
        <v>4.7066955757898921</v>
      </c>
      <c r="H98" s="204">
        <v>44957426.109999999</v>
      </c>
      <c r="I98" s="179">
        <f t="shared" si="16"/>
        <v>1.8099743601348477</v>
      </c>
      <c r="J98" s="204">
        <v>15999230.01</v>
      </c>
      <c r="K98" s="179">
        <f t="shared" si="16"/>
        <v>-0.66666270788747328</v>
      </c>
      <c r="L98" s="204">
        <v>47997120</v>
      </c>
      <c r="M98" s="179">
        <f t="shared" si="16"/>
        <v>-0.79627044045226514</v>
      </c>
      <c r="N98" s="204">
        <v>235592322.03</v>
      </c>
      <c r="O98" s="179">
        <v>1</v>
      </c>
      <c r="P98" s="204">
        <v>149967365.53999999</v>
      </c>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189">
        <f>A98+1</f>
        <v>21</v>
      </c>
      <c r="B99" s="167" t="s">
        <v>1547</v>
      </c>
      <c r="C99" s="167"/>
      <c r="D99" s="195">
        <f>BS!AF188*1000</f>
        <v>134416098.65877104</v>
      </c>
      <c r="E99" s="179">
        <f t="shared" si="16"/>
        <v>-8.2615470773301711E-2</v>
      </c>
      <c r="F99" s="195">
        <f>BS!N188*1000</f>
        <v>146521000.056624</v>
      </c>
      <c r="G99" s="179">
        <f t="shared" si="16"/>
        <v>-8.0185149747628581E-2</v>
      </c>
      <c r="H99" s="195">
        <v>159294014.46000001</v>
      </c>
      <c r="I99" s="179">
        <f t="shared" si="16"/>
        <v>0.75728980304405591</v>
      </c>
      <c r="J99" s="195">
        <v>90647549.530000001</v>
      </c>
      <c r="K99" s="179">
        <f t="shared" si="16"/>
        <v>-0.16347824875466788</v>
      </c>
      <c r="L99" s="195">
        <v>108362453.69</v>
      </c>
      <c r="M99" s="179">
        <f t="shared" si="16"/>
        <v>-0.29194376821920826</v>
      </c>
      <c r="N99" s="195">
        <v>153042157.99000001</v>
      </c>
      <c r="O99" s="179">
        <f t="shared" si="16"/>
        <v>-0.11358173959083834</v>
      </c>
      <c r="P99" s="195">
        <v>172652307.41</v>
      </c>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189">
        <f>A99+1</f>
        <v>22</v>
      </c>
      <c r="B100" s="167" t="s">
        <v>1561</v>
      </c>
      <c r="C100" s="167"/>
      <c r="D100" s="201">
        <f>BS!AF178*1000</f>
        <v>0</v>
      </c>
      <c r="E100" s="179">
        <v>0</v>
      </c>
      <c r="F100" s="201">
        <f>BS!N178*1000</f>
        <v>0</v>
      </c>
      <c r="G100" s="179">
        <v>0</v>
      </c>
      <c r="H100" s="201">
        <v>0</v>
      </c>
      <c r="I100" s="179">
        <v>0</v>
      </c>
      <c r="J100" s="201">
        <v>0</v>
      </c>
      <c r="K100" s="179">
        <v>0</v>
      </c>
      <c r="L100" s="201">
        <v>0</v>
      </c>
      <c r="M100" s="179">
        <v>0</v>
      </c>
      <c r="N100" s="201">
        <v>0</v>
      </c>
      <c r="O100" s="179">
        <v>0</v>
      </c>
      <c r="P100" s="201">
        <v>0</v>
      </c>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189">
        <f>A100+1</f>
        <v>23</v>
      </c>
      <c r="B101" s="167" t="s">
        <v>1548</v>
      </c>
      <c r="C101" s="167"/>
      <c r="D101" s="201">
        <f>BS!AF193*1000</f>
        <v>45844751.013320431</v>
      </c>
      <c r="E101" s="179">
        <f t="shared" si="16"/>
        <v>-4.8983421880859267E-2</v>
      </c>
      <c r="F101" s="201">
        <f>BS!N193*1000</f>
        <v>48206048.209999897</v>
      </c>
      <c r="G101" s="179">
        <f t="shared" si="16"/>
        <v>-9.4031150673139913E-2</v>
      </c>
      <c r="H101" s="201">
        <v>53209388.210000001</v>
      </c>
      <c r="I101" s="179">
        <f t="shared" si="16"/>
        <v>-5.3106289124657417E-2</v>
      </c>
      <c r="J101" s="201">
        <v>56193623</v>
      </c>
      <c r="K101" s="179">
        <f t="shared" si="16"/>
        <v>0.43425486650817324</v>
      </c>
      <c r="L101" s="201">
        <v>39179663.469999999</v>
      </c>
      <c r="M101" s="179">
        <f t="shared" si="16"/>
        <v>-0.15905558799538055</v>
      </c>
      <c r="N101" s="201">
        <v>46590075.289999999</v>
      </c>
      <c r="O101" s="179">
        <f t="shared" si="16"/>
        <v>0.8380856384713673</v>
      </c>
      <c r="P101" s="201">
        <v>25347064.530000001</v>
      </c>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189">
        <f t="shared" ref="A102:A107" si="17">A101+1</f>
        <v>24</v>
      </c>
      <c r="B102" s="167" t="s">
        <v>1549</v>
      </c>
      <c r="C102" s="167"/>
      <c r="D102" s="195">
        <f>BS!AF195*1000</f>
        <v>30898393.370000001</v>
      </c>
      <c r="E102" s="179">
        <f t="shared" si="16"/>
        <v>0</v>
      </c>
      <c r="F102" s="195">
        <f>BS!N195*1000</f>
        <v>30898393.370000001</v>
      </c>
      <c r="G102" s="179">
        <f t="shared" si="16"/>
        <v>1.0262650830178232E-2</v>
      </c>
      <c r="H102" s="195">
        <v>30584515.170000002</v>
      </c>
      <c r="I102" s="179">
        <f t="shared" si="16"/>
        <v>5.9107238070708452E-2</v>
      </c>
      <c r="J102" s="195">
        <v>28877637.760000002</v>
      </c>
      <c r="K102" s="179">
        <f t="shared" si="16"/>
        <v>0.10012130500036097</v>
      </c>
      <c r="L102" s="195">
        <v>26249503.239999998</v>
      </c>
      <c r="M102" s="179">
        <f t="shared" si="16"/>
        <v>-3.6923760250806487E-2</v>
      </c>
      <c r="N102" s="195">
        <v>27255893.309999999</v>
      </c>
      <c r="O102" s="179">
        <f t="shared" si="16"/>
        <v>6.2401885378133619E-2</v>
      </c>
      <c r="P102" s="195">
        <v>25654974.530000001</v>
      </c>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189">
        <f t="shared" si="17"/>
        <v>25</v>
      </c>
      <c r="B103" s="167" t="s">
        <v>1550</v>
      </c>
      <c r="C103" s="167"/>
      <c r="D103" s="195">
        <f>BS!AF197*1000</f>
        <v>23130728.948762599</v>
      </c>
      <c r="E103" s="179">
        <f t="shared" si="16"/>
        <v>0.25889498158555097</v>
      </c>
      <c r="F103" s="195">
        <f>BS!N197*1000</f>
        <v>18373835.218272097</v>
      </c>
      <c r="G103" s="179">
        <f t="shared" si="16"/>
        <v>-2.4512529648889454E-2</v>
      </c>
      <c r="H103" s="195">
        <v>18835542</v>
      </c>
      <c r="I103" s="179">
        <f t="shared" si="16"/>
        <v>-0.5825836338739796</v>
      </c>
      <c r="J103" s="195">
        <v>45124109.950000003</v>
      </c>
      <c r="K103" s="179">
        <f t="shared" si="16"/>
        <v>1.2089821542340453</v>
      </c>
      <c r="L103" s="195">
        <v>20427557.489999998</v>
      </c>
      <c r="M103" s="179">
        <f t="shared" si="16"/>
        <v>0.4618219778261376</v>
      </c>
      <c r="N103" s="195">
        <v>13974039.109999999</v>
      </c>
      <c r="O103" s="179">
        <f t="shared" si="16"/>
        <v>-0.57021536042342857</v>
      </c>
      <c r="P103" s="195">
        <v>32514049.649999999</v>
      </c>
      <c r="Q103" s="181"/>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189">
        <f t="shared" si="17"/>
        <v>26</v>
      </c>
      <c r="B104" s="167" t="s">
        <v>1551</v>
      </c>
      <c r="C104" s="167"/>
      <c r="D104" s="195">
        <f>BS!AF201*1000</f>
        <v>29561778.474134583</v>
      </c>
      <c r="E104" s="179">
        <f t="shared" si="16"/>
        <v>0.83600197801128384</v>
      </c>
      <c r="F104" s="195">
        <f>BS!N201*1000</f>
        <v>16101169.1861875</v>
      </c>
      <c r="G104" s="179">
        <f t="shared" si="16"/>
        <v>-3.7169539383982188E-3</v>
      </c>
      <c r="H104" s="195">
        <v>16161239.77</v>
      </c>
      <c r="I104" s="179">
        <f t="shared" si="16"/>
        <v>8.7109722619894778E-3</v>
      </c>
      <c r="J104" s="195">
        <v>16021675.4</v>
      </c>
      <c r="K104" s="179">
        <f t="shared" si="16"/>
        <v>1.6549515220289284E-2</v>
      </c>
      <c r="L104" s="195">
        <v>15760841.119999999</v>
      </c>
      <c r="M104" s="179">
        <f t="shared" si="16"/>
        <v>0.35585115014418323</v>
      </c>
      <c r="N104" s="195">
        <v>11624315.189999999</v>
      </c>
      <c r="O104" s="179">
        <f t="shared" si="16"/>
        <v>8.6758968976810048E-3</v>
      </c>
      <c r="P104" s="195">
        <v>11524331.279999999</v>
      </c>
      <c r="Q104" s="181"/>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189">
        <f t="shared" si="17"/>
        <v>27</v>
      </c>
      <c r="B105" s="167" t="s">
        <v>1552</v>
      </c>
      <c r="C105" s="167"/>
      <c r="D105" s="195">
        <f>(BS!AF206+BS!AF207)*1000</f>
        <v>4248290.9599999981</v>
      </c>
      <c r="E105" s="179">
        <f t="shared" si="16"/>
        <v>-2.1922287889045123E-16</v>
      </c>
      <c r="F105" s="195">
        <f>(BS!N206+BS!N207)*1000</f>
        <v>4248290.959999999</v>
      </c>
      <c r="G105" s="179">
        <f t="shared" si="16"/>
        <v>2.3628412173349073E-2</v>
      </c>
      <c r="H105" s="195">
        <v>4150227.6700000009</v>
      </c>
      <c r="I105" s="179">
        <f t="shared" si="16"/>
        <v>-6.2560195862942383E-2</v>
      </c>
      <c r="J105" s="195">
        <v>4427193.7800000012</v>
      </c>
      <c r="K105" s="179">
        <f t="shared" si="16"/>
        <v>0.10976360573170063</v>
      </c>
      <c r="L105" s="195">
        <v>3989312.4600000004</v>
      </c>
      <c r="M105" s="179">
        <f t="shared" si="16"/>
        <v>-0.23627862720017798</v>
      </c>
      <c r="N105" s="195">
        <v>5223518.16</v>
      </c>
      <c r="O105" s="179">
        <f t="shared" si="16"/>
        <v>0.1369851611251473</v>
      </c>
      <c r="P105" s="195">
        <v>4594183.2300000004</v>
      </c>
      <c r="Q105" s="181"/>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189">
        <f t="shared" si="17"/>
        <v>28</v>
      </c>
      <c r="B106" s="167" t="s">
        <v>1553</v>
      </c>
      <c r="C106" s="167"/>
      <c r="D106" s="195">
        <f>(BS!AF203+BS!AF208+BS!AF209+BS!AF210+BS!AF211+BS!AF212+BS!AF213)*1000</f>
        <v>24943027.112816028</v>
      </c>
      <c r="E106" s="179">
        <f t="shared" si="16"/>
        <v>0.25741558493946454</v>
      </c>
      <c r="F106" s="195">
        <f>(BS!N203+BS!N208+BS!N209+BS!N210+BS!N211+BS!N212+BS!N213)*1000</f>
        <v>19836740.860832304</v>
      </c>
      <c r="G106" s="179">
        <f t="shared" si="16"/>
        <v>6.4732991799844236E-2</v>
      </c>
      <c r="H106" s="195">
        <v>18630718.699999999</v>
      </c>
      <c r="I106" s="179">
        <f t="shared" si="16"/>
        <v>3.4030626568105495E-2</v>
      </c>
      <c r="J106" s="195">
        <v>18017569.52</v>
      </c>
      <c r="K106" s="179">
        <f t="shared" si="16"/>
        <v>-5.7057636984188684E-2</v>
      </c>
      <c r="L106" s="195">
        <v>19107816.369999997</v>
      </c>
      <c r="M106" s="179">
        <f t="shared" si="16"/>
        <v>-0.6421325271958791</v>
      </c>
      <c r="N106" s="195">
        <v>53393554.379999995</v>
      </c>
      <c r="O106" s="179">
        <f t="shared" si="16"/>
        <v>2.1722481716382309</v>
      </c>
      <c r="P106" s="195">
        <v>16831455.640000001</v>
      </c>
      <c r="Q106" s="181"/>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189">
        <f t="shared" si="17"/>
        <v>29</v>
      </c>
      <c r="B107" s="167" t="s">
        <v>1449</v>
      </c>
      <c r="C107" s="167"/>
      <c r="D107" s="200">
        <f>SUM(D98:D106)</f>
        <v>363781478.26715755</v>
      </c>
      <c r="E107" s="179">
        <f t="shared" si="16"/>
        <v>-0.32725726471263528</v>
      </c>
      <c r="F107" s="200">
        <f>SUM(F98:F106)</f>
        <v>540743822.54275382</v>
      </c>
      <c r="G107" s="179">
        <f t="shared" si="16"/>
        <v>0.5636429902572434</v>
      </c>
      <c r="H107" s="200">
        <f>SUM(H98:H106)</f>
        <v>345823072.08999997</v>
      </c>
      <c r="I107" s="179">
        <f t="shared" si="16"/>
        <v>0.2561288894361608</v>
      </c>
      <c r="J107" s="200">
        <f>SUM(J98:J106)</f>
        <v>275308588.94999999</v>
      </c>
      <c r="K107" s="179">
        <f t="shared" si="16"/>
        <v>-2.0513008658914752E-2</v>
      </c>
      <c r="L107" s="200">
        <f>SUM(L98:L106)</f>
        <v>281074267.84000003</v>
      </c>
      <c r="M107" s="179">
        <f t="shared" si="16"/>
        <v>-0.48586722443534269</v>
      </c>
      <c r="N107" s="200">
        <f>SUM(N98:N106)</f>
        <v>546695875.46000004</v>
      </c>
      <c r="O107" s="179">
        <f t="shared" si="16"/>
        <v>0.2450777510041362</v>
      </c>
      <c r="P107" s="200">
        <f>SUM(P98:P106)</f>
        <v>439085731.80999994</v>
      </c>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17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189">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189">
        <f>A109+1</f>
        <v>31</v>
      </c>
      <c r="B110" s="167" t="s">
        <v>1191</v>
      </c>
      <c r="C110" s="167"/>
      <c r="D110" s="204">
        <f>BS!AF241*1000</f>
        <v>980981.36999999965</v>
      </c>
      <c r="E110" s="179">
        <f t="shared" ref="E110:O117" si="18">(+D110-F110)/F110</f>
        <v>-3.5601691954741652E-16</v>
      </c>
      <c r="F110" s="204">
        <f>BS!N241*1000</f>
        <v>980981.37</v>
      </c>
      <c r="G110" s="179">
        <f t="shared" si="18"/>
        <v>0.16478998140955128</v>
      </c>
      <c r="H110" s="204">
        <v>842195.92</v>
      </c>
      <c r="I110" s="179">
        <f t="shared" si="18"/>
        <v>-0.44632966097967158</v>
      </c>
      <c r="J110" s="204">
        <v>1521114.39</v>
      </c>
      <c r="K110" s="179">
        <f t="shared" si="18"/>
        <v>-0.22734505680885256</v>
      </c>
      <c r="L110" s="204">
        <v>1968685.25</v>
      </c>
      <c r="M110" s="179">
        <f t="shared" si="18"/>
        <v>-0.11258336288556092</v>
      </c>
      <c r="N110" s="204">
        <v>2218445.2799999998</v>
      </c>
      <c r="O110" s="179">
        <f t="shared" si="18"/>
        <v>-0.23033642687551509</v>
      </c>
      <c r="P110" s="204">
        <v>2882357.12</v>
      </c>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189">
        <f t="shared" ref="A111:A117" si="19">A110+1</f>
        <v>32</v>
      </c>
      <c r="B111" s="167" t="s">
        <v>1554</v>
      </c>
      <c r="C111" s="167"/>
      <c r="D111" s="195">
        <f>BS!AF228*1000</f>
        <v>89931576.236666575</v>
      </c>
      <c r="E111" s="179">
        <f t="shared" si="18"/>
        <v>-1.8471890460679319E-2</v>
      </c>
      <c r="F111" s="195">
        <f>BS!N228*1000</f>
        <v>91624045.569999903</v>
      </c>
      <c r="G111" s="179">
        <f t="shared" si="18"/>
        <v>-2.3799905016303149E-2</v>
      </c>
      <c r="H111" s="195">
        <v>93857853.569999993</v>
      </c>
      <c r="I111" s="179">
        <f t="shared" si="18"/>
        <v>-2.0007363254209244E-2</v>
      </c>
      <c r="J111" s="195">
        <v>95774039.569999993</v>
      </c>
      <c r="K111" s="179">
        <f t="shared" si="18"/>
        <v>2.9618721434295996E-2</v>
      </c>
      <c r="L111" s="195">
        <v>93018937.569999993</v>
      </c>
      <c r="M111" s="179">
        <f t="shared" si="18"/>
        <v>-1.9461332248794164E-2</v>
      </c>
      <c r="N111" s="195">
        <v>94865139.569999993</v>
      </c>
      <c r="O111" s="179">
        <f t="shared" si="18"/>
        <v>-1.9343907860101064E-2</v>
      </c>
      <c r="P111" s="195">
        <v>96736399.569999993</v>
      </c>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189">
        <f t="shared" si="19"/>
        <v>33</v>
      </c>
      <c r="B112" s="167" t="s">
        <v>1555</v>
      </c>
      <c r="C112" s="167"/>
      <c r="D112" s="195">
        <f>BS!AF253*1000</f>
        <v>1739959.09</v>
      </c>
      <c r="E112" s="179">
        <f t="shared" si="18"/>
        <v>0</v>
      </c>
      <c r="F112" s="195">
        <f>BS!N253*1000</f>
        <v>1739959.09</v>
      </c>
      <c r="G112" s="179">
        <f t="shared" si="18"/>
        <v>0.25906866613980417</v>
      </c>
      <c r="H112" s="195">
        <v>1381941.38</v>
      </c>
      <c r="I112" s="179">
        <f t="shared" si="18"/>
        <v>-0.10427393082148953</v>
      </c>
      <c r="J112" s="195">
        <v>1542816.97</v>
      </c>
      <c r="K112" s="179">
        <f t="shared" si="18"/>
        <v>-0.82225466250166501</v>
      </c>
      <c r="L112" s="195">
        <v>8679929.3399999999</v>
      </c>
      <c r="M112" s="179">
        <f t="shared" si="18"/>
        <v>-0.77451802752254273</v>
      </c>
      <c r="N112" s="195">
        <v>38495003.590000004</v>
      </c>
      <c r="O112" s="179">
        <f t="shared" si="18"/>
        <v>0.11375633934418464</v>
      </c>
      <c r="P112" s="195">
        <v>34563218.390000001</v>
      </c>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189">
        <f t="shared" si="19"/>
        <v>34</v>
      </c>
      <c r="B113" s="167" t="s">
        <v>1556</v>
      </c>
      <c r="C113" s="167"/>
      <c r="D113" s="195">
        <f>BS!AF236*1000</f>
        <v>730348858.57153869</v>
      </c>
      <c r="E113" s="179">
        <f t="shared" si="18"/>
        <v>-4.2796377084591039E-2</v>
      </c>
      <c r="F113" s="195">
        <f>BS!N236*1000</f>
        <v>763002605.806144</v>
      </c>
      <c r="G113" s="179">
        <f t="shared" si="18"/>
        <v>2.511421154383112E-2</v>
      </c>
      <c r="H113" s="195">
        <v>744309850.75999999</v>
      </c>
      <c r="I113" s="179">
        <f t="shared" si="18"/>
        <v>4.1260355545416587</v>
      </c>
      <c r="J113" s="195">
        <v>145201850.99000001</v>
      </c>
      <c r="K113" s="179">
        <f t="shared" si="18"/>
        <v>-5.3386775151581974E-2</v>
      </c>
      <c r="L113" s="195">
        <v>153390896.28</v>
      </c>
      <c r="M113" s="179">
        <f t="shared" si="18"/>
        <v>0.12705487359787984</v>
      </c>
      <c r="N113" s="195">
        <v>136098871.38</v>
      </c>
      <c r="O113" s="179">
        <f t="shared" si="18"/>
        <v>-9.5347009410507222E-2</v>
      </c>
      <c r="P113" s="195">
        <v>150443178.53999999</v>
      </c>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189">
        <f t="shared" si="19"/>
        <v>35</v>
      </c>
      <c r="B114" s="167" t="s">
        <v>1557</v>
      </c>
      <c r="C114" s="167"/>
      <c r="D114" s="195">
        <f>BS!AF246*1000</f>
        <v>165695113.09615386</v>
      </c>
      <c r="E114" s="179">
        <f t="shared" si="18"/>
        <v>-0.15540085766817827</v>
      </c>
      <c r="F114" s="195">
        <f>BS!N246*1000</f>
        <v>196181957.56</v>
      </c>
      <c r="G114" s="179">
        <f t="shared" si="18"/>
        <v>-0.1649292734057711</v>
      </c>
      <c r="H114" s="195">
        <v>234928553.13</v>
      </c>
      <c r="I114" s="179">
        <f t="shared" si="18"/>
        <v>-0.18618113143573209</v>
      </c>
      <c r="J114" s="195">
        <v>288674251.98000002</v>
      </c>
      <c r="K114" s="179">
        <f t="shared" si="18"/>
        <v>-0.2028731368117315</v>
      </c>
      <c r="L114" s="195">
        <v>362143424.48000002</v>
      </c>
      <c r="M114" s="179">
        <f t="shared" si="18"/>
        <v>0.71658912883492887</v>
      </c>
      <c r="N114" s="195">
        <v>210966863.53</v>
      </c>
      <c r="O114" s="179">
        <f t="shared" si="18"/>
        <v>0.17950253961158044</v>
      </c>
      <c r="P114" s="195">
        <v>178860881.13</v>
      </c>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189">
        <f t="shared" si="19"/>
        <v>36</v>
      </c>
      <c r="B115" s="167" t="s">
        <v>1558</v>
      </c>
      <c r="C115" s="167"/>
      <c r="D115" s="201">
        <f>BS!AF258*1000</f>
        <v>18947980.463076863</v>
      </c>
      <c r="E115" s="179">
        <v>1</v>
      </c>
      <c r="F115" s="201">
        <f>BS!N258*1000</f>
        <v>0</v>
      </c>
      <c r="G115" s="179">
        <v>0</v>
      </c>
      <c r="H115" s="201">
        <v>0</v>
      </c>
      <c r="I115" s="179">
        <v>0</v>
      </c>
      <c r="J115" s="201">
        <v>0</v>
      </c>
      <c r="K115" s="179">
        <v>0</v>
      </c>
      <c r="L115" s="201">
        <v>0</v>
      </c>
      <c r="M115" s="179">
        <v>0</v>
      </c>
      <c r="N115" s="201">
        <v>0</v>
      </c>
      <c r="O115" s="179">
        <v>0</v>
      </c>
      <c r="P115" s="201">
        <v>0</v>
      </c>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189">
        <f t="shared" si="19"/>
        <v>37</v>
      </c>
      <c r="B116" s="167" t="s">
        <v>1531</v>
      </c>
      <c r="C116" s="167"/>
      <c r="D116" s="195">
        <f>BS!AF223*1000</f>
        <v>1140226069.6956367</v>
      </c>
      <c r="E116" s="179">
        <f t="shared" si="18"/>
        <v>4.4825246878140108E-2</v>
      </c>
      <c r="F116" s="195">
        <f>BS!N223*1000</f>
        <v>1091307922.64309</v>
      </c>
      <c r="G116" s="179">
        <f t="shared" si="18"/>
        <v>3.5728826271707953E-2</v>
      </c>
      <c r="H116" s="195">
        <v>1053661822.4400001</v>
      </c>
      <c r="I116" s="179">
        <f t="shared" si="18"/>
        <v>-0.29265536189869973</v>
      </c>
      <c r="J116" s="195">
        <v>1489601766.5</v>
      </c>
      <c r="K116" s="179">
        <f t="shared" si="18"/>
        <v>6.0496906358886257E-2</v>
      </c>
      <c r="L116" s="195">
        <v>1404626225.28</v>
      </c>
      <c r="M116" s="179">
        <f t="shared" si="18"/>
        <v>0.2719754416235462</v>
      </c>
      <c r="N116" s="195">
        <v>1104287220.74</v>
      </c>
      <c r="O116" s="179">
        <f t="shared" si="18"/>
        <v>0.2787761027472439</v>
      </c>
      <c r="P116" s="195">
        <v>863550091.65999997</v>
      </c>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189">
        <f t="shared" si="19"/>
        <v>38</v>
      </c>
      <c r="B117" s="167" t="s">
        <v>1451</v>
      </c>
      <c r="C117" s="167"/>
      <c r="D117" s="200">
        <f>SUM(D110:D116)</f>
        <v>2147870538.5230727</v>
      </c>
      <c r="E117" s="179">
        <f t="shared" si="18"/>
        <v>1.4141241578342375E-3</v>
      </c>
      <c r="F117" s="200">
        <f>SUM(F110:F116)</f>
        <v>2144837472.0392339</v>
      </c>
      <c r="G117" s="179">
        <f t="shared" si="18"/>
        <v>7.4473401943612417E-3</v>
      </c>
      <c r="H117" s="200">
        <f>SUM(H110:H116)</f>
        <v>2128982217.2</v>
      </c>
      <c r="I117" s="179">
        <f t="shared" si="18"/>
        <v>5.274466760785599E-2</v>
      </c>
      <c r="J117" s="200">
        <f>SUM(J110:J116)</f>
        <v>2022315840.4000001</v>
      </c>
      <c r="K117" s="179">
        <f t="shared" si="18"/>
        <v>-7.472264078875868E-4</v>
      </c>
      <c r="L117" s="200">
        <f>SUM(L110:L116)</f>
        <v>2023828098.2</v>
      </c>
      <c r="M117" s="179">
        <f t="shared" si="18"/>
        <v>0.27530901111461054</v>
      </c>
      <c r="N117" s="200">
        <f>SUM(N110:N116)</f>
        <v>1586931544.0900002</v>
      </c>
      <c r="O117" s="179">
        <f t="shared" si="18"/>
        <v>0.19584652784328441</v>
      </c>
      <c r="P117" s="200">
        <f>SUM(P110:P116)</f>
        <v>1327036126.4099998</v>
      </c>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189"/>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189">
        <f>A117+1</f>
        <v>39</v>
      </c>
      <c r="B119" s="167" t="s">
        <v>1559</v>
      </c>
      <c r="C119" s="167"/>
      <c r="D119" s="203">
        <f>D84+D90+D95+D107+D117</f>
        <v>8153645756.8110085</v>
      </c>
      <c r="E119" s="179">
        <f t="shared" ref="E119:O119" si="20">(+D119-F119)/F119</f>
        <v>2.6350174146987836E-2</v>
      </c>
      <c r="F119" s="203">
        <f>F84+F90+F95+F107+F117</f>
        <v>7944311758.4966583</v>
      </c>
      <c r="G119" s="179">
        <f t="shared" si="20"/>
        <v>3.9189761278529252E-2</v>
      </c>
      <c r="H119" s="203">
        <f>H84+H90+H95+H107+H117</f>
        <v>7644717119.54</v>
      </c>
      <c r="I119" s="179">
        <f t="shared" si="20"/>
        <v>2.4022151314086481E-2</v>
      </c>
      <c r="J119" s="203">
        <f>J84+J90+J95+J107+J117</f>
        <v>7465382569.8299999</v>
      </c>
      <c r="K119" s="179">
        <f t="shared" si="20"/>
        <v>5.9222445755352359E-3</v>
      </c>
      <c r="L119" s="203">
        <f>L84+L90+L95+L107+L117</f>
        <v>7421431040.1099997</v>
      </c>
      <c r="M119" s="179">
        <f t="shared" si="20"/>
        <v>6.8833974799981407E-2</v>
      </c>
      <c r="N119" s="203">
        <f>N84+N90+N95+N107+N117</f>
        <v>6943483473.6599998</v>
      </c>
      <c r="O119" s="179">
        <f t="shared" si="20"/>
        <v>9.2457650463889374E-2</v>
      </c>
      <c r="P119" s="203">
        <f>P84+P90+P95+P107+P117</f>
        <v>6355837657.1499996</v>
      </c>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17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c r="A121" s="174"/>
      <c r="B121" s="167"/>
      <c r="C121" s="167"/>
      <c r="D121" s="167">
        <f>D59-D119</f>
        <v>-5.931854248046875E-4</v>
      </c>
      <c r="E121" s="167"/>
      <c r="F121" s="167">
        <f>F59-F119</f>
        <v>-5.3691864013671875E-4</v>
      </c>
      <c r="G121" s="167"/>
      <c r="H121" s="167">
        <f>H59-H119</f>
        <v>0</v>
      </c>
      <c r="I121" s="167"/>
      <c r="J121" s="167">
        <f>J59-J119</f>
        <v>0</v>
      </c>
      <c r="K121" s="167"/>
      <c r="L121" s="167">
        <f>L59-L119</f>
        <v>0</v>
      </c>
      <c r="M121" s="167"/>
      <c r="N121" s="167">
        <f>N59-N119</f>
        <v>0</v>
      </c>
      <c r="O121" s="167"/>
      <c r="P121" s="167">
        <f>P59-P119</f>
        <v>0</v>
      </c>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c r="A122" s="17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17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17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17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17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17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7"/>
      <c r="B189" s="777"/>
      <c r="C189" s="777"/>
      <c r="D189" s="777"/>
      <c r="E189" s="777"/>
      <c r="F189" s="777"/>
      <c r="G189" s="777"/>
      <c r="H189" s="777"/>
      <c r="I189" s="777"/>
      <c r="J189" s="777"/>
      <c r="K189" s="777"/>
      <c r="L189" s="777"/>
      <c r="M189" s="777"/>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A189:M189"/>
    <mergeCell ref="B14:C14"/>
    <mergeCell ref="B75:C75"/>
  </mergeCells>
  <printOptions horizontalCentered="1"/>
  <pageMargins left="0.25" right="0.25" top="1" bottom="0.75" header="0.5" footer="0.5"/>
  <pageSetup scale="48" orientation="landscape" r:id="rId1"/>
  <headerFooter alignWithMargins="0"/>
  <rowBreaks count="1" manualBreakCount="1">
    <brk id="61"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8"/>
  <sheetViews>
    <sheetView zoomScale="85" zoomScaleNormal="85" workbookViewId="0">
      <selection activeCell="C47" sqref="C47"/>
    </sheetView>
  </sheetViews>
  <sheetFormatPr defaultColWidth="9" defaultRowHeight="12.75"/>
  <cols>
    <col min="1" max="1" width="34.21875" style="463" bestFit="1" customWidth="1"/>
    <col min="2" max="2" width="1.44140625" style="463" customWidth="1"/>
    <col min="3" max="3" width="50.21875" style="463" bestFit="1" customWidth="1"/>
    <col min="4" max="16384" width="9" style="65"/>
  </cols>
  <sheetData>
    <row r="1" spans="1:3" ht="15.75">
      <c r="A1" s="764" t="s">
        <v>0</v>
      </c>
      <c r="B1" s="764"/>
      <c r="C1" s="764"/>
    </row>
    <row r="2" spans="1:3" ht="15.75">
      <c r="A2" s="764" t="s">
        <v>120</v>
      </c>
      <c r="B2" s="764"/>
      <c r="C2" s="764"/>
    </row>
    <row r="3" spans="1:3" ht="15.75">
      <c r="A3" s="764" t="s">
        <v>2469</v>
      </c>
      <c r="B3" s="764"/>
      <c r="C3" s="764"/>
    </row>
    <row r="8" spans="1:3">
      <c r="A8" s="464" t="s">
        <v>121</v>
      </c>
    </row>
    <row r="9" spans="1:3">
      <c r="A9" s="463" t="s">
        <v>122</v>
      </c>
      <c r="C9" s="465" t="s">
        <v>0</v>
      </c>
    </row>
    <row r="10" spans="1:3">
      <c r="A10" s="463" t="s">
        <v>123</v>
      </c>
      <c r="C10" s="465" t="s">
        <v>2664</v>
      </c>
    </row>
    <row r="11" spans="1:3">
      <c r="A11" s="463" t="s">
        <v>124</v>
      </c>
      <c r="C11" s="465" t="s">
        <v>2457</v>
      </c>
    </row>
    <row r="12" spans="1:3">
      <c r="C12" s="465" t="s">
        <v>2458</v>
      </c>
    </row>
    <row r="13" spans="1:3">
      <c r="C13" s="465" t="s">
        <v>2459</v>
      </c>
    </row>
    <row r="14" spans="1:3">
      <c r="C14" s="465" t="s">
        <v>2460</v>
      </c>
    </row>
    <row r="15" spans="1:3">
      <c r="C15" s="465" t="s">
        <v>2461</v>
      </c>
    </row>
    <row r="16" spans="1:3">
      <c r="C16" s="465" t="s">
        <v>2462</v>
      </c>
    </row>
    <row r="17" spans="1:3">
      <c r="A17" s="463" t="s">
        <v>125</v>
      </c>
      <c r="C17" s="499" t="s">
        <v>2463</v>
      </c>
    </row>
    <row r="18" spans="1:3">
      <c r="C18" s="465" t="s">
        <v>2464</v>
      </c>
    </row>
    <row r="19" spans="1:3">
      <c r="C19" s="465" t="s">
        <v>2465</v>
      </c>
    </row>
    <row r="20" spans="1:3">
      <c r="C20" s="465" t="s">
        <v>2466</v>
      </c>
    </row>
    <row r="21" spans="1:3">
      <c r="C21" s="465" t="s">
        <v>2467</v>
      </c>
    </row>
    <row r="22" spans="1:3">
      <c r="C22" s="465" t="s">
        <v>2468</v>
      </c>
    </row>
    <row r="24" spans="1:3">
      <c r="C24" s="466"/>
    </row>
    <row r="25" spans="1:3">
      <c r="C25" s="466"/>
    </row>
    <row r="26" spans="1:3">
      <c r="C26" s="466"/>
    </row>
    <row r="28" spans="1:3">
      <c r="A28" s="464" t="s">
        <v>126</v>
      </c>
      <c r="C28" s="467"/>
    </row>
    <row r="29" spans="1:3">
      <c r="A29" s="463" t="s">
        <v>127</v>
      </c>
      <c r="C29" s="463" t="s">
        <v>165</v>
      </c>
    </row>
    <row r="30" spans="1:3">
      <c r="A30" s="463" t="s">
        <v>128</v>
      </c>
      <c r="C30" s="463" t="s">
        <v>166</v>
      </c>
    </row>
    <row r="31" spans="1:3">
      <c r="A31" s="463" t="s">
        <v>129</v>
      </c>
      <c r="C31" s="463" t="s">
        <v>167</v>
      </c>
    </row>
    <row r="35" spans="1:4">
      <c r="A35" s="464" t="s">
        <v>130</v>
      </c>
    </row>
    <row r="36" spans="1:4">
      <c r="A36" s="463" t="s">
        <v>2230</v>
      </c>
      <c r="C36" s="463" t="str">
        <f>CONCATENATE($A$35,"   ", A36)</f>
        <v>WITNESS:   C. M. GARRETT</v>
      </c>
    </row>
    <row r="37" spans="1:4">
      <c r="A37" s="463" t="s">
        <v>2230</v>
      </c>
      <c r="C37" s="463" t="str">
        <f t="shared" ref="C37:C48" si="0">CONCATENATE($A$35,"   ", A37)</f>
        <v>WITNESS:   C. M. GARRETT</v>
      </c>
      <c r="D37" s="65" t="s">
        <v>1840</v>
      </c>
    </row>
    <row r="38" spans="1:4">
      <c r="A38" s="463" t="s">
        <v>2230</v>
      </c>
      <c r="C38" s="463" t="str">
        <f t="shared" si="0"/>
        <v>WITNESS:   C. M. GARRETT</v>
      </c>
      <c r="D38" s="65" t="s">
        <v>2456</v>
      </c>
    </row>
    <row r="39" spans="1:4">
      <c r="C39" s="463" t="str">
        <f t="shared" si="0"/>
        <v xml:space="preserve">WITNESS:   </v>
      </c>
    </row>
    <row r="40" spans="1:4">
      <c r="C40" s="463" t="str">
        <f t="shared" si="0"/>
        <v xml:space="preserve">WITNESS:   </v>
      </c>
    </row>
    <row r="41" spans="1:4">
      <c r="C41" s="463" t="str">
        <f t="shared" si="0"/>
        <v xml:space="preserve">WITNESS:   </v>
      </c>
    </row>
    <row r="42" spans="1:4">
      <c r="C42" s="463" t="str">
        <f t="shared" si="0"/>
        <v xml:space="preserve">WITNESS:   </v>
      </c>
    </row>
    <row r="43" spans="1:4">
      <c r="C43" s="463" t="str">
        <f t="shared" si="0"/>
        <v xml:space="preserve">WITNESS:   </v>
      </c>
    </row>
    <row r="44" spans="1:4">
      <c r="C44" s="463" t="str">
        <f t="shared" si="0"/>
        <v xml:space="preserve">WITNESS:   </v>
      </c>
    </row>
    <row r="45" spans="1:4">
      <c r="C45" s="463" t="str">
        <f t="shared" si="0"/>
        <v xml:space="preserve">WITNESS:   </v>
      </c>
    </row>
    <row r="46" spans="1:4">
      <c r="C46" s="463" t="str">
        <f t="shared" si="0"/>
        <v xml:space="preserve">WITNESS:   </v>
      </c>
    </row>
    <row r="47" spans="1:4">
      <c r="C47" s="463" t="str">
        <f t="shared" si="0"/>
        <v xml:space="preserve">WITNESS:   </v>
      </c>
    </row>
    <row r="48" spans="1:4">
      <c r="C48" s="463" t="str">
        <f t="shared" si="0"/>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92"/>
  <sheetViews>
    <sheetView showRuler="0" zoomScale="70" zoomScaleNormal="70" workbookViewId="0"/>
  </sheetViews>
  <sheetFormatPr defaultColWidth="9" defaultRowHeight="12.75"/>
  <cols>
    <col min="1" max="1" width="5.33203125" style="167" customWidth="1"/>
    <col min="2" max="2" width="17.44140625" style="167" customWidth="1"/>
    <col min="3" max="3" width="24.77734375" style="167" customWidth="1"/>
    <col min="4" max="4" width="16.21875" style="167" customWidth="1"/>
    <col min="5" max="5" width="11.6640625" style="167" customWidth="1"/>
    <col min="6" max="6" width="14.7773437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8" width="13.33203125" style="167" customWidth="1"/>
    <col min="19" max="19" width="13.44140625" style="167" customWidth="1"/>
    <col min="20" max="20" width="13" style="167" customWidth="1"/>
    <col min="21" max="21" width="12.33203125" style="167" customWidth="1"/>
    <col min="22" max="22" width="11.88671875" style="167" customWidth="1"/>
    <col min="23" max="23" width="12.44140625" style="167" customWidth="1"/>
    <col min="24" max="24" width="11.88671875" style="167"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2097</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__X__ ORIGINAL  _____ UPDATED  _____ REVISED</v>
      </c>
      <c r="B7" s="167"/>
      <c r="C7" s="167"/>
      <c r="D7" s="167"/>
      <c r="E7" s="167"/>
      <c r="F7" s="167"/>
      <c r="G7" s="167"/>
      <c r="H7" s="167"/>
      <c r="I7" s="167"/>
      <c r="J7" s="167"/>
      <c r="K7" s="167"/>
      <c r="L7" s="167"/>
      <c r="M7" s="167"/>
      <c r="N7" s="167"/>
      <c r="O7" s="167"/>
      <c r="P7" s="169" t="s">
        <v>2065</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364" t="s">
        <v>1466</v>
      </c>
      <c r="B11" s="167"/>
      <c r="C11" s="167"/>
      <c r="D11" s="644" t="s">
        <v>1462</v>
      </c>
      <c r="E11" s="167"/>
      <c r="F11" s="64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364" t="s">
        <v>1467</v>
      </c>
      <c r="B12" s="364" t="s">
        <v>205</v>
      </c>
      <c r="C12" s="167"/>
      <c r="D12" s="644" t="s">
        <v>1463</v>
      </c>
      <c r="E12" s="644" t="s">
        <v>1464</v>
      </c>
      <c r="F12" s="644" t="s">
        <v>1463</v>
      </c>
      <c r="G12" s="364" t="s">
        <v>1464</v>
      </c>
      <c r="H12" s="175">
        <v>2017</v>
      </c>
      <c r="I12" s="364" t="s">
        <v>1464</v>
      </c>
      <c r="J12" s="175">
        <v>2016</v>
      </c>
      <c r="K12" s="364" t="s">
        <v>1464</v>
      </c>
      <c r="L12" s="175">
        <v>2015</v>
      </c>
      <c r="M12" s="364" t="s">
        <v>1464</v>
      </c>
      <c r="N12" s="175">
        <v>2014</v>
      </c>
      <c r="O12" s="36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364">
        <v>1</v>
      </c>
      <c r="B14" s="778" t="s">
        <v>1499</v>
      </c>
      <c r="C14" s="778"/>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364"/>
      <c r="B15" s="365"/>
      <c r="C15" s="365"/>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364">
        <f>A14+1</f>
        <v>2</v>
      </c>
      <c r="B16" s="178" t="s">
        <v>1443</v>
      </c>
      <c r="C16" s="167"/>
      <c r="D16" s="191"/>
      <c r="E16" s="192"/>
      <c r="F16" s="191"/>
      <c r="G16" s="192"/>
      <c r="H16" s="191"/>
      <c r="I16" s="192"/>
      <c r="J16" s="191"/>
      <c r="K16" s="192"/>
      <c r="L16" s="191"/>
      <c r="M16" s="192"/>
      <c r="N16" s="191"/>
      <c r="O16" s="192"/>
      <c r="P16" s="191"/>
      <c r="Q16" s="180"/>
      <c r="R16" s="167" t="s">
        <v>1462</v>
      </c>
      <c r="S16" s="167" t="s">
        <v>1465</v>
      </c>
      <c r="T16" s="468" t="s">
        <v>2673</v>
      </c>
      <c r="U16" s="468" t="s">
        <v>2672</v>
      </c>
      <c r="V16" s="468" t="s">
        <v>2261</v>
      </c>
      <c r="W16" s="468" t="s">
        <v>2262</v>
      </c>
      <c r="X16" s="167" t="s">
        <v>2099</v>
      </c>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364">
        <f t="shared" ref="A17:A21" si="0">A16+1</f>
        <v>3</v>
      </c>
      <c r="B17" s="167" t="s">
        <v>1458</v>
      </c>
      <c r="C17" s="167"/>
      <c r="D17" s="204">
        <f>R17</f>
        <v>9425469471</v>
      </c>
      <c r="E17" s="179">
        <f t="shared" ref="E17:O21" si="1">(+D17-F17)/F17</f>
        <v>8.2231160780801033E-2</v>
      </c>
      <c r="F17" s="204">
        <f>S17</f>
        <v>8709294107</v>
      </c>
      <c r="G17" s="179">
        <f t="shared" si="1"/>
        <v>5.6971060895551234E-2</v>
      </c>
      <c r="H17" s="204">
        <f>T17</f>
        <v>8239860512</v>
      </c>
      <c r="I17" s="179">
        <f t="shared" si="1"/>
        <v>2.148132107415112E-2</v>
      </c>
      <c r="J17" s="204">
        <f>U17</f>
        <v>8066579723</v>
      </c>
      <c r="K17" s="179">
        <f t="shared" si="1"/>
        <v>3.2891312237256887E-2</v>
      </c>
      <c r="L17" s="204">
        <f>V17</f>
        <v>7809708173</v>
      </c>
      <c r="M17" s="179">
        <f t="shared" si="1"/>
        <v>0.13065338915573552</v>
      </c>
      <c r="N17" s="204">
        <f>W17</f>
        <v>6907252256</v>
      </c>
      <c r="O17" s="179">
        <f t="shared" si="1"/>
        <v>0.13059533342384314</v>
      </c>
      <c r="P17" s="204">
        <f>X17</f>
        <v>6109393920</v>
      </c>
      <c r="Q17" s="181"/>
      <c r="R17" s="167">
        <v>9425469471</v>
      </c>
      <c r="S17" s="167">
        <v>8709294107</v>
      </c>
      <c r="T17" s="167">
        <v>8239860512</v>
      </c>
      <c r="U17" s="167">
        <v>8066579723</v>
      </c>
      <c r="V17" s="167">
        <v>7809708173</v>
      </c>
      <c r="W17" s="167">
        <v>6907252256</v>
      </c>
      <c r="X17" s="167">
        <v>6109393920</v>
      </c>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364">
        <f t="shared" si="0"/>
        <v>4</v>
      </c>
      <c r="B18" s="167" t="s">
        <v>1182</v>
      </c>
      <c r="C18" s="167"/>
      <c r="D18" s="205">
        <f>R18</f>
        <v>222778375</v>
      </c>
      <c r="E18" s="179">
        <f t="shared" si="1"/>
        <v>-0.21493498519716309</v>
      </c>
      <c r="F18" s="205">
        <f>S18</f>
        <v>283770606</v>
      </c>
      <c r="G18" s="179">
        <f t="shared" si="1"/>
        <v>-2.4735821665464123E-2</v>
      </c>
      <c r="H18" s="205">
        <f>T18</f>
        <v>290967937</v>
      </c>
      <c r="I18" s="179">
        <f t="shared" si="1"/>
        <v>0.81296843956406573</v>
      </c>
      <c r="J18" s="205">
        <f>U18</f>
        <v>160492555</v>
      </c>
      <c r="K18" s="179">
        <f t="shared" si="1"/>
        <v>-0.32982766276372483</v>
      </c>
      <c r="L18" s="205">
        <f>V18</f>
        <v>239479528</v>
      </c>
      <c r="M18" s="179">
        <f t="shared" si="1"/>
        <v>-0.69052900334414513</v>
      </c>
      <c r="N18" s="205">
        <f>W18</f>
        <v>773835127</v>
      </c>
      <c r="O18" s="179">
        <f t="shared" si="1"/>
        <v>-0.22110358148449008</v>
      </c>
      <c r="P18" s="205">
        <f>X18</f>
        <v>993501971</v>
      </c>
      <c r="Q18" s="181"/>
      <c r="R18" s="167">
        <v>222778375</v>
      </c>
      <c r="S18" s="167">
        <v>283770606</v>
      </c>
      <c r="T18" s="167">
        <v>290967937</v>
      </c>
      <c r="U18" s="167">
        <v>160492555</v>
      </c>
      <c r="V18" s="167">
        <v>239479528</v>
      </c>
      <c r="W18" s="167">
        <v>773835127</v>
      </c>
      <c r="X18" s="167">
        <v>993501971</v>
      </c>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364">
        <f t="shared" si="0"/>
        <v>5</v>
      </c>
      <c r="B19" s="167" t="s">
        <v>1500</v>
      </c>
      <c r="C19" s="167"/>
      <c r="D19" s="196">
        <f>D17+D18</f>
        <v>9648247846</v>
      </c>
      <c r="E19" s="179">
        <f t="shared" si="1"/>
        <v>7.2854266471906348E-2</v>
      </c>
      <c r="F19" s="196">
        <f>F17+F18</f>
        <v>8993064713</v>
      </c>
      <c r="G19" s="179">
        <f t="shared" si="1"/>
        <v>5.4184217484080838E-2</v>
      </c>
      <c r="H19" s="196">
        <f>H17+H18</f>
        <v>8530828449</v>
      </c>
      <c r="I19" s="179">
        <f t="shared" si="1"/>
        <v>3.6921539125440023E-2</v>
      </c>
      <c r="J19" s="196">
        <f>J17+J18</f>
        <v>8227072278</v>
      </c>
      <c r="K19" s="179">
        <f t="shared" si="1"/>
        <v>2.20996929886354E-2</v>
      </c>
      <c r="L19" s="196">
        <f>L17+L18</f>
        <v>8049187701</v>
      </c>
      <c r="M19" s="179">
        <f t="shared" si="1"/>
        <v>4.7922943672622453E-2</v>
      </c>
      <c r="N19" s="196">
        <f>N17+N18</f>
        <v>7681087383</v>
      </c>
      <c r="O19" s="179">
        <f t="shared" si="1"/>
        <v>8.1402219724580227E-2</v>
      </c>
      <c r="P19" s="196">
        <f>P17+P18</f>
        <v>7102895891</v>
      </c>
      <c r="Q19" s="181"/>
      <c r="R19" s="167">
        <v>9648247846</v>
      </c>
      <c r="S19" s="167">
        <v>8993064713</v>
      </c>
      <c r="T19" s="167">
        <v>8530828449</v>
      </c>
      <c r="U19" s="167">
        <v>8227072278</v>
      </c>
      <c r="V19" s="167">
        <v>8049187701</v>
      </c>
      <c r="W19" s="167">
        <v>7681087383</v>
      </c>
      <c r="X19" s="167">
        <v>7102895891</v>
      </c>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364">
        <f t="shared" si="0"/>
        <v>6</v>
      </c>
      <c r="B20" s="167" t="s">
        <v>1501</v>
      </c>
      <c r="C20" s="167"/>
      <c r="D20" s="201">
        <f>R20</f>
        <v>3249389114</v>
      </c>
      <c r="E20" s="179">
        <f t="shared" si="1"/>
        <v>6.3640854731888297E-2</v>
      </c>
      <c r="F20" s="201">
        <f>S20</f>
        <v>3054968319</v>
      </c>
      <c r="G20" s="179">
        <f t="shared" si="1"/>
        <v>6.8223112227938518E-2</v>
      </c>
      <c r="H20" s="201">
        <f>T20</f>
        <v>2859859784</v>
      </c>
      <c r="I20" s="179">
        <f t="shared" si="1"/>
        <v>6.1085517941219351E-2</v>
      </c>
      <c r="J20" s="201">
        <f>U20</f>
        <v>2695220824</v>
      </c>
      <c r="K20" s="179">
        <f t="shared" si="1"/>
        <v>7.149242325442437E-2</v>
      </c>
      <c r="L20" s="201">
        <f>V20</f>
        <v>2515389531</v>
      </c>
      <c r="M20" s="179">
        <f t="shared" si="1"/>
        <v>1.7997400857353095E-2</v>
      </c>
      <c r="N20" s="201">
        <f>W20</f>
        <v>2470919404</v>
      </c>
      <c r="O20" s="179">
        <f t="shared" si="1"/>
        <v>7.2344495094606456E-2</v>
      </c>
      <c r="P20" s="201">
        <f>X20</f>
        <v>2304221652</v>
      </c>
      <c r="Q20" s="167"/>
      <c r="R20" s="167">
        <v>3249389114</v>
      </c>
      <c r="S20" s="167">
        <v>3054968319</v>
      </c>
      <c r="T20" s="167">
        <v>2859859784</v>
      </c>
      <c r="U20" s="167">
        <v>2695220824</v>
      </c>
      <c r="V20" s="167">
        <v>2515389531</v>
      </c>
      <c r="W20" s="167">
        <v>2470919404</v>
      </c>
      <c r="X20" s="167">
        <v>2304221652</v>
      </c>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364">
        <f t="shared" si="0"/>
        <v>7</v>
      </c>
      <c r="B21" s="167" t="s">
        <v>1502</v>
      </c>
      <c r="C21" s="167"/>
      <c r="D21" s="197">
        <f>D19-D20</f>
        <v>6398858732</v>
      </c>
      <c r="E21" s="179">
        <f t="shared" si="1"/>
        <v>7.7594283997404576E-2</v>
      </c>
      <c r="F21" s="197">
        <f>F19-F20</f>
        <v>5938096394</v>
      </c>
      <c r="G21" s="179">
        <f t="shared" si="1"/>
        <v>4.7104426911870445E-2</v>
      </c>
      <c r="H21" s="197">
        <f>H19-H20</f>
        <v>5670968665</v>
      </c>
      <c r="I21" s="179">
        <f t="shared" si="1"/>
        <v>2.514839961933656E-2</v>
      </c>
      <c r="J21" s="197">
        <f>J19-J20</f>
        <v>5531851454</v>
      </c>
      <c r="K21" s="179">
        <f t="shared" si="1"/>
        <v>-3.5178659217345473E-4</v>
      </c>
      <c r="L21" s="197">
        <f>L19-L20</f>
        <v>5533798170</v>
      </c>
      <c r="M21" s="179">
        <f t="shared" si="1"/>
        <v>6.2115116499970334E-2</v>
      </c>
      <c r="N21" s="197">
        <f>N19-N20</f>
        <v>5210167979</v>
      </c>
      <c r="O21" s="179">
        <f t="shared" si="1"/>
        <v>8.5751547095172589E-2</v>
      </c>
      <c r="P21" s="197">
        <f>P19-P20</f>
        <v>4798674239</v>
      </c>
      <c r="Q21" s="167"/>
      <c r="R21" s="167">
        <v>6398858732</v>
      </c>
      <c r="S21" s="167">
        <v>5938096394</v>
      </c>
      <c r="T21" s="167">
        <v>5670968665</v>
      </c>
      <c r="U21" s="167">
        <v>5531851454</v>
      </c>
      <c r="V21" s="167">
        <v>5533798170</v>
      </c>
      <c r="W21" s="167">
        <v>5210167979</v>
      </c>
      <c r="X21" s="167">
        <v>4798674239</v>
      </c>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364"/>
      <c r="B22" s="167"/>
      <c r="C22" s="167"/>
      <c r="D22" s="198"/>
      <c r="E22" s="194"/>
      <c r="F22" s="198"/>
      <c r="G22" s="194"/>
      <c r="H22" s="198"/>
      <c r="I22" s="194"/>
      <c r="J22" s="185"/>
      <c r="K22" s="194"/>
      <c r="L22" s="185"/>
      <c r="M22" s="194"/>
      <c r="N22" s="185"/>
      <c r="O22" s="194"/>
      <c r="P22" s="185"/>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364">
        <f>A21+1</f>
        <v>8</v>
      </c>
      <c r="B23" s="178" t="s">
        <v>1503</v>
      </c>
      <c r="C23" s="167"/>
      <c r="D23" s="199"/>
      <c r="E23" s="194"/>
      <c r="F23" s="199"/>
      <c r="G23" s="194"/>
      <c r="H23" s="199"/>
      <c r="I23" s="194"/>
      <c r="J23" s="193"/>
      <c r="K23" s="194"/>
      <c r="L23" s="193"/>
      <c r="M23" s="194"/>
      <c r="N23" s="193"/>
      <c r="O23" s="194"/>
      <c r="P23" s="193"/>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364">
        <f t="shared" ref="A24:A28" si="2">A23+1</f>
        <v>9</v>
      </c>
      <c r="B24" s="167" t="s">
        <v>1504</v>
      </c>
      <c r="C24" s="167"/>
      <c r="D24" s="204">
        <f>R24</f>
        <v>0</v>
      </c>
      <c r="E24" s="179">
        <v>0</v>
      </c>
      <c r="F24" s="204">
        <f>S24</f>
        <v>0</v>
      </c>
      <c r="G24" s="179">
        <v>0</v>
      </c>
      <c r="H24" s="204">
        <f t="shared" ref="H24:H27" si="3">T24</f>
        <v>0</v>
      </c>
      <c r="I24" s="179">
        <v>0</v>
      </c>
      <c r="J24" s="204">
        <f t="shared" ref="J24:J27" si="4">U24</f>
        <v>0</v>
      </c>
      <c r="K24" s="179">
        <v>0</v>
      </c>
      <c r="L24" s="204">
        <f t="shared" ref="L24:L27" si="5">V24</f>
        <v>0</v>
      </c>
      <c r="M24" s="179">
        <v>0</v>
      </c>
      <c r="N24" s="204">
        <f t="shared" ref="N24:N27" si="6">W24</f>
        <v>0</v>
      </c>
      <c r="O24" s="179">
        <v>0</v>
      </c>
      <c r="P24" s="204">
        <f t="shared" ref="P24:P27" si="7">X24</f>
        <v>0</v>
      </c>
      <c r="Q24" s="181"/>
      <c r="R24" s="167">
        <v>0</v>
      </c>
      <c r="S24" s="167">
        <v>0</v>
      </c>
      <c r="T24" s="167">
        <v>0</v>
      </c>
      <c r="U24" s="167">
        <v>0</v>
      </c>
      <c r="V24" s="167">
        <v>0</v>
      </c>
      <c r="W24" s="167">
        <v>0</v>
      </c>
      <c r="X24" s="167">
        <v>0</v>
      </c>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364">
        <f t="shared" si="2"/>
        <v>10</v>
      </c>
      <c r="B25" s="167" t="s">
        <v>1505</v>
      </c>
      <c r="C25" s="167"/>
      <c r="D25" s="201">
        <f>R25</f>
        <v>0</v>
      </c>
      <c r="E25" s="179">
        <v>0</v>
      </c>
      <c r="F25" s="201">
        <f>S25</f>
        <v>0</v>
      </c>
      <c r="G25" s="179">
        <v>0</v>
      </c>
      <c r="H25" s="201">
        <f t="shared" si="3"/>
        <v>0</v>
      </c>
      <c r="I25" s="179">
        <v>0</v>
      </c>
      <c r="J25" s="201">
        <f t="shared" si="4"/>
        <v>0</v>
      </c>
      <c r="K25" s="179">
        <v>0</v>
      </c>
      <c r="L25" s="201">
        <f t="shared" si="5"/>
        <v>0</v>
      </c>
      <c r="M25" s="179">
        <v>0</v>
      </c>
      <c r="N25" s="201">
        <f t="shared" si="6"/>
        <v>0</v>
      </c>
      <c r="O25" s="179">
        <v>0</v>
      </c>
      <c r="P25" s="201">
        <f t="shared" si="7"/>
        <v>0</v>
      </c>
      <c r="Q25" s="181"/>
      <c r="R25" s="167">
        <v>0</v>
      </c>
      <c r="S25" s="167">
        <v>0</v>
      </c>
      <c r="T25" s="167">
        <v>0</v>
      </c>
      <c r="U25" s="167">
        <v>0</v>
      </c>
      <c r="V25" s="167">
        <v>0</v>
      </c>
      <c r="W25" s="167">
        <v>0</v>
      </c>
      <c r="X25" s="167">
        <v>0</v>
      </c>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364">
        <f t="shared" si="2"/>
        <v>11</v>
      </c>
      <c r="B26" s="167" t="s">
        <v>1506</v>
      </c>
      <c r="C26" s="167"/>
      <c r="D26" s="201">
        <f>R26</f>
        <v>0</v>
      </c>
      <c r="E26" s="179">
        <v>0</v>
      </c>
      <c r="F26" s="201">
        <f>S26</f>
        <v>0</v>
      </c>
      <c r="G26" s="179">
        <v>0</v>
      </c>
      <c r="H26" s="201">
        <f t="shared" si="3"/>
        <v>0</v>
      </c>
      <c r="I26" s="179">
        <v>0</v>
      </c>
      <c r="J26" s="201">
        <f t="shared" si="4"/>
        <v>0</v>
      </c>
      <c r="K26" s="179">
        <v>0</v>
      </c>
      <c r="L26" s="201">
        <f t="shared" si="5"/>
        <v>0</v>
      </c>
      <c r="M26" s="179">
        <v>0</v>
      </c>
      <c r="N26" s="201">
        <f t="shared" si="6"/>
        <v>0</v>
      </c>
      <c r="O26" s="179">
        <v>0</v>
      </c>
      <c r="P26" s="201">
        <f t="shared" si="7"/>
        <v>0</v>
      </c>
      <c r="Q26" s="181"/>
      <c r="R26" s="167">
        <v>0</v>
      </c>
      <c r="S26" s="167">
        <v>0</v>
      </c>
      <c r="T26" s="167">
        <v>0</v>
      </c>
      <c r="U26" s="167">
        <v>0</v>
      </c>
      <c r="V26" s="167">
        <v>0</v>
      </c>
      <c r="W26" s="167">
        <v>0</v>
      </c>
      <c r="X26" s="167">
        <v>0</v>
      </c>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364">
        <f t="shared" si="2"/>
        <v>12</v>
      </c>
      <c r="B27" s="167" t="s">
        <v>1507</v>
      </c>
      <c r="C27" s="167"/>
      <c r="D27" s="205">
        <f>R27</f>
        <v>23148988</v>
      </c>
      <c r="E27" s="179">
        <f t="shared" ref="E27" si="8">(+D27-F27)/F27</f>
        <v>0.40328662275975802</v>
      </c>
      <c r="F27" s="205">
        <f>S27</f>
        <v>16496265</v>
      </c>
      <c r="G27" s="179">
        <v>1</v>
      </c>
      <c r="H27" s="205">
        <f t="shared" si="3"/>
        <v>0</v>
      </c>
      <c r="I27" s="179">
        <v>0</v>
      </c>
      <c r="J27" s="205">
        <f t="shared" si="4"/>
        <v>0</v>
      </c>
      <c r="K27" s="179">
        <v>0</v>
      </c>
      <c r="L27" s="205">
        <f t="shared" si="5"/>
        <v>0</v>
      </c>
      <c r="M27" s="179">
        <v>0</v>
      </c>
      <c r="N27" s="205">
        <f t="shared" si="6"/>
        <v>0</v>
      </c>
      <c r="O27" s="179">
        <v>0</v>
      </c>
      <c r="P27" s="205">
        <f t="shared" si="7"/>
        <v>0</v>
      </c>
      <c r="Q27" s="181"/>
      <c r="R27" s="167">
        <v>23148988</v>
      </c>
      <c r="S27" s="167">
        <v>16496265</v>
      </c>
      <c r="T27" s="167">
        <v>0</v>
      </c>
      <c r="U27" s="167">
        <v>0</v>
      </c>
      <c r="V27" s="167">
        <v>0</v>
      </c>
      <c r="W27" s="167">
        <v>0</v>
      </c>
      <c r="X27" s="167">
        <v>0</v>
      </c>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364">
        <f t="shared" si="2"/>
        <v>13</v>
      </c>
      <c r="B28" s="167" t="s">
        <v>1508</v>
      </c>
      <c r="C28" s="167"/>
      <c r="D28" s="200">
        <f>SUM(D24:D27)</f>
        <v>23148988</v>
      </c>
      <c r="E28" s="179">
        <v>0</v>
      </c>
      <c r="F28" s="200">
        <f>SUM(F24:F27)</f>
        <v>16496265</v>
      </c>
      <c r="G28" s="179">
        <v>0</v>
      </c>
      <c r="H28" s="200">
        <f>SUM(H24:H27)</f>
        <v>0</v>
      </c>
      <c r="I28" s="179">
        <v>0</v>
      </c>
      <c r="J28" s="200">
        <f>SUM(J24:J27)</f>
        <v>0</v>
      </c>
      <c r="K28" s="179">
        <v>0</v>
      </c>
      <c r="L28" s="200">
        <f>SUM(L24:L27)</f>
        <v>0</v>
      </c>
      <c r="M28" s="179">
        <v>0</v>
      </c>
      <c r="N28" s="200">
        <f>SUM(N24:N27)</f>
        <v>0</v>
      </c>
      <c r="O28" s="179">
        <v>0</v>
      </c>
      <c r="P28" s="200">
        <f>SUM(P24:P27)</f>
        <v>0</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364"/>
      <c r="B29" s="167"/>
      <c r="C29" s="167"/>
      <c r="D29" s="199"/>
      <c r="E29" s="194"/>
      <c r="F29" s="199"/>
      <c r="G29" s="194"/>
      <c r="H29" s="199"/>
      <c r="I29" s="194"/>
      <c r="J29" s="193"/>
      <c r="K29" s="194"/>
      <c r="L29" s="193"/>
      <c r="M29" s="194"/>
      <c r="N29" s="193"/>
      <c r="O29" s="194"/>
      <c r="P29" s="193"/>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364">
        <f>A28+1</f>
        <v>14</v>
      </c>
      <c r="B30" s="178" t="s">
        <v>1444</v>
      </c>
      <c r="C30" s="167"/>
      <c r="D30" s="198"/>
      <c r="E30" s="192"/>
      <c r="F30" s="198"/>
      <c r="G30" s="192"/>
      <c r="H30" s="198"/>
      <c r="I30" s="192"/>
      <c r="J30" s="193"/>
      <c r="K30" s="192"/>
      <c r="L30" s="193"/>
      <c r="M30" s="192"/>
      <c r="N30" s="193"/>
      <c r="O30" s="192"/>
      <c r="P30" s="193"/>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364">
        <f t="shared" ref="A31:A47" si="9">A30+1</f>
        <v>15</v>
      </c>
      <c r="B31" s="167" t="s">
        <v>1509</v>
      </c>
      <c r="C31" s="167"/>
      <c r="D31" s="204">
        <f t="shared" ref="D31:D46" si="10">R31</f>
        <v>4688500</v>
      </c>
      <c r="E31" s="179">
        <f t="shared" ref="E31:O47" si="11">(+D31-F31)/F31</f>
        <v>5.0879748963353136E-2</v>
      </c>
      <c r="F31" s="204">
        <f t="shared" ref="F31:F46" si="12">S31</f>
        <v>4461500</v>
      </c>
      <c r="G31" s="179">
        <f t="shared" si="11"/>
        <v>-0.60969919587449029</v>
      </c>
      <c r="H31" s="204">
        <f t="shared" ref="H31:H46" si="13">T31</f>
        <v>11430927</v>
      </c>
      <c r="I31" s="179">
        <f t="shared" si="11"/>
        <v>0.76013221940216713</v>
      </c>
      <c r="J31" s="204">
        <f t="shared" ref="J31:J46" si="14">U31</f>
        <v>6494357</v>
      </c>
      <c r="K31" s="179">
        <f t="shared" si="11"/>
        <v>2.2311259823109261E-2</v>
      </c>
      <c r="L31" s="204">
        <f t="shared" ref="L31:L46" si="15">V31</f>
        <v>6352622</v>
      </c>
      <c r="M31" s="179">
        <f t="shared" si="11"/>
        <v>1.9548800743144919E-2</v>
      </c>
      <c r="N31" s="204">
        <f t="shared" ref="N31:N46" si="16">W31</f>
        <v>6230817</v>
      </c>
      <c r="O31" s="179">
        <f t="shared" si="11"/>
        <v>0.4176006512372461</v>
      </c>
      <c r="P31" s="204">
        <f t="shared" ref="P31:P46" si="17">X31</f>
        <v>4395326</v>
      </c>
      <c r="Q31" s="167"/>
      <c r="R31" s="167">
        <v>4688500</v>
      </c>
      <c r="S31" s="167">
        <v>4461500</v>
      </c>
      <c r="T31" s="167">
        <v>11430927</v>
      </c>
      <c r="U31" s="167">
        <v>6494357</v>
      </c>
      <c r="V31" s="167">
        <v>6352622</v>
      </c>
      <c r="W31" s="167">
        <v>6230817</v>
      </c>
      <c r="X31" s="167">
        <v>4395326</v>
      </c>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364">
        <f t="shared" si="9"/>
        <v>16</v>
      </c>
      <c r="B32" s="167" t="s">
        <v>1510</v>
      </c>
      <c r="C32" s="167"/>
      <c r="D32" s="201">
        <f t="shared" si="10"/>
        <v>0</v>
      </c>
      <c r="E32" s="179">
        <v>0</v>
      </c>
      <c r="F32" s="201">
        <f t="shared" si="12"/>
        <v>0</v>
      </c>
      <c r="G32" s="179">
        <v>0</v>
      </c>
      <c r="H32" s="201">
        <f t="shared" si="13"/>
        <v>0</v>
      </c>
      <c r="I32" s="179">
        <v>0</v>
      </c>
      <c r="J32" s="201">
        <f t="shared" si="14"/>
        <v>0</v>
      </c>
      <c r="K32" s="179">
        <v>0</v>
      </c>
      <c r="L32" s="201">
        <f t="shared" si="15"/>
        <v>0</v>
      </c>
      <c r="M32" s="179">
        <v>0</v>
      </c>
      <c r="N32" s="201">
        <f t="shared" si="16"/>
        <v>0</v>
      </c>
      <c r="O32" s="179">
        <v>-1</v>
      </c>
      <c r="P32" s="201">
        <f t="shared" si="17"/>
        <v>0</v>
      </c>
      <c r="Q32" s="167"/>
      <c r="R32" s="167">
        <v>0</v>
      </c>
      <c r="S32" s="167">
        <v>0</v>
      </c>
      <c r="T32" s="167">
        <v>0</v>
      </c>
      <c r="U32" s="167">
        <v>0</v>
      </c>
      <c r="V32" s="167">
        <v>0</v>
      </c>
      <c r="W32" s="167">
        <v>0</v>
      </c>
      <c r="X32" s="167">
        <v>0</v>
      </c>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364">
        <f t="shared" si="9"/>
        <v>17</v>
      </c>
      <c r="B33" s="167" t="s">
        <v>1511</v>
      </c>
      <c r="C33" s="167"/>
      <c r="D33" s="201">
        <f t="shared" si="10"/>
        <v>57228</v>
      </c>
      <c r="E33" s="179">
        <f t="shared" si="11"/>
        <v>5.0884183851479151E-2</v>
      </c>
      <c r="F33" s="201">
        <f t="shared" si="12"/>
        <v>54457</v>
      </c>
      <c r="G33" s="179">
        <f t="shared" si="11"/>
        <v>4.7766897540004778E-4</v>
      </c>
      <c r="H33" s="201">
        <f t="shared" si="13"/>
        <v>54431</v>
      </c>
      <c r="I33" s="179">
        <f t="shared" si="11"/>
        <v>1.2861972659120976E-4</v>
      </c>
      <c r="J33" s="201">
        <f t="shared" si="14"/>
        <v>54424</v>
      </c>
      <c r="K33" s="179">
        <f t="shared" si="11"/>
        <v>2.4312974287187799E-3</v>
      </c>
      <c r="L33" s="201">
        <f t="shared" si="15"/>
        <v>54292</v>
      </c>
      <c r="M33" s="179">
        <f t="shared" si="11"/>
        <v>6.8196479587134828E-4</v>
      </c>
      <c r="N33" s="201">
        <f t="shared" si="16"/>
        <v>54255</v>
      </c>
      <c r="O33" s="179">
        <f t="shared" si="11"/>
        <v>0.6005369048321435</v>
      </c>
      <c r="P33" s="201">
        <f t="shared" si="17"/>
        <v>33898</v>
      </c>
      <c r="Q33" s="181"/>
      <c r="R33" s="167">
        <v>57228</v>
      </c>
      <c r="S33" s="167">
        <v>54457</v>
      </c>
      <c r="T33" s="167">
        <v>54431</v>
      </c>
      <c r="U33" s="167">
        <v>54424</v>
      </c>
      <c r="V33" s="167">
        <v>54292</v>
      </c>
      <c r="W33" s="167">
        <v>54255</v>
      </c>
      <c r="X33" s="167">
        <v>33898</v>
      </c>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364">
        <f t="shared" si="9"/>
        <v>18</v>
      </c>
      <c r="B34" s="167" t="s">
        <v>1512</v>
      </c>
      <c r="C34" s="167"/>
      <c r="D34" s="201">
        <f t="shared" si="10"/>
        <v>175319</v>
      </c>
      <c r="E34" s="179">
        <v>1</v>
      </c>
      <c r="F34" s="201">
        <f t="shared" si="12"/>
        <v>0</v>
      </c>
      <c r="G34" s="179">
        <f t="shared" si="11"/>
        <v>-1</v>
      </c>
      <c r="H34" s="201">
        <f t="shared" si="13"/>
        <v>1662555</v>
      </c>
      <c r="I34" s="179">
        <f t="shared" si="11"/>
        <v>12.082846103604844</v>
      </c>
      <c r="J34" s="201">
        <f t="shared" si="14"/>
        <v>127079</v>
      </c>
      <c r="K34" s="179">
        <f t="shared" si="11"/>
        <v>-0.96641208582376936</v>
      </c>
      <c r="L34" s="201">
        <f t="shared" si="15"/>
        <v>3783474</v>
      </c>
      <c r="M34" s="179">
        <f t="shared" si="11"/>
        <v>4.6512380518776084E-2</v>
      </c>
      <c r="N34" s="201">
        <f t="shared" si="16"/>
        <v>3615317</v>
      </c>
      <c r="O34" s="179">
        <f t="shared" si="11"/>
        <v>-0.73748240324206582</v>
      </c>
      <c r="P34" s="201">
        <f t="shared" si="17"/>
        <v>13771713</v>
      </c>
      <c r="Q34" s="181"/>
      <c r="R34" s="167">
        <v>175319</v>
      </c>
      <c r="S34" s="167">
        <v>0</v>
      </c>
      <c r="T34" s="167">
        <v>1662555</v>
      </c>
      <c r="U34" s="167">
        <v>127079</v>
      </c>
      <c r="V34" s="167">
        <v>3783474</v>
      </c>
      <c r="W34" s="167">
        <v>3615317</v>
      </c>
      <c r="X34" s="167">
        <v>13771713</v>
      </c>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364">
        <f t="shared" si="9"/>
        <v>19</v>
      </c>
      <c r="B35" s="167" t="s">
        <v>1513</v>
      </c>
      <c r="C35" s="167"/>
      <c r="D35" s="201">
        <f t="shared" si="10"/>
        <v>129032391</v>
      </c>
      <c r="E35" s="179">
        <f t="shared" si="11"/>
        <v>6.3928728468849658E-2</v>
      </c>
      <c r="F35" s="201">
        <f t="shared" si="12"/>
        <v>121279168</v>
      </c>
      <c r="G35" s="179">
        <f t="shared" si="11"/>
        <v>7.0746565946023632E-2</v>
      </c>
      <c r="H35" s="201">
        <f t="shared" si="13"/>
        <v>113265988.28999998</v>
      </c>
      <c r="I35" s="179">
        <f t="shared" si="11"/>
        <v>2.7131593807059019E-2</v>
      </c>
      <c r="J35" s="201">
        <f t="shared" si="14"/>
        <v>110274076.83</v>
      </c>
      <c r="K35" s="179">
        <f t="shared" si="11"/>
        <v>6.4514003374441603E-2</v>
      </c>
      <c r="L35" s="201">
        <f t="shared" si="15"/>
        <v>103591006.3</v>
      </c>
      <c r="M35" s="179">
        <f t="shared" si="11"/>
        <v>-0.14755848374727956</v>
      </c>
      <c r="N35" s="201">
        <f t="shared" si="16"/>
        <v>121522713.67</v>
      </c>
      <c r="O35" s="179">
        <f t="shared" si="11"/>
        <v>0.14422278450481338</v>
      </c>
      <c r="P35" s="201">
        <f t="shared" si="17"/>
        <v>106205465.68000001</v>
      </c>
      <c r="Q35" s="167"/>
      <c r="R35" s="167">
        <v>129032391</v>
      </c>
      <c r="S35" s="167">
        <v>121279168</v>
      </c>
      <c r="T35" s="167">
        <v>113265988.28999998</v>
      </c>
      <c r="U35" s="167">
        <v>110274076.83</v>
      </c>
      <c r="V35" s="167">
        <v>103591006.3</v>
      </c>
      <c r="W35" s="167">
        <v>121522713.67</v>
      </c>
      <c r="X35" s="167">
        <v>106205465.68000001</v>
      </c>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364">
        <f t="shared" si="9"/>
        <v>20</v>
      </c>
      <c r="B36" s="167" t="s">
        <v>1514</v>
      </c>
      <c r="C36" s="167"/>
      <c r="D36" s="201">
        <f t="shared" si="10"/>
        <v>28387374</v>
      </c>
      <c r="E36" s="179">
        <f t="shared" si="11"/>
        <v>5.0879722112665761E-2</v>
      </c>
      <c r="F36" s="201">
        <f t="shared" si="12"/>
        <v>27012962</v>
      </c>
      <c r="G36" s="179">
        <f t="shared" si="11"/>
        <v>1.9743789625876983E-2</v>
      </c>
      <c r="H36" s="201">
        <f t="shared" si="13"/>
        <v>26489950</v>
      </c>
      <c r="I36" s="179">
        <f t="shared" si="11"/>
        <v>5.430404875950483</v>
      </c>
      <c r="J36" s="201">
        <f t="shared" si="14"/>
        <v>4119484</v>
      </c>
      <c r="K36" s="179">
        <f t="shared" si="11"/>
        <v>-0.41312875744365618</v>
      </c>
      <c r="L36" s="201">
        <f t="shared" si="15"/>
        <v>7019400</v>
      </c>
      <c r="M36" s="179">
        <f t="shared" si="11"/>
        <v>0.40788063360846183</v>
      </c>
      <c r="N36" s="201">
        <f t="shared" si="16"/>
        <v>4985792</v>
      </c>
      <c r="O36" s="179">
        <f t="shared" si="11"/>
        <v>-0.49336608063294285</v>
      </c>
      <c r="P36" s="201">
        <f t="shared" si="17"/>
        <v>9841015</v>
      </c>
      <c r="Q36" s="181"/>
      <c r="R36" s="167">
        <v>28387374</v>
      </c>
      <c r="S36" s="167">
        <v>27012962</v>
      </c>
      <c r="T36" s="167">
        <v>26489950</v>
      </c>
      <c r="U36" s="167">
        <v>4119484</v>
      </c>
      <c r="V36" s="167">
        <v>7019400</v>
      </c>
      <c r="W36" s="167">
        <v>4985792</v>
      </c>
      <c r="X36" s="167">
        <v>9841015</v>
      </c>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364">
        <f t="shared" si="9"/>
        <v>21</v>
      </c>
      <c r="B37" s="167" t="s">
        <v>1515</v>
      </c>
      <c r="C37" s="183"/>
      <c r="D37" s="201">
        <f t="shared" si="10"/>
        <v>1219620</v>
      </c>
      <c r="E37" s="179">
        <f t="shared" si="11"/>
        <v>5.0880170950481231E-2</v>
      </c>
      <c r="F37" s="201">
        <f t="shared" si="12"/>
        <v>1160570</v>
      </c>
      <c r="G37" s="179">
        <f t="shared" si="11"/>
        <v>-0.11963716522818266</v>
      </c>
      <c r="H37" s="201">
        <f t="shared" si="13"/>
        <v>1318286</v>
      </c>
      <c r="I37" s="179">
        <f t="shared" si="11"/>
        <v>-0.16412873936365827</v>
      </c>
      <c r="J37" s="201">
        <f t="shared" si="14"/>
        <v>1577140</v>
      </c>
      <c r="K37" s="179">
        <f t="shared" si="11"/>
        <v>-3.2284587386087242E-2</v>
      </c>
      <c r="L37" s="201">
        <f t="shared" si="15"/>
        <v>1629756</v>
      </c>
      <c r="M37" s="179">
        <f t="shared" si="11"/>
        <v>-0.24171049197093131</v>
      </c>
      <c r="N37" s="201">
        <f t="shared" si="16"/>
        <v>2149253</v>
      </c>
      <c r="O37" s="179">
        <f t="shared" si="11"/>
        <v>-0.44275767479183653</v>
      </c>
      <c r="P37" s="201">
        <f t="shared" si="17"/>
        <v>3856945</v>
      </c>
      <c r="Q37" s="181"/>
      <c r="R37" s="167">
        <v>1219620</v>
      </c>
      <c r="S37" s="167">
        <v>1160570</v>
      </c>
      <c r="T37" s="167">
        <v>1318286</v>
      </c>
      <c r="U37" s="167">
        <v>1577140</v>
      </c>
      <c r="V37" s="167">
        <v>1629756</v>
      </c>
      <c r="W37" s="167">
        <v>2149253</v>
      </c>
      <c r="X37" s="167">
        <v>3856945</v>
      </c>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364">
        <f t="shared" si="9"/>
        <v>22</v>
      </c>
      <c r="B38" s="167" t="s">
        <v>1516</v>
      </c>
      <c r="C38" s="167"/>
      <c r="D38" s="201">
        <f t="shared" si="10"/>
        <v>4339222</v>
      </c>
      <c r="E38" s="179">
        <f t="shared" si="11"/>
        <v>1.2253207934024333</v>
      </c>
      <c r="F38" s="201">
        <f t="shared" si="12"/>
        <v>1949931</v>
      </c>
      <c r="G38" s="179">
        <v>1</v>
      </c>
      <c r="H38" s="201">
        <f t="shared" si="13"/>
        <v>0</v>
      </c>
      <c r="I38" s="179">
        <f t="shared" si="11"/>
        <v>-1</v>
      </c>
      <c r="J38" s="201">
        <f t="shared" si="14"/>
        <v>-34311</v>
      </c>
      <c r="K38" s="179">
        <f t="shared" si="11"/>
        <v>-1.044879550772845</v>
      </c>
      <c r="L38" s="201">
        <f t="shared" si="15"/>
        <v>764513</v>
      </c>
      <c r="M38" s="179">
        <f t="shared" si="11"/>
        <v>-0.98581959676886688</v>
      </c>
      <c r="N38" s="201">
        <f t="shared" si="16"/>
        <v>53913347</v>
      </c>
      <c r="O38" s="179">
        <f t="shared" si="11"/>
        <v>922.31604185576543</v>
      </c>
      <c r="P38" s="201">
        <f t="shared" si="17"/>
        <v>58391</v>
      </c>
      <c r="Q38" s="181"/>
      <c r="R38" s="167">
        <v>4339222</v>
      </c>
      <c r="S38" s="167">
        <v>1949931</v>
      </c>
      <c r="T38" s="167">
        <v>0</v>
      </c>
      <c r="U38" s="167">
        <v>-34311</v>
      </c>
      <c r="V38" s="167">
        <v>764513</v>
      </c>
      <c r="W38" s="167">
        <v>53913347</v>
      </c>
      <c r="X38" s="167">
        <v>58391</v>
      </c>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364">
        <f t="shared" si="9"/>
        <v>23</v>
      </c>
      <c r="B39" s="167" t="s">
        <v>1517</v>
      </c>
      <c r="C39" s="167"/>
      <c r="D39" s="201">
        <f t="shared" si="10"/>
        <v>59241661</v>
      </c>
      <c r="E39" s="179">
        <f t="shared" si="11"/>
        <v>6.9111134090460796E-2</v>
      </c>
      <c r="F39" s="201">
        <f t="shared" si="12"/>
        <v>55412070</v>
      </c>
      <c r="G39" s="179">
        <f t="shared" si="11"/>
        <v>1.1266614945137322E-2</v>
      </c>
      <c r="H39" s="201">
        <f t="shared" si="13"/>
        <v>54794719</v>
      </c>
      <c r="I39" s="179">
        <f t="shared" si="11"/>
        <v>-0.36708043420341441</v>
      </c>
      <c r="J39" s="201">
        <f t="shared" si="14"/>
        <v>86574538</v>
      </c>
      <c r="K39" s="179">
        <f t="shared" si="11"/>
        <v>1.397527147363666E-2</v>
      </c>
      <c r="L39" s="201">
        <f t="shared" si="15"/>
        <v>85381311</v>
      </c>
      <c r="M39" s="179">
        <f t="shared" si="11"/>
        <v>-2.1909318708096995E-2</v>
      </c>
      <c r="N39" s="201">
        <f t="shared" si="16"/>
        <v>87293860</v>
      </c>
      <c r="O39" s="179">
        <f t="shared" si="11"/>
        <v>0.28057467901634325</v>
      </c>
      <c r="P39" s="201">
        <f t="shared" si="17"/>
        <v>68167723</v>
      </c>
      <c r="Q39" s="167"/>
      <c r="R39" s="167">
        <v>59241661</v>
      </c>
      <c r="S39" s="167">
        <v>55412070</v>
      </c>
      <c r="T39" s="167">
        <v>54794719</v>
      </c>
      <c r="U39" s="167">
        <v>86574538</v>
      </c>
      <c r="V39" s="167">
        <v>85381311</v>
      </c>
      <c r="W39" s="167">
        <v>87293860</v>
      </c>
      <c r="X39" s="167">
        <v>68167723</v>
      </c>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364">
        <f t="shared" si="9"/>
        <v>24</v>
      </c>
      <c r="B40" s="167" t="s">
        <v>1518</v>
      </c>
      <c r="C40" s="167"/>
      <c r="D40" s="201">
        <f t="shared" si="10"/>
        <v>44905721</v>
      </c>
      <c r="E40" s="179">
        <f t="shared" si="11"/>
        <v>2.0288163731624373E-3</v>
      </c>
      <c r="F40" s="201">
        <f t="shared" si="12"/>
        <v>44814800</v>
      </c>
      <c r="G40" s="179">
        <f t="shared" si="11"/>
        <v>2.5668701099856361E-2</v>
      </c>
      <c r="H40" s="201">
        <f t="shared" si="13"/>
        <v>43693251</v>
      </c>
      <c r="I40" s="179">
        <f t="shared" si="11"/>
        <v>9.8777417536591042E-2</v>
      </c>
      <c r="J40" s="201">
        <f t="shared" si="14"/>
        <v>39765334</v>
      </c>
      <c r="K40" s="179">
        <f t="shared" si="11"/>
        <v>9.4025088495885645E-2</v>
      </c>
      <c r="L40" s="201">
        <f t="shared" si="15"/>
        <v>36347735</v>
      </c>
      <c r="M40" s="179">
        <f t="shared" si="11"/>
        <v>6.5332611265391236E-2</v>
      </c>
      <c r="N40" s="201">
        <f t="shared" si="16"/>
        <v>34118673</v>
      </c>
      <c r="O40" s="179">
        <f t="shared" si="11"/>
        <v>7.7095101694265145E-2</v>
      </c>
      <c r="P40" s="201">
        <f t="shared" si="17"/>
        <v>31676565</v>
      </c>
      <c r="Q40" s="181"/>
      <c r="R40" s="167">
        <v>44905721</v>
      </c>
      <c r="S40" s="167">
        <v>44814800</v>
      </c>
      <c r="T40" s="167">
        <v>43693251</v>
      </c>
      <c r="U40" s="167">
        <v>39765334</v>
      </c>
      <c r="V40" s="167">
        <v>36347735</v>
      </c>
      <c r="W40" s="167">
        <v>34118673</v>
      </c>
      <c r="X40" s="167">
        <v>31676565</v>
      </c>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364">
        <f t="shared" si="9"/>
        <v>25</v>
      </c>
      <c r="B41" s="167" t="s">
        <v>1519</v>
      </c>
      <c r="C41" s="167"/>
      <c r="D41" s="201">
        <f t="shared" si="10"/>
        <v>121416</v>
      </c>
      <c r="E41" s="179">
        <f t="shared" si="11"/>
        <v>6.9207534542124222E-2</v>
      </c>
      <c r="F41" s="201">
        <f t="shared" si="12"/>
        <v>113557</v>
      </c>
      <c r="G41" s="179">
        <f t="shared" si="11"/>
        <v>-1.3071327382866479E-2</v>
      </c>
      <c r="H41" s="201">
        <f t="shared" si="13"/>
        <v>115061</v>
      </c>
      <c r="I41" s="179">
        <f t="shared" si="11"/>
        <v>-2.9356931357083203E-2</v>
      </c>
      <c r="J41" s="201">
        <f t="shared" si="14"/>
        <v>118541</v>
      </c>
      <c r="K41" s="179">
        <f t="shared" si="11"/>
        <v>-3.6142325142699168E-2</v>
      </c>
      <c r="L41" s="201">
        <f t="shared" si="15"/>
        <v>122986</v>
      </c>
      <c r="M41" s="179">
        <f t="shared" si="11"/>
        <v>-0.11653065915751969</v>
      </c>
      <c r="N41" s="201">
        <f t="shared" si="16"/>
        <v>139208</v>
      </c>
      <c r="O41" s="179">
        <f t="shared" si="11"/>
        <v>-0.45639075136382629</v>
      </c>
      <c r="P41" s="201">
        <f t="shared" si="17"/>
        <v>256081</v>
      </c>
      <c r="Q41" s="181"/>
      <c r="R41" s="167">
        <v>121416</v>
      </c>
      <c r="S41" s="167">
        <v>113557</v>
      </c>
      <c r="T41" s="167">
        <v>115061</v>
      </c>
      <c r="U41" s="167">
        <v>118541</v>
      </c>
      <c r="V41" s="167">
        <v>122986</v>
      </c>
      <c r="W41" s="167">
        <v>139208</v>
      </c>
      <c r="X41" s="167">
        <v>256081</v>
      </c>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364">
        <f t="shared" si="9"/>
        <v>26</v>
      </c>
      <c r="B42" s="167" t="s">
        <v>1520</v>
      </c>
      <c r="C42" s="167"/>
      <c r="D42" s="201">
        <f t="shared" si="10"/>
        <v>11178915</v>
      </c>
      <c r="E42" s="179">
        <f t="shared" si="11"/>
        <v>4.8734487097015389E-2</v>
      </c>
      <c r="F42" s="201">
        <f t="shared" si="12"/>
        <v>10659433</v>
      </c>
      <c r="G42" s="179">
        <f t="shared" si="11"/>
        <v>3.6725473330228825E-2</v>
      </c>
      <c r="H42" s="201">
        <f t="shared" si="13"/>
        <v>10281828</v>
      </c>
      <c r="I42" s="179">
        <f t="shared" si="11"/>
        <v>6.83882809498777E-2</v>
      </c>
      <c r="J42" s="201">
        <f t="shared" si="14"/>
        <v>9623681</v>
      </c>
      <c r="K42" s="179">
        <f t="shared" si="11"/>
        <v>0.16271029213943611</v>
      </c>
      <c r="L42" s="201">
        <f t="shared" si="15"/>
        <v>8276938</v>
      </c>
      <c r="M42" s="179">
        <f t="shared" si="11"/>
        <v>-0.11367785112867444</v>
      </c>
      <c r="N42" s="201">
        <f t="shared" si="16"/>
        <v>9338521</v>
      </c>
      <c r="O42" s="179">
        <f t="shared" si="11"/>
        <v>5.0801588154442787E-2</v>
      </c>
      <c r="P42" s="201">
        <f t="shared" si="17"/>
        <v>8887045</v>
      </c>
      <c r="Q42" s="181"/>
      <c r="R42" s="167">
        <v>11178915</v>
      </c>
      <c r="S42" s="167">
        <v>10659433</v>
      </c>
      <c r="T42" s="167">
        <v>10281828</v>
      </c>
      <c r="U42" s="167">
        <v>9623681</v>
      </c>
      <c r="V42" s="167">
        <v>8276938</v>
      </c>
      <c r="W42" s="167">
        <v>9338521</v>
      </c>
      <c r="X42" s="167">
        <v>8887045</v>
      </c>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364">
        <f t="shared" si="9"/>
        <v>27</v>
      </c>
      <c r="B43" s="167" t="s">
        <v>1521</v>
      </c>
      <c r="C43" s="167"/>
      <c r="D43" s="201">
        <f t="shared" si="10"/>
        <v>15605034</v>
      </c>
      <c r="E43" s="179">
        <f t="shared" si="11"/>
        <v>1.7939837766640297E-2</v>
      </c>
      <c r="F43" s="201">
        <f t="shared" si="12"/>
        <v>15330016</v>
      </c>
      <c r="G43" s="179">
        <f t="shared" si="11"/>
        <v>5.2639327278340343E-2</v>
      </c>
      <c r="H43" s="201">
        <f t="shared" si="13"/>
        <v>14563408</v>
      </c>
      <c r="I43" s="179">
        <f t="shared" si="11"/>
        <v>-4.1448506270033297E-2</v>
      </c>
      <c r="J43" s="201">
        <f t="shared" si="14"/>
        <v>15193141</v>
      </c>
      <c r="K43" s="179">
        <f t="shared" si="11"/>
        <v>1.2644877130361918</v>
      </c>
      <c r="L43" s="201">
        <f t="shared" si="15"/>
        <v>6709306</v>
      </c>
      <c r="M43" s="179">
        <f t="shared" si="11"/>
        <v>-3.4716675145541227E-2</v>
      </c>
      <c r="N43" s="201">
        <f t="shared" si="16"/>
        <v>6950608</v>
      </c>
      <c r="O43" s="179">
        <f t="shared" si="11"/>
        <v>0.33264003767110945</v>
      </c>
      <c r="P43" s="201">
        <f t="shared" si="17"/>
        <v>5215668</v>
      </c>
      <c r="Q43" s="181"/>
      <c r="R43" s="167">
        <v>15605034</v>
      </c>
      <c r="S43" s="167">
        <v>15330016</v>
      </c>
      <c r="T43" s="167">
        <v>14563408</v>
      </c>
      <c r="U43" s="167">
        <v>15193141</v>
      </c>
      <c r="V43" s="167">
        <v>6709306</v>
      </c>
      <c r="W43" s="167">
        <v>6950608</v>
      </c>
      <c r="X43" s="167">
        <v>5215668</v>
      </c>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364">
        <f t="shared" si="9"/>
        <v>28</v>
      </c>
      <c r="B44" s="167" t="s">
        <v>1716</v>
      </c>
      <c r="C44" s="167"/>
      <c r="D44" s="201">
        <f t="shared" si="10"/>
        <v>569332</v>
      </c>
      <c r="E44" s="179">
        <f t="shared" si="11"/>
        <v>5.0879806263578256E-2</v>
      </c>
      <c r="F44" s="201">
        <f t="shared" si="12"/>
        <v>541767</v>
      </c>
      <c r="G44" s="179">
        <f t="shared" si="11"/>
        <v>-9.6350153119433152E-2</v>
      </c>
      <c r="H44" s="201">
        <f t="shared" si="13"/>
        <v>599532</v>
      </c>
      <c r="I44" s="179">
        <f t="shared" si="11"/>
        <v>4.7393099978336982E-2</v>
      </c>
      <c r="J44" s="201">
        <f t="shared" si="14"/>
        <v>572404</v>
      </c>
      <c r="K44" s="179">
        <f t="shared" si="11"/>
        <v>-0.20109311582673164</v>
      </c>
      <c r="L44" s="201">
        <f t="shared" si="15"/>
        <v>716484</v>
      </c>
      <c r="M44" s="179">
        <f t="shared" si="11"/>
        <v>-0.38226043412585098</v>
      </c>
      <c r="N44" s="201">
        <f t="shared" si="16"/>
        <v>1159848</v>
      </c>
      <c r="O44" s="179">
        <f t="shared" si="11"/>
        <v>0.40075384925671814</v>
      </c>
      <c r="P44" s="201">
        <f t="shared" si="17"/>
        <v>828017</v>
      </c>
      <c r="Q44" s="167"/>
      <c r="R44" s="167">
        <v>569332</v>
      </c>
      <c r="S44" s="167">
        <v>541767</v>
      </c>
      <c r="T44" s="167">
        <v>599532</v>
      </c>
      <c r="U44" s="167">
        <v>572404</v>
      </c>
      <c r="V44" s="167">
        <v>716484</v>
      </c>
      <c r="W44" s="167">
        <v>1159848</v>
      </c>
      <c r="X44" s="167">
        <v>828017</v>
      </c>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364">
        <f t="shared" si="9"/>
        <v>29</v>
      </c>
      <c r="B45" s="167" t="s">
        <v>1522</v>
      </c>
      <c r="C45" s="167"/>
      <c r="D45" s="206">
        <f t="shared" si="10"/>
        <v>86136962</v>
      </c>
      <c r="E45" s="179">
        <f t="shared" si="11"/>
        <v>-7.3041982326697188E-2</v>
      </c>
      <c r="F45" s="206">
        <f t="shared" si="12"/>
        <v>92924340</v>
      </c>
      <c r="G45" s="179">
        <f t="shared" si="11"/>
        <v>-4.2076366410325132E-2</v>
      </c>
      <c r="H45" s="206">
        <f t="shared" si="13"/>
        <v>97006000</v>
      </c>
      <c r="I45" s="179">
        <f t="shared" si="11"/>
        <v>0.20903856220554878</v>
      </c>
      <c r="J45" s="206">
        <f t="shared" si="14"/>
        <v>80234000</v>
      </c>
      <c r="K45" s="179">
        <f t="shared" si="11"/>
        <v>0.173303306377316</v>
      </c>
      <c r="L45" s="206">
        <f t="shared" si="15"/>
        <v>68383000</v>
      </c>
      <c r="M45" s="179">
        <f t="shared" si="11"/>
        <v>-0.1128308251167618</v>
      </c>
      <c r="N45" s="206">
        <f t="shared" si="16"/>
        <v>77080000</v>
      </c>
      <c r="O45" s="179">
        <f t="shared" si="11"/>
        <v>-2.5435809289015343E-2</v>
      </c>
      <c r="P45" s="206">
        <f t="shared" si="17"/>
        <v>79091763</v>
      </c>
      <c r="Q45" s="167"/>
      <c r="R45" s="167">
        <v>86136962</v>
      </c>
      <c r="S45" s="167">
        <v>92924340</v>
      </c>
      <c r="T45" s="167">
        <v>97006000</v>
      </c>
      <c r="U45" s="167">
        <v>80234000</v>
      </c>
      <c r="V45" s="167">
        <v>68383000</v>
      </c>
      <c r="W45" s="167">
        <v>77080000</v>
      </c>
      <c r="X45" s="167">
        <v>79091763</v>
      </c>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364">
        <f t="shared" si="9"/>
        <v>30</v>
      </c>
      <c r="B46" s="167" t="s">
        <v>1523</v>
      </c>
      <c r="C46" s="167"/>
      <c r="D46" s="206">
        <f t="shared" si="10"/>
        <v>0</v>
      </c>
      <c r="E46" s="179">
        <v>0</v>
      </c>
      <c r="F46" s="206">
        <f t="shared" si="12"/>
        <v>0</v>
      </c>
      <c r="G46" s="179">
        <v>0</v>
      </c>
      <c r="H46" s="206">
        <f t="shared" si="13"/>
        <v>0</v>
      </c>
      <c r="I46" s="179">
        <v>0</v>
      </c>
      <c r="J46" s="206">
        <f t="shared" si="14"/>
        <v>0</v>
      </c>
      <c r="K46" s="179">
        <v>0</v>
      </c>
      <c r="L46" s="206">
        <f t="shared" si="15"/>
        <v>0</v>
      </c>
      <c r="M46" s="179">
        <v>0</v>
      </c>
      <c r="N46" s="206">
        <f t="shared" si="16"/>
        <v>0</v>
      </c>
      <c r="O46" s="179">
        <v>1</v>
      </c>
      <c r="P46" s="206">
        <f t="shared" si="17"/>
        <v>0</v>
      </c>
      <c r="Q46" s="167"/>
      <c r="R46" s="167">
        <v>0</v>
      </c>
      <c r="S46" s="167">
        <v>0</v>
      </c>
      <c r="T46" s="167">
        <v>0</v>
      </c>
      <c r="U46" s="167">
        <v>0</v>
      </c>
      <c r="V46" s="167">
        <v>0</v>
      </c>
      <c r="W46" s="167">
        <v>0</v>
      </c>
      <c r="X46" s="167">
        <v>0</v>
      </c>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364">
        <f t="shared" si="9"/>
        <v>31</v>
      </c>
      <c r="B47" s="167" t="s">
        <v>1445</v>
      </c>
      <c r="C47" s="167"/>
      <c r="D47" s="200">
        <f>SUM(D31:D36)-D37+SUM(D38:D41)+SUM(D42:D46)</f>
        <v>383219455</v>
      </c>
      <c r="E47" s="179">
        <f t="shared" si="11"/>
        <v>2.6315470986419148E-2</v>
      </c>
      <c r="F47" s="200">
        <f>SUM(F31:F36)-F37+SUM(F38:F41)+SUM(F42:F46)</f>
        <v>373393431</v>
      </c>
      <c r="G47" s="179">
        <f t="shared" si="11"/>
        <v>2.0235830732396785E-3</v>
      </c>
      <c r="H47" s="200">
        <f>SUM(H31:H36)-H37+SUM(H38:H41)+SUM(H42:H46)</f>
        <v>372639364.28999996</v>
      </c>
      <c r="I47" s="179">
        <f t="shared" si="11"/>
        <v>6.0020990323749114E-2</v>
      </c>
      <c r="J47" s="200">
        <f>SUM(J31:J36)-J37+SUM(J38:J41)+SUM(J42:J46)</f>
        <v>351539608.82999998</v>
      </c>
      <c r="K47" s="179">
        <f t="shared" si="11"/>
        <v>7.8761582001330252E-2</v>
      </c>
      <c r="L47" s="200">
        <f>SUM(L31:L36)-L37+SUM(L38:L41)+SUM(L42:L46)</f>
        <v>325873311.30000001</v>
      </c>
      <c r="M47" s="179">
        <f t="shared" si="11"/>
        <v>-0.19388911981945886</v>
      </c>
      <c r="N47" s="200">
        <f>SUM(N31:N36)-N37+SUM(N38:N41)+SUM(N42:N46)</f>
        <v>404253706.67000002</v>
      </c>
      <c r="O47" s="179">
        <f t="shared" si="11"/>
        <v>0.24549883642224474</v>
      </c>
      <c r="P47" s="200">
        <f>SUM(P31:P36)-P37+SUM(P38:P41)+SUM(P42:P46)</f>
        <v>324571725.68000001</v>
      </c>
      <c r="Q47" s="167"/>
      <c r="R47" s="167">
        <v>383219455</v>
      </c>
      <c r="S47" s="167">
        <v>373393431</v>
      </c>
      <c r="T47" s="167">
        <v>372639364.28999996</v>
      </c>
      <c r="U47" s="167">
        <v>351539608.82999998</v>
      </c>
      <c r="V47" s="167">
        <v>325873311.30000001</v>
      </c>
      <c r="W47" s="167">
        <v>404253706.67000002</v>
      </c>
      <c r="X47" s="167">
        <v>324571725.68000001</v>
      </c>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36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364">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364">
        <f t="shared" ref="A50:A57" si="18">A49+1</f>
        <v>33</v>
      </c>
      <c r="B50" s="167" t="s">
        <v>1525</v>
      </c>
      <c r="C50" s="167"/>
      <c r="D50" s="204">
        <f t="shared" ref="D50:D56" si="19">R50</f>
        <v>17095173</v>
      </c>
      <c r="E50" s="179">
        <f t="shared" ref="E50:O57" si="20">(+D50-F50)/F50</f>
        <v>0.15792571983371556</v>
      </c>
      <c r="F50" s="204">
        <f t="shared" ref="F50:F56" si="21">S50</f>
        <v>14763618</v>
      </c>
      <c r="G50" s="179">
        <f t="shared" si="20"/>
        <v>-8.3162265350784581E-2</v>
      </c>
      <c r="H50" s="204">
        <f t="shared" ref="H50:H56" si="22">T50</f>
        <v>16102760</v>
      </c>
      <c r="I50" s="179">
        <f t="shared" si="20"/>
        <v>-6.0589962729898701E-2</v>
      </c>
      <c r="J50" s="204">
        <f t="shared" ref="J50:J56" si="23">U50</f>
        <v>17141354</v>
      </c>
      <c r="K50" s="179">
        <f t="shared" si="20"/>
        <v>-7.9143808915837652E-2</v>
      </c>
      <c r="L50" s="204">
        <f t="shared" ref="L50:L56" si="24">V50</f>
        <v>18614583</v>
      </c>
      <c r="M50" s="179">
        <f t="shared" si="20"/>
        <v>0.12485648920769232</v>
      </c>
      <c r="N50" s="204">
        <f t="shared" ref="N50:N56" si="25">W50</f>
        <v>16548407</v>
      </c>
      <c r="O50" s="179">
        <f t="shared" si="20"/>
        <v>-5.3710879758476909E-2</v>
      </c>
      <c r="P50" s="204">
        <f t="shared" ref="P50:P56" si="26">X50</f>
        <v>17487686</v>
      </c>
      <c r="Q50" s="181"/>
      <c r="R50" s="167">
        <v>17095173</v>
      </c>
      <c r="S50" s="167">
        <v>14763618</v>
      </c>
      <c r="T50" s="167">
        <v>16102760</v>
      </c>
      <c r="U50" s="167">
        <v>17141354</v>
      </c>
      <c r="V50" s="167">
        <v>18614583</v>
      </c>
      <c r="W50" s="167">
        <v>16548407</v>
      </c>
      <c r="X50" s="167">
        <v>17487686</v>
      </c>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364">
        <f t="shared" si="18"/>
        <v>34</v>
      </c>
      <c r="B51" s="167" t="s">
        <v>1526</v>
      </c>
      <c r="C51" s="167"/>
      <c r="D51" s="201">
        <f t="shared" si="19"/>
        <v>388553158</v>
      </c>
      <c r="E51" s="179">
        <f t="shared" si="20"/>
        <v>2.0637361377959299E-2</v>
      </c>
      <c r="F51" s="201">
        <f t="shared" si="21"/>
        <v>380696585</v>
      </c>
      <c r="G51" s="179">
        <f t="shared" si="20"/>
        <v>3.0302643306307744E-2</v>
      </c>
      <c r="H51" s="201">
        <f t="shared" si="22"/>
        <v>369499765.40710413</v>
      </c>
      <c r="I51" s="179">
        <f t="shared" si="20"/>
        <v>-5.0141659960378185E-2</v>
      </c>
      <c r="J51" s="201">
        <f t="shared" si="23"/>
        <v>389005128.2717495</v>
      </c>
      <c r="K51" s="179">
        <f t="shared" si="20"/>
        <v>0.15969875577116385</v>
      </c>
      <c r="L51" s="201">
        <f t="shared" si="24"/>
        <v>335436359.08540154</v>
      </c>
      <c r="M51" s="179">
        <f t="shared" si="20"/>
        <v>0.13542822402606219</v>
      </c>
      <c r="N51" s="201">
        <f t="shared" si="25"/>
        <v>295427180.67725438</v>
      </c>
      <c r="O51" s="179">
        <f t="shared" si="20"/>
        <v>0.39634192871206247</v>
      </c>
      <c r="P51" s="201">
        <f t="shared" si="26"/>
        <v>211572233.56441513</v>
      </c>
      <c r="Q51" s="167"/>
      <c r="R51" s="167">
        <v>388553158</v>
      </c>
      <c r="S51" s="167">
        <v>380696585</v>
      </c>
      <c r="T51" s="167">
        <v>369499765.40710413</v>
      </c>
      <c r="U51" s="167">
        <v>389005128.2717495</v>
      </c>
      <c r="V51" s="167">
        <v>335436359.08540154</v>
      </c>
      <c r="W51" s="167">
        <v>295427180.67725438</v>
      </c>
      <c r="X51" s="167">
        <v>211572233.56441513</v>
      </c>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364">
        <f t="shared" si="18"/>
        <v>35</v>
      </c>
      <c r="B52" s="167" t="s">
        <v>1527</v>
      </c>
      <c r="C52" s="167"/>
      <c r="D52" s="201">
        <f t="shared" si="19"/>
        <v>3917455</v>
      </c>
      <c r="E52" s="179">
        <f t="shared" si="20"/>
        <v>5.0879798357523744E-2</v>
      </c>
      <c r="F52" s="201">
        <f t="shared" si="21"/>
        <v>3727786</v>
      </c>
      <c r="G52" s="179">
        <f t="shared" si="20"/>
        <v>-0.13798673038498507</v>
      </c>
      <c r="H52" s="201">
        <f t="shared" si="22"/>
        <v>4324511.1547585251</v>
      </c>
      <c r="I52" s="179">
        <f t="shared" si="20"/>
        <v>-0.2119801359994038</v>
      </c>
      <c r="J52" s="201">
        <f t="shared" si="23"/>
        <v>5487819.9805826889</v>
      </c>
      <c r="K52" s="179">
        <f t="shared" si="20"/>
        <v>-8.7676061665296665E-2</v>
      </c>
      <c r="L52" s="201">
        <f t="shared" si="24"/>
        <v>6015209.8941959124</v>
      </c>
      <c r="M52" s="179">
        <f t="shared" si="20"/>
        <v>0.18221740346223808</v>
      </c>
      <c r="N52" s="201">
        <f t="shared" si="25"/>
        <v>5088074.2210187297</v>
      </c>
      <c r="O52" s="179">
        <f t="shared" si="20"/>
        <v>1.4392688312156399</v>
      </c>
      <c r="P52" s="201">
        <f t="shared" si="26"/>
        <v>2085901.3799159746</v>
      </c>
      <c r="Q52" s="181"/>
      <c r="R52" s="167">
        <v>3917455</v>
      </c>
      <c r="S52" s="167">
        <v>3727786</v>
      </c>
      <c r="T52" s="167">
        <v>4324511.1547585251</v>
      </c>
      <c r="U52" s="167">
        <v>5487819.9805826889</v>
      </c>
      <c r="V52" s="167">
        <v>6015209.8941959124</v>
      </c>
      <c r="W52" s="167">
        <v>5088074.2210187297</v>
      </c>
      <c r="X52" s="167">
        <v>2085901.3799159746</v>
      </c>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364">
        <f t="shared" si="18"/>
        <v>36</v>
      </c>
      <c r="B53" s="167" t="s">
        <v>1528</v>
      </c>
      <c r="C53" s="167"/>
      <c r="D53" s="201">
        <f t="shared" si="19"/>
        <v>3887744</v>
      </c>
      <c r="E53" s="179">
        <f t="shared" si="20"/>
        <v>5.6594871644349794E-2</v>
      </c>
      <c r="F53" s="201">
        <f t="shared" si="21"/>
        <v>3679503</v>
      </c>
      <c r="G53" s="179">
        <v>1</v>
      </c>
      <c r="H53" s="201">
        <f t="shared" si="22"/>
        <v>0</v>
      </c>
      <c r="I53" s="179">
        <v>0</v>
      </c>
      <c r="J53" s="201">
        <f t="shared" si="23"/>
        <v>0</v>
      </c>
      <c r="K53" s="179">
        <v>0</v>
      </c>
      <c r="L53" s="201">
        <f t="shared" si="24"/>
        <v>0</v>
      </c>
      <c r="M53" s="179">
        <v>0</v>
      </c>
      <c r="N53" s="201">
        <f t="shared" si="25"/>
        <v>0</v>
      </c>
      <c r="O53" s="179">
        <v>0</v>
      </c>
      <c r="P53" s="201">
        <f t="shared" si="26"/>
        <v>0</v>
      </c>
      <c r="Q53" s="167"/>
      <c r="R53" s="167">
        <v>3887744</v>
      </c>
      <c r="S53" s="167">
        <v>3679503</v>
      </c>
      <c r="T53" s="167">
        <v>0</v>
      </c>
      <c r="U53" s="167">
        <v>0</v>
      </c>
      <c r="V53" s="167">
        <v>0</v>
      </c>
      <c r="W53" s="167">
        <v>0</v>
      </c>
      <c r="X53" s="167">
        <v>0</v>
      </c>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364">
        <f t="shared" si="18"/>
        <v>37</v>
      </c>
      <c r="B54" s="167" t="s">
        <v>1529</v>
      </c>
      <c r="C54" s="167"/>
      <c r="D54" s="201">
        <f t="shared" si="19"/>
        <v>16186427</v>
      </c>
      <c r="E54" s="179">
        <f t="shared" si="20"/>
        <v>2.0016845651185371E-2</v>
      </c>
      <c r="F54" s="201">
        <f t="shared" si="21"/>
        <v>15868784</v>
      </c>
      <c r="G54" s="179">
        <f t="shared" si="20"/>
        <v>0.32691973726512735</v>
      </c>
      <c r="H54" s="201">
        <f t="shared" si="22"/>
        <v>11959113.693422522</v>
      </c>
      <c r="I54" s="179">
        <f t="shared" si="20"/>
        <v>-0.71410421875982011</v>
      </c>
      <c r="J54" s="201">
        <f t="shared" si="23"/>
        <v>41830325.867508061</v>
      </c>
      <c r="K54" s="179">
        <f t="shared" si="20"/>
        <v>0.16386778250355377</v>
      </c>
      <c r="L54" s="201">
        <f t="shared" si="24"/>
        <v>35940788.546898656</v>
      </c>
      <c r="M54" s="179">
        <f t="shared" si="20"/>
        <v>5.2641385573758824E-2</v>
      </c>
      <c r="N54" s="201">
        <f t="shared" si="25"/>
        <v>34143431.029275522</v>
      </c>
      <c r="O54" s="179">
        <f t="shared" si="20"/>
        <v>4.1834771017947902E-3</v>
      </c>
      <c r="P54" s="201">
        <f t="shared" si="26"/>
        <v>34001187.838519253</v>
      </c>
      <c r="Q54" s="181"/>
      <c r="R54" s="167">
        <v>16186427</v>
      </c>
      <c r="S54" s="167">
        <v>15868784</v>
      </c>
      <c r="T54" s="167">
        <v>11959113.693422522</v>
      </c>
      <c r="U54" s="167">
        <v>41830325.867508061</v>
      </c>
      <c r="V54" s="167">
        <v>35940788.546898656</v>
      </c>
      <c r="W54" s="167">
        <v>34143431.029275522</v>
      </c>
      <c r="X54" s="167">
        <v>34001187.838519253</v>
      </c>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364">
        <f t="shared" si="18"/>
        <v>38</v>
      </c>
      <c r="B55" s="167" t="s">
        <v>1530</v>
      </c>
      <c r="C55" s="167"/>
      <c r="D55" s="201">
        <f t="shared" si="19"/>
        <v>7573116</v>
      </c>
      <c r="E55" s="179">
        <f t="shared" si="20"/>
        <v>5.0047754579283952E-3</v>
      </c>
      <c r="F55" s="201">
        <f t="shared" si="21"/>
        <v>7535403</v>
      </c>
      <c r="G55" s="179">
        <f t="shared" si="20"/>
        <v>-4.2719729806055352E-2</v>
      </c>
      <c r="H55" s="201">
        <f t="shared" si="22"/>
        <v>7871679</v>
      </c>
      <c r="I55" s="179">
        <f t="shared" si="20"/>
        <v>-6.4539095589179016E-2</v>
      </c>
      <c r="J55" s="201">
        <f t="shared" si="23"/>
        <v>8414760</v>
      </c>
      <c r="K55" s="179">
        <f t="shared" si="20"/>
        <v>6.1950923216928501E-2</v>
      </c>
      <c r="L55" s="201">
        <f t="shared" si="24"/>
        <v>7923869</v>
      </c>
      <c r="M55" s="179">
        <f t="shared" si="20"/>
        <v>-7.0630984436682115E-2</v>
      </c>
      <c r="N55" s="201">
        <f t="shared" si="25"/>
        <v>8526074</v>
      </c>
      <c r="O55" s="179">
        <f t="shared" si="20"/>
        <v>5.4765328932200501E-3</v>
      </c>
      <c r="P55" s="201">
        <f t="shared" si="26"/>
        <v>8479635</v>
      </c>
      <c r="Q55" s="181"/>
      <c r="R55" s="167">
        <v>7573116</v>
      </c>
      <c r="S55" s="167">
        <v>7535403</v>
      </c>
      <c r="T55" s="167">
        <v>7871679</v>
      </c>
      <c r="U55" s="167">
        <v>8414760</v>
      </c>
      <c r="V55" s="167">
        <v>7923869</v>
      </c>
      <c r="W55" s="167">
        <v>8526074</v>
      </c>
      <c r="X55" s="167">
        <v>8479635</v>
      </c>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364">
        <f t="shared" si="18"/>
        <v>39</v>
      </c>
      <c r="B56" s="167" t="s">
        <v>1531</v>
      </c>
      <c r="C56" s="167"/>
      <c r="D56" s="201">
        <f t="shared" si="19"/>
        <v>327488003</v>
      </c>
      <c r="E56" s="179">
        <f t="shared" si="20"/>
        <v>4.8374860518618897E-2</v>
      </c>
      <c r="F56" s="201">
        <f t="shared" si="21"/>
        <v>312376818</v>
      </c>
      <c r="G56" s="179">
        <f t="shared" si="20"/>
        <v>-3.3351546395354315E-2</v>
      </c>
      <c r="H56" s="201">
        <f t="shared" si="22"/>
        <v>323154521</v>
      </c>
      <c r="I56" s="179">
        <f t="shared" si="20"/>
        <v>0.13586252242422761</v>
      </c>
      <c r="J56" s="201">
        <f t="shared" si="23"/>
        <v>284501438</v>
      </c>
      <c r="K56" s="179">
        <f t="shared" si="20"/>
        <v>-0.10563830676942684</v>
      </c>
      <c r="L56" s="201">
        <f t="shared" si="24"/>
        <v>318105572</v>
      </c>
      <c r="M56" s="179">
        <f t="shared" si="20"/>
        <v>0.60890572237076646</v>
      </c>
      <c r="N56" s="201">
        <f t="shared" si="25"/>
        <v>197715483</v>
      </c>
      <c r="O56" s="179">
        <f t="shared" si="20"/>
        <v>7.9639494829223931E-2</v>
      </c>
      <c r="P56" s="201">
        <f t="shared" si="26"/>
        <v>183131021</v>
      </c>
      <c r="Q56" s="167"/>
      <c r="R56" s="167">
        <v>327488003</v>
      </c>
      <c r="S56" s="167">
        <v>312376818</v>
      </c>
      <c r="T56" s="167">
        <v>323154521</v>
      </c>
      <c r="U56" s="167">
        <v>284501438</v>
      </c>
      <c r="V56" s="167">
        <v>318105572</v>
      </c>
      <c r="W56" s="167">
        <v>197715483</v>
      </c>
      <c r="X56" s="167">
        <v>183131021</v>
      </c>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364">
        <f t="shared" si="18"/>
        <v>40</v>
      </c>
      <c r="B57" s="167" t="s">
        <v>1459</v>
      </c>
      <c r="C57" s="167"/>
      <c r="D57" s="200">
        <f>SUM(D50:D56)</f>
        <v>764701076</v>
      </c>
      <c r="E57" s="179">
        <f t="shared" si="20"/>
        <v>3.5270604497012872E-2</v>
      </c>
      <c r="F57" s="200">
        <f>SUM(F50:F56)</f>
        <v>738648497</v>
      </c>
      <c r="G57" s="179">
        <f t="shared" si="20"/>
        <v>7.8265112365985701E-3</v>
      </c>
      <c r="H57" s="200">
        <f>SUM(H50:H56)</f>
        <v>732912350.25528514</v>
      </c>
      <c r="I57" s="179">
        <f t="shared" si="20"/>
        <v>-1.8045045361860083E-2</v>
      </c>
      <c r="J57" s="200">
        <f>SUM(J50:J56)</f>
        <v>746380826.11984026</v>
      </c>
      <c r="K57" s="179">
        <f t="shared" si="20"/>
        <v>3.3716368338498656E-2</v>
      </c>
      <c r="L57" s="200">
        <f>SUM(L50:L56)</f>
        <v>722036381.52649617</v>
      </c>
      <c r="M57" s="179">
        <f t="shared" si="20"/>
        <v>0.2952518256530694</v>
      </c>
      <c r="N57" s="200">
        <f>SUM(N50:N56)</f>
        <v>557448649.92754865</v>
      </c>
      <c r="O57" s="179">
        <f t="shared" si="20"/>
        <v>0.22044728070971356</v>
      </c>
      <c r="P57" s="200">
        <f>SUM(P50:P56)</f>
        <v>456757664.78285038</v>
      </c>
      <c r="Q57" s="167"/>
      <c r="R57" s="167">
        <v>764701076</v>
      </c>
      <c r="S57" s="167">
        <v>738648497</v>
      </c>
      <c r="T57" s="167">
        <v>732912350.25528514</v>
      </c>
      <c r="U57" s="167">
        <v>746380826.11984026</v>
      </c>
      <c r="V57" s="167">
        <v>722036381.52649617</v>
      </c>
      <c r="W57" s="167">
        <v>557448649.92754865</v>
      </c>
      <c r="X57" s="167">
        <v>456757664.78285038</v>
      </c>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36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364">
        <f>A57+1</f>
        <v>41</v>
      </c>
      <c r="B59" s="167" t="s">
        <v>1460</v>
      </c>
      <c r="D59" s="203">
        <f>D21+D28+D47+D57</f>
        <v>7569928251</v>
      </c>
      <c r="E59" s="179">
        <f t="shared" ref="E59:O59" si="27">(+D59-F59)/F59</f>
        <v>7.1221124823105275E-2</v>
      </c>
      <c r="F59" s="203">
        <f>F21+F28+F47+F57</f>
        <v>7066634587</v>
      </c>
      <c r="G59" s="179">
        <f t="shared" si="27"/>
        <v>4.2811677853196672E-2</v>
      </c>
      <c r="H59" s="203">
        <f>H21+H28+H47+H57</f>
        <v>6776520379.5452852</v>
      </c>
      <c r="I59" s="179">
        <f t="shared" si="27"/>
        <v>2.2134772214416221E-2</v>
      </c>
      <c r="J59" s="203">
        <f>J21+J28+J47+J57</f>
        <v>6629771888.9498405</v>
      </c>
      <c r="K59" s="179">
        <f t="shared" si="27"/>
        <v>7.302667806757296E-3</v>
      </c>
      <c r="L59" s="203">
        <f>L21+L28+L47+L57</f>
        <v>6581707862.8264961</v>
      </c>
      <c r="M59" s="179">
        <f t="shared" si="27"/>
        <v>6.640410522967799E-2</v>
      </c>
      <c r="N59" s="203">
        <f>N21+N28+N47+N57</f>
        <v>6171870335.5975485</v>
      </c>
      <c r="O59" s="179">
        <f t="shared" si="27"/>
        <v>0.10606923318285959</v>
      </c>
      <c r="P59" s="203">
        <f>P21+P28+P47+P57</f>
        <v>5580003629.4628506</v>
      </c>
      <c r="Q59" s="167"/>
      <c r="R59" s="166">
        <v>7569928251</v>
      </c>
      <c r="S59" s="166">
        <v>7066634587</v>
      </c>
      <c r="T59" s="166">
        <v>6776520379.5452852</v>
      </c>
      <c r="U59" s="166">
        <v>6629771888.9498405</v>
      </c>
      <c r="V59" s="166">
        <v>6581707862.8264961</v>
      </c>
      <c r="W59" s="166">
        <v>6171870335.5975485</v>
      </c>
      <c r="X59" s="166">
        <v>5580003629.4628506</v>
      </c>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364"/>
      <c r="B60" s="167"/>
      <c r="C60" s="167"/>
      <c r="D60" s="167"/>
      <c r="E60" s="167"/>
      <c r="F60" s="167"/>
      <c r="G60" s="167"/>
      <c r="H60" s="167"/>
      <c r="I60" s="167"/>
      <c r="J60" s="167"/>
      <c r="K60" s="167"/>
      <c r="L60" s="167"/>
      <c r="M60" s="167"/>
      <c r="N60" s="167"/>
      <c r="O60" s="167"/>
      <c r="P60" s="167"/>
      <c r="Q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364"/>
      <c r="B61" s="167"/>
      <c r="C61" s="167"/>
      <c r="D61" s="167"/>
      <c r="E61" s="167"/>
      <c r="F61" s="167"/>
      <c r="G61" s="167"/>
      <c r="H61" s="167"/>
      <c r="I61" s="167"/>
      <c r="J61" s="167"/>
      <c r="K61" s="167"/>
      <c r="L61" s="167"/>
      <c r="M61" s="167"/>
      <c r="N61" s="167"/>
      <c r="O61" s="167"/>
      <c r="P61" s="167"/>
      <c r="Q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JURISDICTIONAL</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__X__ ORIGINAL  _____ UPDATED  _____ REVISED</v>
      </c>
      <c r="B68" s="167"/>
      <c r="C68" s="167"/>
      <c r="D68" s="167"/>
      <c r="E68" s="167"/>
      <c r="F68" s="167"/>
      <c r="G68" s="167"/>
      <c r="H68" s="167"/>
      <c r="I68" s="167"/>
      <c r="J68" s="167"/>
      <c r="K68" s="167"/>
      <c r="L68" s="167"/>
      <c r="M68" s="167"/>
      <c r="N68" s="167"/>
      <c r="O68" s="167"/>
      <c r="P68" s="169" t="s">
        <v>2066</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364" t="s">
        <v>1466</v>
      </c>
      <c r="B72" s="167"/>
      <c r="C72" s="167"/>
      <c r="D72" s="364" t="s">
        <v>1462</v>
      </c>
      <c r="E72" s="167"/>
      <c r="F72" s="36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364" t="s">
        <v>1467</v>
      </c>
      <c r="B73" s="364" t="s">
        <v>205</v>
      </c>
      <c r="C73" s="167"/>
      <c r="D73" s="364" t="s">
        <v>1463</v>
      </c>
      <c r="E73" s="364" t="s">
        <v>1464</v>
      </c>
      <c r="F73" s="364" t="s">
        <v>1463</v>
      </c>
      <c r="G73" s="364" t="s">
        <v>1464</v>
      </c>
      <c r="H73" s="175">
        <f>+H12</f>
        <v>2017</v>
      </c>
      <c r="I73" s="364" t="s">
        <v>1464</v>
      </c>
      <c r="J73" s="175">
        <f>+J12</f>
        <v>2016</v>
      </c>
      <c r="K73" s="364" t="s">
        <v>1464</v>
      </c>
      <c r="L73" s="175">
        <f>+L12</f>
        <v>2015</v>
      </c>
      <c r="M73" s="364" t="s">
        <v>1464</v>
      </c>
      <c r="N73" s="175">
        <f>+N12</f>
        <v>2014</v>
      </c>
      <c r="O73" s="36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364">
        <v>1</v>
      </c>
      <c r="B75" s="778" t="s">
        <v>1532</v>
      </c>
      <c r="C75" s="778"/>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364"/>
      <c r="B76" s="365"/>
      <c r="C76" s="365"/>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364">
        <f>A75+1</f>
        <v>2</v>
      </c>
      <c r="B77" s="178" t="s">
        <v>1446</v>
      </c>
      <c r="C77" s="167"/>
      <c r="D77" s="207"/>
      <c r="E77" s="192"/>
      <c r="F77" s="207"/>
      <c r="G77" s="192"/>
      <c r="H77" s="207"/>
      <c r="I77" s="192"/>
      <c r="J77" s="207"/>
      <c r="K77" s="192"/>
      <c r="L77" s="207"/>
      <c r="M77" s="192"/>
      <c r="N77" s="207"/>
      <c r="O77" s="192"/>
      <c r="P77" s="207"/>
      <c r="Q77" s="181"/>
      <c r="R77" s="167" t="s">
        <v>1462</v>
      </c>
      <c r="S77" s="167" t="s">
        <v>1465</v>
      </c>
      <c r="T77" s="468" t="str">
        <f>T16</f>
        <v>2017</v>
      </c>
      <c r="U77" s="468" t="str">
        <f>U16</f>
        <v>2016</v>
      </c>
      <c r="V77" s="468" t="s">
        <v>2261</v>
      </c>
      <c r="W77" s="468" t="s">
        <v>2262</v>
      </c>
      <c r="X77" s="167" t="s">
        <v>2099</v>
      </c>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364">
        <f>A77+1</f>
        <v>3</v>
      </c>
      <c r="B78" s="167" t="s">
        <v>1533</v>
      </c>
      <c r="C78" s="167"/>
      <c r="D78" s="204">
        <f t="shared" ref="D78:D83" si="28">R78</f>
        <v>288942857</v>
      </c>
      <c r="E78" s="179">
        <f t="shared" ref="E78:O84" si="29">(+D78-F78)/F78</f>
        <v>5.0879749027345739E-2</v>
      </c>
      <c r="F78" s="204">
        <f t="shared" ref="F78:F83" si="30">S78</f>
        <v>274953302</v>
      </c>
      <c r="G78" s="179">
        <f t="shared" si="29"/>
        <v>4.8488093010187137E-4</v>
      </c>
      <c r="H78" s="204">
        <f t="shared" ref="H78:H83" si="31">T78</f>
        <v>274820047</v>
      </c>
      <c r="I78" s="179">
        <f t="shared" si="29"/>
        <v>1.1386564802625586E-4</v>
      </c>
      <c r="J78" s="204">
        <f t="shared" ref="J78:J83" si="32">U78</f>
        <v>274788758</v>
      </c>
      <c r="K78" s="179">
        <f t="shared" si="29"/>
        <v>2.4349550236494768E-3</v>
      </c>
      <c r="L78" s="204">
        <f t="shared" ref="L78:L83" si="33">V78</f>
        <v>274121285</v>
      </c>
      <c r="M78" s="179">
        <f t="shared" si="29"/>
        <v>6.8526833734107516E-4</v>
      </c>
      <c r="N78" s="204">
        <f t="shared" ref="N78:N83" si="34">W78</f>
        <v>273933567</v>
      </c>
      <c r="O78" s="179">
        <f t="shared" si="29"/>
        <v>1.0464782664186862E-2</v>
      </c>
      <c r="P78" s="204">
        <f t="shared" ref="P78:P83" si="35">X78</f>
        <v>271096600</v>
      </c>
      <c r="Q78" s="181"/>
      <c r="R78" s="167">
        <v>288942857</v>
      </c>
      <c r="S78" s="167">
        <v>274953302</v>
      </c>
      <c r="T78" s="167">
        <v>274820047</v>
      </c>
      <c r="U78" s="167">
        <v>274788758</v>
      </c>
      <c r="V78" s="167">
        <v>274121285</v>
      </c>
      <c r="W78" s="167">
        <v>273933567</v>
      </c>
      <c r="X78" s="167">
        <v>271096600</v>
      </c>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364">
        <f t="shared" ref="A79:A84" si="36">A78+1</f>
        <v>4</v>
      </c>
      <c r="B79" s="167" t="s">
        <v>1534</v>
      </c>
      <c r="C79" s="167"/>
      <c r="D79" s="195">
        <f t="shared" si="28"/>
        <v>719028576</v>
      </c>
      <c r="E79" s="179">
        <f t="shared" si="29"/>
        <v>0.15919788822207118</v>
      </c>
      <c r="F79" s="195">
        <f t="shared" si="30"/>
        <v>620281130</v>
      </c>
      <c r="G79" s="179">
        <f t="shared" si="29"/>
        <v>0.19118964573787195</v>
      </c>
      <c r="H79" s="195">
        <f t="shared" si="31"/>
        <v>520724078</v>
      </c>
      <c r="I79" s="179">
        <f t="shared" si="29"/>
        <v>1.1386596695403211E-4</v>
      </c>
      <c r="J79" s="195">
        <f t="shared" si="32"/>
        <v>520664792</v>
      </c>
      <c r="K79" s="179">
        <f t="shared" si="29"/>
        <v>3.7991240169000545E-2</v>
      </c>
      <c r="L79" s="195">
        <f t="shared" si="33"/>
        <v>501608079</v>
      </c>
      <c r="M79" s="179">
        <f t="shared" si="29"/>
        <v>6.8526685185948477E-4</v>
      </c>
      <c r="N79" s="195">
        <f t="shared" si="34"/>
        <v>501264579</v>
      </c>
      <c r="O79" s="179">
        <f t="shared" si="29"/>
        <v>0.20492544146637284</v>
      </c>
      <c r="P79" s="195">
        <f t="shared" si="35"/>
        <v>416012943</v>
      </c>
      <c r="Q79" s="167"/>
      <c r="R79" s="167">
        <v>719028576</v>
      </c>
      <c r="S79" s="167">
        <v>620281130</v>
      </c>
      <c r="T79" s="167">
        <v>520724078</v>
      </c>
      <c r="U79" s="167">
        <v>520664792</v>
      </c>
      <c r="V79" s="167">
        <v>501608079</v>
      </c>
      <c r="W79" s="167">
        <v>501264579</v>
      </c>
      <c r="X79" s="167">
        <v>416012943</v>
      </c>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364">
        <f t="shared" si="36"/>
        <v>5</v>
      </c>
      <c r="B80" s="167" t="s">
        <v>1535</v>
      </c>
      <c r="C80" s="167"/>
      <c r="D80" s="195">
        <f t="shared" si="28"/>
        <v>301273</v>
      </c>
      <c r="E80" s="179">
        <f t="shared" si="29"/>
        <v>5.0881452181131971E-2</v>
      </c>
      <c r="F80" s="195">
        <f t="shared" si="30"/>
        <v>286686</v>
      </c>
      <c r="G80" s="179">
        <f t="shared" si="29"/>
        <v>4.8508621622281859E-4</v>
      </c>
      <c r="H80" s="195">
        <f t="shared" si="31"/>
        <v>286547</v>
      </c>
      <c r="I80" s="179">
        <f t="shared" si="29"/>
        <v>1.1517761784764444E-4</v>
      </c>
      <c r="J80" s="195">
        <f t="shared" si="32"/>
        <v>286514</v>
      </c>
      <c r="K80" s="179">
        <f t="shared" si="29"/>
        <v>2.4316088153691672E-3</v>
      </c>
      <c r="L80" s="195">
        <f t="shared" si="33"/>
        <v>285819</v>
      </c>
      <c r="M80" s="179">
        <f t="shared" si="29"/>
        <v>6.862192470494323E-4</v>
      </c>
      <c r="N80" s="195">
        <f t="shared" si="34"/>
        <v>285623</v>
      </c>
      <c r="O80" s="179">
        <f t="shared" si="29"/>
        <v>1.0464684343657688E-2</v>
      </c>
      <c r="P80" s="195">
        <f t="shared" si="35"/>
        <v>282665</v>
      </c>
      <c r="Q80" s="181"/>
      <c r="R80" s="167">
        <v>301273</v>
      </c>
      <c r="S80" s="167">
        <v>286686</v>
      </c>
      <c r="T80" s="167">
        <v>286547</v>
      </c>
      <c r="U80" s="167">
        <v>286514</v>
      </c>
      <c r="V80" s="167">
        <v>285819</v>
      </c>
      <c r="W80" s="167">
        <v>285623</v>
      </c>
      <c r="X80" s="167">
        <v>282665</v>
      </c>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364">
        <f t="shared" si="36"/>
        <v>6</v>
      </c>
      <c r="B81" s="167" t="s">
        <v>1536</v>
      </c>
      <c r="C81" s="167"/>
      <c r="D81" s="195">
        <f t="shared" si="28"/>
        <v>0</v>
      </c>
      <c r="E81" s="179">
        <v>0</v>
      </c>
      <c r="F81" s="195">
        <f t="shared" si="30"/>
        <v>0</v>
      </c>
      <c r="G81" s="179">
        <v>0</v>
      </c>
      <c r="H81" s="195">
        <f t="shared" si="31"/>
        <v>0</v>
      </c>
      <c r="I81" s="179">
        <f t="shared" si="29"/>
        <v>-1</v>
      </c>
      <c r="J81" s="195">
        <f t="shared" si="32"/>
        <v>-1616953</v>
      </c>
      <c r="K81" s="179">
        <f t="shared" si="29"/>
        <v>0.11701118632523033</v>
      </c>
      <c r="L81" s="195">
        <f t="shared" si="33"/>
        <v>-1447571</v>
      </c>
      <c r="M81" s="179">
        <v>1</v>
      </c>
      <c r="N81" s="201">
        <f t="shared" si="34"/>
        <v>-1095689</v>
      </c>
      <c r="O81" s="179">
        <v>0</v>
      </c>
      <c r="P81" s="201">
        <f t="shared" si="35"/>
        <v>-806780</v>
      </c>
      <c r="Q81" s="181"/>
      <c r="R81" s="167">
        <v>0</v>
      </c>
      <c r="S81" s="167">
        <v>0</v>
      </c>
      <c r="T81" s="195">
        <v>0</v>
      </c>
      <c r="U81" s="195">
        <v>-1616953</v>
      </c>
      <c r="V81" s="195">
        <v>-1447571</v>
      </c>
      <c r="W81" s="195">
        <v>-1095689</v>
      </c>
      <c r="X81" s="195">
        <v>-806780</v>
      </c>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364">
        <f t="shared" si="36"/>
        <v>7</v>
      </c>
      <c r="B82" s="167" t="s">
        <v>1537</v>
      </c>
      <c r="C82" s="167"/>
      <c r="D82" s="195">
        <f t="shared" si="28"/>
        <v>1807256406</v>
      </c>
      <c r="E82" s="179">
        <f t="shared" si="29"/>
        <v>7.1792571635522329E-2</v>
      </c>
      <c r="F82" s="195">
        <f t="shared" si="30"/>
        <v>1686199787</v>
      </c>
      <c r="G82" s="179">
        <f t="shared" si="29"/>
        <v>1.7665373113950618E-2</v>
      </c>
      <c r="H82" s="195">
        <f t="shared" si="31"/>
        <v>1656929509</v>
      </c>
      <c r="I82" s="179">
        <f t="shared" si="29"/>
        <v>1.7145728595759621E-2</v>
      </c>
      <c r="J82" s="195">
        <f t="shared" si="32"/>
        <v>1628999132</v>
      </c>
      <c r="K82" s="179">
        <f t="shared" si="29"/>
        <v>1.2079881883591905E-2</v>
      </c>
      <c r="L82" s="195">
        <f t="shared" si="33"/>
        <v>1609555887</v>
      </c>
      <c r="M82" s="179">
        <f t="shared" si="29"/>
        <v>4.7170339702767516E-2</v>
      </c>
      <c r="N82" s="195">
        <f t="shared" si="34"/>
        <v>1537052594</v>
      </c>
      <c r="O82" s="179">
        <f t="shared" si="29"/>
        <v>5.4022198426410907E-2</v>
      </c>
      <c r="P82" s="195">
        <f t="shared" si="35"/>
        <v>1458273456</v>
      </c>
      <c r="Q82" s="181"/>
      <c r="R82" s="167">
        <v>1807256406</v>
      </c>
      <c r="S82" s="167">
        <v>1686199787</v>
      </c>
      <c r="T82" s="167">
        <v>1656929509</v>
      </c>
      <c r="U82" s="167">
        <v>1628999132</v>
      </c>
      <c r="V82" s="167">
        <v>1609555887</v>
      </c>
      <c r="W82" s="167">
        <v>1537052594</v>
      </c>
      <c r="X82" s="167">
        <v>1458273456</v>
      </c>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364">
        <f t="shared" si="36"/>
        <v>8</v>
      </c>
      <c r="B83" s="167" t="s">
        <v>1538</v>
      </c>
      <c r="C83" s="167"/>
      <c r="D83" s="206">
        <f t="shared" si="28"/>
        <v>0</v>
      </c>
      <c r="E83" s="179">
        <v>0</v>
      </c>
      <c r="F83" s="206">
        <f t="shared" si="30"/>
        <v>0</v>
      </c>
      <c r="G83" s="179">
        <v>0</v>
      </c>
      <c r="H83" s="206">
        <f t="shared" si="31"/>
        <v>0</v>
      </c>
      <c r="I83" s="179">
        <v>0</v>
      </c>
      <c r="J83" s="206">
        <f t="shared" si="32"/>
        <v>0</v>
      </c>
      <c r="K83" s="179">
        <v>0</v>
      </c>
      <c r="L83" s="206">
        <f t="shared" si="33"/>
        <v>0</v>
      </c>
      <c r="M83" s="179">
        <v>0</v>
      </c>
      <c r="N83" s="206">
        <f t="shared" si="34"/>
        <v>0</v>
      </c>
      <c r="O83" s="179">
        <v>0</v>
      </c>
      <c r="P83" s="206">
        <f t="shared" si="35"/>
        <v>0</v>
      </c>
      <c r="Q83" s="181"/>
      <c r="R83" s="167">
        <v>0</v>
      </c>
      <c r="S83" s="167">
        <v>0</v>
      </c>
      <c r="T83" s="167"/>
      <c r="U83" s="167"/>
      <c r="V83" s="167">
        <v>0</v>
      </c>
      <c r="W83" s="167">
        <v>0</v>
      </c>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364">
        <f t="shared" si="36"/>
        <v>9</v>
      </c>
      <c r="B84" s="167" t="s">
        <v>1539</v>
      </c>
      <c r="C84" s="167"/>
      <c r="D84" s="200">
        <f>SUM(D78,D79,-D80,D81,D82,D83)</f>
        <v>2814926566</v>
      </c>
      <c r="E84" s="179">
        <f t="shared" si="29"/>
        <v>9.057174377331495E-2</v>
      </c>
      <c r="F84" s="200">
        <f>SUM(F78,F79,-F80,F81,F82,F83)</f>
        <v>2581147533</v>
      </c>
      <c r="G84" s="179">
        <f t="shared" si="29"/>
        <v>5.2589970269262737E-2</v>
      </c>
      <c r="H84" s="200">
        <f>SUM(H78,H79,-H80,H81,H82,H83)</f>
        <v>2452187087</v>
      </c>
      <c r="I84" s="179">
        <f t="shared" si="29"/>
        <v>1.2234167139510518E-2</v>
      </c>
      <c r="J84" s="200">
        <f>SUM(J78,J79,-J80,J81,J82,J83)</f>
        <v>2422549215</v>
      </c>
      <c r="K84" s="179">
        <f t="shared" si="29"/>
        <v>1.6361026012515194E-2</v>
      </c>
      <c r="L84" s="200">
        <f>SUM(L78,L79,-L80,L81,L82,L83)</f>
        <v>2383551861</v>
      </c>
      <c r="M84" s="179">
        <f t="shared" si="29"/>
        <v>3.1452418782010043E-2</v>
      </c>
      <c r="N84" s="200">
        <f>SUM(N78,N79,-N80,N81,N82,N83)</f>
        <v>2310869428</v>
      </c>
      <c r="O84" s="179">
        <f t="shared" si="29"/>
        <v>7.7683334769750464E-2</v>
      </c>
      <c r="P84" s="200">
        <f>SUM(P78,P79,-P80,P81,P82,P83)</f>
        <v>2144293554</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36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364">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364">
        <f t="shared" ref="A87:A90" si="37">A86+1</f>
        <v>11</v>
      </c>
      <c r="B87" s="167" t="s">
        <v>1540</v>
      </c>
      <c r="C87" s="167"/>
      <c r="D87" s="204">
        <f>R87</f>
        <v>2455625769</v>
      </c>
      <c r="E87" s="179">
        <f t="shared" ref="E87:O90" si="38">(+D87-F87)/F87</f>
        <v>0.17514584381456022</v>
      </c>
      <c r="F87" s="204">
        <f>S87</f>
        <v>2089634901</v>
      </c>
      <c r="G87" s="179">
        <f t="shared" si="38"/>
        <v>-3.3144240508319964E-3</v>
      </c>
      <c r="H87" s="204">
        <f t="shared" ref="H87:H89" si="39">T87</f>
        <v>2096583869</v>
      </c>
      <c r="I87" s="179">
        <f t="shared" si="38"/>
        <v>1.138653136151861E-4</v>
      </c>
      <c r="J87" s="204">
        <f t="shared" ref="J87:J89" si="40">U87</f>
        <v>2096345168</v>
      </c>
      <c r="K87" s="179">
        <f t="shared" si="38"/>
        <v>2.4349544741993543E-3</v>
      </c>
      <c r="L87" s="204">
        <f t="shared" ref="L87:L89" si="41">V87</f>
        <v>2091253062</v>
      </c>
      <c r="M87" s="179">
        <f t="shared" si="38"/>
        <v>0.11977026893731489</v>
      </c>
      <c r="N87" s="204">
        <f t="shared" ref="N87:N89" si="42">W87</f>
        <v>1867573305</v>
      </c>
      <c r="O87" s="179">
        <f t="shared" si="38"/>
        <v>1.0464781698469936E-2</v>
      </c>
      <c r="P87" s="204">
        <f t="shared" ref="P87:P89" si="43">X87</f>
        <v>1848231961</v>
      </c>
      <c r="Q87" s="167"/>
      <c r="R87" s="167">
        <v>2455625769</v>
      </c>
      <c r="S87" s="167">
        <v>2089634901</v>
      </c>
      <c r="T87" s="167">
        <v>2096583869</v>
      </c>
      <c r="U87" s="167">
        <v>2096345168</v>
      </c>
      <c r="V87" s="167">
        <v>2091253062</v>
      </c>
      <c r="W87" s="167">
        <v>1867573305</v>
      </c>
      <c r="X87" s="167">
        <v>1848231961</v>
      </c>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364">
        <f t="shared" si="37"/>
        <v>12</v>
      </c>
      <c r="B88" s="167" t="s">
        <v>1562</v>
      </c>
      <c r="C88" s="167"/>
      <c r="D88" s="201">
        <f>R88</f>
        <v>0</v>
      </c>
      <c r="E88" s="179">
        <v>0</v>
      </c>
      <c r="F88" s="201">
        <f>S88</f>
        <v>0</v>
      </c>
      <c r="G88" s="179">
        <v>0</v>
      </c>
      <c r="H88" s="201">
        <f t="shared" si="39"/>
        <v>0</v>
      </c>
      <c r="I88" s="179">
        <v>0</v>
      </c>
      <c r="J88" s="201">
        <f t="shared" si="40"/>
        <v>0</v>
      </c>
      <c r="K88" s="179">
        <v>0</v>
      </c>
      <c r="L88" s="201">
        <f t="shared" si="41"/>
        <v>0</v>
      </c>
      <c r="M88" s="179">
        <v>0</v>
      </c>
      <c r="N88" s="201">
        <f t="shared" si="42"/>
        <v>0</v>
      </c>
      <c r="O88" s="179">
        <v>0</v>
      </c>
      <c r="P88" s="201">
        <f t="shared" si="43"/>
        <v>0</v>
      </c>
      <c r="Q88" s="181"/>
      <c r="R88" s="167">
        <v>0</v>
      </c>
      <c r="S88" s="167">
        <v>0</v>
      </c>
      <c r="T88" s="167"/>
      <c r="U88" s="167"/>
      <c r="V88" s="167">
        <v>0</v>
      </c>
      <c r="W88" s="167">
        <v>0</v>
      </c>
      <c r="X88" s="167">
        <v>0</v>
      </c>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364">
        <f t="shared" si="37"/>
        <v>13</v>
      </c>
      <c r="B89" s="167" t="s">
        <v>1541</v>
      </c>
      <c r="C89" s="167"/>
      <c r="D89" s="195">
        <f>R89</f>
        <v>-7108022</v>
      </c>
      <c r="E89" s="179">
        <f t="shared" si="38"/>
        <v>-7.7405213199020417E-3</v>
      </c>
      <c r="F89" s="195">
        <f>S89</f>
        <v>-7163471</v>
      </c>
      <c r="G89" s="179">
        <f t="shared" si="38"/>
        <v>-6.2782386439013946E-2</v>
      </c>
      <c r="H89" s="195">
        <f t="shared" si="39"/>
        <v>-7643338</v>
      </c>
      <c r="I89" s="179">
        <f t="shared" si="38"/>
        <v>-5.8687726104158004E-2</v>
      </c>
      <c r="J89" s="195">
        <f t="shared" si="40"/>
        <v>-8119875</v>
      </c>
      <c r="K89" s="179">
        <f t="shared" si="38"/>
        <v>-5.4021669761337175E-2</v>
      </c>
      <c r="L89" s="195">
        <f t="shared" si="41"/>
        <v>-8583574</v>
      </c>
      <c r="M89" s="179">
        <f t="shared" si="38"/>
        <v>-3.5543838584453258E-2</v>
      </c>
      <c r="N89" s="195">
        <f t="shared" si="42"/>
        <v>-8899911</v>
      </c>
      <c r="O89" s="179">
        <f t="shared" si="38"/>
        <v>-5.5445981476792076E-2</v>
      </c>
      <c r="P89" s="195">
        <f t="shared" si="43"/>
        <v>-9422342</v>
      </c>
      <c r="Q89" s="181"/>
      <c r="R89" s="167">
        <v>-7108022</v>
      </c>
      <c r="S89" s="167">
        <v>-7163471</v>
      </c>
      <c r="T89" s="167">
        <v>-7643338</v>
      </c>
      <c r="U89" s="167">
        <v>-8119875</v>
      </c>
      <c r="V89" s="167">
        <v>-8583574</v>
      </c>
      <c r="W89" s="167">
        <v>-8899911</v>
      </c>
      <c r="X89" s="167">
        <v>-9422342</v>
      </c>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364">
        <f t="shared" si="37"/>
        <v>14</v>
      </c>
      <c r="B90" s="167" t="s">
        <v>1542</v>
      </c>
      <c r="C90" s="167"/>
      <c r="D90" s="200">
        <f>SUM(D87:D89)</f>
        <v>2448517747</v>
      </c>
      <c r="E90" s="179">
        <f t="shared" si="38"/>
        <v>0.17577495264845003</v>
      </c>
      <c r="F90" s="200">
        <f>SUM(F87:F89)</f>
        <v>2082471430</v>
      </c>
      <c r="G90" s="179">
        <f t="shared" si="38"/>
        <v>-3.0968334923843748E-3</v>
      </c>
      <c r="H90" s="200">
        <f>SUM(H87:H89)</f>
        <v>2088940531</v>
      </c>
      <c r="I90" s="179">
        <f t="shared" si="38"/>
        <v>3.4250997840011316E-4</v>
      </c>
      <c r="J90" s="200">
        <f>SUM(J87:J89)</f>
        <v>2088225293</v>
      </c>
      <c r="K90" s="179">
        <f t="shared" si="38"/>
        <v>2.6676364310379719E-3</v>
      </c>
      <c r="L90" s="200">
        <f>SUM(L87:L89)</f>
        <v>2082669488</v>
      </c>
      <c r="M90" s="179">
        <f t="shared" si="38"/>
        <v>0.1205139615830752</v>
      </c>
      <c r="N90" s="200">
        <f>SUM(N87:N89)</f>
        <v>1858673394</v>
      </c>
      <c r="O90" s="179">
        <f t="shared" si="38"/>
        <v>1.080251853957699E-2</v>
      </c>
      <c r="P90" s="200">
        <f>SUM(P87:P89)</f>
        <v>1838809619</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36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364">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364">
        <f>A92+1</f>
        <v>16</v>
      </c>
      <c r="B93" s="167" t="s">
        <v>1544</v>
      </c>
      <c r="C93" s="167"/>
      <c r="D93" s="204">
        <f>R93</f>
        <v>3008668</v>
      </c>
      <c r="E93" s="179">
        <f t="shared" ref="E93:O95" si="44">(+D93-F93)/F93</f>
        <v>3.9407531060433584E-2</v>
      </c>
      <c r="F93" s="204">
        <f>S93</f>
        <v>2894599</v>
      </c>
      <c r="G93" s="179">
        <f t="shared" si="44"/>
        <v>-6.3779516862712632E-2</v>
      </c>
      <c r="H93" s="204">
        <f t="shared" ref="H93:H94" si="45">T93</f>
        <v>3091792</v>
      </c>
      <c r="I93" s="179">
        <f t="shared" si="44"/>
        <v>0.72127977855682246</v>
      </c>
      <c r="J93" s="204">
        <f t="shared" ref="J93:J94" si="46">U93</f>
        <v>1796217</v>
      </c>
      <c r="K93" s="179">
        <f t="shared" si="44"/>
        <v>-0.14967830384156008</v>
      </c>
      <c r="L93" s="204">
        <f t="shared" ref="L93:L94" si="47">V93</f>
        <v>2112397</v>
      </c>
      <c r="M93" s="179">
        <f t="shared" si="44"/>
        <v>0.14229560428626431</v>
      </c>
      <c r="N93" s="204">
        <f t="shared" ref="N93:N94" si="48">W93</f>
        <v>1849256</v>
      </c>
      <c r="O93" s="179">
        <f t="shared" si="44"/>
        <v>-5.3125176010363491E-2</v>
      </c>
      <c r="P93" s="204">
        <f t="shared" ref="P93:P94" si="49">X93</f>
        <v>1953010</v>
      </c>
      <c r="Q93" s="181"/>
      <c r="R93" s="167">
        <v>3008668</v>
      </c>
      <c r="S93" s="167">
        <v>2894599</v>
      </c>
      <c r="T93" s="167">
        <v>3091792</v>
      </c>
      <c r="U93" s="167">
        <v>1796217</v>
      </c>
      <c r="V93" s="167">
        <v>2112397</v>
      </c>
      <c r="W93" s="167">
        <v>1849256</v>
      </c>
      <c r="X93" s="167">
        <v>1953010</v>
      </c>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364">
        <f t="shared" ref="A94:A95" si="50">A93+1</f>
        <v>17</v>
      </c>
      <c r="B94" s="167" t="s">
        <v>1545</v>
      </c>
      <c r="C94" s="167"/>
      <c r="D94" s="195">
        <f>R94</f>
        <v>24131063</v>
      </c>
      <c r="E94" s="179">
        <f t="shared" si="44"/>
        <v>-8.1136525788216285E-2</v>
      </c>
      <c r="F94" s="195">
        <f>S94</f>
        <v>26261859</v>
      </c>
      <c r="G94" s="179">
        <f t="shared" si="44"/>
        <v>-0.61139432809944982</v>
      </c>
      <c r="H94" s="195">
        <f t="shared" si="45"/>
        <v>67579711</v>
      </c>
      <c r="I94" s="179">
        <f t="shared" si="44"/>
        <v>-0.30386690710658509</v>
      </c>
      <c r="J94" s="195">
        <f t="shared" si="46"/>
        <v>97078722</v>
      </c>
      <c r="K94" s="179">
        <f t="shared" si="44"/>
        <v>0.1491534115142</v>
      </c>
      <c r="L94" s="195">
        <f t="shared" si="47"/>
        <v>84478470</v>
      </c>
      <c r="M94" s="179">
        <f t="shared" si="44"/>
        <v>-0.20371925267811514</v>
      </c>
      <c r="N94" s="195">
        <f t="shared" si="48"/>
        <v>106091313</v>
      </c>
      <c r="O94" s="179">
        <f t="shared" si="44"/>
        <v>0.9721329665522469</v>
      </c>
      <c r="P94" s="195">
        <f t="shared" si="49"/>
        <v>53795213</v>
      </c>
      <c r="Q94" s="181"/>
      <c r="R94" s="167">
        <v>24131063</v>
      </c>
      <c r="S94" s="167">
        <v>26261859</v>
      </c>
      <c r="T94" s="167">
        <v>67579711</v>
      </c>
      <c r="U94" s="167">
        <v>97078722</v>
      </c>
      <c r="V94" s="167">
        <v>84478470</v>
      </c>
      <c r="W94" s="167">
        <v>106091313</v>
      </c>
      <c r="X94" s="167">
        <v>53795213</v>
      </c>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364">
        <f t="shared" si="50"/>
        <v>18</v>
      </c>
      <c r="B95" s="167" t="s">
        <v>1546</v>
      </c>
      <c r="C95" s="167"/>
      <c r="D95" s="200">
        <f>SUM(D93:D94)</f>
        <v>27139731</v>
      </c>
      <c r="E95" s="179">
        <f t="shared" si="44"/>
        <v>-6.9169135702285917E-2</v>
      </c>
      <c r="F95" s="200">
        <f>SUM(F93:F94)</f>
        <v>29156458</v>
      </c>
      <c r="G95" s="179">
        <f t="shared" si="44"/>
        <v>-0.58743684848474209</v>
      </c>
      <c r="H95" s="200">
        <f>SUM(H93:H94)</f>
        <v>70671503</v>
      </c>
      <c r="I95" s="179">
        <f t="shared" si="44"/>
        <v>-0.28524352363949373</v>
      </c>
      <c r="J95" s="200">
        <f>SUM(J93:J94)</f>
        <v>98874939</v>
      </c>
      <c r="K95" s="179">
        <f t="shared" si="44"/>
        <v>0.14186336764592045</v>
      </c>
      <c r="L95" s="200">
        <f>SUM(L93:L94)</f>
        <v>86590867</v>
      </c>
      <c r="M95" s="179">
        <f t="shared" si="44"/>
        <v>-0.19779126789668861</v>
      </c>
      <c r="N95" s="200">
        <f>SUM(N93:N94)</f>
        <v>107940569</v>
      </c>
      <c r="O95" s="179">
        <f t="shared" si="44"/>
        <v>0.93621541981705858</v>
      </c>
      <c r="P95" s="200">
        <f>SUM(P93:P94)</f>
        <v>55748223</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36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364">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364">
        <f>A97+1</f>
        <v>20</v>
      </c>
      <c r="B98" s="167" t="s">
        <v>1560</v>
      </c>
      <c r="C98" s="167"/>
      <c r="D98" s="204">
        <f t="shared" ref="D98:D106" si="51">R98</f>
        <v>66331407</v>
      </c>
      <c r="E98" s="179">
        <f t="shared" ref="E98:O107" si="52">(+D98-F98)/F98</f>
        <v>-0.71025084934167071</v>
      </c>
      <c r="F98" s="204">
        <f t="shared" ref="F98:F106" si="53">S98</f>
        <v>228927011</v>
      </c>
      <c r="G98" s="179">
        <f t="shared" si="52"/>
        <v>4.7094627156592335</v>
      </c>
      <c r="H98" s="204">
        <f t="shared" ref="H98:H106" si="54">T98</f>
        <v>40096069</v>
      </c>
      <c r="I98" s="179">
        <f t="shared" si="52"/>
        <v>1.8102943816146955</v>
      </c>
      <c r="J98" s="204">
        <f t="shared" ref="J98:J106" si="55">U98</f>
        <v>14267569</v>
      </c>
      <c r="K98" s="179">
        <f t="shared" si="52"/>
        <v>-0.66585105912582043</v>
      </c>
      <c r="L98" s="204">
        <f t="shared" ref="L98:L106" si="56">V98</f>
        <v>42698232</v>
      </c>
      <c r="M98" s="179">
        <f t="shared" si="52"/>
        <v>-0.7961308307552365</v>
      </c>
      <c r="N98" s="204">
        <f t="shared" ref="N98:N106" si="57">W98</f>
        <v>209439378</v>
      </c>
      <c r="O98" s="179">
        <v>1</v>
      </c>
      <c r="P98" s="204">
        <f t="shared" ref="P98:P106" si="58">X98</f>
        <v>131938878</v>
      </c>
      <c r="Q98" s="167"/>
      <c r="R98" s="167">
        <v>66331407</v>
      </c>
      <c r="S98" s="167">
        <v>228927011</v>
      </c>
      <c r="T98" s="167">
        <v>40096069</v>
      </c>
      <c r="U98" s="167">
        <v>14267569</v>
      </c>
      <c r="V98" s="167">
        <v>42698232</v>
      </c>
      <c r="W98" s="167">
        <v>209439378</v>
      </c>
      <c r="X98" s="167">
        <v>131938878</v>
      </c>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364">
        <f>A98+1</f>
        <v>21</v>
      </c>
      <c r="B99" s="167" t="s">
        <v>1547</v>
      </c>
      <c r="C99" s="167"/>
      <c r="D99" s="195">
        <f t="shared" si="51"/>
        <v>126445043</v>
      </c>
      <c r="E99" s="179">
        <f t="shared" si="52"/>
        <v>-4.6463856019069966E-2</v>
      </c>
      <c r="F99" s="195">
        <f t="shared" si="53"/>
        <v>132606450</v>
      </c>
      <c r="G99" s="179">
        <f t="shared" si="52"/>
        <v>-7.8790585064153693E-2</v>
      </c>
      <c r="H99" s="195">
        <f t="shared" si="54"/>
        <v>143948214</v>
      </c>
      <c r="I99" s="179">
        <f t="shared" si="52"/>
        <v>0.75879177093700501</v>
      </c>
      <c r="J99" s="195">
        <f t="shared" si="55"/>
        <v>81844944</v>
      </c>
      <c r="K99" s="179">
        <f t="shared" si="52"/>
        <v>-0.16224469851612958</v>
      </c>
      <c r="L99" s="195">
        <f t="shared" si="56"/>
        <v>97695525</v>
      </c>
      <c r="M99" s="179">
        <f t="shared" si="52"/>
        <v>-0.2923497395014279</v>
      </c>
      <c r="N99" s="195">
        <f t="shared" si="57"/>
        <v>138056227</v>
      </c>
      <c r="O99" s="179">
        <f t="shared" si="52"/>
        <v>-0.10567986476597908</v>
      </c>
      <c r="P99" s="195">
        <f t="shared" si="58"/>
        <v>154370031</v>
      </c>
      <c r="Q99" s="167"/>
      <c r="R99" s="167">
        <v>126445043</v>
      </c>
      <c r="S99" s="167">
        <v>132606450</v>
      </c>
      <c r="T99" s="167">
        <v>143948214</v>
      </c>
      <c r="U99" s="167">
        <v>81844944</v>
      </c>
      <c r="V99" s="167">
        <v>97695525</v>
      </c>
      <c r="W99" s="167">
        <v>138056227</v>
      </c>
      <c r="X99" s="167">
        <v>154370031</v>
      </c>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364">
        <f>A99+1</f>
        <v>22</v>
      </c>
      <c r="B100" s="167" t="s">
        <v>1561</v>
      </c>
      <c r="C100" s="167"/>
      <c r="D100" s="201">
        <f t="shared" si="51"/>
        <v>0</v>
      </c>
      <c r="E100" s="179">
        <v>0</v>
      </c>
      <c r="F100" s="201">
        <f t="shared" si="53"/>
        <v>0</v>
      </c>
      <c r="G100" s="179">
        <v>0</v>
      </c>
      <c r="H100" s="201">
        <f t="shared" si="54"/>
        <v>0</v>
      </c>
      <c r="I100" s="179">
        <v>0</v>
      </c>
      <c r="J100" s="201">
        <f t="shared" si="55"/>
        <v>0</v>
      </c>
      <c r="K100" s="179">
        <v>0</v>
      </c>
      <c r="L100" s="201">
        <f t="shared" si="56"/>
        <v>0</v>
      </c>
      <c r="M100" s="179">
        <v>0</v>
      </c>
      <c r="N100" s="201">
        <f t="shared" si="57"/>
        <v>0</v>
      </c>
      <c r="O100" s="179">
        <v>0</v>
      </c>
      <c r="P100" s="201">
        <f t="shared" si="58"/>
        <v>0</v>
      </c>
      <c r="Q100" s="167"/>
      <c r="R100" s="167">
        <v>0</v>
      </c>
      <c r="S100" s="167">
        <v>0</v>
      </c>
      <c r="T100" s="167">
        <v>0</v>
      </c>
      <c r="U100" s="167">
        <v>0</v>
      </c>
      <c r="V100" s="167">
        <v>0</v>
      </c>
      <c r="W100" s="167">
        <v>0</v>
      </c>
      <c r="X100" s="167">
        <v>0</v>
      </c>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364">
        <f>A100+1</f>
        <v>23</v>
      </c>
      <c r="B101" s="167" t="s">
        <v>1548</v>
      </c>
      <c r="C101" s="167"/>
      <c r="D101" s="201">
        <f t="shared" si="51"/>
        <v>0</v>
      </c>
      <c r="E101" s="179">
        <v>0</v>
      </c>
      <c r="F101" s="201">
        <f t="shared" si="53"/>
        <v>0</v>
      </c>
      <c r="G101" s="179">
        <v>0</v>
      </c>
      <c r="H101" s="201">
        <f t="shared" si="54"/>
        <v>0</v>
      </c>
      <c r="I101" s="179">
        <v>0</v>
      </c>
      <c r="J101" s="201">
        <f t="shared" si="55"/>
        <v>0</v>
      </c>
      <c r="K101" s="179">
        <v>0</v>
      </c>
      <c r="L101" s="201">
        <f t="shared" si="56"/>
        <v>0</v>
      </c>
      <c r="M101" s="179">
        <v>0</v>
      </c>
      <c r="N101" s="201">
        <f t="shared" si="57"/>
        <v>0</v>
      </c>
      <c r="O101" s="179">
        <v>0</v>
      </c>
      <c r="P101" s="201">
        <f t="shared" si="58"/>
        <v>0</v>
      </c>
      <c r="Q101" s="167"/>
      <c r="R101" s="167">
        <v>0</v>
      </c>
      <c r="S101" s="167">
        <v>0</v>
      </c>
      <c r="T101" s="167">
        <v>0</v>
      </c>
      <c r="U101" s="167">
        <v>0</v>
      </c>
      <c r="V101" s="167">
        <v>0</v>
      </c>
      <c r="W101" s="167">
        <v>0</v>
      </c>
      <c r="X101" s="167">
        <v>0</v>
      </c>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364">
        <f t="shared" ref="A102:A107" si="59">A101+1</f>
        <v>24</v>
      </c>
      <c r="B102" s="167" t="s">
        <v>1549</v>
      </c>
      <c r="C102" s="167"/>
      <c r="D102" s="195">
        <f t="shared" si="51"/>
        <v>29187851</v>
      </c>
      <c r="E102" s="179">
        <f t="shared" si="52"/>
        <v>0</v>
      </c>
      <c r="F102" s="195">
        <f t="shared" si="53"/>
        <v>29187851</v>
      </c>
      <c r="G102" s="179">
        <f t="shared" si="52"/>
        <v>1.0262653677969876E-2</v>
      </c>
      <c r="H102" s="195">
        <f t="shared" si="54"/>
        <v>28891349.09</v>
      </c>
      <c r="I102" s="179">
        <f t="shared" si="52"/>
        <v>6.8729618934138106E-2</v>
      </c>
      <c r="J102" s="195">
        <f t="shared" si="55"/>
        <v>27033356.780000001</v>
      </c>
      <c r="K102" s="179">
        <f t="shared" si="52"/>
        <v>8.5325965520765629E-2</v>
      </c>
      <c r="L102" s="195">
        <f t="shared" si="56"/>
        <v>24908053.100000001</v>
      </c>
      <c r="M102" s="179">
        <f t="shared" si="52"/>
        <v>-3.9080143767254008E-2</v>
      </c>
      <c r="N102" s="195">
        <f t="shared" si="57"/>
        <v>25921051.52</v>
      </c>
      <c r="O102" s="179">
        <f t="shared" si="52"/>
        <v>4.7313067011746562E-2</v>
      </c>
      <c r="P102" s="195">
        <f t="shared" si="58"/>
        <v>24750050.712113641</v>
      </c>
      <c r="Q102" s="167"/>
      <c r="R102" s="167">
        <v>29187851</v>
      </c>
      <c r="S102" s="167">
        <v>29187851</v>
      </c>
      <c r="T102" s="167">
        <v>28891349.09</v>
      </c>
      <c r="U102" s="167">
        <v>27033356.780000001</v>
      </c>
      <c r="V102" s="167">
        <v>24908053.100000001</v>
      </c>
      <c r="W102" s="167">
        <v>25921051.52</v>
      </c>
      <c r="X102" s="167">
        <v>24750050.712113641</v>
      </c>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364">
        <f t="shared" si="59"/>
        <v>25</v>
      </c>
      <c r="B103" s="167" t="s">
        <v>1550</v>
      </c>
      <c r="C103" s="167"/>
      <c r="D103" s="195">
        <f t="shared" si="51"/>
        <v>22791279</v>
      </c>
      <c r="E103" s="179">
        <f t="shared" si="52"/>
        <v>0.3781498768472385</v>
      </c>
      <c r="F103" s="195">
        <f t="shared" si="53"/>
        <v>16537591</v>
      </c>
      <c r="G103" s="179">
        <f t="shared" si="52"/>
        <v>-1.5549792845433268E-2</v>
      </c>
      <c r="H103" s="195">
        <f t="shared" si="54"/>
        <v>16798809</v>
      </c>
      <c r="I103" s="179">
        <f t="shared" si="52"/>
        <v>-0.58253609262411488</v>
      </c>
      <c r="J103" s="195">
        <f t="shared" si="55"/>
        <v>40240147</v>
      </c>
      <c r="K103" s="179">
        <f t="shared" si="52"/>
        <v>1.214360848042078</v>
      </c>
      <c r="L103" s="195">
        <f t="shared" si="56"/>
        <v>18172353</v>
      </c>
      <c r="M103" s="179">
        <f t="shared" si="52"/>
        <v>0.46282381011028922</v>
      </c>
      <c r="N103" s="195">
        <f t="shared" si="57"/>
        <v>12422790</v>
      </c>
      <c r="O103" s="179">
        <f t="shared" si="52"/>
        <v>-0.56571776918000405</v>
      </c>
      <c r="P103" s="195">
        <f t="shared" si="58"/>
        <v>28605338</v>
      </c>
      <c r="Q103" s="181"/>
      <c r="R103" s="167">
        <v>22791279</v>
      </c>
      <c r="S103" s="167">
        <v>16537591</v>
      </c>
      <c r="T103" s="167">
        <v>16798809</v>
      </c>
      <c r="U103" s="167">
        <v>40240147</v>
      </c>
      <c r="V103" s="167">
        <v>18172353</v>
      </c>
      <c r="W103" s="167">
        <v>12422790</v>
      </c>
      <c r="X103" s="167">
        <v>28605338</v>
      </c>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364">
        <f t="shared" si="59"/>
        <v>26</v>
      </c>
      <c r="B104" s="167" t="s">
        <v>1551</v>
      </c>
      <c r="C104" s="167"/>
      <c r="D104" s="195">
        <f t="shared" si="51"/>
        <v>27720080</v>
      </c>
      <c r="E104" s="179">
        <f t="shared" si="52"/>
        <v>0.92941735592211439</v>
      </c>
      <c r="F104" s="195">
        <f t="shared" si="53"/>
        <v>14367073</v>
      </c>
      <c r="G104" s="179">
        <f t="shared" si="52"/>
        <v>-3.2338711439857332E-3</v>
      </c>
      <c r="H104" s="195">
        <f t="shared" si="54"/>
        <v>14413685</v>
      </c>
      <c r="I104" s="179">
        <f t="shared" si="52"/>
        <v>8.8257736471367525E-3</v>
      </c>
      <c r="J104" s="195">
        <f t="shared" si="55"/>
        <v>14287586</v>
      </c>
      <c r="K104" s="179">
        <f t="shared" si="52"/>
        <v>1.9024820335326507E-2</v>
      </c>
      <c r="L104" s="195">
        <f t="shared" si="56"/>
        <v>14020842</v>
      </c>
      <c r="M104" s="179">
        <f t="shared" si="52"/>
        <v>0.35678022293211825</v>
      </c>
      <c r="N104" s="195">
        <f t="shared" si="57"/>
        <v>10333908</v>
      </c>
      <c r="O104" s="179">
        <f t="shared" si="52"/>
        <v>1.9231533611909987E-2</v>
      </c>
      <c r="P104" s="195">
        <f t="shared" si="58"/>
        <v>10138921</v>
      </c>
      <c r="Q104" s="181"/>
      <c r="R104" s="167">
        <v>27720080</v>
      </c>
      <c r="S104" s="167">
        <v>14367073</v>
      </c>
      <c r="T104" s="167">
        <v>14413685</v>
      </c>
      <c r="U104" s="167">
        <v>14287586</v>
      </c>
      <c r="V104" s="167">
        <v>14020842</v>
      </c>
      <c r="W104" s="167">
        <v>10333908</v>
      </c>
      <c r="X104" s="167">
        <v>10138921</v>
      </c>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364">
        <f t="shared" si="59"/>
        <v>27</v>
      </c>
      <c r="B105" s="167" t="s">
        <v>1552</v>
      </c>
      <c r="C105" s="167"/>
      <c r="D105" s="195">
        <f t="shared" si="51"/>
        <v>4185946</v>
      </c>
      <c r="E105" s="179">
        <f t="shared" si="52"/>
        <v>9.4729877279354557E-2</v>
      </c>
      <c r="F105" s="195">
        <f t="shared" si="53"/>
        <v>3823725</v>
      </c>
      <c r="G105" s="179">
        <f t="shared" si="52"/>
        <v>-3.8995033206606204E-3</v>
      </c>
      <c r="H105" s="195">
        <f t="shared" si="54"/>
        <v>3838694</v>
      </c>
      <c r="I105" s="179">
        <f t="shared" si="52"/>
        <v>1.1491051272100583E-3</v>
      </c>
      <c r="J105" s="195">
        <f t="shared" si="55"/>
        <v>3834288</v>
      </c>
      <c r="K105" s="179">
        <f t="shared" si="52"/>
        <v>0.1136234655427098</v>
      </c>
      <c r="L105" s="195">
        <f t="shared" si="56"/>
        <v>3443074</v>
      </c>
      <c r="M105" s="179">
        <f t="shared" si="52"/>
        <v>-0.24027510143973932</v>
      </c>
      <c r="N105" s="195">
        <f t="shared" si="57"/>
        <v>4532001</v>
      </c>
      <c r="O105" s="179">
        <f t="shared" si="52"/>
        <v>0.11627482522494829</v>
      </c>
      <c r="P105" s="195">
        <f t="shared" si="58"/>
        <v>4059933</v>
      </c>
      <c r="Q105" s="181"/>
      <c r="R105" s="167">
        <v>4185946</v>
      </c>
      <c r="S105" s="167">
        <v>3823725</v>
      </c>
      <c r="T105" s="167">
        <v>3838694</v>
      </c>
      <c r="U105" s="167">
        <v>3834288</v>
      </c>
      <c r="V105" s="167">
        <v>3443074</v>
      </c>
      <c r="W105" s="167">
        <v>4532001</v>
      </c>
      <c r="X105" s="167">
        <v>4059933</v>
      </c>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364">
        <f t="shared" si="59"/>
        <v>28</v>
      </c>
      <c r="B106" s="167" t="s">
        <v>1553</v>
      </c>
      <c r="C106" s="167"/>
      <c r="D106" s="195">
        <f t="shared" si="51"/>
        <v>23343758</v>
      </c>
      <c r="E106" s="179">
        <f t="shared" si="52"/>
        <v>0.25741557805599619</v>
      </c>
      <c r="F106" s="195">
        <f t="shared" si="53"/>
        <v>18564871</v>
      </c>
      <c r="G106" s="179">
        <f t="shared" si="52"/>
        <v>6.5601698977950623E-2</v>
      </c>
      <c r="H106" s="195">
        <f t="shared" si="54"/>
        <v>17421960.773716956</v>
      </c>
      <c r="I106" s="179">
        <f t="shared" si="52"/>
        <v>3.5799093842627895E-2</v>
      </c>
      <c r="J106" s="195">
        <f t="shared" si="55"/>
        <v>16819826.235881925</v>
      </c>
      <c r="K106" s="179">
        <f t="shared" si="52"/>
        <v>-5.1573282508402978E-2</v>
      </c>
      <c r="L106" s="195">
        <f t="shared" si="56"/>
        <v>17734450.037813224</v>
      </c>
      <c r="M106" s="179">
        <f t="shared" si="52"/>
        <v>-0.63179519023516184</v>
      </c>
      <c r="N106" s="195">
        <f t="shared" si="57"/>
        <v>48164634.376014009</v>
      </c>
      <c r="O106" s="179">
        <f t="shared" si="52"/>
        <v>2.091609297442302</v>
      </c>
      <c r="P106" s="195">
        <f t="shared" si="58"/>
        <v>15579146.568054626</v>
      </c>
      <c r="Q106" s="181"/>
      <c r="R106" s="167">
        <v>23343758</v>
      </c>
      <c r="S106" s="167">
        <v>18564871</v>
      </c>
      <c r="T106" s="167">
        <v>17421960.773716956</v>
      </c>
      <c r="U106" s="167">
        <v>16819826.235881925</v>
      </c>
      <c r="V106" s="167">
        <v>17734450.037813224</v>
      </c>
      <c r="W106" s="167">
        <v>48164634.376014009</v>
      </c>
      <c r="X106" s="167">
        <v>15579146.568054626</v>
      </c>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364">
        <f t="shared" si="59"/>
        <v>29</v>
      </c>
      <c r="B107" s="167" t="s">
        <v>1449</v>
      </c>
      <c r="C107" s="167"/>
      <c r="D107" s="200">
        <f>SUM(D98:D106)</f>
        <v>300005364</v>
      </c>
      <c r="E107" s="179">
        <f t="shared" si="52"/>
        <v>-0.32433441846588762</v>
      </c>
      <c r="F107" s="200">
        <f>SUM(F98:F106)</f>
        <v>444014572</v>
      </c>
      <c r="G107" s="179">
        <f t="shared" si="52"/>
        <v>0.67294605157767617</v>
      </c>
      <c r="H107" s="200">
        <f>SUM(H98:H106)</f>
        <v>265408780.86371696</v>
      </c>
      <c r="I107" s="179">
        <f t="shared" si="52"/>
        <v>0.3382334292814112</v>
      </c>
      <c r="J107" s="200">
        <f>SUM(J98:J106)</f>
        <v>198327717.01588193</v>
      </c>
      <c r="K107" s="179">
        <f t="shared" si="52"/>
        <v>-9.3037804986969563E-2</v>
      </c>
      <c r="L107" s="200">
        <f>SUM(L98:L106)</f>
        <v>218672529.13781321</v>
      </c>
      <c r="M107" s="179">
        <f t="shared" si="52"/>
        <v>-0.51283771679975465</v>
      </c>
      <c r="N107" s="200">
        <f>SUM(N98:N106)</f>
        <v>448869989.89601398</v>
      </c>
      <c r="O107" s="179">
        <f t="shared" si="52"/>
        <v>0.21499349691575217</v>
      </c>
      <c r="P107" s="200">
        <f>SUM(P98:P106)</f>
        <v>369442298.28016824</v>
      </c>
      <c r="Q107" s="167"/>
      <c r="R107" s="167">
        <v>300005364</v>
      </c>
      <c r="S107" s="167">
        <v>444014572</v>
      </c>
      <c r="T107" s="167">
        <v>265408780.86371696</v>
      </c>
      <c r="U107" s="167">
        <v>198327717.01588193</v>
      </c>
      <c r="V107" s="167">
        <v>218672529.13781321</v>
      </c>
      <c r="W107" s="167">
        <v>448869989.89601398</v>
      </c>
      <c r="X107" s="167">
        <v>369442298.28016824</v>
      </c>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36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364">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364">
        <f>A109+1</f>
        <v>31</v>
      </c>
      <c r="B110" s="167" t="s">
        <v>1191</v>
      </c>
      <c r="C110" s="167"/>
      <c r="D110" s="204">
        <f t="shared" ref="D110:D116" si="60">R110</f>
        <v>951647</v>
      </c>
      <c r="E110" s="179">
        <f t="shared" ref="E110:O117" si="61">(+D110-F110)/F110</f>
        <v>0</v>
      </c>
      <c r="F110" s="204">
        <f t="shared" ref="F110:F116" si="62">S110</f>
        <v>951647</v>
      </c>
      <c r="G110" s="179">
        <f t="shared" si="61"/>
        <v>0.16479052773910291</v>
      </c>
      <c r="H110" s="204">
        <f t="shared" ref="H110:H116" si="63">T110</f>
        <v>817011.28</v>
      </c>
      <c r="I110" s="179">
        <f t="shared" si="61"/>
        <v>-0.45384381853492783</v>
      </c>
      <c r="J110" s="204">
        <f t="shared" ref="J110:J116" si="64">U110</f>
        <v>1495929.75</v>
      </c>
      <c r="K110" s="179">
        <f t="shared" si="61"/>
        <v>-0.2560211442354241</v>
      </c>
      <c r="L110" s="204">
        <f t="shared" ref="L110:L116" si="65">V110</f>
        <v>2010715.41</v>
      </c>
      <c r="M110" s="179">
        <f t="shared" si="61"/>
        <v>-8.1457524190996874E-2</v>
      </c>
      <c r="N110" s="204">
        <f t="shared" ref="N110:N116" si="66">W110</f>
        <v>2189028.23</v>
      </c>
      <c r="O110" s="179">
        <f t="shared" si="61"/>
        <v>-0.24054232738516457</v>
      </c>
      <c r="P110" s="204">
        <f t="shared" ref="P110:P116" si="67">X110</f>
        <v>2882357.12</v>
      </c>
      <c r="Q110" s="167"/>
      <c r="R110" s="167">
        <v>951647</v>
      </c>
      <c r="S110" s="167">
        <v>951647</v>
      </c>
      <c r="T110" s="167">
        <v>817011.28</v>
      </c>
      <c r="U110" s="167">
        <v>1495929.75</v>
      </c>
      <c r="V110" s="167">
        <v>2010715.41</v>
      </c>
      <c r="W110" s="167">
        <v>2189028.23</v>
      </c>
      <c r="X110" s="167">
        <v>2882357.12</v>
      </c>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364">
        <f t="shared" ref="A111:A117" si="68">A110+1</f>
        <v>32</v>
      </c>
      <c r="B111" s="167" t="s">
        <v>1554</v>
      </c>
      <c r="C111" s="167"/>
      <c r="D111" s="195">
        <f t="shared" si="60"/>
        <v>84144327</v>
      </c>
      <c r="E111" s="179">
        <f t="shared" si="61"/>
        <v>5.5131378355934291E-2</v>
      </c>
      <c r="F111" s="195">
        <f t="shared" si="62"/>
        <v>79747725</v>
      </c>
      <c r="G111" s="179">
        <f t="shared" si="61"/>
        <v>-2.3607182743905414E-2</v>
      </c>
      <c r="H111" s="195">
        <f t="shared" si="63"/>
        <v>81675862</v>
      </c>
      <c r="I111" s="179">
        <f t="shared" si="61"/>
        <v>-2.0136942080201104E-2</v>
      </c>
      <c r="J111" s="195">
        <f t="shared" si="64"/>
        <v>83354364</v>
      </c>
      <c r="K111" s="179">
        <f t="shared" si="61"/>
        <v>3.0403928220739607E-2</v>
      </c>
      <c r="L111" s="195">
        <f t="shared" si="65"/>
        <v>80894843</v>
      </c>
      <c r="M111" s="179">
        <f t="shared" si="61"/>
        <v>-1.8971951432595995E-2</v>
      </c>
      <c r="N111" s="195">
        <f t="shared" si="66"/>
        <v>82459256</v>
      </c>
      <c r="O111" s="179">
        <f t="shared" si="61"/>
        <v>-9.3648900035509883E-3</v>
      </c>
      <c r="P111" s="195">
        <f t="shared" si="67"/>
        <v>83238778</v>
      </c>
      <c r="Q111" s="167"/>
      <c r="R111" s="167">
        <v>84144327</v>
      </c>
      <c r="S111" s="167">
        <v>79747725</v>
      </c>
      <c r="T111" s="167">
        <v>81675862</v>
      </c>
      <c r="U111" s="167">
        <v>83354364</v>
      </c>
      <c r="V111" s="167">
        <v>80894843</v>
      </c>
      <c r="W111" s="167">
        <v>82459256</v>
      </c>
      <c r="X111" s="167">
        <v>83238778</v>
      </c>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364">
        <f t="shared" si="68"/>
        <v>33</v>
      </c>
      <c r="B112" s="167" t="s">
        <v>1555</v>
      </c>
      <c r="C112" s="167"/>
      <c r="D112" s="195">
        <f t="shared" si="60"/>
        <v>1631560</v>
      </c>
      <c r="E112" s="179">
        <f t="shared" si="61"/>
        <v>5.088031741022115E-2</v>
      </c>
      <c r="F112" s="195">
        <f t="shared" si="62"/>
        <v>1552565</v>
      </c>
      <c r="G112" s="179">
        <f t="shared" si="61"/>
        <v>0.28026324903602895</v>
      </c>
      <c r="H112" s="195">
        <f t="shared" si="63"/>
        <v>1212692</v>
      </c>
      <c r="I112" s="179">
        <f t="shared" si="61"/>
        <v>-0.10561511031458926</v>
      </c>
      <c r="J112" s="195">
        <f t="shared" si="64"/>
        <v>1355895</v>
      </c>
      <c r="K112" s="179">
        <f t="shared" si="61"/>
        <v>-0.82195676786065541</v>
      </c>
      <c r="L112" s="195">
        <f t="shared" si="65"/>
        <v>7615538</v>
      </c>
      <c r="M112" s="179">
        <f t="shared" si="61"/>
        <v>-0.7742800724695027</v>
      </c>
      <c r="N112" s="195">
        <f t="shared" si="66"/>
        <v>33738882</v>
      </c>
      <c r="O112" s="179">
        <f t="shared" si="61"/>
        <v>0.11880820362294305</v>
      </c>
      <c r="P112" s="195">
        <f t="shared" si="67"/>
        <v>30156091</v>
      </c>
      <c r="Q112" s="167"/>
      <c r="R112" s="167">
        <v>1631560</v>
      </c>
      <c r="S112" s="167">
        <v>1552565</v>
      </c>
      <c r="T112" s="167">
        <v>1212692</v>
      </c>
      <c r="U112" s="167">
        <v>1355895</v>
      </c>
      <c r="V112" s="167">
        <v>7615538</v>
      </c>
      <c r="W112" s="167">
        <v>33738882</v>
      </c>
      <c r="X112" s="167">
        <v>30156091</v>
      </c>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364">
        <f t="shared" si="68"/>
        <v>34</v>
      </c>
      <c r="B113" s="167" t="s">
        <v>1556</v>
      </c>
      <c r="C113" s="167"/>
      <c r="D113" s="195">
        <f t="shared" si="60"/>
        <v>653237869</v>
      </c>
      <c r="E113" s="179">
        <f t="shared" si="61"/>
        <v>-4.2796376029090116E-2</v>
      </c>
      <c r="F113" s="195">
        <f t="shared" si="62"/>
        <v>682443999</v>
      </c>
      <c r="G113" s="179">
        <f t="shared" si="61"/>
        <v>2.7883839661109872E-2</v>
      </c>
      <c r="H113" s="195">
        <f t="shared" si="63"/>
        <v>663931052</v>
      </c>
      <c r="I113" s="179">
        <f t="shared" si="61"/>
        <v>4.1305905037342754</v>
      </c>
      <c r="J113" s="195">
        <f t="shared" si="64"/>
        <v>129406362</v>
      </c>
      <c r="K113" s="179">
        <f t="shared" si="61"/>
        <v>-5.4455435741886417E-2</v>
      </c>
      <c r="L113" s="195">
        <f t="shared" si="65"/>
        <v>136859083</v>
      </c>
      <c r="M113" s="179">
        <f t="shared" si="61"/>
        <v>0.14931428407023772</v>
      </c>
      <c r="N113" s="195">
        <f t="shared" si="66"/>
        <v>119078902</v>
      </c>
      <c r="O113" s="179">
        <f t="shared" si="61"/>
        <v>-0.10175274036207181</v>
      </c>
      <c r="P113" s="195">
        <f t="shared" si="67"/>
        <v>132568066</v>
      </c>
      <c r="Q113" s="167"/>
      <c r="R113" s="167">
        <v>653237869</v>
      </c>
      <c r="S113" s="167">
        <v>682443999</v>
      </c>
      <c r="T113" s="167">
        <v>663931052</v>
      </c>
      <c r="U113" s="167">
        <v>129406362</v>
      </c>
      <c r="V113" s="167">
        <v>136859083</v>
      </c>
      <c r="W113" s="167">
        <v>119078902</v>
      </c>
      <c r="X113" s="167">
        <v>132568066</v>
      </c>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364">
        <f t="shared" si="68"/>
        <v>35</v>
      </c>
      <c r="B114" s="167" t="s">
        <v>1557</v>
      </c>
      <c r="C114" s="167"/>
      <c r="D114" s="195">
        <f t="shared" si="60"/>
        <v>155325255</v>
      </c>
      <c r="E114" s="179">
        <f t="shared" si="61"/>
        <v>-9.6944343746563952E-2</v>
      </c>
      <c r="F114" s="195">
        <f t="shared" si="62"/>
        <v>171999648</v>
      </c>
      <c r="G114" s="179">
        <f t="shared" si="61"/>
        <v>-0.164929276623312</v>
      </c>
      <c r="H114" s="195">
        <f t="shared" si="63"/>
        <v>205970157</v>
      </c>
      <c r="I114" s="179">
        <f t="shared" si="61"/>
        <v>-0.18634548929296146</v>
      </c>
      <c r="J114" s="195">
        <f t="shared" si="64"/>
        <v>253142033</v>
      </c>
      <c r="K114" s="179">
        <f t="shared" si="61"/>
        <v>-0.2022653861300118</v>
      </c>
      <c r="L114" s="195">
        <f t="shared" si="65"/>
        <v>317326124</v>
      </c>
      <c r="M114" s="179">
        <f t="shared" si="61"/>
        <v>0.71661807318998449</v>
      </c>
      <c r="N114" s="195">
        <f t="shared" si="66"/>
        <v>184855402</v>
      </c>
      <c r="O114" s="179">
        <f t="shared" si="61"/>
        <v>0.18457424758808411</v>
      </c>
      <c r="P114" s="195">
        <f t="shared" si="67"/>
        <v>156052187</v>
      </c>
      <c r="Q114" s="167"/>
      <c r="R114" s="167">
        <v>155325255</v>
      </c>
      <c r="S114" s="167">
        <v>171999648</v>
      </c>
      <c r="T114" s="167">
        <v>205970157</v>
      </c>
      <c r="U114" s="167">
        <v>253142033</v>
      </c>
      <c r="V114" s="167">
        <v>317326124</v>
      </c>
      <c r="W114" s="167">
        <v>184855402</v>
      </c>
      <c r="X114" s="167">
        <v>156052187</v>
      </c>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364">
        <f t="shared" si="68"/>
        <v>36</v>
      </c>
      <c r="B115" s="167" t="s">
        <v>1558</v>
      </c>
      <c r="C115" s="167"/>
      <c r="D115" s="201">
        <f t="shared" si="60"/>
        <v>17824340</v>
      </c>
      <c r="E115" s="179">
        <v>1</v>
      </c>
      <c r="F115" s="201">
        <f t="shared" si="62"/>
        <v>0</v>
      </c>
      <c r="G115" s="179">
        <v>0</v>
      </c>
      <c r="H115" s="201">
        <f t="shared" si="63"/>
        <v>0</v>
      </c>
      <c r="I115" s="179">
        <v>0</v>
      </c>
      <c r="J115" s="201">
        <f t="shared" si="64"/>
        <v>0</v>
      </c>
      <c r="K115" s="179">
        <v>0</v>
      </c>
      <c r="L115" s="201">
        <f t="shared" si="65"/>
        <v>0</v>
      </c>
      <c r="M115" s="179">
        <v>0</v>
      </c>
      <c r="N115" s="201">
        <f t="shared" si="66"/>
        <v>0</v>
      </c>
      <c r="O115" s="179">
        <v>0</v>
      </c>
      <c r="P115" s="201">
        <f t="shared" si="67"/>
        <v>0</v>
      </c>
      <c r="Q115" s="167"/>
      <c r="R115" s="167">
        <v>17824340</v>
      </c>
      <c r="S115" s="167">
        <v>0</v>
      </c>
      <c r="T115" s="167">
        <v>0</v>
      </c>
      <c r="U115" s="167">
        <v>0</v>
      </c>
      <c r="V115" s="167">
        <v>0</v>
      </c>
      <c r="W115" s="167">
        <v>0</v>
      </c>
      <c r="X115" s="167">
        <v>0</v>
      </c>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364">
        <f t="shared" si="68"/>
        <v>37</v>
      </c>
      <c r="B116" s="167" t="s">
        <v>1531</v>
      </c>
      <c r="C116" s="167"/>
      <c r="D116" s="195">
        <f t="shared" si="60"/>
        <v>1069742247</v>
      </c>
      <c r="E116" s="179">
        <f t="shared" si="61"/>
        <v>9.5368521723846425E-2</v>
      </c>
      <c r="F116" s="195">
        <f t="shared" si="62"/>
        <v>976604883</v>
      </c>
      <c r="G116" s="179">
        <f t="shared" si="61"/>
        <v>3.9348167977942668E-2</v>
      </c>
      <c r="H116" s="195">
        <f t="shared" si="63"/>
        <v>939632082</v>
      </c>
      <c r="I116" s="179">
        <f t="shared" si="61"/>
        <v>-0.29190392231154472</v>
      </c>
      <c r="J116" s="195">
        <f t="shared" si="64"/>
        <v>1326983882</v>
      </c>
      <c r="K116" s="179">
        <f t="shared" si="61"/>
        <v>6.3318859870733907E-2</v>
      </c>
      <c r="L116" s="195">
        <f t="shared" si="65"/>
        <v>1247964211</v>
      </c>
      <c r="M116" s="179">
        <f t="shared" si="61"/>
        <v>0.26714787181549549</v>
      </c>
      <c r="N116" s="195">
        <f t="shared" si="66"/>
        <v>984860756</v>
      </c>
      <c r="O116" s="179">
        <f t="shared" si="61"/>
        <v>0.29726214277056118</v>
      </c>
      <c r="P116" s="195">
        <f t="shared" si="67"/>
        <v>759184072</v>
      </c>
      <c r="Q116" s="167"/>
      <c r="R116" s="167">
        <v>1069742247</v>
      </c>
      <c r="S116" s="167">
        <v>976604883</v>
      </c>
      <c r="T116" s="167">
        <v>939632082</v>
      </c>
      <c r="U116" s="167">
        <v>1326983882</v>
      </c>
      <c r="V116" s="167">
        <v>1247964211</v>
      </c>
      <c r="W116" s="167">
        <v>984860756</v>
      </c>
      <c r="X116" s="167">
        <v>759184072</v>
      </c>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364">
        <f t="shared" si="68"/>
        <v>38</v>
      </c>
      <c r="B117" s="167" t="s">
        <v>1451</v>
      </c>
      <c r="C117" s="167"/>
      <c r="D117" s="200">
        <f>SUM(D110:D116)</f>
        <v>1982857245</v>
      </c>
      <c r="E117" s="179">
        <f t="shared" si="61"/>
        <v>3.6354341202384705E-2</v>
      </c>
      <c r="F117" s="200">
        <f>SUM(F110:F116)</f>
        <v>1913300467</v>
      </c>
      <c r="G117" s="179">
        <f t="shared" si="61"/>
        <v>1.0596449916213332E-2</v>
      </c>
      <c r="H117" s="200">
        <f>SUM(H110:H116)</f>
        <v>1893238856.28</v>
      </c>
      <c r="I117" s="179">
        <f t="shared" si="61"/>
        <v>5.429542908926796E-2</v>
      </c>
      <c r="J117" s="200">
        <f>SUM(J110:J116)</f>
        <v>1795738465.75</v>
      </c>
      <c r="K117" s="179">
        <f t="shared" si="61"/>
        <v>1.7113860663959604E-3</v>
      </c>
      <c r="L117" s="200">
        <f>SUM(L110:L116)</f>
        <v>1792670514.4099998</v>
      </c>
      <c r="M117" s="179">
        <f t="shared" si="61"/>
        <v>0.27394340334497153</v>
      </c>
      <c r="N117" s="200">
        <f>SUM(N110:N116)</f>
        <v>1407182226.23</v>
      </c>
      <c r="O117" s="179">
        <f t="shared" si="61"/>
        <v>0.20883474605031344</v>
      </c>
      <c r="P117" s="200">
        <f>SUM(P110:P116)</f>
        <v>1164081551.1199999</v>
      </c>
      <c r="Q117" s="167"/>
      <c r="R117" s="167">
        <v>1982857245</v>
      </c>
      <c r="S117" s="167">
        <v>1913300467</v>
      </c>
      <c r="T117" s="167">
        <v>1893238856.28</v>
      </c>
      <c r="U117" s="167">
        <v>1795738465.75</v>
      </c>
      <c r="V117" s="167">
        <v>1792670514.4099998</v>
      </c>
      <c r="W117" s="167">
        <v>1407182226.23</v>
      </c>
      <c r="X117" s="167">
        <v>1164081551.1199999</v>
      </c>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364"/>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364">
        <f>A117+1</f>
        <v>39</v>
      </c>
      <c r="B119" s="167" t="s">
        <v>1559</v>
      </c>
      <c r="C119" s="167"/>
      <c r="D119" s="203">
        <f>D84+D90+D95+D107+D117</f>
        <v>7573446653</v>
      </c>
      <c r="E119" s="179">
        <f t="shared" ref="E119:O119" si="69">(+D119-F119)/F119</f>
        <v>7.4233968481590237E-2</v>
      </c>
      <c r="F119" s="203">
        <f>F84+F90+F95+F107+F117</f>
        <v>7050090460</v>
      </c>
      <c r="G119" s="179">
        <f t="shared" si="69"/>
        <v>4.1303581852987548E-2</v>
      </c>
      <c r="H119" s="203">
        <f>H84+H90+H95+H107+H117</f>
        <v>6770446758.1437168</v>
      </c>
      <c r="I119" s="179">
        <f t="shared" si="69"/>
        <v>2.5248078161679764E-2</v>
      </c>
      <c r="J119" s="203">
        <f>J84+J90+J95+J107+J117</f>
        <v>6603715629.7658815</v>
      </c>
      <c r="K119" s="179">
        <f t="shared" si="69"/>
        <v>6.0267267689206559E-3</v>
      </c>
      <c r="L119" s="203">
        <f>L84+L90+L95+L107+L117</f>
        <v>6564155259.5478134</v>
      </c>
      <c r="M119" s="179">
        <f t="shared" si="69"/>
        <v>7.0207410538466533E-2</v>
      </c>
      <c r="N119" s="203">
        <f>N84+N90+N95+N107+N117</f>
        <v>6133535607.1260147</v>
      </c>
      <c r="O119" s="179">
        <f t="shared" si="69"/>
        <v>0.10070397936482609</v>
      </c>
      <c r="P119" s="203">
        <f>P84+P90+P95+P107+P117</f>
        <v>5572375245.4001684</v>
      </c>
      <c r="Q119" s="167"/>
      <c r="R119" s="167">
        <v>7573446653</v>
      </c>
      <c r="S119" s="167">
        <v>7050090460</v>
      </c>
      <c r="T119" s="167">
        <v>6770446758.1437168</v>
      </c>
      <c r="U119" s="167">
        <v>6603715629.7658815</v>
      </c>
      <c r="V119" s="167">
        <v>6564155259.5478134</v>
      </c>
      <c r="W119" s="167">
        <v>6133535607.1260147</v>
      </c>
      <c r="X119" s="167">
        <v>5572375245.4001684</v>
      </c>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36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thickBot="1">
      <c r="A121" s="364">
        <f>A119+1</f>
        <v>40</v>
      </c>
      <c r="B121" s="167" t="s">
        <v>2098</v>
      </c>
      <c r="C121" s="167"/>
      <c r="D121" s="203">
        <f>D59-D119</f>
        <v>-3518402</v>
      </c>
      <c r="E121" s="167"/>
      <c r="F121" s="203">
        <f>F59-F119</f>
        <v>16544127</v>
      </c>
      <c r="G121" s="167"/>
      <c r="H121" s="203">
        <f>H59-H119</f>
        <v>6073621.4015684128</v>
      </c>
      <c r="I121" s="167"/>
      <c r="J121" s="203">
        <f>J59-J119</f>
        <v>26056259.183959007</v>
      </c>
      <c r="K121" s="167"/>
      <c r="L121" s="203">
        <f>L59-L119</f>
        <v>17552603.278682709</v>
      </c>
      <c r="M121" s="167"/>
      <c r="N121" s="203">
        <f>N59-N119</f>
        <v>38334728.471533775</v>
      </c>
      <c r="O121" s="167"/>
      <c r="P121" s="203">
        <f>P59-P119</f>
        <v>7628384.0626821518</v>
      </c>
      <c r="Q121" s="167"/>
      <c r="R121" s="167">
        <v>3518402</v>
      </c>
      <c r="S121" s="167">
        <v>-16544127</v>
      </c>
      <c r="T121" s="167">
        <v>-6073621.4015684128</v>
      </c>
      <c r="U121" s="167">
        <v>-26056259.183959007</v>
      </c>
      <c r="V121" s="167">
        <v>-17552603.278682701</v>
      </c>
      <c r="W121" s="167">
        <v>-38334728.471533775</v>
      </c>
      <c r="X121" s="167">
        <v>-7628384.0626821518</v>
      </c>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thickTop="1">
      <c r="A122" s="36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36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36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36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36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36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7"/>
      <c r="B189" s="777"/>
      <c r="C189" s="777"/>
      <c r="D189" s="777"/>
      <c r="E189" s="777"/>
      <c r="F189" s="777"/>
      <c r="G189" s="777"/>
      <c r="H189" s="777"/>
      <c r="I189" s="777"/>
      <c r="J189" s="777"/>
      <c r="K189" s="777"/>
      <c r="L189" s="777"/>
      <c r="M189" s="777"/>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B14:C14"/>
    <mergeCell ref="B75:C75"/>
    <mergeCell ref="A189:M189"/>
  </mergeCells>
  <printOptions horizontalCentered="1"/>
  <pageMargins left="0.5" right="0.5" top="1" bottom="0.75" header="0.5" footer="0.5"/>
  <pageSetup scale="48" orientation="landscape" r:id="rId1"/>
  <headerFooter alignWithMargins="0"/>
  <rowBreaks count="1" manualBreakCount="1">
    <brk id="61" max="1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
  <sheetViews>
    <sheetView workbookViewId="0"/>
  </sheetViews>
  <sheetFormatPr defaultRowHeight="15"/>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4"/>
  <sheetViews>
    <sheetView zoomScale="85" zoomScaleNormal="85" workbookViewId="0">
      <pane xSplit="1" ySplit="3" topLeftCell="B4" activePane="bottomRight" state="frozen"/>
      <selection sqref="A1:E1"/>
      <selection pane="topRight" sqref="A1:E1"/>
      <selection pane="bottomLeft" sqref="A1:E1"/>
      <selection pane="bottomRight" activeCell="F4" sqref="F4"/>
    </sheetView>
  </sheetViews>
  <sheetFormatPr defaultColWidth="9" defaultRowHeight="15"/>
  <cols>
    <col min="1" max="1" width="40.77734375" style="720" customWidth="1"/>
    <col min="2" max="6" width="8.33203125" style="711" customWidth="1"/>
    <col min="7" max="7" width="8.88671875" style="711" customWidth="1"/>
    <col min="8" max="14" width="8.33203125" style="711" customWidth="1"/>
    <col min="15" max="15" width="9.33203125" style="235" customWidth="1"/>
    <col min="16" max="31" width="8.33203125" style="711" customWidth="1"/>
    <col min="32" max="32" width="11.33203125" style="712" customWidth="1"/>
    <col min="33" max="16384" width="9" style="712"/>
  </cols>
  <sheetData>
    <row r="1" spans="1:36" s="709" customFormat="1" ht="15" customHeight="1">
      <c r="A1" s="707"/>
      <c r="B1" s="708"/>
      <c r="C1" s="708"/>
      <c r="D1" s="708"/>
      <c r="E1" s="708"/>
      <c r="F1" s="708"/>
      <c r="G1" s="708"/>
      <c r="H1" s="708"/>
      <c r="I1" s="708"/>
      <c r="J1" s="708"/>
      <c r="K1" s="708"/>
      <c r="L1" s="708"/>
      <c r="M1" s="708"/>
      <c r="N1" s="708"/>
      <c r="O1" s="401"/>
      <c r="P1" s="708"/>
      <c r="Q1" s="708"/>
      <c r="R1" s="708"/>
      <c r="S1" s="708"/>
      <c r="T1" s="708"/>
      <c r="U1" s="708"/>
      <c r="V1" s="708"/>
      <c r="W1" s="708"/>
      <c r="X1" s="708"/>
      <c r="Y1" s="708"/>
      <c r="Z1" s="708"/>
      <c r="AA1" s="708"/>
      <c r="AB1" s="708"/>
      <c r="AC1" s="708"/>
      <c r="AD1" s="708"/>
      <c r="AE1" s="708"/>
    </row>
    <row r="2" spans="1:36" s="709" customFormat="1" ht="30">
      <c r="A2" s="707" t="s">
        <v>2218</v>
      </c>
      <c r="B2" s="708" t="s">
        <v>2504</v>
      </c>
      <c r="C2" s="708" t="s">
        <v>2473</v>
      </c>
      <c r="D2" s="708" t="s">
        <v>2474</v>
      </c>
      <c r="E2" s="708" t="s">
        <v>2475</v>
      </c>
      <c r="F2" s="708" t="s">
        <v>2476</v>
      </c>
      <c r="G2" s="708" t="s">
        <v>2477</v>
      </c>
      <c r="H2" s="708" t="s">
        <v>2478</v>
      </c>
      <c r="I2" s="708" t="s">
        <v>2400</v>
      </c>
      <c r="J2" s="708" t="s">
        <v>2401</v>
      </c>
      <c r="K2" s="708" t="s">
        <v>2402</v>
      </c>
      <c r="L2" s="708" t="s">
        <v>2403</v>
      </c>
      <c r="M2" s="708" t="s">
        <v>2404</v>
      </c>
      <c r="N2" s="708" t="s">
        <v>2405</v>
      </c>
      <c r="O2" s="401" t="s">
        <v>2519</v>
      </c>
      <c r="P2" s="708" t="s">
        <v>2558</v>
      </c>
      <c r="Q2" s="708" t="s">
        <v>2559</v>
      </c>
      <c r="R2" s="708" t="s">
        <v>2560</v>
      </c>
      <c r="S2" s="708" t="s">
        <v>2532</v>
      </c>
      <c r="T2" s="708" t="s">
        <v>2533</v>
      </c>
      <c r="U2" s="708" t="s">
        <v>2534</v>
      </c>
      <c r="V2" s="708" t="s">
        <v>2535</v>
      </c>
      <c r="W2" s="708" t="s">
        <v>2536</v>
      </c>
      <c r="X2" s="708" t="s">
        <v>2537</v>
      </c>
      <c r="Y2" s="708" t="s">
        <v>2538</v>
      </c>
      <c r="Z2" s="708" t="s">
        <v>2539</v>
      </c>
      <c r="AA2" s="708" t="s">
        <v>2540</v>
      </c>
      <c r="AB2" s="708" t="s">
        <v>2541</v>
      </c>
      <c r="AC2" s="708" t="s">
        <v>2542</v>
      </c>
      <c r="AD2" s="708" t="s">
        <v>2543</v>
      </c>
      <c r="AE2" s="708" t="s">
        <v>2544</v>
      </c>
      <c r="AF2" s="401" t="s">
        <v>2569</v>
      </c>
    </row>
    <row r="3" spans="1:36" s="709" customFormat="1">
      <c r="A3" s="707"/>
      <c r="B3" s="708"/>
      <c r="C3" s="708"/>
      <c r="D3" s="708"/>
      <c r="E3" s="708"/>
      <c r="F3" s="708"/>
      <c r="G3" s="708"/>
      <c r="H3" s="708"/>
      <c r="I3" s="708"/>
      <c r="J3" s="708"/>
      <c r="K3" s="708"/>
      <c r="L3" s="708"/>
      <c r="M3" s="708"/>
      <c r="N3" s="708"/>
      <c r="O3" s="401"/>
      <c r="P3" s="708"/>
      <c r="Q3" s="708"/>
      <c r="R3" s="708"/>
      <c r="S3" s="708"/>
      <c r="T3" s="708"/>
      <c r="U3" s="708"/>
      <c r="V3" s="708"/>
      <c r="W3" s="708"/>
      <c r="X3" s="708"/>
      <c r="Y3" s="708"/>
      <c r="Z3" s="708"/>
      <c r="AA3" s="708"/>
      <c r="AB3" s="708"/>
      <c r="AC3" s="708"/>
      <c r="AD3" s="708"/>
      <c r="AE3" s="708"/>
    </row>
    <row r="4" spans="1:36">
      <c r="A4" s="710" t="s">
        <v>1842</v>
      </c>
    </row>
    <row r="6" spans="1:36">
      <c r="A6" s="710" t="s">
        <v>1843</v>
      </c>
    </row>
    <row r="8" spans="1:36">
      <c r="A8" s="710" t="s">
        <v>1443</v>
      </c>
      <c r="B8" s="713"/>
      <c r="C8" s="713"/>
      <c r="D8" s="713"/>
      <c r="E8" s="713"/>
      <c r="F8" s="713"/>
      <c r="G8" s="713"/>
      <c r="H8" s="713"/>
      <c r="I8" s="713"/>
      <c r="J8" s="713"/>
      <c r="K8" s="713"/>
      <c r="L8" s="713"/>
      <c r="M8" s="713"/>
      <c r="N8" s="713"/>
      <c r="O8" s="714"/>
      <c r="P8" s="713"/>
      <c r="Q8" s="713"/>
      <c r="R8" s="713"/>
      <c r="S8" s="713"/>
      <c r="T8" s="713"/>
      <c r="U8" s="713"/>
      <c r="V8" s="713"/>
      <c r="W8" s="713"/>
      <c r="X8" s="713"/>
      <c r="Y8" s="713"/>
      <c r="Z8" s="713"/>
      <c r="AA8" s="713"/>
      <c r="AB8" s="713"/>
      <c r="AC8" s="713"/>
      <c r="AD8" s="713"/>
      <c r="AE8" s="713"/>
    </row>
    <row r="9" spans="1:36">
      <c r="A9" s="584" t="s">
        <v>1844</v>
      </c>
      <c r="B9" s="713"/>
      <c r="C9" s="713"/>
      <c r="D9" s="713"/>
      <c r="E9" s="713"/>
      <c r="F9" s="713"/>
      <c r="G9" s="713"/>
      <c r="H9" s="713"/>
      <c r="I9" s="713"/>
      <c r="J9" s="713"/>
      <c r="K9" s="713"/>
      <c r="L9" s="713"/>
      <c r="M9" s="713"/>
      <c r="N9" s="713"/>
      <c r="O9" s="714"/>
      <c r="P9" s="713"/>
      <c r="Q9" s="713"/>
      <c r="R9" s="713"/>
      <c r="S9" s="713"/>
      <c r="T9" s="713"/>
      <c r="U9" s="713"/>
      <c r="V9" s="713"/>
      <c r="W9" s="713"/>
      <c r="X9" s="713"/>
      <c r="Y9" s="713"/>
      <c r="Z9" s="713"/>
      <c r="AA9" s="713"/>
      <c r="AB9" s="713"/>
      <c r="AC9" s="713"/>
      <c r="AD9" s="713"/>
      <c r="AE9" s="713"/>
    </row>
    <row r="10" spans="1:36">
      <c r="A10" s="584" t="s">
        <v>1845</v>
      </c>
      <c r="B10" s="711">
        <v>8307877.2688299902</v>
      </c>
      <c r="C10" s="711">
        <v>8310999.4623600002</v>
      </c>
      <c r="D10" s="711">
        <v>8305161.1203399999</v>
      </c>
      <c r="E10" s="711">
        <v>8325186.7803499997</v>
      </c>
      <c r="F10" s="711">
        <v>8356494.0359699903</v>
      </c>
      <c r="G10" s="711">
        <v>8367767.3757999996</v>
      </c>
      <c r="H10" s="711">
        <v>8375561.5613500001</v>
      </c>
      <c r="I10" s="711">
        <v>8478942.4002999999</v>
      </c>
      <c r="J10" s="711">
        <v>8543302.9119700007</v>
      </c>
      <c r="K10" s="711">
        <v>8601058.6548200008</v>
      </c>
      <c r="L10" s="711">
        <v>8638336.7819299996</v>
      </c>
      <c r="M10" s="711">
        <v>8696080.6917000003</v>
      </c>
      <c r="N10" s="711">
        <v>8797394.7789399996</v>
      </c>
      <c r="O10" s="235">
        <f>SUM(B10:N10)/13</f>
        <v>8469551.0634353831</v>
      </c>
      <c r="P10" s="711">
        <v>8805369.9620099999</v>
      </c>
      <c r="Q10" s="711">
        <v>8700896.8809900004</v>
      </c>
      <c r="R10" s="711">
        <v>8723896.8260999992</v>
      </c>
      <c r="S10" s="711">
        <v>8747210.6767800003</v>
      </c>
      <c r="T10" s="711">
        <v>8913039.2254099995</v>
      </c>
      <c r="U10" s="711">
        <v>8964464.5611700006</v>
      </c>
      <c r="V10" s="711">
        <v>8987723.9035100006</v>
      </c>
      <c r="W10" s="711">
        <v>9001704.1442799997</v>
      </c>
      <c r="X10" s="711">
        <v>9042302.7639799993</v>
      </c>
      <c r="Y10" s="711">
        <v>9074916.1605699994</v>
      </c>
      <c r="Z10" s="711">
        <v>9135177.5251899995</v>
      </c>
      <c r="AA10" s="711">
        <v>9296560.3224599995</v>
      </c>
      <c r="AB10" s="711">
        <v>9240839.8500100002</v>
      </c>
      <c r="AC10" s="711">
        <v>9246274.3473099992</v>
      </c>
      <c r="AD10" s="711">
        <v>9274751.0254699998</v>
      </c>
      <c r="AE10" s="711">
        <v>9305852.1471299995</v>
      </c>
      <c r="AF10" s="712">
        <f>SUM(S10:AE10)/13</f>
        <v>9094678.2040976919</v>
      </c>
    </row>
    <row r="11" spans="1:36">
      <c r="A11" s="584" t="s">
        <v>1846</v>
      </c>
      <c r="B11" s="711">
        <v>32786.7336</v>
      </c>
      <c r="C11" s="711">
        <v>32786.7336</v>
      </c>
      <c r="D11" s="711">
        <v>32786.7336</v>
      </c>
      <c r="E11" s="711">
        <v>32786.7336</v>
      </c>
      <c r="F11" s="711">
        <v>32786.7336</v>
      </c>
      <c r="G11" s="711">
        <v>32786.7336</v>
      </c>
      <c r="H11" s="711">
        <v>32786.7336</v>
      </c>
      <c r="I11" s="711">
        <v>32786.7336</v>
      </c>
      <c r="J11" s="711">
        <v>32786.7336</v>
      </c>
      <c r="K11" s="711">
        <v>32786.7336</v>
      </c>
      <c r="L11" s="711">
        <v>32786.7336</v>
      </c>
      <c r="M11" s="711">
        <v>32786.7336</v>
      </c>
      <c r="N11" s="711">
        <v>32786.7336</v>
      </c>
      <c r="O11" s="235">
        <f t="shared" ref="O11:O74" si="0">SUM(B11:N11)/13</f>
        <v>32786.733599999992</v>
      </c>
      <c r="P11" s="711">
        <v>32786.7336</v>
      </c>
      <c r="Q11" s="711">
        <v>32786.7336</v>
      </c>
      <c r="R11" s="711">
        <v>32786.7336</v>
      </c>
      <c r="S11" s="711">
        <v>32786.7336</v>
      </c>
      <c r="T11" s="711">
        <v>32786.7336</v>
      </c>
      <c r="U11" s="711">
        <v>32786.7336</v>
      </c>
      <c r="V11" s="711">
        <v>32786.7336</v>
      </c>
      <c r="W11" s="711">
        <v>32786.7336</v>
      </c>
      <c r="X11" s="711">
        <v>32786.7336</v>
      </c>
      <c r="Y11" s="711">
        <v>32786.7336</v>
      </c>
      <c r="Z11" s="711">
        <v>32786.7336</v>
      </c>
      <c r="AA11" s="711">
        <v>32786.7336</v>
      </c>
      <c r="AB11" s="711">
        <v>32786.7336</v>
      </c>
      <c r="AC11" s="711">
        <v>32786.7336</v>
      </c>
      <c r="AD11" s="711">
        <v>32786.7336</v>
      </c>
      <c r="AE11" s="711">
        <v>32786.7336</v>
      </c>
      <c r="AF11" s="712">
        <f t="shared" ref="AF11:AF74" si="1">SUM(S11:AE11)/13</f>
        <v>32786.733599999992</v>
      </c>
    </row>
    <row r="12" spans="1:36">
      <c r="A12" s="584" t="s">
        <v>2520</v>
      </c>
      <c r="B12" s="711">
        <v>0</v>
      </c>
      <c r="C12" s="711">
        <v>0</v>
      </c>
      <c r="D12" s="711">
        <v>0</v>
      </c>
      <c r="E12" s="711">
        <v>0</v>
      </c>
      <c r="F12" s="711">
        <v>0</v>
      </c>
      <c r="G12" s="711">
        <v>0</v>
      </c>
      <c r="H12" s="711">
        <v>0</v>
      </c>
      <c r="I12" s="711">
        <v>0</v>
      </c>
      <c r="J12" s="711">
        <v>0</v>
      </c>
      <c r="K12" s="711">
        <v>0</v>
      </c>
      <c r="L12" s="711">
        <v>0</v>
      </c>
      <c r="M12" s="711">
        <v>0</v>
      </c>
      <c r="N12" s="711">
        <v>0</v>
      </c>
      <c r="O12" s="235">
        <f t="shared" si="0"/>
        <v>0</v>
      </c>
      <c r="P12" s="711">
        <v>30514.841260000001</v>
      </c>
      <c r="Q12" s="711">
        <v>30494.47882</v>
      </c>
      <c r="R12" s="711">
        <v>30430.691579999999</v>
      </c>
      <c r="S12" s="711">
        <v>30322.53703</v>
      </c>
      <c r="T12" s="711">
        <v>30308.3943</v>
      </c>
      <c r="U12" s="711">
        <v>30286.77708</v>
      </c>
      <c r="V12" s="711">
        <v>30239.77087</v>
      </c>
      <c r="W12" s="711">
        <v>30094.226500000001</v>
      </c>
      <c r="X12" s="711">
        <v>30086.780449999998</v>
      </c>
      <c r="Y12" s="711">
        <v>30053.8233</v>
      </c>
      <c r="Z12" s="711">
        <v>29793.929400000001</v>
      </c>
      <c r="AA12" s="711">
        <v>29647.1911</v>
      </c>
      <c r="AB12" s="711">
        <v>29467.187279999998</v>
      </c>
      <c r="AC12" s="711">
        <v>29322.740229999999</v>
      </c>
      <c r="AD12" s="711">
        <v>29301.046989999999</v>
      </c>
      <c r="AE12" s="711">
        <v>29242.47393</v>
      </c>
      <c r="AF12" s="712">
        <f t="shared" si="1"/>
        <v>29858.990650769229</v>
      </c>
      <c r="AG12" s="712">
        <f>AF12</f>
        <v>29858.990650769229</v>
      </c>
    </row>
    <row r="13" spans="1:36">
      <c r="A13" s="584" t="s">
        <v>1847</v>
      </c>
      <c r="B13" s="711">
        <v>1912.91975</v>
      </c>
      <c r="C13" s="711">
        <v>1912.91975</v>
      </c>
      <c r="D13" s="711">
        <v>1912.91975</v>
      </c>
      <c r="E13" s="711">
        <v>1912.91975</v>
      </c>
      <c r="F13" s="711">
        <v>1912.91975</v>
      </c>
      <c r="G13" s="711">
        <v>1912.91975</v>
      </c>
      <c r="H13" s="711">
        <v>1912.91975</v>
      </c>
      <c r="I13" s="711">
        <v>1912.91975</v>
      </c>
      <c r="J13" s="711">
        <v>1912.91975</v>
      </c>
      <c r="K13" s="711">
        <v>1912.91975</v>
      </c>
      <c r="L13" s="711">
        <v>1912.91975</v>
      </c>
      <c r="M13" s="711">
        <v>1912.91975</v>
      </c>
      <c r="N13" s="711">
        <v>1912.91975</v>
      </c>
      <c r="O13" s="235">
        <f t="shared" si="0"/>
        <v>1912.9197500000007</v>
      </c>
      <c r="P13" s="711">
        <v>1912.91975</v>
      </c>
      <c r="Q13" s="711">
        <v>1912.91975</v>
      </c>
      <c r="R13" s="711">
        <v>1912.91975</v>
      </c>
      <c r="S13" s="711">
        <v>1912.91975</v>
      </c>
      <c r="T13" s="711">
        <v>1912.91975</v>
      </c>
      <c r="U13" s="711">
        <v>1912.91975</v>
      </c>
      <c r="V13" s="711">
        <v>1912.91975</v>
      </c>
      <c r="W13" s="711">
        <v>1912.91975</v>
      </c>
      <c r="X13" s="711">
        <v>1912.91975</v>
      </c>
      <c r="Y13" s="711">
        <v>1912.91975</v>
      </c>
      <c r="Z13" s="711">
        <v>1912.91975</v>
      </c>
      <c r="AA13" s="711">
        <v>1912.91975</v>
      </c>
      <c r="AB13" s="711">
        <v>1912.91975</v>
      </c>
      <c r="AC13" s="711">
        <v>1912.91975</v>
      </c>
      <c r="AD13" s="711">
        <v>1912.91975</v>
      </c>
      <c r="AE13" s="711">
        <v>1912.91975</v>
      </c>
      <c r="AF13" s="712">
        <f t="shared" si="1"/>
        <v>1912.9197500000007</v>
      </c>
    </row>
    <row r="14" spans="1:36">
      <c r="A14" s="584" t="s">
        <v>1848</v>
      </c>
      <c r="B14" s="711">
        <v>934606.97123999998</v>
      </c>
      <c r="C14" s="711">
        <v>952711.67232999904</v>
      </c>
      <c r="D14" s="711">
        <v>954698.84317000001</v>
      </c>
      <c r="E14" s="711">
        <v>942348.67981</v>
      </c>
      <c r="F14" s="711">
        <v>932327.76992999995</v>
      </c>
      <c r="G14" s="711">
        <v>943057.74179999996</v>
      </c>
      <c r="H14" s="711">
        <v>951317.18938</v>
      </c>
      <c r="I14" s="711">
        <v>951317.18938</v>
      </c>
      <c r="J14" s="711">
        <v>951317.18938</v>
      </c>
      <c r="K14" s="711">
        <v>951317.18938</v>
      </c>
      <c r="L14" s="711">
        <v>951317.18938</v>
      </c>
      <c r="M14" s="711">
        <v>951317.18938</v>
      </c>
      <c r="N14" s="711">
        <v>951317.18938</v>
      </c>
      <c r="O14" s="235">
        <f t="shared" si="0"/>
        <v>947613.23107230745</v>
      </c>
      <c r="P14" s="711">
        <v>951317.18938</v>
      </c>
      <c r="Q14" s="711">
        <v>951317.18938</v>
      </c>
      <c r="R14" s="711">
        <v>951317.18938</v>
      </c>
      <c r="S14" s="711">
        <v>951317.18938</v>
      </c>
      <c r="T14" s="711">
        <v>951317.18938</v>
      </c>
      <c r="U14" s="711">
        <v>951317.18938</v>
      </c>
      <c r="V14" s="711">
        <v>951317.18938</v>
      </c>
      <c r="W14" s="711">
        <v>951317.18938</v>
      </c>
      <c r="X14" s="711">
        <v>951317.18938</v>
      </c>
      <c r="Y14" s="711">
        <v>951317.18938</v>
      </c>
      <c r="Z14" s="711">
        <v>951317.18938</v>
      </c>
      <c r="AA14" s="711">
        <v>951317.18938</v>
      </c>
      <c r="AB14" s="711">
        <v>951317.18938</v>
      </c>
      <c r="AC14" s="711">
        <v>951317.18938</v>
      </c>
      <c r="AD14" s="711">
        <v>951317.18938</v>
      </c>
      <c r="AE14" s="711">
        <v>951317.18938</v>
      </c>
      <c r="AF14" s="712">
        <f t="shared" si="1"/>
        <v>951317.18937999988</v>
      </c>
    </row>
    <row r="15" spans="1:36">
      <c r="A15" s="584" t="s">
        <v>1849</v>
      </c>
      <c r="B15" s="711">
        <v>321167.93991999998</v>
      </c>
      <c r="C15" s="711">
        <v>330936.03506999998</v>
      </c>
      <c r="D15" s="711">
        <v>350034.70724999998</v>
      </c>
      <c r="E15" s="711">
        <v>373499.07523000002</v>
      </c>
      <c r="F15" s="711">
        <v>400855.70178</v>
      </c>
      <c r="G15" s="711">
        <v>419338.93676000001</v>
      </c>
      <c r="H15" s="711">
        <v>423870.17395999999</v>
      </c>
      <c r="I15" s="711">
        <v>368883.88821325498</v>
      </c>
      <c r="J15" s="711">
        <v>361381.50003795797</v>
      </c>
      <c r="K15" s="711">
        <v>360304.95282608899</v>
      </c>
      <c r="L15" s="711">
        <v>388646.66123915702</v>
      </c>
      <c r="M15" s="711">
        <v>373050.89904380101</v>
      </c>
      <c r="N15" s="711">
        <v>321301.91996124299</v>
      </c>
      <c r="O15" s="235">
        <f t="shared" si="0"/>
        <v>368713.26086857717</v>
      </c>
      <c r="P15" s="711">
        <v>345070.07885250897</v>
      </c>
      <c r="Q15" s="711">
        <v>368206.08324395702</v>
      </c>
      <c r="R15" s="711">
        <v>393385.50759336399</v>
      </c>
      <c r="S15" s="711">
        <v>383421.37332811498</v>
      </c>
      <c r="T15" s="711">
        <v>253512.806089316</v>
      </c>
      <c r="U15" s="711">
        <v>244700.86278664501</v>
      </c>
      <c r="V15" s="711">
        <v>261142.86394382999</v>
      </c>
      <c r="W15" s="711">
        <v>282552.65946949797</v>
      </c>
      <c r="X15" s="711">
        <v>282372.32392603898</v>
      </c>
      <c r="Y15" s="711">
        <v>298342.57162855298</v>
      </c>
      <c r="Z15" s="711">
        <v>279936.11359364999</v>
      </c>
      <c r="AA15" s="711">
        <v>127230.626135171</v>
      </c>
      <c r="AB15" s="711">
        <v>142107.056706348</v>
      </c>
      <c r="AC15" s="711">
        <v>158194.61256251199</v>
      </c>
      <c r="AD15" s="711">
        <v>189347.267691908</v>
      </c>
      <c r="AE15" s="711">
        <v>199123.12228201199</v>
      </c>
      <c r="AF15" s="712">
        <f t="shared" si="1"/>
        <v>238614.17385719976</v>
      </c>
    </row>
    <row r="16" spans="1:36">
      <c r="A16" s="584" t="s">
        <v>1850</v>
      </c>
      <c r="B16" s="711">
        <v>9598351.8333400004</v>
      </c>
      <c r="C16" s="711">
        <v>9629346.8231099993</v>
      </c>
      <c r="D16" s="711">
        <v>9644594.3241099995</v>
      </c>
      <c r="E16" s="711">
        <v>9675734.1887400001</v>
      </c>
      <c r="F16" s="711">
        <v>9724377.1610299908</v>
      </c>
      <c r="G16" s="711">
        <v>9764863.7077099998</v>
      </c>
      <c r="H16" s="711">
        <v>9785448.5780400001</v>
      </c>
      <c r="I16" s="711">
        <v>9833843.1312432494</v>
      </c>
      <c r="J16" s="711">
        <v>9890701.2547379509</v>
      </c>
      <c r="K16" s="711">
        <v>9947380.4503760897</v>
      </c>
      <c r="L16" s="711">
        <v>10013000.285899101</v>
      </c>
      <c r="M16" s="711">
        <v>10055148.433473799</v>
      </c>
      <c r="N16" s="711">
        <v>10104713.541631199</v>
      </c>
      <c r="O16" s="235">
        <f t="shared" si="0"/>
        <v>9820577.2087262589</v>
      </c>
      <c r="P16" s="711">
        <v>10166971.7248525</v>
      </c>
      <c r="Q16" s="711">
        <v>10085614.2857839</v>
      </c>
      <c r="R16" s="711">
        <v>10133729.868003299</v>
      </c>
      <c r="S16" s="711">
        <v>10146971.4298681</v>
      </c>
      <c r="T16" s="711">
        <v>10182877.2685293</v>
      </c>
      <c r="U16" s="711">
        <v>10225469.043766599</v>
      </c>
      <c r="V16" s="711">
        <v>10265123.3810538</v>
      </c>
      <c r="W16" s="711">
        <v>10300367.872979401</v>
      </c>
      <c r="X16" s="711">
        <v>10340778.711085999</v>
      </c>
      <c r="Y16" s="711">
        <v>10389329.3982285</v>
      </c>
      <c r="Z16" s="711">
        <v>10430924.4109136</v>
      </c>
      <c r="AA16" s="711">
        <v>10439454.982425099</v>
      </c>
      <c r="AB16" s="711">
        <v>10398430.9367263</v>
      </c>
      <c r="AC16" s="711">
        <v>10419808.542832499</v>
      </c>
      <c r="AD16" s="711">
        <v>10479416.182881899</v>
      </c>
      <c r="AE16" s="711">
        <v>10520234.586072</v>
      </c>
      <c r="AF16" s="712">
        <f t="shared" si="1"/>
        <v>10349168.211335622</v>
      </c>
      <c r="AG16" s="712">
        <v>10322954</v>
      </c>
      <c r="AH16" s="712">
        <f>AE16-AE15-AE12</f>
        <v>10291868.989859989</v>
      </c>
      <c r="AI16" s="712">
        <v>10097745</v>
      </c>
      <c r="AJ16" s="712">
        <f>AF16-AF15-AF12</f>
        <v>10080695.046827653</v>
      </c>
    </row>
    <row r="17" spans="1:36">
      <c r="A17" s="584"/>
      <c r="B17" s="713"/>
      <c r="C17" s="713"/>
      <c r="D17" s="713"/>
      <c r="E17" s="713"/>
      <c r="F17" s="713"/>
      <c r="G17" s="713"/>
      <c r="H17" s="713"/>
      <c r="I17" s="713"/>
      <c r="J17" s="713"/>
      <c r="K17" s="713"/>
      <c r="L17" s="713"/>
      <c r="M17" s="713"/>
      <c r="N17" s="713"/>
      <c r="O17" s="235">
        <f t="shared" si="0"/>
        <v>0</v>
      </c>
      <c r="P17" s="713"/>
      <c r="Q17" s="713"/>
      <c r="R17" s="713"/>
      <c r="S17" s="713"/>
      <c r="T17" s="713"/>
      <c r="U17" s="713"/>
      <c r="V17" s="713"/>
      <c r="W17" s="713"/>
      <c r="X17" s="713"/>
      <c r="Y17" s="713"/>
      <c r="Z17" s="713"/>
      <c r="AA17" s="713"/>
      <c r="AB17" s="713"/>
      <c r="AC17" s="713"/>
      <c r="AD17" s="713"/>
      <c r="AE17" s="713"/>
      <c r="AF17" s="712">
        <f t="shared" si="1"/>
        <v>0</v>
      </c>
      <c r="AI17" s="712">
        <v>961.67691796960912</v>
      </c>
      <c r="AJ17" s="715">
        <f>10095832380.1389/1000</f>
        <v>10095832.3801389</v>
      </c>
    </row>
    <row r="18" spans="1:36">
      <c r="A18" s="584" t="s">
        <v>1851</v>
      </c>
      <c r="B18" s="713"/>
      <c r="C18" s="713"/>
      <c r="D18" s="713"/>
      <c r="E18" s="713"/>
      <c r="F18" s="713"/>
      <c r="G18" s="713"/>
      <c r="H18" s="713"/>
      <c r="I18" s="713"/>
      <c r="J18" s="713"/>
      <c r="K18" s="713"/>
      <c r="L18" s="713"/>
      <c r="M18" s="713"/>
      <c r="N18" s="713"/>
      <c r="O18" s="235">
        <f t="shared" si="0"/>
        <v>0</v>
      </c>
      <c r="P18" s="713"/>
      <c r="Q18" s="713"/>
      <c r="R18" s="713"/>
      <c r="S18" s="713"/>
      <c r="T18" s="713"/>
      <c r="U18" s="713"/>
      <c r="V18" s="713"/>
      <c r="W18" s="713"/>
      <c r="X18" s="713"/>
      <c r="Y18" s="713"/>
      <c r="Z18" s="713"/>
      <c r="AA18" s="713"/>
      <c r="AB18" s="713"/>
      <c r="AC18" s="713"/>
      <c r="AD18" s="713"/>
      <c r="AE18" s="713"/>
      <c r="AF18" s="712">
        <f t="shared" si="1"/>
        <v>0</v>
      </c>
      <c r="AI18" s="712">
        <f>SUM(AI16:AI17)</f>
        <v>10098706.67691797</v>
      </c>
      <c r="AJ18" s="712">
        <f>AJ16-AJ17</f>
        <v>-15137.333311246708</v>
      </c>
    </row>
    <row r="19" spans="1:36">
      <c r="A19" s="584" t="s">
        <v>1852</v>
      </c>
      <c r="B19" s="711">
        <v>-2764706.22713</v>
      </c>
      <c r="C19" s="711">
        <v>-2783784.15918</v>
      </c>
      <c r="D19" s="711">
        <v>-2786943.1186099998</v>
      </c>
      <c r="E19" s="711">
        <v>-2805973.57345</v>
      </c>
      <c r="F19" s="711">
        <v>-2825998.9808399999</v>
      </c>
      <c r="G19" s="711">
        <v>-2841900.12606999</v>
      </c>
      <c r="H19" s="711">
        <v>-2857812.47321</v>
      </c>
      <c r="I19" s="711">
        <v>-2878212.2563571199</v>
      </c>
      <c r="J19" s="711">
        <v>-2899314.6428484698</v>
      </c>
      <c r="K19" s="711">
        <v>-2920601.9853434502</v>
      </c>
      <c r="L19" s="711">
        <v>-2941427.3331408901</v>
      </c>
      <c r="M19" s="711">
        <v>-2956102.34676988</v>
      </c>
      <c r="N19" s="711">
        <v>-2977677.1751851402</v>
      </c>
      <c r="O19" s="235">
        <f t="shared" si="0"/>
        <v>-2864650.3383180718</v>
      </c>
      <c r="P19" s="711">
        <v>-2999035.9449587199</v>
      </c>
      <c r="Q19" s="711">
        <v>-2908176.6378119099</v>
      </c>
      <c r="R19" s="711">
        <v>-2926336.3664112501</v>
      </c>
      <c r="S19" s="711">
        <v>-2945680.4473122498</v>
      </c>
      <c r="T19" s="711">
        <v>-2967460.7469007201</v>
      </c>
      <c r="U19" s="711">
        <v>-2991597.4445747901</v>
      </c>
      <c r="V19" s="711">
        <v>-3013873.2616692102</v>
      </c>
      <c r="W19" s="711">
        <v>-3035150.0055031199</v>
      </c>
      <c r="X19" s="711">
        <v>-3061215.1857893202</v>
      </c>
      <c r="Y19" s="711">
        <v>-3085070.5029367902</v>
      </c>
      <c r="Z19" s="711">
        <v>-3110757.1102886298</v>
      </c>
      <c r="AA19" s="711">
        <v>-3115184.8497182401</v>
      </c>
      <c r="AB19" s="711">
        <v>-3079207.85790041</v>
      </c>
      <c r="AC19" s="711">
        <v>-3098853.0122386399</v>
      </c>
      <c r="AD19" s="711">
        <v>-3122288.3138853898</v>
      </c>
      <c r="AE19" s="711">
        <v>-3135650.05744622</v>
      </c>
      <c r="AF19" s="712">
        <f t="shared" si="1"/>
        <v>-3058614.5227818256</v>
      </c>
    </row>
    <row r="20" spans="1:36">
      <c r="A20" s="584" t="s">
        <v>1853</v>
      </c>
      <c r="B20" s="711">
        <v>-20092.463110000001</v>
      </c>
      <c r="C20" s="711">
        <v>-20115.104859999999</v>
      </c>
      <c r="D20" s="711">
        <v>-20137.746609999998</v>
      </c>
      <c r="E20" s="711">
        <v>-20160.388360000001</v>
      </c>
      <c r="F20" s="711">
        <v>-20183.03011</v>
      </c>
      <c r="G20" s="711">
        <v>-20205.671859999999</v>
      </c>
      <c r="H20" s="711">
        <v>-20228.313610000001</v>
      </c>
      <c r="I20" s="711">
        <v>-20228.313610000001</v>
      </c>
      <c r="J20" s="711">
        <v>-20228.313610000001</v>
      </c>
      <c r="K20" s="711">
        <v>-20228.313610000001</v>
      </c>
      <c r="L20" s="711">
        <v>-20228.313610000001</v>
      </c>
      <c r="M20" s="711">
        <v>-20228.313610000001</v>
      </c>
      <c r="N20" s="711">
        <v>-20228.313610000001</v>
      </c>
      <c r="O20" s="235">
        <f t="shared" si="0"/>
        <v>-20191.73847538462</v>
      </c>
      <c r="P20" s="711">
        <v>-20228.313610000001</v>
      </c>
      <c r="Q20" s="711">
        <v>-20228.313610000001</v>
      </c>
      <c r="R20" s="711">
        <v>-20228.313610000001</v>
      </c>
      <c r="S20" s="711">
        <v>-20228.313610000001</v>
      </c>
      <c r="T20" s="711">
        <v>-20228.313610000001</v>
      </c>
      <c r="U20" s="711">
        <v>-20228.313610000001</v>
      </c>
      <c r="V20" s="711">
        <v>-20228.313610000001</v>
      </c>
      <c r="W20" s="711">
        <v>-20228.313610000001</v>
      </c>
      <c r="X20" s="711">
        <v>-20228.313610000001</v>
      </c>
      <c r="Y20" s="711">
        <v>-20228.313610000001</v>
      </c>
      <c r="Z20" s="711">
        <v>-20228.313610000001</v>
      </c>
      <c r="AA20" s="711">
        <v>-20228.313610000001</v>
      </c>
      <c r="AB20" s="711">
        <v>-20228.313610000001</v>
      </c>
      <c r="AC20" s="711">
        <v>-20228.313610000001</v>
      </c>
      <c r="AD20" s="711">
        <v>-20228.313610000001</v>
      </c>
      <c r="AE20" s="711">
        <v>-20228.313610000001</v>
      </c>
      <c r="AF20" s="712">
        <f t="shared" si="1"/>
        <v>-20228.313610000005</v>
      </c>
    </row>
    <row r="21" spans="1:36">
      <c r="A21" s="584" t="s">
        <v>1854</v>
      </c>
      <c r="B21" s="711">
        <v>721.93904999999995</v>
      </c>
      <c r="C21" s="711">
        <v>810.64823999999999</v>
      </c>
      <c r="D21" s="711">
        <v>811.54515000000004</v>
      </c>
      <c r="E21" s="711">
        <v>901.20567000000005</v>
      </c>
      <c r="F21" s="711">
        <v>901.66273000000001</v>
      </c>
      <c r="G21" s="711">
        <v>872.72469000000001</v>
      </c>
      <c r="H21" s="711">
        <v>837.33713999999998</v>
      </c>
      <c r="I21" s="711">
        <v>837.33713999999998</v>
      </c>
      <c r="J21" s="711">
        <v>837.33713999999998</v>
      </c>
      <c r="K21" s="711">
        <v>837.33713999999998</v>
      </c>
      <c r="L21" s="711">
        <v>837.33713999999998</v>
      </c>
      <c r="M21" s="711">
        <v>837.33713999999998</v>
      </c>
      <c r="N21" s="711">
        <v>837.33713999999998</v>
      </c>
      <c r="O21" s="235">
        <f t="shared" si="0"/>
        <v>837.00657769230747</v>
      </c>
      <c r="P21" s="711">
        <v>837.33713999999998</v>
      </c>
      <c r="Q21" s="711">
        <v>837.33713999999998</v>
      </c>
      <c r="R21" s="711">
        <v>837.33713999999998</v>
      </c>
      <c r="S21" s="711">
        <v>837.33713999999998</v>
      </c>
      <c r="T21" s="711">
        <v>837.33713999999998</v>
      </c>
      <c r="U21" s="711">
        <v>837.33713999999998</v>
      </c>
      <c r="V21" s="711">
        <v>837.33713999999998</v>
      </c>
      <c r="W21" s="711">
        <v>837.33713999999998</v>
      </c>
      <c r="X21" s="711">
        <v>837.33713999999998</v>
      </c>
      <c r="Y21" s="711">
        <v>837.33713999999998</v>
      </c>
      <c r="Z21" s="711">
        <v>837.33713999999998</v>
      </c>
      <c r="AA21" s="711">
        <v>837.33713999999998</v>
      </c>
      <c r="AB21" s="711">
        <v>837.33713999999998</v>
      </c>
      <c r="AC21" s="711">
        <v>837.33713999999998</v>
      </c>
      <c r="AD21" s="711">
        <v>837.33713999999998</v>
      </c>
      <c r="AE21" s="711">
        <v>837.33713999999998</v>
      </c>
      <c r="AF21" s="712">
        <f t="shared" si="1"/>
        <v>837.33713999999975</v>
      </c>
    </row>
    <row r="22" spans="1:36">
      <c r="A22" s="584" t="s">
        <v>1855</v>
      </c>
      <c r="B22" s="711">
        <v>-58635.313759999997</v>
      </c>
      <c r="C22" s="711">
        <v>-60023.122799999997</v>
      </c>
      <c r="D22" s="711">
        <v>-60737.084049999998</v>
      </c>
      <c r="E22" s="711">
        <v>-62286.759339999997</v>
      </c>
      <c r="F22" s="711">
        <v>-63468.947260000001</v>
      </c>
      <c r="G22" s="711">
        <v>-64545.2441599999</v>
      </c>
      <c r="H22" s="711">
        <v>-64960.0798</v>
      </c>
      <c r="I22" s="711">
        <v>-65294.257690860803</v>
      </c>
      <c r="J22" s="711">
        <v>-66371.645484721594</v>
      </c>
      <c r="K22" s="711">
        <v>-66803.932687182401</v>
      </c>
      <c r="L22" s="711">
        <v>-67158.143039943199</v>
      </c>
      <c r="M22" s="711">
        <v>-68853.107479704006</v>
      </c>
      <c r="N22" s="711">
        <v>-70609.544601364803</v>
      </c>
      <c r="O22" s="235">
        <f t="shared" si="0"/>
        <v>-64595.937088752049</v>
      </c>
      <c r="P22" s="711">
        <v>-72402.499871525593</v>
      </c>
      <c r="Q22" s="711">
        <v>-71676.617100686402</v>
      </c>
      <c r="R22" s="711">
        <v>-72816.079854847194</v>
      </c>
      <c r="S22" s="711">
        <v>-36708.646875908002</v>
      </c>
      <c r="T22" s="711">
        <v>-37908.614080168802</v>
      </c>
      <c r="U22" s="711">
        <v>-39186.130236729601</v>
      </c>
      <c r="V22" s="711">
        <v>-40410.574181290402</v>
      </c>
      <c r="W22" s="711">
        <v>-40811.2513978512</v>
      </c>
      <c r="X22" s="711">
        <v>-41982.911135412003</v>
      </c>
      <c r="Y22" s="711">
        <v>-41589.101893972802</v>
      </c>
      <c r="Z22" s="711">
        <v>-39376.259191533602</v>
      </c>
      <c r="AA22" s="711">
        <v>-40785.032034294403</v>
      </c>
      <c r="AB22" s="711">
        <v>-41389.217661155199</v>
      </c>
      <c r="AC22" s="711">
        <v>-40249.901557716003</v>
      </c>
      <c r="AD22" s="711">
        <v>-41534.819459976803</v>
      </c>
      <c r="AE22" s="711">
        <v>-43136.049924237603</v>
      </c>
      <c r="AF22" s="712">
        <f t="shared" si="1"/>
        <v>-40389.885356172803</v>
      </c>
    </row>
    <row r="23" spans="1:36">
      <c r="A23" s="584" t="s">
        <v>1856</v>
      </c>
      <c r="B23" s="711">
        <v>-69.345470000000006</v>
      </c>
      <c r="C23" s="711">
        <v>-69.514619999999994</v>
      </c>
      <c r="D23" s="711">
        <v>-69.683769999999996</v>
      </c>
      <c r="E23" s="711">
        <v>-69.852919999999997</v>
      </c>
      <c r="F23" s="711">
        <v>-70.022069999999999</v>
      </c>
      <c r="G23" s="711">
        <v>-70.191220000000001</v>
      </c>
      <c r="H23" s="711">
        <v>-70.360370000000003</v>
      </c>
      <c r="I23" s="711">
        <v>-70.360370000000003</v>
      </c>
      <c r="J23" s="711">
        <v>-70.360370000000003</v>
      </c>
      <c r="K23" s="711">
        <v>-70.360370000000003</v>
      </c>
      <c r="L23" s="711">
        <v>-70.360370000000003</v>
      </c>
      <c r="M23" s="711">
        <v>-70.360370000000003</v>
      </c>
      <c r="N23" s="711">
        <v>-70.360370000000003</v>
      </c>
      <c r="O23" s="235">
        <f t="shared" si="0"/>
        <v>-70.087127692307689</v>
      </c>
      <c r="P23" s="711">
        <v>-70.360370000000003</v>
      </c>
      <c r="Q23" s="711">
        <v>-70.360370000000003</v>
      </c>
      <c r="R23" s="711">
        <v>-70.360370000000003</v>
      </c>
      <c r="S23" s="711">
        <v>-70.360370000000003</v>
      </c>
      <c r="T23" s="711">
        <v>-70.360370000000003</v>
      </c>
      <c r="U23" s="711">
        <v>-70.360370000000003</v>
      </c>
      <c r="V23" s="711">
        <v>-70.360370000000003</v>
      </c>
      <c r="W23" s="711">
        <v>-70.360370000000003</v>
      </c>
      <c r="X23" s="711">
        <v>-70.360370000000003</v>
      </c>
      <c r="Y23" s="711">
        <v>-70.360370000000003</v>
      </c>
      <c r="Z23" s="711">
        <v>-70.360370000000003</v>
      </c>
      <c r="AA23" s="711">
        <v>-70.360370000000003</v>
      </c>
      <c r="AB23" s="711">
        <v>-70.360370000000003</v>
      </c>
      <c r="AC23" s="711">
        <v>-70.360370000000003</v>
      </c>
      <c r="AD23" s="711">
        <v>-70.360370000000003</v>
      </c>
      <c r="AE23" s="711">
        <v>-70.360370000000003</v>
      </c>
      <c r="AF23" s="712">
        <f t="shared" si="1"/>
        <v>-70.360370000000003</v>
      </c>
    </row>
    <row r="24" spans="1:36">
      <c r="A24" s="584" t="s">
        <v>2521</v>
      </c>
      <c r="B24" s="711">
        <v>0</v>
      </c>
      <c r="C24" s="711">
        <v>0</v>
      </c>
      <c r="D24" s="711">
        <v>0</v>
      </c>
      <c r="E24" s="711">
        <v>0</v>
      </c>
      <c r="F24" s="711">
        <v>0</v>
      </c>
      <c r="G24" s="711">
        <v>0</v>
      </c>
      <c r="H24" s="711">
        <v>0</v>
      </c>
      <c r="I24" s="711">
        <v>0</v>
      </c>
      <c r="J24" s="711">
        <v>0</v>
      </c>
      <c r="K24" s="711">
        <v>0</v>
      </c>
      <c r="L24" s="711">
        <v>0</v>
      </c>
      <c r="M24" s="711">
        <v>0</v>
      </c>
      <c r="N24" s="711">
        <v>0</v>
      </c>
      <c r="O24" s="235">
        <f t="shared" si="0"/>
        <v>0</v>
      </c>
      <c r="P24" s="711">
        <v>-635.68627000000004</v>
      </c>
      <c r="Q24" s="711">
        <v>-1233.61155999999</v>
      </c>
      <c r="R24" s="711">
        <v>-1781.0899199999899</v>
      </c>
      <c r="S24" s="711">
        <v>-2266.5516899999998</v>
      </c>
      <c r="T24" s="711">
        <v>-2821.6973599999901</v>
      </c>
      <c r="U24" s="711">
        <v>-3369.4422799999902</v>
      </c>
      <c r="V24" s="711">
        <v>-3891.19345999999</v>
      </c>
      <c r="W24" s="711">
        <v>-4310.4898499999899</v>
      </c>
      <c r="X24" s="711">
        <v>-4852.1683799999901</v>
      </c>
      <c r="Y24" s="711">
        <v>-5370.3258499999902</v>
      </c>
      <c r="Z24" s="711">
        <v>-5661.0160499999902</v>
      </c>
      <c r="AA24" s="711">
        <v>-6043.3222500000002</v>
      </c>
      <c r="AB24" s="711">
        <v>-6382.4529199999997</v>
      </c>
      <c r="AC24" s="711">
        <v>-6745.4785299999903</v>
      </c>
      <c r="AD24" s="711">
        <v>-7223.1810599999899</v>
      </c>
      <c r="AE24" s="711">
        <v>-7665.7033199999896</v>
      </c>
      <c r="AF24" s="712">
        <f t="shared" si="1"/>
        <v>-5123.3094615384534</v>
      </c>
      <c r="AG24" s="712">
        <f>AF24</f>
        <v>-5123.3094615384534</v>
      </c>
    </row>
    <row r="25" spans="1:36">
      <c r="A25" s="584" t="s">
        <v>1857</v>
      </c>
      <c r="B25" s="711">
        <v>114457.888029999</v>
      </c>
      <c r="C25" s="711">
        <v>114887.672179999</v>
      </c>
      <c r="D25" s="711">
        <v>115322.60855999999</v>
      </c>
      <c r="E25" s="711">
        <v>115768.24400999901</v>
      </c>
      <c r="F25" s="711">
        <v>116029.523959999</v>
      </c>
      <c r="G25" s="711">
        <v>116310.73838</v>
      </c>
      <c r="H25" s="711">
        <v>116750.4274</v>
      </c>
      <c r="I25" s="711">
        <v>117205.46443101999</v>
      </c>
      <c r="J25" s="711">
        <v>117665.749231422</v>
      </c>
      <c r="K25" s="711">
        <v>118129.359316705</v>
      </c>
      <c r="L25" s="711">
        <v>118595.469579899</v>
      </c>
      <c r="M25" s="711">
        <v>119063.96511962901</v>
      </c>
      <c r="N25" s="711">
        <v>119537.75053812</v>
      </c>
      <c r="O25" s="235">
        <f t="shared" si="0"/>
        <v>116901.91236436853</v>
      </c>
      <c r="P25" s="711">
        <v>120015.65244967199</v>
      </c>
      <c r="Q25" s="711">
        <v>120489.410264176</v>
      </c>
      <c r="R25" s="711">
        <v>120959.60158474599</v>
      </c>
      <c r="S25" s="711">
        <v>121431.872425047</v>
      </c>
      <c r="T25" s="711">
        <v>122138.98373440999</v>
      </c>
      <c r="U25" s="711">
        <v>122855.61058066299</v>
      </c>
      <c r="V25" s="711">
        <v>123574.748839718</v>
      </c>
      <c r="W25" s="711">
        <v>124295.44886955799</v>
      </c>
      <c r="X25" s="711">
        <v>125017.628963151</v>
      </c>
      <c r="Y25" s="711">
        <v>125742.378309398</v>
      </c>
      <c r="Z25" s="711">
        <v>126470.84663163099</v>
      </c>
      <c r="AA25" s="711">
        <v>127208.28745038</v>
      </c>
      <c r="AB25" s="711">
        <v>127953.13559212101</v>
      </c>
      <c r="AC25" s="711">
        <v>128698.765814604</v>
      </c>
      <c r="AD25" s="711">
        <v>129445.70656473099</v>
      </c>
      <c r="AE25" s="711">
        <v>130194.619632409</v>
      </c>
      <c r="AF25" s="712">
        <f t="shared" si="1"/>
        <v>125771.38718521698</v>
      </c>
      <c r="AG25" s="712">
        <f>SUM(AG12:AG24)</f>
        <v>10347689.681189232</v>
      </c>
    </row>
    <row r="26" spans="1:36">
      <c r="A26" s="584" t="s">
        <v>1858</v>
      </c>
      <c r="B26" s="711">
        <v>26742.41934</v>
      </c>
      <c r="C26" s="711">
        <v>27086.053070000002</v>
      </c>
      <c r="D26" s="711">
        <v>27811.50878</v>
      </c>
      <c r="E26" s="711">
        <v>28513.932779999999</v>
      </c>
      <c r="F26" s="711">
        <v>29804.953079999999</v>
      </c>
      <c r="G26" s="711">
        <v>29688.770629999999</v>
      </c>
      <c r="H26" s="711">
        <v>28934.2427399999</v>
      </c>
      <c r="I26" s="711">
        <v>5232.8591699999997</v>
      </c>
      <c r="J26" s="711">
        <v>6192.7080100000003</v>
      </c>
      <c r="K26" s="711">
        <v>9500.8965200000002</v>
      </c>
      <c r="L26" s="711">
        <v>13009.619849999999</v>
      </c>
      <c r="M26" s="711">
        <v>12765.41131</v>
      </c>
      <c r="N26" s="711">
        <v>10878.254349999899</v>
      </c>
      <c r="O26" s="235">
        <f t="shared" si="0"/>
        <v>19704.740740769215</v>
      </c>
      <c r="P26" s="711">
        <v>14663.396409999899</v>
      </c>
      <c r="Q26" s="711">
        <v>20520.070729999999</v>
      </c>
      <c r="R26" s="711">
        <v>24624.383720000002</v>
      </c>
      <c r="S26" s="711">
        <v>28426.715390000001</v>
      </c>
      <c r="T26" s="711">
        <v>30269.383290000002</v>
      </c>
      <c r="U26" s="711">
        <v>31284.589599999999</v>
      </c>
      <c r="V26" s="711">
        <v>32942.745929999997</v>
      </c>
      <c r="W26" s="711">
        <v>33442.967019999996</v>
      </c>
      <c r="X26" s="711">
        <v>19715.525010000001</v>
      </c>
      <c r="Y26" s="711">
        <v>21493.495299999999</v>
      </c>
      <c r="Z26" s="711">
        <v>21706.992460000001</v>
      </c>
      <c r="AA26" s="711">
        <v>883.98128999999199</v>
      </c>
      <c r="AB26" s="711">
        <v>1453.4633899999901</v>
      </c>
      <c r="AC26" s="711">
        <v>2133.15102999999</v>
      </c>
      <c r="AD26" s="711">
        <v>7956.9343499999904</v>
      </c>
      <c r="AE26" s="711">
        <v>5916.8037999999897</v>
      </c>
      <c r="AF26" s="712">
        <f t="shared" si="1"/>
        <v>18278.980604615386</v>
      </c>
    </row>
    <row r="27" spans="1:36" ht="15.75" thickBot="1">
      <c r="A27" s="584" t="s">
        <v>1859</v>
      </c>
      <c r="B27" s="716">
        <v>-536560.67877999996</v>
      </c>
      <c r="C27" s="716">
        <v>-538123.56241000001</v>
      </c>
      <c r="D27" s="716">
        <v>-539555.40660999995</v>
      </c>
      <c r="E27" s="716">
        <v>-541080.69415</v>
      </c>
      <c r="F27" s="716">
        <v>-542601.82614999998</v>
      </c>
      <c r="G27" s="716">
        <v>-543543.89801999996</v>
      </c>
      <c r="H27" s="716">
        <v>-543915.46235000005</v>
      </c>
      <c r="I27" s="716">
        <v>-521253.88920832501</v>
      </c>
      <c r="J27" s="716">
        <v>-522201.74418952398</v>
      </c>
      <c r="K27" s="716">
        <v>-523450.08928348997</v>
      </c>
      <c r="L27" s="716">
        <v>-524853.814964302</v>
      </c>
      <c r="M27" s="716">
        <v>-522802.15941301698</v>
      </c>
      <c r="N27" s="716">
        <v>-520653.84438337397</v>
      </c>
      <c r="O27" s="235">
        <f t="shared" si="0"/>
        <v>-532353.62076246389</v>
      </c>
      <c r="P27" s="716">
        <v>-522590.74512618798</v>
      </c>
      <c r="Q27" s="716">
        <v>-524494.04739905102</v>
      </c>
      <c r="R27" s="716">
        <v>-525833.268085349</v>
      </c>
      <c r="S27" s="716">
        <v>-526950.14693293499</v>
      </c>
      <c r="T27" s="716">
        <v>-528385.79509611498</v>
      </c>
      <c r="U27" s="716">
        <v>-529791.91110329796</v>
      </c>
      <c r="V27" s="716">
        <v>-532644.11542344897</v>
      </c>
      <c r="W27" s="716">
        <v>-535496.99522034498</v>
      </c>
      <c r="X27" s="716">
        <v>-524428.99193029106</v>
      </c>
      <c r="Y27" s="716">
        <v>-527544.69937318796</v>
      </c>
      <c r="Z27" s="716">
        <v>-529230.70390806103</v>
      </c>
      <c r="AA27" s="716">
        <v>-506749.97810267302</v>
      </c>
      <c r="AB27" s="716">
        <v>-510047.899364312</v>
      </c>
      <c r="AC27" s="716">
        <v>-513342.79655457602</v>
      </c>
      <c r="AD27" s="716">
        <v>-515765.29400909698</v>
      </c>
      <c r="AE27" s="716">
        <v>-515670.59765366901</v>
      </c>
      <c r="AF27" s="712">
        <f t="shared" si="1"/>
        <v>-522773.07112861605</v>
      </c>
    </row>
    <row r="28" spans="1:36">
      <c r="A28" s="584" t="s">
        <v>1860</v>
      </c>
      <c r="B28" s="711">
        <v>-3238141.78182999</v>
      </c>
      <c r="C28" s="711">
        <v>-3259331.09038</v>
      </c>
      <c r="D28" s="711">
        <v>-3263497.3771599899</v>
      </c>
      <c r="E28" s="711">
        <v>-3284387.88576</v>
      </c>
      <c r="F28" s="711">
        <v>-3305586.6666600001</v>
      </c>
      <c r="G28" s="711">
        <v>-3323392.8976299898</v>
      </c>
      <c r="H28" s="711">
        <v>-3340464.68206</v>
      </c>
      <c r="I28" s="711">
        <v>-3361783.4164952901</v>
      </c>
      <c r="J28" s="711">
        <v>-3383490.9121213001</v>
      </c>
      <c r="K28" s="711">
        <v>-3402687.0883174199</v>
      </c>
      <c r="L28" s="711">
        <v>-3421295.5385552398</v>
      </c>
      <c r="M28" s="711">
        <v>-3435389.5740729701</v>
      </c>
      <c r="N28" s="711">
        <v>-3457985.8961217599</v>
      </c>
      <c r="O28" s="235">
        <f t="shared" si="0"/>
        <v>-3344418.0620895349</v>
      </c>
      <c r="P28" s="711">
        <v>-3479447.1642067698</v>
      </c>
      <c r="Q28" s="711">
        <v>-3384032.7697174801</v>
      </c>
      <c r="R28" s="711">
        <v>-3400644.1558066998</v>
      </c>
      <c r="S28" s="711">
        <v>-3381208.5418360499</v>
      </c>
      <c r="T28" s="711">
        <v>-3403629.8232525899</v>
      </c>
      <c r="U28" s="711">
        <v>-3429266.0648541502</v>
      </c>
      <c r="V28" s="711">
        <v>-3453762.9868042301</v>
      </c>
      <c r="W28" s="711">
        <v>-3477491.6629217602</v>
      </c>
      <c r="X28" s="711">
        <v>-3507207.4401018699</v>
      </c>
      <c r="Y28" s="711">
        <v>-3531800.0932845501</v>
      </c>
      <c r="Z28" s="711">
        <v>-3556308.5871866001</v>
      </c>
      <c r="AA28" s="711">
        <v>-3560132.25020483</v>
      </c>
      <c r="AB28" s="711">
        <v>-3527082.16570376</v>
      </c>
      <c r="AC28" s="711">
        <v>-3547820.6088763298</v>
      </c>
      <c r="AD28" s="711">
        <v>-3568870.30433974</v>
      </c>
      <c r="AE28" s="711">
        <v>-3585472.3217517198</v>
      </c>
      <c r="AF28" s="712">
        <f t="shared" si="1"/>
        <v>-3502311.7577783219</v>
      </c>
    </row>
    <row r="29" spans="1:36">
      <c r="A29" s="584"/>
      <c r="B29" s="713"/>
      <c r="C29" s="713"/>
      <c r="D29" s="713"/>
      <c r="E29" s="713"/>
      <c r="F29" s="713"/>
      <c r="G29" s="713"/>
      <c r="H29" s="713"/>
      <c r="I29" s="713"/>
      <c r="J29" s="713"/>
      <c r="K29" s="713"/>
      <c r="L29" s="713"/>
      <c r="M29" s="713"/>
      <c r="N29" s="713"/>
      <c r="O29" s="235">
        <f t="shared" si="0"/>
        <v>0</v>
      </c>
      <c r="P29" s="713"/>
      <c r="Q29" s="713"/>
      <c r="R29" s="713"/>
      <c r="S29" s="713"/>
      <c r="T29" s="713"/>
      <c r="U29" s="713"/>
      <c r="V29" s="713"/>
      <c r="W29" s="713"/>
      <c r="X29" s="713"/>
      <c r="Y29" s="713"/>
      <c r="Z29" s="713"/>
      <c r="AA29" s="713"/>
      <c r="AB29" s="713"/>
      <c r="AC29" s="713"/>
      <c r="AD29" s="713"/>
      <c r="AE29" s="713"/>
      <c r="AF29" s="712">
        <f t="shared" si="1"/>
        <v>0</v>
      </c>
    </row>
    <row r="30" spans="1:36" ht="15.75" thickBot="1">
      <c r="A30" s="717" t="s">
        <v>1861</v>
      </c>
      <c r="B30" s="718">
        <v>6360210.0515099997</v>
      </c>
      <c r="C30" s="718">
        <v>6370015.7327300003</v>
      </c>
      <c r="D30" s="718">
        <v>6381096.9469499998</v>
      </c>
      <c r="E30" s="718">
        <v>6391346.3029800002</v>
      </c>
      <c r="F30" s="718">
        <v>6418790.4943699902</v>
      </c>
      <c r="G30" s="718">
        <v>6441470.8100800002</v>
      </c>
      <c r="H30" s="718">
        <v>6444983.8959799996</v>
      </c>
      <c r="I30" s="718">
        <v>6472059.7147479597</v>
      </c>
      <c r="J30" s="718">
        <v>6507210.3426166503</v>
      </c>
      <c r="K30" s="718">
        <v>6544693.36205866</v>
      </c>
      <c r="L30" s="718">
        <v>6591704.7473439099</v>
      </c>
      <c r="M30" s="718">
        <v>6619758.8594008302</v>
      </c>
      <c r="N30" s="718">
        <v>6646727.6455094703</v>
      </c>
      <c r="O30" s="235">
        <f t="shared" si="0"/>
        <v>6476159.1466367282</v>
      </c>
      <c r="P30" s="718">
        <v>6687524.5606457302</v>
      </c>
      <c r="Q30" s="718">
        <v>6701581.5160664702</v>
      </c>
      <c r="R30" s="718">
        <v>6733085.71219665</v>
      </c>
      <c r="S30" s="718">
        <v>6765762.8880320601</v>
      </c>
      <c r="T30" s="718">
        <v>6779247.4452767204</v>
      </c>
      <c r="U30" s="718">
        <v>6796202.9789124802</v>
      </c>
      <c r="V30" s="718">
        <v>6811360.3942495901</v>
      </c>
      <c r="W30" s="718">
        <v>6822876.2100577299</v>
      </c>
      <c r="X30" s="718">
        <v>6833571.2709841598</v>
      </c>
      <c r="Y30" s="718">
        <v>6857529.30494399</v>
      </c>
      <c r="Z30" s="718">
        <v>6874615.8237270396</v>
      </c>
      <c r="AA30" s="718">
        <v>6879322.7322203303</v>
      </c>
      <c r="AB30" s="718">
        <v>6871348.7710225796</v>
      </c>
      <c r="AC30" s="718">
        <v>6871987.9339561705</v>
      </c>
      <c r="AD30" s="718">
        <v>6910545.8785421597</v>
      </c>
      <c r="AE30" s="718">
        <v>6934762.2643202804</v>
      </c>
      <c r="AF30" s="712">
        <f t="shared" si="1"/>
        <v>6846856.4535573293</v>
      </c>
    </row>
    <row r="31" spans="1:36">
      <c r="A31" s="584"/>
      <c r="O31" s="235">
        <f t="shared" si="0"/>
        <v>0</v>
      </c>
      <c r="AF31" s="712">
        <f t="shared" si="1"/>
        <v>0</v>
      </c>
    </row>
    <row r="32" spans="1:36">
      <c r="A32" s="717" t="s">
        <v>1862</v>
      </c>
      <c r="B32" s="713"/>
      <c r="C32" s="713"/>
      <c r="D32" s="713"/>
      <c r="E32" s="713"/>
      <c r="F32" s="713"/>
      <c r="G32" s="713"/>
      <c r="H32" s="713"/>
      <c r="I32" s="713"/>
      <c r="J32" s="713"/>
      <c r="K32" s="713"/>
      <c r="L32" s="713"/>
      <c r="M32" s="713"/>
      <c r="N32" s="713"/>
      <c r="O32" s="235">
        <f t="shared" si="0"/>
        <v>0</v>
      </c>
      <c r="P32" s="713"/>
      <c r="Q32" s="713"/>
      <c r="R32" s="713"/>
      <c r="S32" s="713"/>
      <c r="T32" s="713"/>
      <c r="U32" s="713"/>
      <c r="V32" s="713"/>
      <c r="W32" s="713"/>
      <c r="X32" s="713"/>
      <c r="Y32" s="713"/>
      <c r="Z32" s="713"/>
      <c r="AA32" s="713"/>
      <c r="AB32" s="713"/>
      <c r="AC32" s="713"/>
      <c r="AD32" s="713"/>
      <c r="AE32" s="713"/>
      <c r="AF32" s="712">
        <f t="shared" si="1"/>
        <v>0</v>
      </c>
    </row>
    <row r="33" spans="1:32">
      <c r="A33" s="584" t="s">
        <v>1863</v>
      </c>
      <c r="B33" s="713"/>
      <c r="C33" s="713"/>
      <c r="D33" s="713"/>
      <c r="E33" s="713"/>
      <c r="F33" s="713"/>
      <c r="G33" s="713"/>
      <c r="H33" s="713"/>
      <c r="I33" s="713"/>
      <c r="J33" s="713"/>
      <c r="K33" s="713"/>
      <c r="L33" s="713"/>
      <c r="M33" s="713"/>
      <c r="N33" s="713"/>
      <c r="O33" s="235">
        <f t="shared" si="0"/>
        <v>0</v>
      </c>
      <c r="P33" s="713"/>
      <c r="Q33" s="713"/>
      <c r="R33" s="713"/>
      <c r="S33" s="713"/>
      <c r="T33" s="713"/>
      <c r="U33" s="713"/>
      <c r="V33" s="713"/>
      <c r="W33" s="713"/>
      <c r="X33" s="713"/>
      <c r="Y33" s="713"/>
      <c r="Z33" s="713"/>
      <c r="AA33" s="713"/>
      <c r="AB33" s="713"/>
      <c r="AC33" s="713"/>
      <c r="AD33" s="713"/>
      <c r="AE33" s="713"/>
      <c r="AF33" s="712">
        <f t="shared" si="1"/>
        <v>0</v>
      </c>
    </row>
    <row r="34" spans="1:32" ht="15.75" thickBot="1">
      <c r="A34" s="584" t="s">
        <v>1864</v>
      </c>
      <c r="B34" s="716">
        <v>250</v>
      </c>
      <c r="C34" s="716">
        <v>250</v>
      </c>
      <c r="D34" s="716">
        <v>250</v>
      </c>
      <c r="E34" s="716">
        <v>250</v>
      </c>
      <c r="F34" s="716">
        <v>250</v>
      </c>
      <c r="G34" s="716">
        <v>250</v>
      </c>
      <c r="H34" s="716">
        <v>250</v>
      </c>
      <c r="I34" s="716">
        <v>250</v>
      </c>
      <c r="J34" s="716">
        <v>250</v>
      </c>
      <c r="K34" s="716">
        <v>250</v>
      </c>
      <c r="L34" s="716">
        <v>250</v>
      </c>
      <c r="M34" s="716">
        <v>250</v>
      </c>
      <c r="N34" s="716">
        <v>250</v>
      </c>
      <c r="O34" s="235">
        <f t="shared" si="0"/>
        <v>250</v>
      </c>
      <c r="P34" s="716">
        <v>250</v>
      </c>
      <c r="Q34" s="716">
        <v>250</v>
      </c>
      <c r="R34" s="716">
        <v>250</v>
      </c>
      <c r="S34" s="716">
        <v>250</v>
      </c>
      <c r="T34" s="716">
        <v>250</v>
      </c>
      <c r="U34" s="716">
        <v>250</v>
      </c>
      <c r="V34" s="716">
        <v>250</v>
      </c>
      <c r="W34" s="716">
        <v>250</v>
      </c>
      <c r="X34" s="716">
        <v>250</v>
      </c>
      <c r="Y34" s="716">
        <v>250</v>
      </c>
      <c r="Z34" s="716">
        <v>250</v>
      </c>
      <c r="AA34" s="716">
        <v>250</v>
      </c>
      <c r="AB34" s="716">
        <v>250</v>
      </c>
      <c r="AC34" s="716">
        <v>250</v>
      </c>
      <c r="AD34" s="716">
        <v>250</v>
      </c>
      <c r="AE34" s="716">
        <v>250</v>
      </c>
      <c r="AF34" s="712">
        <f t="shared" si="1"/>
        <v>250</v>
      </c>
    </row>
    <row r="35" spans="1:32">
      <c r="A35" s="584" t="s">
        <v>1865</v>
      </c>
      <c r="B35" s="711">
        <v>250</v>
      </c>
      <c r="C35" s="711">
        <v>250</v>
      </c>
      <c r="D35" s="711">
        <v>250</v>
      </c>
      <c r="E35" s="711">
        <v>250</v>
      </c>
      <c r="F35" s="711">
        <v>250</v>
      </c>
      <c r="G35" s="711">
        <v>250</v>
      </c>
      <c r="H35" s="711">
        <v>250</v>
      </c>
      <c r="I35" s="711">
        <v>250</v>
      </c>
      <c r="J35" s="711">
        <v>250</v>
      </c>
      <c r="K35" s="711">
        <v>250</v>
      </c>
      <c r="L35" s="711">
        <v>250</v>
      </c>
      <c r="M35" s="711">
        <v>250</v>
      </c>
      <c r="N35" s="711">
        <v>250</v>
      </c>
      <c r="O35" s="235">
        <f t="shared" si="0"/>
        <v>250</v>
      </c>
      <c r="P35" s="711">
        <v>250</v>
      </c>
      <c r="Q35" s="711">
        <v>250</v>
      </c>
      <c r="R35" s="711">
        <v>250</v>
      </c>
      <c r="S35" s="711">
        <v>250</v>
      </c>
      <c r="T35" s="711">
        <v>250</v>
      </c>
      <c r="U35" s="711">
        <v>250</v>
      </c>
      <c r="V35" s="711">
        <v>250</v>
      </c>
      <c r="W35" s="711">
        <v>250</v>
      </c>
      <c r="X35" s="711">
        <v>250</v>
      </c>
      <c r="Y35" s="711">
        <v>250</v>
      </c>
      <c r="Z35" s="711">
        <v>250</v>
      </c>
      <c r="AA35" s="711">
        <v>250</v>
      </c>
      <c r="AB35" s="711">
        <v>250</v>
      </c>
      <c r="AC35" s="711">
        <v>250</v>
      </c>
      <c r="AD35" s="711">
        <v>250</v>
      </c>
      <c r="AE35" s="711">
        <v>250</v>
      </c>
      <c r="AF35" s="712">
        <f t="shared" si="1"/>
        <v>250</v>
      </c>
    </row>
    <row r="36" spans="1:32">
      <c r="A36" s="584"/>
      <c r="B36" s="713"/>
      <c r="C36" s="713"/>
      <c r="D36" s="713"/>
      <c r="E36" s="713"/>
      <c r="F36" s="713"/>
      <c r="G36" s="713"/>
      <c r="H36" s="713"/>
      <c r="I36" s="713"/>
      <c r="J36" s="713"/>
      <c r="K36" s="713"/>
      <c r="L36" s="713"/>
      <c r="M36" s="713"/>
      <c r="N36" s="713"/>
      <c r="O36" s="235">
        <f t="shared" si="0"/>
        <v>0</v>
      </c>
      <c r="P36" s="713"/>
      <c r="Q36" s="713"/>
      <c r="R36" s="713"/>
      <c r="S36" s="713"/>
      <c r="T36" s="713"/>
      <c r="U36" s="713"/>
      <c r="V36" s="713"/>
      <c r="W36" s="713"/>
      <c r="X36" s="713"/>
      <c r="Y36" s="713"/>
      <c r="Z36" s="713"/>
      <c r="AA36" s="713"/>
      <c r="AB36" s="713"/>
      <c r="AC36" s="713"/>
      <c r="AD36" s="713"/>
      <c r="AE36" s="713"/>
      <c r="AF36" s="712">
        <f t="shared" si="1"/>
        <v>0</v>
      </c>
    </row>
    <row r="37" spans="1:32">
      <c r="A37" s="584" t="s">
        <v>1866</v>
      </c>
      <c r="B37" s="713"/>
      <c r="C37" s="713"/>
      <c r="D37" s="713"/>
      <c r="E37" s="713"/>
      <c r="F37" s="713"/>
      <c r="G37" s="713"/>
      <c r="H37" s="713"/>
      <c r="I37" s="713"/>
      <c r="J37" s="713"/>
      <c r="K37" s="713"/>
      <c r="L37" s="713"/>
      <c r="M37" s="713"/>
      <c r="N37" s="713"/>
      <c r="O37" s="235">
        <f t="shared" si="0"/>
        <v>0</v>
      </c>
      <c r="P37" s="713"/>
      <c r="Q37" s="713"/>
      <c r="R37" s="713"/>
      <c r="S37" s="713"/>
      <c r="T37" s="713"/>
      <c r="U37" s="713"/>
      <c r="V37" s="713"/>
      <c r="W37" s="713"/>
      <c r="X37" s="713"/>
      <c r="Y37" s="713"/>
      <c r="Z37" s="713"/>
      <c r="AA37" s="713"/>
      <c r="AB37" s="713"/>
      <c r="AC37" s="713"/>
      <c r="AD37" s="713"/>
      <c r="AE37" s="713"/>
      <c r="AF37" s="712">
        <f t="shared" si="1"/>
        <v>0</v>
      </c>
    </row>
    <row r="38" spans="1:32">
      <c r="A38" s="584" t="s">
        <v>1867</v>
      </c>
      <c r="B38" s="711">
        <v>178.71388999999999</v>
      </c>
      <c r="C38" s="711">
        <v>178.71388999999999</v>
      </c>
      <c r="D38" s="711">
        <v>178.71388999999999</v>
      </c>
      <c r="E38" s="711">
        <v>178.71388999999999</v>
      </c>
      <c r="F38" s="711">
        <v>178.71388999999999</v>
      </c>
      <c r="G38" s="711">
        <v>178.71388999999999</v>
      </c>
      <c r="H38" s="711">
        <v>178.71388999999999</v>
      </c>
      <c r="I38" s="711">
        <v>178.71388999999999</v>
      </c>
      <c r="J38" s="711">
        <v>178.71388999999999</v>
      </c>
      <c r="K38" s="711">
        <v>178.71388999999999</v>
      </c>
      <c r="L38" s="711">
        <v>178.71388999999999</v>
      </c>
      <c r="M38" s="711">
        <v>178.71388999999999</v>
      </c>
      <c r="N38" s="711">
        <v>178.71388999999999</v>
      </c>
      <c r="O38" s="235">
        <f t="shared" si="0"/>
        <v>178.71388999999999</v>
      </c>
      <c r="P38" s="711">
        <v>178.71388999999999</v>
      </c>
      <c r="Q38" s="711">
        <v>178.71388999999999</v>
      </c>
      <c r="R38" s="711">
        <v>178.71388999999999</v>
      </c>
      <c r="S38" s="711">
        <v>178.71388999999999</v>
      </c>
      <c r="T38" s="711">
        <v>178.71388999999999</v>
      </c>
      <c r="U38" s="711">
        <v>178.71388999999999</v>
      </c>
      <c r="V38" s="711">
        <v>178.71388999999999</v>
      </c>
      <c r="W38" s="711">
        <v>178.71388999999999</v>
      </c>
      <c r="X38" s="711">
        <v>178.71388999999999</v>
      </c>
      <c r="Y38" s="711">
        <v>178.71388999999999</v>
      </c>
      <c r="Z38" s="711">
        <v>178.71388999999999</v>
      </c>
      <c r="AA38" s="711">
        <v>178.71388999999999</v>
      </c>
      <c r="AB38" s="711">
        <v>178.71388999999999</v>
      </c>
      <c r="AC38" s="711">
        <v>178.71388999999999</v>
      </c>
      <c r="AD38" s="711">
        <v>178.71388999999999</v>
      </c>
      <c r="AE38" s="711">
        <v>178.71388999999999</v>
      </c>
      <c r="AF38" s="712">
        <f t="shared" si="1"/>
        <v>178.71388999999999</v>
      </c>
    </row>
    <row r="39" spans="1:32">
      <c r="A39" s="584" t="s">
        <v>1868</v>
      </c>
      <c r="B39" s="711">
        <v>178.71388999999999</v>
      </c>
      <c r="C39" s="711">
        <v>178.71388999999999</v>
      </c>
      <c r="D39" s="711">
        <v>178.71388999999999</v>
      </c>
      <c r="E39" s="711">
        <v>178.71388999999999</v>
      </c>
      <c r="F39" s="711">
        <v>178.71388999999999</v>
      </c>
      <c r="G39" s="711">
        <v>178.71388999999999</v>
      </c>
      <c r="H39" s="711">
        <v>178.71388999999999</v>
      </c>
      <c r="I39" s="711">
        <v>178.71388999999999</v>
      </c>
      <c r="J39" s="711">
        <v>178.71388999999999</v>
      </c>
      <c r="K39" s="711">
        <v>178.71388999999999</v>
      </c>
      <c r="L39" s="711">
        <v>178.71388999999999</v>
      </c>
      <c r="M39" s="711">
        <v>178.71388999999999</v>
      </c>
      <c r="N39" s="711">
        <v>178.71388999999999</v>
      </c>
      <c r="O39" s="235">
        <f t="shared" si="0"/>
        <v>178.71388999999999</v>
      </c>
      <c r="P39" s="711">
        <v>178.71388999999999</v>
      </c>
      <c r="Q39" s="711">
        <v>178.71388999999999</v>
      </c>
      <c r="R39" s="711">
        <v>178.71388999999999</v>
      </c>
      <c r="S39" s="711">
        <v>178.71388999999999</v>
      </c>
      <c r="T39" s="711">
        <v>178.71388999999999</v>
      </c>
      <c r="U39" s="711">
        <v>178.71388999999999</v>
      </c>
      <c r="V39" s="711">
        <v>178.71388999999999</v>
      </c>
      <c r="W39" s="711">
        <v>178.71388999999999</v>
      </c>
      <c r="X39" s="711">
        <v>178.71388999999999</v>
      </c>
      <c r="Y39" s="711">
        <v>178.71388999999999</v>
      </c>
      <c r="Z39" s="711">
        <v>178.71388999999999</v>
      </c>
      <c r="AA39" s="711">
        <v>178.71388999999999</v>
      </c>
      <c r="AB39" s="711">
        <v>178.71388999999999</v>
      </c>
      <c r="AC39" s="711">
        <v>178.71388999999999</v>
      </c>
      <c r="AD39" s="711">
        <v>178.71388999999999</v>
      </c>
      <c r="AE39" s="711">
        <v>178.71388999999999</v>
      </c>
      <c r="AF39" s="712">
        <f t="shared" si="1"/>
        <v>178.71388999999999</v>
      </c>
    </row>
    <row r="40" spans="1:32">
      <c r="A40" s="584"/>
      <c r="B40" s="713"/>
      <c r="C40" s="713"/>
      <c r="D40" s="713"/>
      <c r="E40" s="713"/>
      <c r="F40" s="713"/>
      <c r="G40" s="713"/>
      <c r="H40" s="713"/>
      <c r="I40" s="713"/>
      <c r="J40" s="713"/>
      <c r="K40" s="713"/>
      <c r="L40" s="713"/>
      <c r="M40" s="713"/>
      <c r="N40" s="713"/>
      <c r="O40" s="235">
        <f t="shared" si="0"/>
        <v>0</v>
      </c>
      <c r="P40" s="713"/>
      <c r="Q40" s="713"/>
      <c r="R40" s="713"/>
      <c r="S40" s="713"/>
      <c r="T40" s="713"/>
      <c r="U40" s="713"/>
      <c r="V40" s="713"/>
      <c r="W40" s="713"/>
      <c r="X40" s="713"/>
      <c r="Y40" s="713"/>
      <c r="Z40" s="713"/>
      <c r="AA40" s="713"/>
      <c r="AB40" s="713"/>
      <c r="AC40" s="713"/>
      <c r="AD40" s="713"/>
      <c r="AE40" s="713"/>
      <c r="AF40" s="712">
        <f t="shared" si="1"/>
        <v>0</v>
      </c>
    </row>
    <row r="41" spans="1:32">
      <c r="A41" s="584" t="s">
        <v>1869</v>
      </c>
      <c r="B41" s="713"/>
      <c r="C41" s="713"/>
      <c r="D41" s="713"/>
      <c r="E41" s="713"/>
      <c r="F41" s="713"/>
      <c r="G41" s="713"/>
      <c r="H41" s="713"/>
      <c r="I41" s="713"/>
      <c r="J41" s="713"/>
      <c r="K41" s="713"/>
      <c r="L41" s="713"/>
      <c r="M41" s="713"/>
      <c r="N41" s="713"/>
      <c r="O41" s="235">
        <f t="shared" si="0"/>
        <v>0</v>
      </c>
      <c r="P41" s="713"/>
      <c r="Q41" s="713"/>
      <c r="R41" s="713"/>
      <c r="S41" s="713"/>
      <c r="T41" s="713"/>
      <c r="U41" s="713"/>
      <c r="V41" s="713"/>
      <c r="W41" s="713"/>
      <c r="X41" s="713"/>
      <c r="Y41" s="713"/>
      <c r="Z41" s="713"/>
      <c r="AA41" s="713"/>
      <c r="AB41" s="713"/>
      <c r="AC41" s="713"/>
      <c r="AD41" s="713"/>
      <c r="AE41" s="713"/>
      <c r="AF41" s="712">
        <f t="shared" si="1"/>
        <v>0</v>
      </c>
    </row>
    <row r="42" spans="1:32" ht="15.75" thickBot="1">
      <c r="A42" s="584" t="s">
        <v>2522</v>
      </c>
      <c r="B42" s="716">
        <v>0</v>
      </c>
      <c r="C42" s="716">
        <v>0</v>
      </c>
      <c r="D42" s="716">
        <v>9758.6631199999993</v>
      </c>
      <c r="E42" s="716">
        <v>9758.6631199999993</v>
      </c>
      <c r="F42" s="716">
        <v>9758.6631199999993</v>
      </c>
      <c r="G42" s="716">
        <v>9758.6631199999993</v>
      </c>
      <c r="H42" s="716">
        <v>14130.22012</v>
      </c>
      <c r="I42" s="716">
        <v>14813.0562866666</v>
      </c>
      <c r="J42" s="716">
        <v>15495.892453333299</v>
      </c>
      <c r="K42" s="716">
        <v>16178.7286199999</v>
      </c>
      <c r="L42" s="716">
        <v>16861.5647866666</v>
      </c>
      <c r="M42" s="716">
        <v>17544.400953333301</v>
      </c>
      <c r="N42" s="716">
        <v>18227.237120000002</v>
      </c>
      <c r="O42" s="235">
        <f t="shared" si="0"/>
        <v>11714.288678461515</v>
      </c>
      <c r="P42" s="716">
        <v>18860.9612033333</v>
      </c>
      <c r="Q42" s="716">
        <v>19494.685286666601</v>
      </c>
      <c r="R42" s="716">
        <v>20128.409370000001</v>
      </c>
      <c r="S42" s="716">
        <v>20762.133453333299</v>
      </c>
      <c r="T42" s="716">
        <v>21395.857536666601</v>
      </c>
      <c r="U42" s="716">
        <v>22029.581620000001</v>
      </c>
      <c r="V42" s="716">
        <v>22663.305703333299</v>
      </c>
      <c r="W42" s="716">
        <v>23297.029786666601</v>
      </c>
      <c r="X42" s="716">
        <v>23930.75387</v>
      </c>
      <c r="Y42" s="716">
        <v>24564.477953333299</v>
      </c>
      <c r="Z42" s="716">
        <v>25198.2020366666</v>
      </c>
      <c r="AA42" s="716">
        <v>25831.92612</v>
      </c>
      <c r="AB42" s="716">
        <v>26522.610120000001</v>
      </c>
      <c r="AC42" s="716">
        <v>27213.294119999999</v>
      </c>
      <c r="AD42" s="716">
        <v>27903.97812</v>
      </c>
      <c r="AE42" s="716">
        <v>28594.662120000001</v>
      </c>
      <c r="AF42" s="712">
        <f t="shared" si="1"/>
        <v>24608.293273846128</v>
      </c>
    </row>
    <row r="43" spans="1:32">
      <c r="A43" s="584" t="s">
        <v>2523</v>
      </c>
      <c r="B43" s="711">
        <v>0</v>
      </c>
      <c r="C43" s="711">
        <v>0</v>
      </c>
      <c r="D43" s="711">
        <v>9758.6631199999993</v>
      </c>
      <c r="E43" s="711">
        <v>9758.6631199999993</v>
      </c>
      <c r="F43" s="711">
        <v>9758.6631199999993</v>
      </c>
      <c r="G43" s="711">
        <v>9758.6631199999993</v>
      </c>
      <c r="H43" s="711">
        <v>14130.22012</v>
      </c>
      <c r="I43" s="711">
        <v>14813.0562866666</v>
      </c>
      <c r="J43" s="711">
        <v>15495.892453333299</v>
      </c>
      <c r="K43" s="711">
        <v>16178.7286199999</v>
      </c>
      <c r="L43" s="711">
        <v>16861.5647866666</v>
      </c>
      <c r="M43" s="711">
        <v>17544.400953333301</v>
      </c>
      <c r="N43" s="711">
        <v>18227.237120000002</v>
      </c>
      <c r="O43" s="235">
        <f t="shared" si="0"/>
        <v>11714.288678461515</v>
      </c>
      <c r="P43" s="711">
        <v>18860.9612033333</v>
      </c>
      <c r="Q43" s="711">
        <v>19494.685286666601</v>
      </c>
      <c r="R43" s="711">
        <v>20128.409370000001</v>
      </c>
      <c r="S43" s="711">
        <v>20762.133453333299</v>
      </c>
      <c r="T43" s="711">
        <v>21395.857536666601</v>
      </c>
      <c r="U43" s="711">
        <v>22029.581620000001</v>
      </c>
      <c r="V43" s="711">
        <v>22663.305703333299</v>
      </c>
      <c r="W43" s="711">
        <v>23297.029786666601</v>
      </c>
      <c r="X43" s="711">
        <v>23930.75387</v>
      </c>
      <c r="Y43" s="711">
        <v>24564.477953333299</v>
      </c>
      <c r="Z43" s="711">
        <v>25198.2020366666</v>
      </c>
      <c r="AA43" s="711">
        <v>25831.92612</v>
      </c>
      <c r="AB43" s="711">
        <v>26522.610120000001</v>
      </c>
      <c r="AC43" s="711">
        <v>27213.294119999999</v>
      </c>
      <c r="AD43" s="711">
        <v>27903.97812</v>
      </c>
      <c r="AE43" s="711">
        <v>28594.662120000001</v>
      </c>
      <c r="AF43" s="712">
        <f t="shared" si="1"/>
        <v>24608.293273846128</v>
      </c>
    </row>
    <row r="44" spans="1:32">
      <c r="A44" s="584"/>
      <c r="B44" s="713"/>
      <c r="C44" s="713"/>
      <c r="D44" s="713"/>
      <c r="E44" s="713"/>
      <c r="F44" s="713"/>
      <c r="G44" s="713"/>
      <c r="H44" s="713"/>
      <c r="I44" s="713"/>
      <c r="J44" s="713"/>
      <c r="K44" s="713"/>
      <c r="L44" s="713"/>
      <c r="M44" s="713"/>
      <c r="N44" s="713"/>
      <c r="O44" s="235">
        <f t="shared" si="0"/>
        <v>0</v>
      </c>
      <c r="P44" s="713"/>
      <c r="Q44" s="713"/>
      <c r="R44" s="713"/>
      <c r="S44" s="713"/>
      <c r="T44" s="713"/>
      <c r="U44" s="713"/>
      <c r="V44" s="713"/>
      <c r="W44" s="713"/>
      <c r="X44" s="713"/>
      <c r="Y44" s="713"/>
      <c r="Z44" s="713"/>
      <c r="AA44" s="713"/>
      <c r="AB44" s="713"/>
      <c r="AC44" s="713"/>
      <c r="AD44" s="713"/>
      <c r="AE44" s="713"/>
      <c r="AF44" s="712">
        <f t="shared" si="1"/>
        <v>0</v>
      </c>
    </row>
    <row r="45" spans="1:32" ht="15.75" thickBot="1">
      <c r="A45" s="717" t="s">
        <v>1870</v>
      </c>
      <c r="B45" s="718">
        <v>428.71388999999999</v>
      </c>
      <c r="C45" s="718">
        <v>428.71388999999999</v>
      </c>
      <c r="D45" s="718">
        <v>10187.37701</v>
      </c>
      <c r="E45" s="718">
        <v>10187.37701</v>
      </c>
      <c r="F45" s="718">
        <v>10187.37701</v>
      </c>
      <c r="G45" s="718">
        <v>10187.37701</v>
      </c>
      <c r="H45" s="718">
        <v>14558.934010000001</v>
      </c>
      <c r="I45" s="718">
        <v>15241.7701766666</v>
      </c>
      <c r="J45" s="718">
        <v>15924.6063433333</v>
      </c>
      <c r="K45" s="718">
        <v>16607.442509999899</v>
      </c>
      <c r="L45" s="718">
        <v>17290.278676666599</v>
      </c>
      <c r="M45" s="718">
        <v>17973.1148433333</v>
      </c>
      <c r="N45" s="718">
        <v>18655.951010000001</v>
      </c>
      <c r="O45" s="235">
        <f t="shared" si="0"/>
        <v>12143.002568461514</v>
      </c>
      <c r="P45" s="718">
        <v>19289.675093333299</v>
      </c>
      <c r="Q45" s="718">
        <v>19923.3991766666</v>
      </c>
      <c r="R45" s="718">
        <v>20557.12326</v>
      </c>
      <c r="S45" s="718">
        <v>21190.847343333298</v>
      </c>
      <c r="T45" s="718">
        <v>21824.5714266666</v>
      </c>
      <c r="U45" s="718">
        <v>22458.29551</v>
      </c>
      <c r="V45" s="718">
        <v>23092.019593333302</v>
      </c>
      <c r="W45" s="718">
        <v>23725.7436766666</v>
      </c>
      <c r="X45" s="718">
        <v>24359.46776</v>
      </c>
      <c r="Y45" s="718">
        <v>24993.191843333301</v>
      </c>
      <c r="Z45" s="718">
        <v>25626.915926666599</v>
      </c>
      <c r="AA45" s="718">
        <v>26260.640009999999</v>
      </c>
      <c r="AB45" s="718">
        <v>26951.32401</v>
      </c>
      <c r="AC45" s="718">
        <v>27642.008010000001</v>
      </c>
      <c r="AD45" s="718">
        <v>28332.692009999999</v>
      </c>
      <c r="AE45" s="718">
        <v>29023.37601</v>
      </c>
      <c r="AF45" s="712">
        <f t="shared" si="1"/>
        <v>25037.007163846134</v>
      </c>
    </row>
    <row r="46" spans="1:32">
      <c r="A46" s="584"/>
      <c r="O46" s="235">
        <f t="shared" si="0"/>
        <v>0</v>
      </c>
      <c r="AF46" s="712">
        <f t="shared" si="1"/>
        <v>0</v>
      </c>
    </row>
    <row r="47" spans="1:32">
      <c r="A47" s="717" t="s">
        <v>1444</v>
      </c>
      <c r="B47" s="713"/>
      <c r="C47" s="713"/>
      <c r="D47" s="713"/>
      <c r="E47" s="713"/>
      <c r="F47" s="713"/>
      <c r="G47" s="713"/>
      <c r="H47" s="713"/>
      <c r="I47" s="713"/>
      <c r="J47" s="713"/>
      <c r="K47" s="713"/>
      <c r="L47" s="713"/>
      <c r="M47" s="713"/>
      <c r="N47" s="713"/>
      <c r="O47" s="235">
        <f t="shared" si="0"/>
        <v>0</v>
      </c>
      <c r="P47" s="713"/>
      <c r="Q47" s="713"/>
      <c r="R47" s="713"/>
      <c r="S47" s="713"/>
      <c r="T47" s="713"/>
      <c r="U47" s="713"/>
      <c r="V47" s="713"/>
      <c r="W47" s="713"/>
      <c r="X47" s="713"/>
      <c r="Y47" s="713"/>
      <c r="Z47" s="713"/>
      <c r="AA47" s="713"/>
      <c r="AB47" s="713"/>
      <c r="AC47" s="713"/>
      <c r="AD47" s="713"/>
      <c r="AE47" s="713"/>
      <c r="AF47" s="712">
        <f t="shared" si="1"/>
        <v>0</v>
      </c>
    </row>
    <row r="48" spans="1:32">
      <c r="A48" s="584" t="s">
        <v>1871</v>
      </c>
      <c r="B48" s="713"/>
      <c r="C48" s="713"/>
      <c r="D48" s="713"/>
      <c r="E48" s="713"/>
      <c r="F48" s="713"/>
      <c r="G48" s="713"/>
      <c r="H48" s="713"/>
      <c r="I48" s="713"/>
      <c r="J48" s="713"/>
      <c r="K48" s="713"/>
      <c r="L48" s="713"/>
      <c r="M48" s="713"/>
      <c r="N48" s="713"/>
      <c r="O48" s="235">
        <f t="shared" si="0"/>
        <v>0</v>
      </c>
      <c r="P48" s="713"/>
      <c r="Q48" s="713"/>
      <c r="R48" s="713"/>
      <c r="S48" s="713"/>
      <c r="T48" s="713"/>
      <c r="U48" s="713"/>
      <c r="V48" s="713"/>
      <c r="W48" s="713"/>
      <c r="X48" s="713"/>
      <c r="Y48" s="713"/>
      <c r="Z48" s="713"/>
      <c r="AA48" s="713"/>
      <c r="AB48" s="713"/>
      <c r="AC48" s="713"/>
      <c r="AD48" s="713"/>
      <c r="AE48" s="713"/>
      <c r="AF48" s="712">
        <f t="shared" si="1"/>
        <v>0</v>
      </c>
    </row>
    <row r="49" spans="1:32">
      <c r="A49" s="584" t="s">
        <v>1872</v>
      </c>
      <c r="B49" s="711">
        <v>12816.843429999901</v>
      </c>
      <c r="C49" s="711">
        <v>12427.772929999999</v>
      </c>
      <c r="D49" s="711">
        <v>11641.19238</v>
      </c>
      <c r="E49" s="711">
        <v>9971.0925000000007</v>
      </c>
      <c r="F49" s="711">
        <v>12215.742249999999</v>
      </c>
      <c r="G49" s="711">
        <v>7161.2765799999997</v>
      </c>
      <c r="H49" s="711">
        <v>11928.16518</v>
      </c>
      <c r="I49" s="711">
        <v>5000</v>
      </c>
      <c r="J49" s="711">
        <v>5000</v>
      </c>
      <c r="K49" s="711">
        <v>5000</v>
      </c>
      <c r="L49" s="711">
        <v>5000</v>
      </c>
      <c r="M49" s="711">
        <v>5000</v>
      </c>
      <c r="N49" s="711">
        <v>5000</v>
      </c>
      <c r="O49" s="235">
        <f t="shared" si="0"/>
        <v>8320.1604038461464</v>
      </c>
      <c r="P49" s="711">
        <v>5000</v>
      </c>
      <c r="Q49" s="711">
        <v>5000</v>
      </c>
      <c r="R49" s="711">
        <v>5000</v>
      </c>
      <c r="S49" s="711">
        <v>5000</v>
      </c>
      <c r="T49" s="711">
        <v>5000</v>
      </c>
      <c r="U49" s="711">
        <v>5000</v>
      </c>
      <c r="V49" s="711">
        <v>5000</v>
      </c>
      <c r="W49" s="711">
        <v>5000</v>
      </c>
      <c r="X49" s="711">
        <v>5000</v>
      </c>
      <c r="Y49" s="711">
        <v>5000</v>
      </c>
      <c r="Z49" s="711">
        <v>5000</v>
      </c>
      <c r="AA49" s="711">
        <v>5000</v>
      </c>
      <c r="AB49" s="711">
        <v>5000</v>
      </c>
      <c r="AC49" s="711">
        <v>5000</v>
      </c>
      <c r="AD49" s="711">
        <v>5000</v>
      </c>
      <c r="AE49" s="711">
        <v>5000</v>
      </c>
      <c r="AF49" s="712">
        <f t="shared" si="1"/>
        <v>5000</v>
      </c>
    </row>
    <row r="50" spans="1:32" ht="15.75" thickBot="1">
      <c r="A50" s="584" t="s">
        <v>1876</v>
      </c>
      <c r="B50" s="716">
        <v>61.03</v>
      </c>
      <c r="C50" s="716">
        <v>61.03</v>
      </c>
      <c r="D50" s="716">
        <v>61.03</v>
      </c>
      <c r="E50" s="716">
        <v>61.03</v>
      </c>
      <c r="F50" s="716">
        <v>61.03</v>
      </c>
      <c r="G50" s="716">
        <v>61.03</v>
      </c>
      <c r="H50" s="716">
        <v>61.03</v>
      </c>
      <c r="I50" s="716">
        <v>61.03</v>
      </c>
      <c r="J50" s="716">
        <v>61.03</v>
      </c>
      <c r="K50" s="716">
        <v>61.03</v>
      </c>
      <c r="L50" s="716">
        <v>61.03</v>
      </c>
      <c r="M50" s="716">
        <v>61.03</v>
      </c>
      <c r="N50" s="716">
        <v>61.03</v>
      </c>
      <c r="O50" s="235">
        <f t="shared" si="0"/>
        <v>61.02999999999998</v>
      </c>
      <c r="P50" s="716">
        <v>61.03</v>
      </c>
      <c r="Q50" s="716">
        <v>61.03</v>
      </c>
      <c r="R50" s="716">
        <v>61.03</v>
      </c>
      <c r="S50" s="716">
        <v>61.03</v>
      </c>
      <c r="T50" s="716">
        <v>61.03</v>
      </c>
      <c r="U50" s="716">
        <v>61.03</v>
      </c>
      <c r="V50" s="716">
        <v>61.03</v>
      </c>
      <c r="W50" s="716">
        <v>61.03</v>
      </c>
      <c r="X50" s="716">
        <v>61.03</v>
      </c>
      <c r="Y50" s="716">
        <v>61.03</v>
      </c>
      <c r="Z50" s="716">
        <v>61.03</v>
      </c>
      <c r="AA50" s="716">
        <v>61.03</v>
      </c>
      <c r="AB50" s="716">
        <v>61.03</v>
      </c>
      <c r="AC50" s="716">
        <v>61.03</v>
      </c>
      <c r="AD50" s="716">
        <v>61.03</v>
      </c>
      <c r="AE50" s="716">
        <v>61.03</v>
      </c>
      <c r="AF50" s="712">
        <f t="shared" si="1"/>
        <v>61.02999999999998</v>
      </c>
    </row>
    <row r="51" spans="1:32">
      <c r="A51" s="584" t="s">
        <v>1871</v>
      </c>
      <c r="B51" s="711">
        <v>12877.8734299999</v>
      </c>
      <c r="C51" s="711">
        <v>12488.80293</v>
      </c>
      <c r="D51" s="711">
        <v>11702.222379999999</v>
      </c>
      <c r="E51" s="711">
        <v>10032.122499999999</v>
      </c>
      <c r="F51" s="711">
        <v>12276.77225</v>
      </c>
      <c r="G51" s="711">
        <v>7222.3065799999904</v>
      </c>
      <c r="H51" s="711">
        <v>11989.195180000001</v>
      </c>
      <c r="I51" s="711">
        <v>5061.03</v>
      </c>
      <c r="J51" s="711">
        <v>5061.03</v>
      </c>
      <c r="K51" s="711">
        <v>5061.03</v>
      </c>
      <c r="L51" s="711">
        <v>5061.03</v>
      </c>
      <c r="M51" s="711">
        <v>5061.03</v>
      </c>
      <c r="N51" s="711">
        <v>5061.03</v>
      </c>
      <c r="O51" s="235">
        <f t="shared" si="0"/>
        <v>8381.1904038461453</v>
      </c>
      <c r="P51" s="711">
        <v>5061.03</v>
      </c>
      <c r="Q51" s="711">
        <v>5061.03</v>
      </c>
      <c r="R51" s="711">
        <v>5061.03</v>
      </c>
      <c r="S51" s="711">
        <v>5061.03</v>
      </c>
      <c r="T51" s="711">
        <v>5061.03</v>
      </c>
      <c r="U51" s="711">
        <v>5061.03</v>
      </c>
      <c r="V51" s="711">
        <v>5061.03</v>
      </c>
      <c r="W51" s="711">
        <v>5061.03</v>
      </c>
      <c r="X51" s="711">
        <v>5061.03</v>
      </c>
      <c r="Y51" s="711">
        <v>5061.03</v>
      </c>
      <c r="Z51" s="711">
        <v>5061.03</v>
      </c>
      <c r="AA51" s="711">
        <v>5061.03</v>
      </c>
      <c r="AB51" s="711">
        <v>5061.03</v>
      </c>
      <c r="AC51" s="711">
        <v>5061.03</v>
      </c>
      <c r="AD51" s="711">
        <v>5061.03</v>
      </c>
      <c r="AE51" s="711">
        <v>5061.03</v>
      </c>
      <c r="AF51" s="712">
        <f t="shared" si="1"/>
        <v>5061.03</v>
      </c>
    </row>
    <row r="52" spans="1:32">
      <c r="A52" s="584"/>
      <c r="B52" s="713"/>
      <c r="C52" s="713"/>
      <c r="D52" s="713"/>
      <c r="E52" s="713"/>
      <c r="F52" s="713"/>
      <c r="G52" s="713"/>
      <c r="H52" s="713"/>
      <c r="I52" s="713"/>
      <c r="J52" s="713"/>
      <c r="K52" s="713"/>
      <c r="L52" s="713"/>
      <c r="M52" s="713"/>
      <c r="N52" s="713"/>
      <c r="O52" s="235">
        <f t="shared" si="0"/>
        <v>0</v>
      </c>
      <c r="P52" s="713"/>
      <c r="Q52" s="713"/>
      <c r="R52" s="713"/>
      <c r="S52" s="713"/>
      <c r="T52" s="713"/>
      <c r="U52" s="713"/>
      <c r="V52" s="713"/>
      <c r="W52" s="713"/>
      <c r="X52" s="713"/>
      <c r="Y52" s="713"/>
      <c r="Z52" s="713"/>
      <c r="AA52" s="713"/>
      <c r="AB52" s="713"/>
      <c r="AC52" s="713"/>
      <c r="AD52" s="713"/>
      <c r="AE52" s="713"/>
      <c r="AF52" s="712">
        <f t="shared" si="1"/>
        <v>0</v>
      </c>
    </row>
    <row r="53" spans="1:32">
      <c r="A53" s="584" t="s">
        <v>1873</v>
      </c>
      <c r="B53" s="713"/>
      <c r="C53" s="713"/>
      <c r="D53" s="713"/>
      <c r="E53" s="713"/>
      <c r="F53" s="713"/>
      <c r="G53" s="713"/>
      <c r="H53" s="713"/>
      <c r="I53" s="713"/>
      <c r="J53" s="713"/>
      <c r="K53" s="713"/>
      <c r="L53" s="713"/>
      <c r="M53" s="713"/>
      <c r="N53" s="713"/>
      <c r="O53" s="235">
        <f t="shared" si="0"/>
        <v>0</v>
      </c>
      <c r="P53" s="713"/>
      <c r="Q53" s="713"/>
      <c r="R53" s="713"/>
      <c r="S53" s="713"/>
      <c r="T53" s="713"/>
      <c r="U53" s="713"/>
      <c r="V53" s="713"/>
      <c r="W53" s="713"/>
      <c r="X53" s="713"/>
      <c r="Y53" s="713"/>
      <c r="Z53" s="713"/>
      <c r="AA53" s="713"/>
      <c r="AB53" s="713"/>
      <c r="AC53" s="713"/>
      <c r="AD53" s="713"/>
      <c r="AE53" s="713"/>
      <c r="AF53" s="712">
        <f t="shared" si="1"/>
        <v>0</v>
      </c>
    </row>
    <row r="54" spans="1:32" ht="15.75" thickBot="1">
      <c r="A54" s="584" t="s">
        <v>1874</v>
      </c>
      <c r="B54" s="716">
        <v>1864.1282200000001</v>
      </c>
      <c r="C54" s="716">
        <v>727.69099000000006</v>
      </c>
      <c r="D54" s="716">
        <v>182.53855999999999</v>
      </c>
      <c r="E54" s="716">
        <v>881.35690999999997</v>
      </c>
      <c r="F54" s="716">
        <v>130.18629999999999</v>
      </c>
      <c r="G54" s="716">
        <v>704.09118000000001</v>
      </c>
      <c r="H54" s="716">
        <v>7519.3973999999998</v>
      </c>
      <c r="I54" s="716">
        <v>2.7284841053187799E-12</v>
      </c>
      <c r="J54" s="716">
        <v>6.8212102632969598E-13</v>
      </c>
      <c r="K54" s="716">
        <v>-1.28466126625426E-11</v>
      </c>
      <c r="L54" s="716">
        <v>9.3223206931725096E-12</v>
      </c>
      <c r="M54" s="716">
        <v>-2.23963070311583E-11</v>
      </c>
      <c r="N54" s="716">
        <v>1.1368683772161601E-12</v>
      </c>
      <c r="O54" s="235">
        <f t="shared" si="0"/>
        <v>923.79919692307533</v>
      </c>
      <c r="P54" s="716">
        <v>4.8885340220294804E-12</v>
      </c>
      <c r="Q54" s="716">
        <v>-6.35225205769529E-12</v>
      </c>
      <c r="R54" s="716">
        <v>1.4189538433129201E-11</v>
      </c>
      <c r="S54" s="716">
        <v>-2.77964318229351E-11</v>
      </c>
      <c r="T54" s="716">
        <v>3.3537617127876701E-12</v>
      </c>
      <c r="U54" s="716">
        <v>-1.59161572810262E-12</v>
      </c>
      <c r="V54" s="716">
        <v>1.0800249583553501E-12</v>
      </c>
      <c r="W54" s="716">
        <v>2430.5753321797501</v>
      </c>
      <c r="X54" s="716">
        <v>-9.0949470177292804E-13</v>
      </c>
      <c r="Y54" s="716">
        <v>-2.8421709430404002E-13</v>
      </c>
      <c r="Z54" s="716">
        <v>1.9895196601282801E-12</v>
      </c>
      <c r="AA54" s="716">
        <v>-4.9169557314598901E-12</v>
      </c>
      <c r="AB54" s="716">
        <v>-3.46744855050928E-12</v>
      </c>
      <c r="AC54" s="716">
        <v>5.7411853049415998E-12</v>
      </c>
      <c r="AD54" s="716">
        <v>8.5265128291211997E-14</v>
      </c>
      <c r="AE54" s="716">
        <v>4.3485215428518099E-12</v>
      </c>
      <c r="AF54" s="712">
        <f t="shared" si="1"/>
        <v>186.96733324459441</v>
      </c>
    </row>
    <row r="55" spans="1:32">
      <c r="A55" s="584" t="s">
        <v>1873</v>
      </c>
      <c r="B55" s="711">
        <v>1864.1282200000001</v>
      </c>
      <c r="C55" s="711">
        <v>727.69099000000006</v>
      </c>
      <c r="D55" s="711">
        <v>182.53855999999999</v>
      </c>
      <c r="E55" s="711">
        <v>881.35690999999997</v>
      </c>
      <c r="F55" s="711">
        <v>130.18629999999999</v>
      </c>
      <c r="G55" s="711">
        <v>704.09118000000001</v>
      </c>
      <c r="H55" s="711">
        <v>7519.3973999999998</v>
      </c>
      <c r="I55" s="711">
        <v>2.7284841053187799E-12</v>
      </c>
      <c r="J55" s="711">
        <v>6.8212102632969598E-13</v>
      </c>
      <c r="K55" s="711">
        <v>-1.28466126625426E-11</v>
      </c>
      <c r="L55" s="711">
        <v>9.3223206931725096E-12</v>
      </c>
      <c r="M55" s="711">
        <v>-2.23963070311583E-11</v>
      </c>
      <c r="N55" s="711">
        <v>1.1368683772161601E-12</v>
      </c>
      <c r="O55" s="235">
        <f t="shared" si="0"/>
        <v>923.79919692307533</v>
      </c>
      <c r="P55" s="711">
        <v>4.8885340220294804E-12</v>
      </c>
      <c r="Q55" s="711">
        <v>-6.35225205769529E-12</v>
      </c>
      <c r="R55" s="711">
        <v>1.4189538433129201E-11</v>
      </c>
      <c r="S55" s="711">
        <v>-2.77964318229351E-11</v>
      </c>
      <c r="T55" s="711">
        <v>3.3537617127876701E-12</v>
      </c>
      <c r="U55" s="711">
        <v>-1.59161572810262E-12</v>
      </c>
      <c r="V55" s="711">
        <v>1.0800249583553501E-12</v>
      </c>
      <c r="W55" s="711">
        <v>2430.5753321797501</v>
      </c>
      <c r="X55" s="711">
        <v>-9.0949470177292804E-13</v>
      </c>
      <c r="Y55" s="711">
        <v>-2.8421709430404002E-13</v>
      </c>
      <c r="Z55" s="711">
        <v>1.9895196601282801E-12</v>
      </c>
      <c r="AA55" s="711">
        <v>-4.9169557314598901E-12</v>
      </c>
      <c r="AB55" s="711">
        <v>-3.46744855050928E-12</v>
      </c>
      <c r="AC55" s="711">
        <v>5.7411853049415998E-12</v>
      </c>
      <c r="AD55" s="711">
        <v>8.5265128291211997E-14</v>
      </c>
      <c r="AE55" s="711">
        <v>4.3485215428518099E-12</v>
      </c>
      <c r="AF55" s="712">
        <f t="shared" si="1"/>
        <v>186.96733324459441</v>
      </c>
    </row>
    <row r="56" spans="1:32">
      <c r="A56" s="584"/>
      <c r="B56" s="713"/>
      <c r="C56" s="713"/>
      <c r="D56" s="713"/>
      <c r="E56" s="713"/>
      <c r="F56" s="713"/>
      <c r="G56" s="713"/>
      <c r="H56" s="713"/>
      <c r="I56" s="713"/>
      <c r="J56" s="713"/>
      <c r="K56" s="713"/>
      <c r="L56" s="713"/>
      <c r="M56" s="713"/>
      <c r="N56" s="713"/>
      <c r="O56" s="235">
        <f t="shared" si="0"/>
        <v>0</v>
      </c>
      <c r="P56" s="713"/>
      <c r="Q56" s="713"/>
      <c r="R56" s="713"/>
      <c r="S56" s="713"/>
      <c r="T56" s="713"/>
      <c r="U56" s="713"/>
      <c r="V56" s="713"/>
      <c r="W56" s="713"/>
      <c r="X56" s="713"/>
      <c r="Y56" s="713"/>
      <c r="Z56" s="713"/>
      <c r="AA56" s="713"/>
      <c r="AB56" s="713"/>
      <c r="AC56" s="713"/>
      <c r="AD56" s="713"/>
      <c r="AE56" s="713"/>
      <c r="AF56" s="712">
        <f t="shared" si="1"/>
        <v>0</v>
      </c>
    </row>
    <row r="57" spans="1:32">
      <c r="A57" s="584" t="s">
        <v>1875</v>
      </c>
      <c r="B57" s="713"/>
      <c r="C57" s="713"/>
      <c r="D57" s="713"/>
      <c r="E57" s="713"/>
      <c r="F57" s="713"/>
      <c r="G57" s="713"/>
      <c r="H57" s="713"/>
      <c r="I57" s="713"/>
      <c r="J57" s="713"/>
      <c r="K57" s="713"/>
      <c r="L57" s="713"/>
      <c r="M57" s="713"/>
      <c r="N57" s="713"/>
      <c r="O57" s="235">
        <f t="shared" si="0"/>
        <v>0</v>
      </c>
      <c r="P57" s="713"/>
      <c r="Q57" s="713"/>
      <c r="R57" s="713"/>
      <c r="S57" s="713"/>
      <c r="T57" s="713"/>
      <c r="U57" s="713"/>
      <c r="V57" s="713"/>
      <c r="W57" s="713"/>
      <c r="X57" s="713"/>
      <c r="Y57" s="713"/>
      <c r="Z57" s="713"/>
      <c r="AA57" s="713"/>
      <c r="AB57" s="713"/>
      <c r="AC57" s="713"/>
      <c r="AD57" s="713"/>
      <c r="AE57" s="713"/>
      <c r="AF57" s="712">
        <f t="shared" si="1"/>
        <v>0</v>
      </c>
    </row>
    <row r="58" spans="1:32">
      <c r="A58" s="584" t="s">
        <v>1877</v>
      </c>
      <c r="B58" s="711">
        <v>130977.19740999999</v>
      </c>
      <c r="C58" s="711">
        <v>173568.91100999899</v>
      </c>
      <c r="D58" s="711">
        <v>164237.05064999999</v>
      </c>
      <c r="E58" s="711">
        <v>137539.60165</v>
      </c>
      <c r="F58" s="711">
        <v>131249.02995</v>
      </c>
      <c r="G58" s="711">
        <v>120797.80017</v>
      </c>
      <c r="H58" s="711">
        <v>126587.467039999</v>
      </c>
      <c r="I58" s="711">
        <v>149501.74781618101</v>
      </c>
      <c r="J58" s="711">
        <v>156800.69943727099</v>
      </c>
      <c r="K58" s="711">
        <v>145828.3437312</v>
      </c>
      <c r="L58" s="711">
        <v>134622.06099514099</v>
      </c>
      <c r="M58" s="711">
        <v>132121.279513307</v>
      </c>
      <c r="N58" s="711">
        <v>135917.480776121</v>
      </c>
      <c r="O58" s="235">
        <f t="shared" si="0"/>
        <v>141519.12847301684</v>
      </c>
      <c r="P58" s="711">
        <v>161133.67461707501</v>
      </c>
      <c r="Q58" s="711">
        <v>151396.87751314399</v>
      </c>
      <c r="R58" s="711">
        <v>135042.21265324301</v>
      </c>
      <c r="S58" s="711">
        <v>128892.419290342</v>
      </c>
      <c r="T58" s="711">
        <v>123124.43729773699</v>
      </c>
      <c r="U58" s="711">
        <v>131668.84984522601</v>
      </c>
      <c r="V58" s="711">
        <v>147161.53733306201</v>
      </c>
      <c r="W58" s="711">
        <v>153051.83939494501</v>
      </c>
      <c r="X58" s="711">
        <v>142630.684092496</v>
      </c>
      <c r="Y58" s="711">
        <v>131649.77397643999</v>
      </c>
      <c r="Z58" s="711">
        <v>128717.788299404</v>
      </c>
      <c r="AA58" s="711">
        <v>133531.62124138701</v>
      </c>
      <c r="AB58" s="711">
        <v>158479.81972252799</v>
      </c>
      <c r="AC58" s="711">
        <v>149665.211480989</v>
      </c>
      <c r="AD58" s="711">
        <v>132231.08431466401</v>
      </c>
      <c r="AE58" s="711">
        <v>128062.47076394</v>
      </c>
      <c r="AF58" s="712">
        <f t="shared" si="1"/>
        <v>137605.19515793538</v>
      </c>
    </row>
    <row r="59" spans="1:32">
      <c r="A59" s="584" t="s">
        <v>1878</v>
      </c>
      <c r="B59" s="711">
        <v>29165.5716499999</v>
      </c>
      <c r="C59" s="711">
        <v>32577.012330000001</v>
      </c>
      <c r="D59" s="711">
        <v>26338.38726</v>
      </c>
      <c r="E59" s="711">
        <v>23537.571629999999</v>
      </c>
      <c r="F59" s="711">
        <v>27255.117289999998</v>
      </c>
      <c r="G59" s="711">
        <v>29855.350920000001</v>
      </c>
      <c r="H59" s="711">
        <v>27555.4682499999</v>
      </c>
      <c r="I59" s="711">
        <v>27555.4682499999</v>
      </c>
      <c r="J59" s="711">
        <v>27555.4682499999</v>
      </c>
      <c r="K59" s="711">
        <v>27555.4682499999</v>
      </c>
      <c r="L59" s="711">
        <v>27555.4682499999</v>
      </c>
      <c r="M59" s="711">
        <v>27555.4682499999</v>
      </c>
      <c r="N59" s="711">
        <v>27555.4682499999</v>
      </c>
      <c r="O59" s="235">
        <f t="shared" si="0"/>
        <v>27816.714525384556</v>
      </c>
      <c r="P59" s="711">
        <v>27555.4682499999</v>
      </c>
      <c r="Q59" s="711">
        <v>27555.4682499999</v>
      </c>
      <c r="R59" s="711">
        <v>27555.4682499999</v>
      </c>
      <c r="S59" s="711">
        <v>27555.4682499999</v>
      </c>
      <c r="T59" s="711">
        <v>27555.4682499999</v>
      </c>
      <c r="U59" s="711">
        <v>27555.4682499999</v>
      </c>
      <c r="V59" s="711">
        <v>27555.4682499999</v>
      </c>
      <c r="W59" s="711">
        <v>27555.4682499999</v>
      </c>
      <c r="X59" s="711">
        <v>27555.4682499999</v>
      </c>
      <c r="Y59" s="711">
        <v>27555.4682499999</v>
      </c>
      <c r="Z59" s="711">
        <v>27555.4682499999</v>
      </c>
      <c r="AA59" s="711">
        <v>27555.4682499999</v>
      </c>
      <c r="AB59" s="711">
        <v>27555.4682499999</v>
      </c>
      <c r="AC59" s="711">
        <v>27555.4682499999</v>
      </c>
      <c r="AD59" s="711">
        <v>27555.4682499999</v>
      </c>
      <c r="AE59" s="711">
        <v>27555.4682499999</v>
      </c>
      <c r="AF59" s="712">
        <f t="shared" si="1"/>
        <v>27555.4682499999</v>
      </c>
    </row>
    <row r="60" spans="1:32">
      <c r="A60" s="584" t="s">
        <v>2222</v>
      </c>
      <c r="B60" s="711">
        <v>0</v>
      </c>
      <c r="C60" s="711">
        <v>0</v>
      </c>
      <c r="D60" s="711">
        <v>0</v>
      </c>
      <c r="E60" s="711">
        <v>0</v>
      </c>
      <c r="F60" s="711">
        <v>0</v>
      </c>
      <c r="G60" s="711">
        <v>0</v>
      </c>
      <c r="H60" s="711">
        <v>0</v>
      </c>
      <c r="I60" s="711">
        <v>0</v>
      </c>
      <c r="J60" s="711">
        <v>0</v>
      </c>
      <c r="K60" s="711">
        <v>0</v>
      </c>
      <c r="L60" s="711">
        <v>0</v>
      </c>
      <c r="M60" s="711">
        <v>0</v>
      </c>
      <c r="N60" s="711">
        <v>0</v>
      </c>
      <c r="O60" s="235">
        <f t="shared" si="0"/>
        <v>0</v>
      </c>
      <c r="P60" s="711">
        <v>0</v>
      </c>
      <c r="Q60" s="711">
        <v>0</v>
      </c>
      <c r="R60" s="711">
        <v>0</v>
      </c>
      <c r="S60" s="711">
        <v>0</v>
      </c>
      <c r="T60" s="711">
        <v>0</v>
      </c>
      <c r="U60" s="711">
        <v>0</v>
      </c>
      <c r="V60" s="711">
        <v>0</v>
      </c>
      <c r="W60" s="711">
        <v>0</v>
      </c>
      <c r="X60" s="711">
        <v>0</v>
      </c>
      <c r="Y60" s="711">
        <v>0</v>
      </c>
      <c r="Z60" s="711">
        <v>0</v>
      </c>
      <c r="AA60" s="711">
        <v>0</v>
      </c>
      <c r="AB60" s="711">
        <v>0</v>
      </c>
      <c r="AC60" s="711">
        <v>0</v>
      </c>
      <c r="AD60" s="711">
        <v>0</v>
      </c>
      <c r="AE60" s="711">
        <v>0</v>
      </c>
      <c r="AF60" s="712">
        <f t="shared" si="1"/>
        <v>0</v>
      </c>
    </row>
    <row r="61" spans="1:32">
      <c r="A61" s="584" t="s">
        <v>1879</v>
      </c>
      <c r="B61" s="711">
        <v>536.09190000000001</v>
      </c>
      <c r="C61" s="711">
        <v>315.66687999999999</v>
      </c>
      <c r="D61" s="711">
        <v>265.84537</v>
      </c>
      <c r="E61" s="711">
        <v>1568.69894</v>
      </c>
      <c r="F61" s="711">
        <v>305.95828</v>
      </c>
      <c r="G61" s="711">
        <v>356.58305999999999</v>
      </c>
      <c r="H61" s="711">
        <v>2717.9394600000001</v>
      </c>
      <c r="I61" s="711">
        <v>2717.9394600000001</v>
      </c>
      <c r="J61" s="711">
        <v>2717.9394600000001</v>
      </c>
      <c r="K61" s="711">
        <v>2717.9394600000001</v>
      </c>
      <c r="L61" s="711">
        <v>2717.9394600000001</v>
      </c>
      <c r="M61" s="711">
        <v>2717.9394600000001</v>
      </c>
      <c r="N61" s="711">
        <v>2717.9394600000001</v>
      </c>
      <c r="O61" s="235">
        <f t="shared" si="0"/>
        <v>1721.109280769231</v>
      </c>
      <c r="P61" s="711">
        <v>2717.9394600000001</v>
      </c>
      <c r="Q61" s="711">
        <v>2717.9394600000001</v>
      </c>
      <c r="R61" s="711">
        <v>2717.9394600000001</v>
      </c>
      <c r="S61" s="711">
        <v>2717.9394600000001</v>
      </c>
      <c r="T61" s="711">
        <v>2717.9394600000001</v>
      </c>
      <c r="U61" s="711">
        <v>2717.9394600000001</v>
      </c>
      <c r="V61" s="711">
        <v>2717.9394600000001</v>
      </c>
      <c r="W61" s="711">
        <v>2717.9394600000001</v>
      </c>
      <c r="X61" s="711">
        <v>2717.9394600000001</v>
      </c>
      <c r="Y61" s="711">
        <v>2717.9394600000001</v>
      </c>
      <c r="Z61" s="711">
        <v>2717.9394600000001</v>
      </c>
      <c r="AA61" s="711">
        <v>2717.9394600000001</v>
      </c>
      <c r="AB61" s="711">
        <v>2717.9394600000001</v>
      </c>
      <c r="AC61" s="711">
        <v>2717.9394600000001</v>
      </c>
      <c r="AD61" s="711">
        <v>2717.9394600000001</v>
      </c>
      <c r="AE61" s="711">
        <v>2717.9394600000001</v>
      </c>
      <c r="AF61" s="712">
        <f t="shared" si="1"/>
        <v>2717.9394600000005</v>
      </c>
    </row>
    <row r="62" spans="1:32">
      <c r="A62" s="584" t="s">
        <v>1880</v>
      </c>
      <c r="B62" s="711">
        <v>0</v>
      </c>
      <c r="C62" s="711">
        <v>0</v>
      </c>
      <c r="D62" s="711">
        <v>0</v>
      </c>
      <c r="E62" s="711">
        <v>0</v>
      </c>
      <c r="F62" s="711">
        <v>0</v>
      </c>
      <c r="G62" s="711">
        <v>0</v>
      </c>
      <c r="H62" s="711">
        <v>0</v>
      </c>
      <c r="I62" s="711">
        <v>0</v>
      </c>
      <c r="J62" s="711">
        <v>0</v>
      </c>
      <c r="K62" s="711">
        <v>0</v>
      </c>
      <c r="L62" s="711">
        <v>0</v>
      </c>
      <c r="M62" s="711">
        <v>0</v>
      </c>
      <c r="N62" s="711">
        <v>0</v>
      </c>
      <c r="O62" s="235">
        <f t="shared" si="0"/>
        <v>0</v>
      </c>
      <c r="P62" s="711">
        <v>0</v>
      </c>
      <c r="Q62" s="711">
        <v>0</v>
      </c>
      <c r="R62" s="711">
        <v>0</v>
      </c>
      <c r="S62" s="711">
        <v>0</v>
      </c>
      <c r="T62" s="711">
        <v>0</v>
      </c>
      <c r="U62" s="711">
        <v>0</v>
      </c>
      <c r="V62" s="711">
        <v>0</v>
      </c>
      <c r="W62" s="711">
        <v>0</v>
      </c>
      <c r="X62" s="711">
        <v>0</v>
      </c>
      <c r="Y62" s="711">
        <v>0</v>
      </c>
      <c r="Z62" s="711">
        <v>0</v>
      </c>
      <c r="AA62" s="711">
        <v>0</v>
      </c>
      <c r="AB62" s="711">
        <v>0</v>
      </c>
      <c r="AC62" s="711">
        <v>0</v>
      </c>
      <c r="AD62" s="711">
        <v>0</v>
      </c>
      <c r="AE62" s="711">
        <v>0</v>
      </c>
      <c r="AF62" s="712">
        <f t="shared" si="1"/>
        <v>0</v>
      </c>
    </row>
    <row r="63" spans="1:32">
      <c r="A63" s="584" t="s">
        <v>1881</v>
      </c>
      <c r="B63" s="711">
        <v>-1410.8763099999901</v>
      </c>
      <c r="C63" s="711">
        <v>-1512.02865</v>
      </c>
      <c r="D63" s="711">
        <v>-1545.2561800000001</v>
      </c>
      <c r="E63" s="711">
        <v>-1526.4698899999901</v>
      </c>
      <c r="F63" s="711">
        <v>-1504.2720899999999</v>
      </c>
      <c r="G63" s="711">
        <v>-1348.84564</v>
      </c>
      <c r="H63" s="711">
        <v>-1278.49835999999</v>
      </c>
      <c r="I63" s="711">
        <v>-1278.49835999999</v>
      </c>
      <c r="J63" s="711">
        <v>-1278.49835999999</v>
      </c>
      <c r="K63" s="711">
        <v>-1278.49835999999</v>
      </c>
      <c r="L63" s="711">
        <v>-1278.49835999999</v>
      </c>
      <c r="M63" s="711">
        <v>-1278.49835999999</v>
      </c>
      <c r="N63" s="711">
        <v>-1278.49835999999</v>
      </c>
      <c r="O63" s="235">
        <f t="shared" si="0"/>
        <v>-1369.0182523076858</v>
      </c>
      <c r="P63" s="711">
        <v>-1278.49835999999</v>
      </c>
      <c r="Q63" s="711">
        <v>-1278.49835999999</v>
      </c>
      <c r="R63" s="711">
        <v>-1278.49835999999</v>
      </c>
      <c r="S63" s="711">
        <v>-1278.49835999999</v>
      </c>
      <c r="T63" s="711">
        <v>-1278.49835999999</v>
      </c>
      <c r="U63" s="711">
        <v>-1278.49835999999</v>
      </c>
      <c r="V63" s="711">
        <v>-1278.49835999999</v>
      </c>
      <c r="W63" s="711">
        <v>-1278.49835999999</v>
      </c>
      <c r="X63" s="711">
        <v>-1278.49835999999</v>
      </c>
      <c r="Y63" s="711">
        <v>-1278.49835999999</v>
      </c>
      <c r="Z63" s="711">
        <v>-1278.49835999999</v>
      </c>
      <c r="AA63" s="711">
        <v>-1278.49835999999</v>
      </c>
      <c r="AB63" s="711">
        <v>-1278.49835999999</v>
      </c>
      <c r="AC63" s="711">
        <v>-1278.49835999999</v>
      </c>
      <c r="AD63" s="711">
        <v>-1278.49835999999</v>
      </c>
      <c r="AE63" s="711">
        <v>-1278.49835999999</v>
      </c>
      <c r="AF63" s="712">
        <f t="shared" si="1"/>
        <v>-1278.4983599999903</v>
      </c>
    </row>
    <row r="64" spans="1:32">
      <c r="A64" s="584" t="s">
        <v>1882</v>
      </c>
      <c r="B64" s="711">
        <v>-67.242559999999997</v>
      </c>
      <c r="C64" s="711">
        <v>-67.242559999999997</v>
      </c>
      <c r="D64" s="711">
        <v>-67.242559999999997</v>
      </c>
      <c r="E64" s="711">
        <v>-42.001579999999997</v>
      </c>
      <c r="F64" s="711">
        <v>-42.001579999999997</v>
      </c>
      <c r="G64" s="711">
        <v>-42.001579999999997</v>
      </c>
      <c r="H64" s="711">
        <v>-22.152189999999901</v>
      </c>
      <c r="I64" s="711">
        <v>-22.152189999999901</v>
      </c>
      <c r="J64" s="711">
        <v>-22.152189999999901</v>
      </c>
      <c r="K64" s="711">
        <v>-22.152189999999901</v>
      </c>
      <c r="L64" s="711">
        <v>-22.152189999999901</v>
      </c>
      <c r="M64" s="711">
        <v>-22.152189999999901</v>
      </c>
      <c r="N64" s="711">
        <v>-22.152189999999901</v>
      </c>
      <c r="O64" s="235">
        <f t="shared" si="0"/>
        <v>-37.138288461538409</v>
      </c>
      <c r="P64" s="711">
        <v>-22.152189999999901</v>
      </c>
      <c r="Q64" s="711">
        <v>-22.152189999999901</v>
      </c>
      <c r="R64" s="711">
        <v>-22.152189999999901</v>
      </c>
      <c r="S64" s="711">
        <v>-22.152189999999901</v>
      </c>
      <c r="T64" s="711">
        <v>-22.152189999999901</v>
      </c>
      <c r="U64" s="711">
        <v>-22.152189999999901</v>
      </c>
      <c r="V64" s="711">
        <v>-22.152189999999901</v>
      </c>
      <c r="W64" s="711">
        <v>-22.152189999999901</v>
      </c>
      <c r="X64" s="711">
        <v>-22.152189999999901</v>
      </c>
      <c r="Y64" s="711">
        <v>-22.152189999999901</v>
      </c>
      <c r="Z64" s="711">
        <v>-22.152189999999901</v>
      </c>
      <c r="AA64" s="711">
        <v>-22.152189999999901</v>
      </c>
      <c r="AB64" s="711">
        <v>-22.152189999999901</v>
      </c>
      <c r="AC64" s="711">
        <v>-22.152189999999901</v>
      </c>
      <c r="AD64" s="711">
        <v>-22.152189999999901</v>
      </c>
      <c r="AE64" s="711">
        <v>-22.152189999999901</v>
      </c>
      <c r="AF64" s="712">
        <f t="shared" si="1"/>
        <v>-22.152189999999901</v>
      </c>
    </row>
    <row r="65" spans="1:32">
      <c r="A65" s="584" t="s">
        <v>1883</v>
      </c>
      <c r="B65" s="711">
        <v>123.67312</v>
      </c>
      <c r="C65" s="711">
        <v>103.06093</v>
      </c>
      <c r="D65" s="711">
        <v>82.448740000000001</v>
      </c>
      <c r="E65" s="711">
        <v>61.836550000000003</v>
      </c>
      <c r="F65" s="711">
        <v>41.224359999999997</v>
      </c>
      <c r="G65" s="711">
        <v>20.612169999999999</v>
      </c>
      <c r="H65" s="711">
        <v>0</v>
      </c>
      <c r="I65" s="711">
        <v>0</v>
      </c>
      <c r="J65" s="711">
        <v>0</v>
      </c>
      <c r="K65" s="711">
        <v>0</v>
      </c>
      <c r="L65" s="711">
        <v>0</v>
      </c>
      <c r="M65" s="711">
        <v>0</v>
      </c>
      <c r="N65" s="711">
        <v>0</v>
      </c>
      <c r="O65" s="235">
        <f t="shared" si="0"/>
        <v>33.296605384615383</v>
      </c>
      <c r="P65" s="711">
        <v>0</v>
      </c>
      <c r="Q65" s="711">
        <v>0</v>
      </c>
      <c r="R65" s="711">
        <v>0</v>
      </c>
      <c r="S65" s="711">
        <v>0</v>
      </c>
      <c r="T65" s="711">
        <v>0</v>
      </c>
      <c r="U65" s="711">
        <v>0</v>
      </c>
      <c r="V65" s="711">
        <v>0</v>
      </c>
      <c r="W65" s="711">
        <v>0</v>
      </c>
      <c r="X65" s="711">
        <v>0</v>
      </c>
      <c r="Y65" s="711">
        <v>0</v>
      </c>
      <c r="Z65" s="711">
        <v>0</v>
      </c>
      <c r="AA65" s="711">
        <v>0</v>
      </c>
      <c r="AB65" s="711">
        <v>0</v>
      </c>
      <c r="AC65" s="711">
        <v>0</v>
      </c>
      <c r="AD65" s="711">
        <v>0</v>
      </c>
      <c r="AE65" s="711">
        <v>0</v>
      </c>
      <c r="AF65" s="712">
        <f t="shared" si="1"/>
        <v>0</v>
      </c>
    </row>
    <row r="66" spans="1:32">
      <c r="A66" s="584" t="s">
        <v>1884</v>
      </c>
      <c r="B66" s="711">
        <v>548.54818999999998</v>
      </c>
      <c r="C66" s="711">
        <v>638.89584000000002</v>
      </c>
      <c r="D66" s="711">
        <v>795.39876000000004</v>
      </c>
      <c r="E66" s="711">
        <v>701.08213000000001</v>
      </c>
      <c r="F66" s="711">
        <v>395.82137</v>
      </c>
      <c r="G66" s="711">
        <v>484.35503999999997</v>
      </c>
      <c r="H66" s="711">
        <v>607.15839000000005</v>
      </c>
      <c r="I66" s="711">
        <v>607.15839000000005</v>
      </c>
      <c r="J66" s="711">
        <v>607.15839000000005</v>
      </c>
      <c r="K66" s="711">
        <v>607.15839000000005</v>
      </c>
      <c r="L66" s="711">
        <v>607.15839000000005</v>
      </c>
      <c r="M66" s="711">
        <v>607.15839000000005</v>
      </c>
      <c r="N66" s="711">
        <v>607.15839000000005</v>
      </c>
      <c r="O66" s="235">
        <f t="shared" si="0"/>
        <v>601.09308153846177</v>
      </c>
      <c r="P66" s="711">
        <v>607.15839000000005</v>
      </c>
      <c r="Q66" s="711">
        <v>607.15839000000005</v>
      </c>
      <c r="R66" s="711">
        <v>607.15839000000005</v>
      </c>
      <c r="S66" s="711">
        <v>607.15839000000005</v>
      </c>
      <c r="T66" s="711">
        <v>607.15839000000005</v>
      </c>
      <c r="U66" s="711">
        <v>607.15839000000005</v>
      </c>
      <c r="V66" s="711">
        <v>607.15839000000005</v>
      </c>
      <c r="W66" s="711">
        <v>607.15839000000005</v>
      </c>
      <c r="X66" s="711">
        <v>607.15839000000005</v>
      </c>
      <c r="Y66" s="711">
        <v>607.15839000000005</v>
      </c>
      <c r="Z66" s="711">
        <v>607.15839000000005</v>
      </c>
      <c r="AA66" s="711">
        <v>607.15839000000005</v>
      </c>
      <c r="AB66" s="711">
        <v>607.15839000000005</v>
      </c>
      <c r="AC66" s="711">
        <v>607.15839000000005</v>
      </c>
      <c r="AD66" s="711">
        <v>607.15839000000005</v>
      </c>
      <c r="AE66" s="711">
        <v>607.15839000000005</v>
      </c>
      <c r="AF66" s="712">
        <f t="shared" si="1"/>
        <v>607.15839000000028</v>
      </c>
    </row>
    <row r="67" spans="1:32" ht="15.75" thickBot="1">
      <c r="A67" s="584" t="s">
        <v>1885</v>
      </c>
      <c r="B67" s="716">
        <v>112646.659489999</v>
      </c>
      <c r="C67" s="716">
        <v>113265.92602</v>
      </c>
      <c r="D67" s="716">
        <v>89491.269759999996</v>
      </c>
      <c r="E67" s="716">
        <v>96925.49613</v>
      </c>
      <c r="F67" s="716">
        <v>82920.373169999904</v>
      </c>
      <c r="G67" s="716">
        <v>94453.202900000004</v>
      </c>
      <c r="H67" s="716">
        <v>96421.983219999995</v>
      </c>
      <c r="I67" s="716">
        <v>91378.413723778198</v>
      </c>
      <c r="J67" s="716">
        <v>92189.243763368693</v>
      </c>
      <c r="K67" s="716">
        <v>84151.124719182495</v>
      </c>
      <c r="L67" s="716">
        <v>77301.337041874096</v>
      </c>
      <c r="M67" s="716">
        <v>85922.243553365595</v>
      </c>
      <c r="N67" s="716">
        <v>104140.243948563</v>
      </c>
      <c r="O67" s="235">
        <f t="shared" si="0"/>
        <v>93939.039803086998</v>
      </c>
      <c r="P67" s="716">
        <v>103604.49758325001</v>
      </c>
      <c r="Q67" s="716">
        <v>95751.921485562605</v>
      </c>
      <c r="R67" s="716">
        <v>95365.586738052996</v>
      </c>
      <c r="S67" s="716">
        <v>83569.715328914404</v>
      </c>
      <c r="T67" s="716">
        <v>90539.730558450305</v>
      </c>
      <c r="U67" s="716">
        <v>92012.868000014307</v>
      </c>
      <c r="V67" s="716">
        <v>91619.012596551707</v>
      </c>
      <c r="W67" s="716">
        <v>92704.178913318698</v>
      </c>
      <c r="X67" s="716">
        <v>84852.586252123394</v>
      </c>
      <c r="Y67" s="716">
        <v>78629.071168222697</v>
      </c>
      <c r="Z67" s="716">
        <v>88438.967862014295</v>
      </c>
      <c r="AA67" s="716">
        <v>104237.542650976</v>
      </c>
      <c r="AB67" s="716">
        <v>105968.08517808899</v>
      </c>
      <c r="AC67" s="716">
        <v>97352.1342247992</v>
      </c>
      <c r="AD67" s="716">
        <v>99519.009839463397</v>
      </c>
      <c r="AE67" s="716">
        <v>84734.878179680498</v>
      </c>
      <c r="AF67" s="712">
        <f t="shared" si="1"/>
        <v>91859.829288662906</v>
      </c>
    </row>
    <row r="68" spans="1:32">
      <c r="A68" s="584" t="s">
        <v>1875</v>
      </c>
      <c r="B68" s="711">
        <v>272519.62289</v>
      </c>
      <c r="C68" s="711">
        <v>318890.20179999998</v>
      </c>
      <c r="D68" s="711">
        <v>279597.90179999999</v>
      </c>
      <c r="E68" s="711">
        <v>258765.815559999</v>
      </c>
      <c r="F68" s="711">
        <v>240621.25074999899</v>
      </c>
      <c r="G68" s="711">
        <v>244577.05704000001</v>
      </c>
      <c r="H68" s="711">
        <v>252589.36580999999</v>
      </c>
      <c r="I68" s="711">
        <v>270460.077089959</v>
      </c>
      <c r="J68" s="711">
        <v>278569.85875064001</v>
      </c>
      <c r="K68" s="711">
        <v>259559.384000383</v>
      </c>
      <c r="L68" s="711">
        <v>241503.313587015</v>
      </c>
      <c r="M68" s="711">
        <v>247623.438616673</v>
      </c>
      <c r="N68" s="711">
        <v>269637.64027468499</v>
      </c>
      <c r="O68" s="235">
        <f t="shared" si="0"/>
        <v>264224.22522841173</v>
      </c>
      <c r="P68" s="711">
        <v>294318.08775032498</v>
      </c>
      <c r="Q68" s="711">
        <v>276728.71454870701</v>
      </c>
      <c r="R68" s="711">
        <v>259987.71494129699</v>
      </c>
      <c r="S68" s="711">
        <v>242042.05016925599</v>
      </c>
      <c r="T68" s="711">
        <v>243244.083406188</v>
      </c>
      <c r="U68" s="711">
        <v>253261.63339524</v>
      </c>
      <c r="V68" s="711">
        <v>268360.46547961299</v>
      </c>
      <c r="W68" s="711">
        <v>275335.933858264</v>
      </c>
      <c r="X68" s="711">
        <v>257063.18589461999</v>
      </c>
      <c r="Y68" s="711">
        <v>239858.76069466199</v>
      </c>
      <c r="Z68" s="711">
        <v>246736.67171141901</v>
      </c>
      <c r="AA68" s="711">
        <v>267349.07944236399</v>
      </c>
      <c r="AB68" s="711">
        <v>294027.820450617</v>
      </c>
      <c r="AC68" s="711">
        <v>276597.26125578798</v>
      </c>
      <c r="AD68" s="711">
        <v>261330.00970412701</v>
      </c>
      <c r="AE68" s="711">
        <v>242377.26449361999</v>
      </c>
      <c r="AF68" s="712">
        <f t="shared" si="1"/>
        <v>259044.93999659832</v>
      </c>
    </row>
    <row r="69" spans="1:32">
      <c r="A69" s="584"/>
      <c r="B69" s="713"/>
      <c r="C69" s="713"/>
      <c r="D69" s="713"/>
      <c r="E69" s="713"/>
      <c r="F69" s="713"/>
      <c r="G69" s="713"/>
      <c r="H69" s="713"/>
      <c r="I69" s="713"/>
      <c r="J69" s="713"/>
      <c r="K69" s="713"/>
      <c r="L69" s="713"/>
      <c r="M69" s="713"/>
      <c r="N69" s="713"/>
      <c r="O69" s="235">
        <f t="shared" si="0"/>
        <v>0</v>
      </c>
      <c r="P69" s="713"/>
      <c r="Q69" s="713"/>
      <c r="R69" s="713"/>
      <c r="S69" s="713"/>
      <c r="T69" s="713"/>
      <c r="U69" s="713"/>
      <c r="V69" s="713"/>
      <c r="W69" s="713"/>
      <c r="X69" s="713"/>
      <c r="Y69" s="713"/>
      <c r="Z69" s="713"/>
      <c r="AA69" s="713"/>
      <c r="AB69" s="713"/>
      <c r="AC69" s="713"/>
      <c r="AD69" s="713"/>
      <c r="AE69" s="713"/>
      <c r="AF69" s="712">
        <f t="shared" si="1"/>
        <v>0</v>
      </c>
    </row>
    <row r="70" spans="1:32">
      <c r="A70" s="584" t="s">
        <v>1886</v>
      </c>
      <c r="B70" s="713"/>
      <c r="C70" s="713"/>
      <c r="D70" s="713"/>
      <c r="E70" s="713"/>
      <c r="F70" s="713"/>
      <c r="G70" s="713"/>
      <c r="H70" s="713"/>
      <c r="I70" s="713"/>
      <c r="J70" s="713"/>
      <c r="K70" s="713"/>
      <c r="L70" s="713"/>
      <c r="M70" s="713"/>
      <c r="N70" s="713"/>
      <c r="O70" s="235">
        <f t="shared" si="0"/>
        <v>0</v>
      </c>
      <c r="P70" s="713"/>
      <c r="Q70" s="713"/>
      <c r="R70" s="713"/>
      <c r="S70" s="713"/>
      <c r="T70" s="713"/>
      <c r="U70" s="713"/>
      <c r="V70" s="713"/>
      <c r="W70" s="713"/>
      <c r="X70" s="713"/>
      <c r="Y70" s="713"/>
      <c r="Z70" s="713"/>
      <c r="AA70" s="713"/>
      <c r="AB70" s="713"/>
      <c r="AC70" s="713"/>
      <c r="AD70" s="713"/>
      <c r="AE70" s="713"/>
      <c r="AF70" s="712">
        <f t="shared" si="1"/>
        <v>0</v>
      </c>
    </row>
    <row r="71" spans="1:32">
      <c r="A71" s="584" t="s">
        <v>2223</v>
      </c>
      <c r="B71" s="711">
        <v>0</v>
      </c>
      <c r="C71" s="711">
        <v>0</v>
      </c>
      <c r="D71" s="711">
        <v>0</v>
      </c>
      <c r="E71" s="711">
        <v>0</v>
      </c>
      <c r="F71" s="711">
        <v>0</v>
      </c>
      <c r="G71" s="711">
        <v>0</v>
      </c>
      <c r="H71" s="711">
        <v>0</v>
      </c>
      <c r="I71" s="711">
        <v>0</v>
      </c>
      <c r="J71" s="711">
        <v>0</v>
      </c>
      <c r="K71" s="711">
        <v>0</v>
      </c>
      <c r="L71" s="711">
        <v>0</v>
      </c>
      <c r="M71" s="711">
        <v>0</v>
      </c>
      <c r="N71" s="711">
        <v>0</v>
      </c>
      <c r="O71" s="235">
        <f t="shared" si="0"/>
        <v>0</v>
      </c>
      <c r="P71" s="711">
        <v>0</v>
      </c>
      <c r="Q71" s="711">
        <v>0</v>
      </c>
      <c r="R71" s="711">
        <v>0</v>
      </c>
      <c r="S71" s="711">
        <v>0</v>
      </c>
      <c r="T71" s="711">
        <v>0</v>
      </c>
      <c r="U71" s="711">
        <v>0</v>
      </c>
      <c r="V71" s="711">
        <v>0</v>
      </c>
      <c r="W71" s="711">
        <v>0</v>
      </c>
      <c r="X71" s="711">
        <v>0</v>
      </c>
      <c r="Y71" s="711">
        <v>0</v>
      </c>
      <c r="Z71" s="711">
        <v>0</v>
      </c>
      <c r="AA71" s="711">
        <v>0</v>
      </c>
      <c r="AB71" s="711">
        <v>0</v>
      </c>
      <c r="AC71" s="711">
        <v>0</v>
      </c>
      <c r="AD71" s="711">
        <v>0</v>
      </c>
      <c r="AE71" s="711">
        <v>0</v>
      </c>
      <c r="AF71" s="712">
        <f t="shared" si="1"/>
        <v>0</v>
      </c>
    </row>
    <row r="72" spans="1:32">
      <c r="A72" s="584" t="s">
        <v>1887</v>
      </c>
      <c r="B72" s="711">
        <v>0</v>
      </c>
      <c r="C72" s="711">
        <v>0.95953999999999995</v>
      </c>
      <c r="D72" s="711">
        <v>33.595869999999998</v>
      </c>
      <c r="E72" s="711">
        <v>34.027830000000002</v>
      </c>
      <c r="F72" s="711">
        <v>35.518599999999999</v>
      </c>
      <c r="G72" s="711">
        <v>53.581339999999997</v>
      </c>
      <c r="H72" s="711">
        <v>0</v>
      </c>
      <c r="I72" s="711">
        <v>1002.5970599999901</v>
      </c>
      <c r="J72" s="711">
        <v>1007.66205999999</v>
      </c>
      <c r="K72" s="711">
        <v>740.51606000000004</v>
      </c>
      <c r="L72" s="711">
        <v>1275.9489599999899</v>
      </c>
      <c r="M72" s="711">
        <v>1590.1022599999999</v>
      </c>
      <c r="N72" s="711">
        <v>2154.5393599999902</v>
      </c>
      <c r="O72" s="235">
        <f t="shared" si="0"/>
        <v>609.92684153845846</v>
      </c>
      <c r="P72" s="711">
        <v>2538.8347599999902</v>
      </c>
      <c r="Q72" s="711">
        <v>2849.3138599999902</v>
      </c>
      <c r="R72" s="711">
        <v>3203.7324599999902</v>
      </c>
      <c r="S72" s="711">
        <v>3710.43336</v>
      </c>
      <c r="T72" s="711">
        <v>4381.7328600000001</v>
      </c>
      <c r="U72" s="711">
        <v>4465.0239600000004</v>
      </c>
      <c r="V72" s="711">
        <v>4719.3179600000003</v>
      </c>
      <c r="W72" s="711">
        <v>5188.2871599999999</v>
      </c>
      <c r="X72" s="711">
        <v>5031.6399600000004</v>
      </c>
      <c r="Y72" s="711">
        <v>4309.90996</v>
      </c>
      <c r="Z72" s="711">
        <v>4007.3603600000001</v>
      </c>
      <c r="AA72" s="711">
        <v>4424.91716</v>
      </c>
      <c r="AB72" s="711">
        <v>4629.4026599999997</v>
      </c>
      <c r="AC72" s="711">
        <v>4835.7541599999904</v>
      </c>
      <c r="AD72" s="711">
        <v>4844.6405599999998</v>
      </c>
      <c r="AE72" s="711">
        <v>5417.5252599999903</v>
      </c>
      <c r="AF72" s="712">
        <f t="shared" si="1"/>
        <v>4612.7650292307671</v>
      </c>
    </row>
    <row r="73" spans="1:32" ht="15.75" thickBot="1">
      <c r="A73" s="584" t="s">
        <v>1888</v>
      </c>
      <c r="B73" s="716">
        <v>0</v>
      </c>
      <c r="C73" s="716">
        <v>0</v>
      </c>
      <c r="D73" s="716">
        <v>0</v>
      </c>
      <c r="E73" s="716">
        <v>0</v>
      </c>
      <c r="F73" s="716">
        <v>0</v>
      </c>
      <c r="G73" s="716">
        <v>0</v>
      </c>
      <c r="H73" s="716">
        <v>0</v>
      </c>
      <c r="I73" s="716">
        <v>0</v>
      </c>
      <c r="J73" s="716">
        <v>0</v>
      </c>
      <c r="K73" s="716">
        <v>0</v>
      </c>
      <c r="L73" s="716">
        <v>0</v>
      </c>
      <c r="M73" s="716">
        <v>0</v>
      </c>
      <c r="N73" s="716">
        <v>0</v>
      </c>
      <c r="O73" s="235">
        <f t="shared" si="0"/>
        <v>0</v>
      </c>
      <c r="P73" s="716">
        <v>0</v>
      </c>
      <c r="Q73" s="716">
        <v>0</v>
      </c>
      <c r="R73" s="716">
        <v>0</v>
      </c>
      <c r="S73" s="716">
        <v>0</v>
      </c>
      <c r="T73" s="716">
        <v>0</v>
      </c>
      <c r="U73" s="716">
        <v>0</v>
      </c>
      <c r="V73" s="716">
        <v>0</v>
      </c>
      <c r="W73" s="716">
        <v>0</v>
      </c>
      <c r="X73" s="716">
        <v>0</v>
      </c>
      <c r="Y73" s="716">
        <v>0</v>
      </c>
      <c r="Z73" s="716">
        <v>0</v>
      </c>
      <c r="AA73" s="716">
        <v>0</v>
      </c>
      <c r="AB73" s="716">
        <v>0</v>
      </c>
      <c r="AC73" s="716">
        <v>0</v>
      </c>
      <c r="AD73" s="716">
        <v>0</v>
      </c>
      <c r="AE73" s="716">
        <v>0</v>
      </c>
      <c r="AF73" s="712">
        <f t="shared" si="1"/>
        <v>0</v>
      </c>
    </row>
    <row r="74" spans="1:32">
      <c r="A74" s="584" t="s">
        <v>1886</v>
      </c>
      <c r="B74" s="711">
        <v>0</v>
      </c>
      <c r="C74" s="711">
        <v>0.95953999999999995</v>
      </c>
      <c r="D74" s="711">
        <v>33.595869999999998</v>
      </c>
      <c r="E74" s="711">
        <v>34.027830000000002</v>
      </c>
      <c r="F74" s="711">
        <v>35.518599999999999</v>
      </c>
      <c r="G74" s="711">
        <v>53.581339999999997</v>
      </c>
      <c r="H74" s="711">
        <v>0</v>
      </c>
      <c r="I74" s="711">
        <v>1002.5970599999901</v>
      </c>
      <c r="J74" s="711">
        <v>1007.66205999999</v>
      </c>
      <c r="K74" s="711">
        <v>740.51606000000004</v>
      </c>
      <c r="L74" s="711">
        <v>1275.9489599999899</v>
      </c>
      <c r="M74" s="711">
        <v>1590.1022599999999</v>
      </c>
      <c r="N74" s="711">
        <v>2154.5393599999902</v>
      </c>
      <c r="O74" s="235">
        <f t="shared" si="0"/>
        <v>609.92684153845846</v>
      </c>
      <c r="P74" s="711">
        <v>2538.8347599999902</v>
      </c>
      <c r="Q74" s="711">
        <v>2849.3138599999902</v>
      </c>
      <c r="R74" s="711">
        <v>3203.7324599999902</v>
      </c>
      <c r="S74" s="711">
        <v>3710.43336</v>
      </c>
      <c r="T74" s="711">
        <v>4381.7328600000001</v>
      </c>
      <c r="U74" s="711">
        <v>4465.0239600000004</v>
      </c>
      <c r="V74" s="711">
        <v>4719.3179600000003</v>
      </c>
      <c r="W74" s="711">
        <v>5188.2871599999999</v>
      </c>
      <c r="X74" s="711">
        <v>5031.6399600000004</v>
      </c>
      <c r="Y74" s="711">
        <v>4309.90996</v>
      </c>
      <c r="Z74" s="711">
        <v>4007.3603600000001</v>
      </c>
      <c r="AA74" s="711">
        <v>4424.91716</v>
      </c>
      <c r="AB74" s="711">
        <v>4629.4026599999997</v>
      </c>
      <c r="AC74" s="711">
        <v>4835.7541599999904</v>
      </c>
      <c r="AD74" s="711">
        <v>4844.6405599999998</v>
      </c>
      <c r="AE74" s="711">
        <v>5417.5252599999903</v>
      </c>
      <c r="AF74" s="712">
        <f t="shared" si="1"/>
        <v>4612.7650292307671</v>
      </c>
    </row>
    <row r="75" spans="1:32">
      <c r="A75" s="584"/>
      <c r="B75" s="713"/>
      <c r="C75" s="713"/>
      <c r="D75" s="713"/>
      <c r="E75" s="713"/>
      <c r="F75" s="713"/>
      <c r="G75" s="713"/>
      <c r="H75" s="713"/>
      <c r="I75" s="713"/>
      <c r="J75" s="713"/>
      <c r="K75" s="713"/>
      <c r="L75" s="713"/>
      <c r="M75" s="713"/>
      <c r="N75" s="713"/>
      <c r="O75" s="235">
        <f t="shared" ref="O75:O138" si="2">SUM(B75:N75)/13</f>
        <v>0</v>
      </c>
      <c r="P75" s="713"/>
      <c r="Q75" s="713"/>
      <c r="R75" s="713"/>
      <c r="S75" s="713"/>
      <c r="T75" s="713"/>
      <c r="U75" s="713"/>
      <c r="V75" s="713"/>
      <c r="W75" s="713"/>
      <c r="X75" s="713"/>
      <c r="Y75" s="713"/>
      <c r="Z75" s="713"/>
      <c r="AA75" s="713"/>
      <c r="AB75" s="713"/>
      <c r="AC75" s="713"/>
      <c r="AD75" s="713"/>
      <c r="AE75" s="713"/>
      <c r="AF75" s="712">
        <f t="shared" ref="AF75:AF138" si="3">SUM(S75:AE75)/13</f>
        <v>0</v>
      </c>
    </row>
    <row r="76" spans="1:32">
      <c r="A76" s="584" t="s">
        <v>1889</v>
      </c>
      <c r="B76" s="713"/>
      <c r="C76" s="713"/>
      <c r="D76" s="713"/>
      <c r="E76" s="713"/>
      <c r="F76" s="713"/>
      <c r="G76" s="713"/>
      <c r="H76" s="713"/>
      <c r="I76" s="713"/>
      <c r="J76" s="713"/>
      <c r="K76" s="713"/>
      <c r="L76" s="713"/>
      <c r="M76" s="713"/>
      <c r="N76" s="713"/>
      <c r="O76" s="235">
        <f t="shared" si="2"/>
        <v>0</v>
      </c>
      <c r="P76" s="713"/>
      <c r="Q76" s="713"/>
      <c r="R76" s="713"/>
      <c r="S76" s="713"/>
      <c r="T76" s="713"/>
      <c r="U76" s="713"/>
      <c r="V76" s="713"/>
      <c r="W76" s="713"/>
      <c r="X76" s="713"/>
      <c r="Y76" s="713"/>
      <c r="Z76" s="713"/>
      <c r="AA76" s="713"/>
      <c r="AB76" s="713"/>
      <c r="AC76" s="713"/>
      <c r="AD76" s="713"/>
      <c r="AE76" s="713"/>
      <c r="AF76" s="712">
        <f t="shared" si="3"/>
        <v>0</v>
      </c>
    </row>
    <row r="77" spans="1:32">
      <c r="A77" s="584" t="s">
        <v>1890</v>
      </c>
      <c r="B77" s="711">
        <v>62248.03643</v>
      </c>
      <c r="C77" s="711">
        <v>53271.788349999901</v>
      </c>
      <c r="D77" s="711">
        <v>48241.274720000001</v>
      </c>
      <c r="E77" s="711">
        <v>55665.469380000002</v>
      </c>
      <c r="F77" s="711">
        <v>64212.963580000003</v>
      </c>
      <c r="G77" s="711">
        <v>66970.595180000004</v>
      </c>
      <c r="H77" s="711">
        <v>66081.293409999998</v>
      </c>
      <c r="I77" s="711">
        <v>67990.8903600216</v>
      </c>
      <c r="J77" s="711">
        <v>70428.329779445194</v>
      </c>
      <c r="K77" s="711">
        <v>57400.484284430197</v>
      </c>
      <c r="L77" s="711">
        <v>59621.2016874252</v>
      </c>
      <c r="M77" s="711">
        <v>61718.177904460703</v>
      </c>
      <c r="N77" s="711">
        <v>62949.360903042703</v>
      </c>
      <c r="O77" s="235">
        <f t="shared" si="2"/>
        <v>61292.297382217352</v>
      </c>
      <c r="P77" s="711">
        <v>58190.641594896602</v>
      </c>
      <c r="Q77" s="711">
        <v>57255.255809426097</v>
      </c>
      <c r="R77" s="711">
        <v>59191.453899415603</v>
      </c>
      <c r="S77" s="711">
        <v>62963.536401707403</v>
      </c>
      <c r="T77" s="711">
        <v>64338.222849391299</v>
      </c>
      <c r="U77" s="711">
        <v>61919.188139315404</v>
      </c>
      <c r="V77" s="711">
        <v>58875.4916149208</v>
      </c>
      <c r="W77" s="711">
        <v>54189.070746498903</v>
      </c>
      <c r="X77" s="711">
        <v>56077.872996002399</v>
      </c>
      <c r="Y77" s="711">
        <v>61948.619267040202</v>
      </c>
      <c r="Z77" s="711">
        <v>69680.742637314906</v>
      </c>
      <c r="AA77" s="711">
        <v>68026.175784909807</v>
      </c>
      <c r="AB77" s="711">
        <v>64452.419506965998</v>
      </c>
      <c r="AC77" s="711">
        <v>63318.511770700199</v>
      </c>
      <c r="AD77" s="711">
        <v>64147.367459490299</v>
      </c>
      <c r="AE77" s="711">
        <v>68483.713423098307</v>
      </c>
      <c r="AF77" s="712">
        <f t="shared" si="3"/>
        <v>62955.456353642759</v>
      </c>
    </row>
    <row r="78" spans="1:32">
      <c r="A78" s="584" t="s">
        <v>1891</v>
      </c>
      <c r="B78" s="711">
        <v>49287.221380000003</v>
      </c>
      <c r="C78" s="711">
        <v>49378.173020000002</v>
      </c>
      <c r="D78" s="711">
        <v>49443.959060000001</v>
      </c>
      <c r="E78" s="711">
        <v>49728.853130000003</v>
      </c>
      <c r="F78" s="711">
        <v>50161.264040000002</v>
      </c>
      <c r="G78" s="711">
        <v>50333.871019999999</v>
      </c>
      <c r="H78" s="711">
        <v>50559.138830000004</v>
      </c>
      <c r="I78" s="711">
        <v>50528.725830000003</v>
      </c>
      <c r="J78" s="711">
        <v>50513.308830000002</v>
      </c>
      <c r="K78" s="711">
        <v>50497.89183</v>
      </c>
      <c r="L78" s="711">
        <v>50482.474829999999</v>
      </c>
      <c r="M78" s="711">
        <v>50467.057829999998</v>
      </c>
      <c r="N78" s="711">
        <v>50451.640829999997</v>
      </c>
      <c r="O78" s="235">
        <f t="shared" si="2"/>
        <v>50141.044650769225</v>
      </c>
      <c r="P78" s="711">
        <v>50451.640829999997</v>
      </c>
      <c r="Q78" s="711">
        <v>48440.678870000003</v>
      </c>
      <c r="R78" s="711">
        <v>48385.678870000003</v>
      </c>
      <c r="S78" s="711">
        <v>48385.678870000003</v>
      </c>
      <c r="T78" s="711">
        <v>48385.678870000003</v>
      </c>
      <c r="U78" s="711">
        <v>48246.869870000002</v>
      </c>
      <c r="V78" s="711">
        <v>48246.869870000002</v>
      </c>
      <c r="W78" s="711">
        <v>48246.869870000002</v>
      </c>
      <c r="X78" s="711">
        <v>48191.869870000002</v>
      </c>
      <c r="Y78" s="711">
        <v>48191.869870000002</v>
      </c>
      <c r="Z78" s="711">
        <v>48191.869870000002</v>
      </c>
      <c r="AA78" s="711">
        <v>48136.869870000002</v>
      </c>
      <c r="AB78" s="711">
        <v>48136.869870000002</v>
      </c>
      <c r="AC78" s="711">
        <v>48136.869870000002</v>
      </c>
      <c r="AD78" s="711">
        <v>48081.869870000002</v>
      </c>
      <c r="AE78" s="711">
        <v>48081.869870000002</v>
      </c>
      <c r="AF78" s="712">
        <f t="shared" si="3"/>
        <v>48204.7635623077</v>
      </c>
    </row>
    <row r="79" spans="1:32">
      <c r="A79" s="584" t="s">
        <v>1892</v>
      </c>
      <c r="B79" s="711">
        <v>131.23773</v>
      </c>
      <c r="C79" s="711">
        <v>130.94333</v>
      </c>
      <c r="D79" s="711">
        <v>130.77305999999999</v>
      </c>
      <c r="E79" s="711">
        <v>130.48747</v>
      </c>
      <c r="F79" s="711">
        <v>130.16242</v>
      </c>
      <c r="G79" s="711">
        <v>129.82372000000001</v>
      </c>
      <c r="H79" s="711">
        <v>129.52207999999999</v>
      </c>
      <c r="I79" s="711">
        <v>129.52207999999999</v>
      </c>
      <c r="J79" s="711">
        <v>129.52207999999999</v>
      </c>
      <c r="K79" s="711">
        <v>129.52207999999999</v>
      </c>
      <c r="L79" s="711">
        <v>129.52207999999999</v>
      </c>
      <c r="M79" s="711">
        <v>129.52207999999999</v>
      </c>
      <c r="N79" s="711">
        <v>129.52207999999999</v>
      </c>
      <c r="O79" s="235">
        <f t="shared" si="2"/>
        <v>130.00632999999999</v>
      </c>
      <c r="P79" s="711">
        <v>129.52207999999999</v>
      </c>
      <c r="Q79" s="711">
        <v>129.52207999999999</v>
      </c>
      <c r="R79" s="711">
        <v>129.52207999999999</v>
      </c>
      <c r="S79" s="711">
        <v>129.52207999999999</v>
      </c>
      <c r="T79" s="711">
        <v>129.52207999999999</v>
      </c>
      <c r="U79" s="711">
        <v>129.52207999999999</v>
      </c>
      <c r="V79" s="711">
        <v>129.52207999999999</v>
      </c>
      <c r="W79" s="711">
        <v>129.52207999999999</v>
      </c>
      <c r="X79" s="711">
        <v>129.52207999999999</v>
      </c>
      <c r="Y79" s="711">
        <v>129.52207999999999</v>
      </c>
      <c r="Z79" s="711">
        <v>129.52207999999999</v>
      </c>
      <c r="AA79" s="711">
        <v>129.52207999999999</v>
      </c>
      <c r="AB79" s="711">
        <v>129.52207999999999</v>
      </c>
      <c r="AC79" s="711">
        <v>129.52207999999999</v>
      </c>
      <c r="AD79" s="711">
        <v>129.52207999999999</v>
      </c>
      <c r="AE79" s="711">
        <v>129.52207999999999</v>
      </c>
      <c r="AF79" s="712">
        <f t="shared" si="3"/>
        <v>129.52207999999999</v>
      </c>
    </row>
    <row r="80" spans="1:32">
      <c r="A80" s="584" t="s">
        <v>1893</v>
      </c>
      <c r="B80" s="711">
        <v>11598.192929999999</v>
      </c>
      <c r="C80" s="711">
        <v>11396.8491399999</v>
      </c>
      <c r="D80" s="711">
        <v>11728.55488</v>
      </c>
      <c r="E80" s="711">
        <v>11912.94564</v>
      </c>
      <c r="F80" s="711">
        <v>11881.814119999999</v>
      </c>
      <c r="G80" s="711">
        <v>12257.819289999999</v>
      </c>
      <c r="H80" s="711">
        <v>12000.185019999901</v>
      </c>
      <c r="I80" s="711">
        <v>12000.185019999901</v>
      </c>
      <c r="J80" s="711">
        <v>12000.185019999901</v>
      </c>
      <c r="K80" s="711">
        <v>12000.185019999901</v>
      </c>
      <c r="L80" s="711">
        <v>12000.185019999901</v>
      </c>
      <c r="M80" s="711">
        <v>12000.185019999901</v>
      </c>
      <c r="N80" s="711">
        <v>12000.185019999901</v>
      </c>
      <c r="O80" s="235">
        <f t="shared" si="2"/>
        <v>11905.959318461477</v>
      </c>
      <c r="P80" s="711">
        <v>12000.185019999901</v>
      </c>
      <c r="Q80" s="711">
        <v>12000.185019999901</v>
      </c>
      <c r="R80" s="711">
        <v>12000.185019999901</v>
      </c>
      <c r="S80" s="711">
        <v>12000.185019999901</v>
      </c>
      <c r="T80" s="711">
        <v>12000.185019999901</v>
      </c>
      <c r="U80" s="711">
        <v>12000.185019999901</v>
      </c>
      <c r="V80" s="711">
        <v>12000.185019999901</v>
      </c>
      <c r="W80" s="711">
        <v>12000.185019999901</v>
      </c>
      <c r="X80" s="711">
        <v>12000.185019999901</v>
      </c>
      <c r="Y80" s="711">
        <v>12000.185019999901</v>
      </c>
      <c r="Z80" s="711">
        <v>12000.185019999901</v>
      </c>
      <c r="AA80" s="711">
        <v>12000.185019999901</v>
      </c>
      <c r="AB80" s="711">
        <v>12000.185019999901</v>
      </c>
      <c r="AC80" s="711">
        <v>12000.185019999901</v>
      </c>
      <c r="AD80" s="711">
        <v>12000.185019999901</v>
      </c>
      <c r="AE80" s="711">
        <v>12000.185019999901</v>
      </c>
      <c r="AF80" s="712">
        <f t="shared" si="3"/>
        <v>12000.185019999899</v>
      </c>
    </row>
    <row r="81" spans="1:32">
      <c r="A81" s="584" t="s">
        <v>1889</v>
      </c>
      <c r="B81" s="711">
        <v>123264.68846999999</v>
      </c>
      <c r="C81" s="711">
        <v>114177.753839999</v>
      </c>
      <c r="D81" s="711">
        <v>109544.56172</v>
      </c>
      <c r="E81" s="711">
        <v>117437.75562</v>
      </c>
      <c r="F81" s="711">
        <v>126386.20415999999</v>
      </c>
      <c r="G81" s="711">
        <v>129692.10921</v>
      </c>
      <c r="H81" s="711">
        <v>128770.13933999999</v>
      </c>
      <c r="I81" s="711">
        <v>130649.323290021</v>
      </c>
      <c r="J81" s="711">
        <v>133071.34570944501</v>
      </c>
      <c r="K81" s="711">
        <v>120028.08321442999</v>
      </c>
      <c r="L81" s="711">
        <v>122233.383617425</v>
      </c>
      <c r="M81" s="711">
        <v>124314.94283446</v>
      </c>
      <c r="N81" s="711">
        <v>125530.70883304199</v>
      </c>
      <c r="O81" s="235">
        <f t="shared" si="2"/>
        <v>123469.30768144786</v>
      </c>
      <c r="P81" s="711">
        <v>120771.98952489599</v>
      </c>
      <c r="Q81" s="711">
        <v>117825.64177942601</v>
      </c>
      <c r="R81" s="711">
        <v>119706.83986941499</v>
      </c>
      <c r="S81" s="711">
        <v>123478.922371707</v>
      </c>
      <c r="T81" s="711">
        <v>124853.608819391</v>
      </c>
      <c r="U81" s="711">
        <v>122295.76510931501</v>
      </c>
      <c r="V81" s="711">
        <v>119252.06858491999</v>
      </c>
      <c r="W81" s="711">
        <v>114565.647716498</v>
      </c>
      <c r="X81" s="711">
        <v>116399.44996600199</v>
      </c>
      <c r="Y81" s="711">
        <v>122270.19623704</v>
      </c>
      <c r="Z81" s="711">
        <v>130002.319607314</v>
      </c>
      <c r="AA81" s="711">
        <v>128292.752754909</v>
      </c>
      <c r="AB81" s="711">
        <v>124718.996476966</v>
      </c>
      <c r="AC81" s="711">
        <v>123585.0887407</v>
      </c>
      <c r="AD81" s="711">
        <v>124358.94442949</v>
      </c>
      <c r="AE81" s="711">
        <v>128695.290393098</v>
      </c>
      <c r="AF81" s="712">
        <f t="shared" si="3"/>
        <v>123289.92701594999</v>
      </c>
    </row>
    <row r="82" spans="1:32">
      <c r="A82" s="584"/>
      <c r="B82" s="713"/>
      <c r="C82" s="713"/>
      <c r="D82" s="713"/>
      <c r="E82" s="713"/>
      <c r="F82" s="713"/>
      <c r="G82" s="713"/>
      <c r="H82" s="713"/>
      <c r="I82" s="713"/>
      <c r="J82" s="713"/>
      <c r="K82" s="713"/>
      <c r="L82" s="713"/>
      <c r="M82" s="713"/>
      <c r="N82" s="713"/>
      <c r="O82" s="235">
        <f t="shared" si="2"/>
        <v>0</v>
      </c>
      <c r="P82" s="713"/>
      <c r="Q82" s="713"/>
      <c r="R82" s="713"/>
      <c r="S82" s="713"/>
      <c r="T82" s="713"/>
      <c r="U82" s="713"/>
      <c r="V82" s="713"/>
      <c r="W82" s="713"/>
      <c r="X82" s="713"/>
      <c r="Y82" s="713"/>
      <c r="Z82" s="713"/>
      <c r="AA82" s="713"/>
      <c r="AB82" s="713"/>
      <c r="AC82" s="713"/>
      <c r="AD82" s="713"/>
      <c r="AE82" s="713"/>
      <c r="AF82" s="712">
        <f t="shared" si="3"/>
        <v>0</v>
      </c>
    </row>
    <row r="83" spans="1:32">
      <c r="A83" s="584" t="s">
        <v>1894</v>
      </c>
      <c r="B83" s="713"/>
      <c r="C83" s="713"/>
      <c r="D83" s="713"/>
      <c r="E83" s="713"/>
      <c r="F83" s="713"/>
      <c r="G83" s="713"/>
      <c r="H83" s="713"/>
      <c r="I83" s="713"/>
      <c r="J83" s="713"/>
      <c r="K83" s="713"/>
      <c r="L83" s="713"/>
      <c r="M83" s="713"/>
      <c r="N83" s="713"/>
      <c r="O83" s="235">
        <f t="shared" si="2"/>
        <v>0</v>
      </c>
      <c r="P83" s="713"/>
      <c r="Q83" s="713"/>
      <c r="R83" s="713"/>
      <c r="S83" s="713"/>
      <c r="T83" s="713"/>
      <c r="U83" s="713"/>
      <c r="V83" s="713"/>
      <c r="W83" s="713"/>
      <c r="X83" s="713"/>
      <c r="Y83" s="713"/>
      <c r="Z83" s="713"/>
      <c r="AA83" s="713"/>
      <c r="AB83" s="713"/>
      <c r="AC83" s="713"/>
      <c r="AD83" s="713"/>
      <c r="AE83" s="713"/>
      <c r="AF83" s="712">
        <f t="shared" si="3"/>
        <v>0</v>
      </c>
    </row>
    <row r="84" spans="1:32">
      <c r="A84" s="584" t="s">
        <v>1895</v>
      </c>
      <c r="B84" s="711">
        <v>11218.732309999999</v>
      </c>
      <c r="C84" s="711">
        <v>13170.063889999999</v>
      </c>
      <c r="D84" s="711">
        <v>13915.3105699999</v>
      </c>
      <c r="E84" s="711">
        <v>12799.8837799999</v>
      </c>
      <c r="F84" s="711">
        <v>17071.98372</v>
      </c>
      <c r="G84" s="711">
        <v>16847.333329999899</v>
      </c>
      <c r="H84" s="711">
        <v>15321.1225399999</v>
      </c>
      <c r="I84" s="711">
        <v>14498.1688745376</v>
      </c>
      <c r="J84" s="711">
        <v>13080.354627475301</v>
      </c>
      <c r="K84" s="711">
        <v>13366.953810413001</v>
      </c>
      <c r="L84" s="711">
        <v>12580.822598899</v>
      </c>
      <c r="M84" s="711">
        <v>11900.1492636691</v>
      </c>
      <c r="N84" s="711">
        <v>11372.0403600926</v>
      </c>
      <c r="O84" s="235">
        <f t="shared" si="2"/>
        <v>13626.378436545092</v>
      </c>
      <c r="P84" s="711">
        <v>14898.739560792799</v>
      </c>
      <c r="Q84" s="711">
        <v>13188.848602054</v>
      </c>
      <c r="R84" s="711">
        <v>11465.1174448236</v>
      </c>
      <c r="S84" s="711">
        <v>16671.429717826999</v>
      </c>
      <c r="T84" s="711">
        <v>15557.3689987207</v>
      </c>
      <c r="U84" s="711">
        <v>15099.955503814401</v>
      </c>
      <c r="V84" s="711">
        <v>13463.377518908201</v>
      </c>
      <c r="W84" s="711">
        <v>11959.929497364399</v>
      </c>
      <c r="X84" s="711">
        <v>12021.8892509707</v>
      </c>
      <c r="Y84" s="711">
        <v>11290.122274576899</v>
      </c>
      <c r="Z84" s="711">
        <v>10505.5488101636</v>
      </c>
      <c r="AA84" s="711">
        <v>10363.419003769901</v>
      </c>
      <c r="AB84" s="711">
        <v>14611.5220439035</v>
      </c>
      <c r="AC84" s="711">
        <v>13175.6791627619</v>
      </c>
      <c r="AD84" s="711">
        <v>11318.218888863999</v>
      </c>
      <c r="AE84" s="711">
        <v>17550.6269139742</v>
      </c>
      <c r="AF84" s="712">
        <f t="shared" si="3"/>
        <v>13353.006737355339</v>
      </c>
    </row>
    <row r="85" spans="1:32">
      <c r="A85" s="584" t="s">
        <v>2224</v>
      </c>
      <c r="B85" s="711">
        <v>3408.29261</v>
      </c>
      <c r="C85" s="711">
        <v>3832.6428599999999</v>
      </c>
      <c r="D85" s="711">
        <v>3907.84204</v>
      </c>
      <c r="E85" s="711">
        <v>3827.0330099999901</v>
      </c>
      <c r="F85" s="711">
        <v>3682.8732500000001</v>
      </c>
      <c r="G85" s="711">
        <v>3485.3038700000002</v>
      </c>
      <c r="H85" s="711">
        <v>3291.5101800000002</v>
      </c>
      <c r="I85" s="711">
        <v>3291.5101800000002</v>
      </c>
      <c r="J85" s="711">
        <v>3291.5101800000002</v>
      </c>
      <c r="K85" s="711">
        <v>3291.5101800000002</v>
      </c>
      <c r="L85" s="711">
        <v>3291.5101800000002</v>
      </c>
      <c r="M85" s="711">
        <v>3291.5101800000002</v>
      </c>
      <c r="N85" s="711">
        <v>3291.5101800000002</v>
      </c>
      <c r="O85" s="235">
        <f t="shared" si="2"/>
        <v>3475.7352999999985</v>
      </c>
      <c r="P85" s="711">
        <v>3291.5101800000002</v>
      </c>
      <c r="Q85" s="711">
        <v>3291.5101800000002</v>
      </c>
      <c r="R85" s="711">
        <v>3291.5101800000002</v>
      </c>
      <c r="S85" s="711">
        <v>3291.5101800000002</v>
      </c>
      <c r="T85" s="711">
        <v>3291.5101800000002</v>
      </c>
      <c r="U85" s="711">
        <v>3291.5101800000002</v>
      </c>
      <c r="V85" s="711">
        <v>3291.5101800000002</v>
      </c>
      <c r="W85" s="711">
        <v>3291.5101800000002</v>
      </c>
      <c r="X85" s="711">
        <v>3291.5101800000002</v>
      </c>
      <c r="Y85" s="711">
        <v>3291.5101800000002</v>
      </c>
      <c r="Z85" s="711">
        <v>3291.5101800000002</v>
      </c>
      <c r="AA85" s="711">
        <v>3291.5101800000002</v>
      </c>
      <c r="AB85" s="711">
        <v>3291.5101800000002</v>
      </c>
      <c r="AC85" s="711">
        <v>3291.5101800000002</v>
      </c>
      <c r="AD85" s="711">
        <v>3291.5101800000002</v>
      </c>
      <c r="AE85" s="711">
        <v>3291.5101800000002</v>
      </c>
      <c r="AF85" s="712">
        <f t="shared" si="3"/>
        <v>3291.5101799999998</v>
      </c>
    </row>
    <row r="86" spans="1:32" ht="15.75" thickBot="1">
      <c r="A86" s="584" t="s">
        <v>1896</v>
      </c>
      <c r="B86" s="716">
        <v>1642.7015200000001</v>
      </c>
      <c r="C86" s="716">
        <v>1368.91794</v>
      </c>
      <c r="D86" s="716">
        <v>1095.13436</v>
      </c>
      <c r="E86" s="716">
        <v>821.35077999999999</v>
      </c>
      <c r="F86" s="716">
        <v>547.56719999999996</v>
      </c>
      <c r="G86" s="716">
        <v>273.78361999999998</v>
      </c>
      <c r="H86" s="716">
        <v>0</v>
      </c>
      <c r="I86" s="716">
        <v>3001.6268799999998</v>
      </c>
      <c r="J86" s="716">
        <v>2728.75170999999</v>
      </c>
      <c r="K86" s="716">
        <v>2455.8765399999902</v>
      </c>
      <c r="L86" s="716">
        <v>2183.0013699999899</v>
      </c>
      <c r="M86" s="716">
        <v>1910.1261999999899</v>
      </c>
      <c r="N86" s="716">
        <v>1637.2510299999899</v>
      </c>
      <c r="O86" s="235">
        <f t="shared" si="2"/>
        <v>1512.7760884615345</v>
      </c>
      <c r="P86" s="716">
        <v>1364.3758599999901</v>
      </c>
      <c r="Q86" s="716">
        <v>1091.5006899999901</v>
      </c>
      <c r="R86" s="716">
        <v>818.62551999999801</v>
      </c>
      <c r="S86" s="716">
        <v>545.75034999999798</v>
      </c>
      <c r="T86" s="716">
        <v>272.87517999999801</v>
      </c>
      <c r="U86" s="716">
        <v>9.9999988378840499E-6</v>
      </c>
      <c r="V86" s="716">
        <v>3061.6594299999902</v>
      </c>
      <c r="W86" s="716">
        <v>2783.3267599999899</v>
      </c>
      <c r="X86" s="716">
        <v>2504.9940899999901</v>
      </c>
      <c r="Y86" s="716">
        <v>2226.6614199999899</v>
      </c>
      <c r="Z86" s="716">
        <v>1948.3287499999899</v>
      </c>
      <c r="AA86" s="716">
        <v>1669.9960799999899</v>
      </c>
      <c r="AB86" s="716">
        <v>1391.6634099999901</v>
      </c>
      <c r="AC86" s="716">
        <v>1113.3307399999901</v>
      </c>
      <c r="AD86" s="716">
        <v>834.99806999999896</v>
      </c>
      <c r="AE86" s="716">
        <v>556.66539999999895</v>
      </c>
      <c r="AF86" s="712">
        <f t="shared" si="3"/>
        <v>1454.6345915384545</v>
      </c>
    </row>
    <row r="87" spans="1:32">
      <c r="A87" s="584" t="s">
        <v>1894</v>
      </c>
      <c r="B87" s="711">
        <v>16269.72644</v>
      </c>
      <c r="C87" s="711">
        <v>18371.624690000001</v>
      </c>
      <c r="D87" s="711">
        <v>18918.286969999899</v>
      </c>
      <c r="E87" s="711">
        <v>17448.26757</v>
      </c>
      <c r="F87" s="711">
        <v>21302.424169999998</v>
      </c>
      <c r="G87" s="711">
        <v>20606.420819999901</v>
      </c>
      <c r="H87" s="711">
        <v>18612.6327199999</v>
      </c>
      <c r="I87" s="711">
        <v>20791.305934537599</v>
      </c>
      <c r="J87" s="711">
        <v>19100.6165174753</v>
      </c>
      <c r="K87" s="711">
        <v>19114.340530412999</v>
      </c>
      <c r="L87" s="711">
        <v>18055.334148899001</v>
      </c>
      <c r="M87" s="711">
        <v>17101.7856436691</v>
      </c>
      <c r="N87" s="711">
        <v>16300.801570092601</v>
      </c>
      <c r="O87" s="235">
        <f t="shared" si="2"/>
        <v>18614.889825006641</v>
      </c>
      <c r="P87" s="711">
        <v>19554.625600792799</v>
      </c>
      <c r="Q87" s="711">
        <v>17571.859472053999</v>
      </c>
      <c r="R87" s="711">
        <v>15575.2531448236</v>
      </c>
      <c r="S87" s="711">
        <v>20508.690247826999</v>
      </c>
      <c r="T87" s="711">
        <v>19121.7543587207</v>
      </c>
      <c r="U87" s="711">
        <v>18391.4656938144</v>
      </c>
      <c r="V87" s="711">
        <v>19816.547128908202</v>
      </c>
      <c r="W87" s="711">
        <v>18034.7664373644</v>
      </c>
      <c r="X87" s="711">
        <v>17818.393520970702</v>
      </c>
      <c r="Y87" s="711">
        <v>16808.293874576899</v>
      </c>
      <c r="Z87" s="711">
        <v>15745.3877401636</v>
      </c>
      <c r="AA87" s="711">
        <v>15324.925263769899</v>
      </c>
      <c r="AB87" s="711">
        <v>19294.695633903499</v>
      </c>
      <c r="AC87" s="711">
        <v>17580.520082761901</v>
      </c>
      <c r="AD87" s="711">
        <v>15444.727138864</v>
      </c>
      <c r="AE87" s="711">
        <v>21398.802493974199</v>
      </c>
      <c r="AF87" s="712">
        <f t="shared" si="3"/>
        <v>18099.151508893799</v>
      </c>
    </row>
    <row r="88" spans="1:32">
      <c r="A88" s="584"/>
      <c r="B88" s="713"/>
      <c r="C88" s="713"/>
      <c r="D88" s="713"/>
      <c r="E88" s="713"/>
      <c r="F88" s="713"/>
      <c r="G88" s="713"/>
      <c r="H88" s="713"/>
      <c r="I88" s="713"/>
      <c r="J88" s="713"/>
      <c r="K88" s="713"/>
      <c r="L88" s="713"/>
      <c r="M88" s="713"/>
      <c r="N88" s="713"/>
      <c r="O88" s="235">
        <f t="shared" si="2"/>
        <v>0</v>
      </c>
      <c r="P88" s="713"/>
      <c r="Q88" s="713"/>
      <c r="R88" s="713"/>
      <c r="S88" s="713"/>
      <c r="T88" s="713"/>
      <c r="U88" s="713"/>
      <c r="V88" s="713"/>
      <c r="W88" s="713"/>
      <c r="X88" s="713"/>
      <c r="Y88" s="713"/>
      <c r="Z88" s="713"/>
      <c r="AA88" s="713"/>
      <c r="AB88" s="713"/>
      <c r="AC88" s="713"/>
      <c r="AD88" s="713"/>
      <c r="AE88" s="713"/>
      <c r="AF88" s="712">
        <f t="shared" si="3"/>
        <v>0</v>
      </c>
    </row>
    <row r="89" spans="1:32">
      <c r="A89" s="584" t="s">
        <v>1897</v>
      </c>
      <c r="B89" s="713"/>
      <c r="C89" s="713"/>
      <c r="D89" s="713"/>
      <c r="E89" s="713"/>
      <c r="F89" s="713"/>
      <c r="G89" s="713"/>
      <c r="H89" s="713"/>
      <c r="I89" s="713"/>
      <c r="J89" s="713"/>
      <c r="K89" s="713"/>
      <c r="L89" s="713"/>
      <c r="M89" s="713"/>
      <c r="N89" s="713"/>
      <c r="O89" s="235">
        <f t="shared" si="2"/>
        <v>0</v>
      </c>
      <c r="P89" s="713"/>
      <c r="Q89" s="713"/>
      <c r="R89" s="713"/>
      <c r="S89" s="713"/>
      <c r="T89" s="713"/>
      <c r="U89" s="713"/>
      <c r="V89" s="713"/>
      <c r="W89" s="713"/>
      <c r="X89" s="713"/>
      <c r="Y89" s="713"/>
      <c r="Z89" s="713"/>
      <c r="AA89" s="713"/>
      <c r="AB89" s="713"/>
      <c r="AC89" s="713"/>
      <c r="AD89" s="713"/>
      <c r="AE89" s="713"/>
      <c r="AF89" s="712">
        <f t="shared" si="3"/>
        <v>0</v>
      </c>
    </row>
    <row r="90" spans="1:32" ht="15.75" thickBot="1">
      <c r="A90" s="584" t="s">
        <v>1898</v>
      </c>
      <c r="B90" s="716">
        <v>0</v>
      </c>
      <c r="C90" s="716">
        <v>0</v>
      </c>
      <c r="D90" s="716">
        <v>0</v>
      </c>
      <c r="E90" s="716">
        <v>8.8880000000000001E-2</v>
      </c>
      <c r="F90" s="716">
        <v>8.8880000000000001E-2</v>
      </c>
      <c r="G90" s="716">
        <v>0</v>
      </c>
      <c r="H90" s="716">
        <v>0</v>
      </c>
      <c r="I90" s="716">
        <v>0</v>
      </c>
      <c r="J90" s="716">
        <v>0</v>
      </c>
      <c r="K90" s="716">
        <v>0</v>
      </c>
      <c r="L90" s="716">
        <v>0</v>
      </c>
      <c r="M90" s="716">
        <v>0</v>
      </c>
      <c r="N90" s="716">
        <v>0</v>
      </c>
      <c r="O90" s="235">
        <f t="shared" si="2"/>
        <v>1.3673846153846154E-2</v>
      </c>
      <c r="P90" s="716">
        <v>0</v>
      </c>
      <c r="Q90" s="716">
        <v>0</v>
      </c>
      <c r="R90" s="716">
        <v>0</v>
      </c>
      <c r="S90" s="716">
        <v>0</v>
      </c>
      <c r="T90" s="716">
        <v>0</v>
      </c>
      <c r="U90" s="716">
        <v>0</v>
      </c>
      <c r="V90" s="716">
        <v>0</v>
      </c>
      <c r="W90" s="716">
        <v>0</v>
      </c>
      <c r="X90" s="716">
        <v>0</v>
      </c>
      <c r="Y90" s="716">
        <v>0</v>
      </c>
      <c r="Z90" s="716">
        <v>0</v>
      </c>
      <c r="AA90" s="716">
        <v>0</v>
      </c>
      <c r="AB90" s="716">
        <v>0</v>
      </c>
      <c r="AC90" s="716">
        <v>0</v>
      </c>
      <c r="AD90" s="716">
        <v>0</v>
      </c>
      <c r="AE90" s="716">
        <v>0</v>
      </c>
      <c r="AF90" s="712">
        <f t="shared" si="3"/>
        <v>0</v>
      </c>
    </row>
    <row r="91" spans="1:32">
      <c r="A91" s="584" t="s">
        <v>1897</v>
      </c>
      <c r="B91" s="711">
        <v>0</v>
      </c>
      <c r="C91" s="711">
        <v>0</v>
      </c>
      <c r="D91" s="711">
        <v>0</v>
      </c>
      <c r="E91" s="711">
        <v>8.8880000000000001E-2</v>
      </c>
      <c r="F91" s="711">
        <v>8.8880000000000001E-2</v>
      </c>
      <c r="G91" s="711">
        <v>0</v>
      </c>
      <c r="H91" s="711">
        <v>0</v>
      </c>
      <c r="I91" s="711">
        <v>0</v>
      </c>
      <c r="J91" s="711">
        <v>0</v>
      </c>
      <c r="K91" s="711">
        <v>0</v>
      </c>
      <c r="L91" s="711">
        <v>0</v>
      </c>
      <c r="M91" s="711">
        <v>0</v>
      </c>
      <c r="N91" s="711">
        <v>0</v>
      </c>
      <c r="O91" s="235">
        <f t="shared" si="2"/>
        <v>1.3673846153846154E-2</v>
      </c>
      <c r="P91" s="711">
        <v>0</v>
      </c>
      <c r="Q91" s="711">
        <v>0</v>
      </c>
      <c r="R91" s="711">
        <v>0</v>
      </c>
      <c r="S91" s="711">
        <v>0</v>
      </c>
      <c r="T91" s="711">
        <v>0</v>
      </c>
      <c r="U91" s="711">
        <v>0</v>
      </c>
      <c r="V91" s="711">
        <v>0</v>
      </c>
      <c r="W91" s="711">
        <v>0</v>
      </c>
      <c r="X91" s="711">
        <v>0</v>
      </c>
      <c r="Y91" s="711">
        <v>0</v>
      </c>
      <c r="Z91" s="711">
        <v>0</v>
      </c>
      <c r="AA91" s="711">
        <v>0</v>
      </c>
      <c r="AB91" s="711">
        <v>0</v>
      </c>
      <c r="AC91" s="711">
        <v>0</v>
      </c>
      <c r="AD91" s="711">
        <v>0</v>
      </c>
      <c r="AE91" s="711">
        <v>0</v>
      </c>
      <c r="AF91" s="712">
        <f t="shared" si="3"/>
        <v>0</v>
      </c>
    </row>
    <row r="92" spans="1:32">
      <c r="A92" s="584"/>
      <c r="B92" s="713"/>
      <c r="C92" s="713"/>
      <c r="D92" s="713"/>
      <c r="E92" s="713"/>
      <c r="F92" s="713"/>
      <c r="G92" s="713"/>
      <c r="H92" s="713"/>
      <c r="I92" s="713"/>
      <c r="J92" s="713"/>
      <c r="K92" s="713"/>
      <c r="L92" s="713"/>
      <c r="M92" s="713"/>
      <c r="N92" s="713"/>
      <c r="O92" s="235">
        <f t="shared" si="2"/>
        <v>0</v>
      </c>
      <c r="P92" s="713"/>
      <c r="Q92" s="713"/>
      <c r="R92" s="713"/>
      <c r="S92" s="713"/>
      <c r="T92" s="713"/>
      <c r="U92" s="713"/>
      <c r="V92" s="713"/>
      <c r="W92" s="713"/>
      <c r="X92" s="713"/>
      <c r="Y92" s="713"/>
      <c r="Z92" s="713"/>
      <c r="AA92" s="713"/>
      <c r="AB92" s="713"/>
      <c r="AC92" s="713"/>
      <c r="AD92" s="713"/>
      <c r="AE92" s="713"/>
      <c r="AF92" s="712">
        <f t="shared" si="3"/>
        <v>0</v>
      </c>
    </row>
    <row r="93" spans="1:32" ht="15.75" thickBot="1">
      <c r="A93" s="717" t="s">
        <v>1445</v>
      </c>
      <c r="B93" s="718">
        <v>426796.03944999998</v>
      </c>
      <c r="C93" s="718">
        <v>464657.03378999903</v>
      </c>
      <c r="D93" s="718">
        <v>419979.10729999997</v>
      </c>
      <c r="E93" s="718">
        <v>404599.43487</v>
      </c>
      <c r="F93" s="718">
        <v>400752.44510999997</v>
      </c>
      <c r="G93" s="718">
        <v>402855.56617000001</v>
      </c>
      <c r="H93" s="718">
        <v>419480.73044999997</v>
      </c>
      <c r="I93" s="718">
        <v>427964.33337451902</v>
      </c>
      <c r="J93" s="718">
        <v>436810.51303755998</v>
      </c>
      <c r="K93" s="718">
        <v>404503.35380522598</v>
      </c>
      <c r="L93" s="718">
        <v>388129.01031333901</v>
      </c>
      <c r="M93" s="718">
        <v>395691.29935480299</v>
      </c>
      <c r="N93" s="718">
        <v>418684.72003781999</v>
      </c>
      <c r="O93" s="235">
        <f t="shared" si="2"/>
        <v>416223.35285102041</v>
      </c>
      <c r="P93" s="718">
        <v>442244.56763601501</v>
      </c>
      <c r="Q93" s="718">
        <v>420036.55966018699</v>
      </c>
      <c r="R93" s="718">
        <v>403534.570415536</v>
      </c>
      <c r="S93" s="718">
        <v>394801.12614879099</v>
      </c>
      <c r="T93" s="718">
        <v>396662.20944429998</v>
      </c>
      <c r="U93" s="718">
        <v>403474.91815837001</v>
      </c>
      <c r="V93" s="718">
        <v>417209.42915344198</v>
      </c>
      <c r="W93" s="718">
        <v>420616.24050430697</v>
      </c>
      <c r="X93" s="718">
        <v>401373.69934159302</v>
      </c>
      <c r="Y93" s="718">
        <v>388308.190766279</v>
      </c>
      <c r="Z93" s="718">
        <v>401552.76941889699</v>
      </c>
      <c r="AA93" s="718">
        <v>420452.70462104399</v>
      </c>
      <c r="AB93" s="718">
        <v>447731.94522148703</v>
      </c>
      <c r="AC93" s="718">
        <v>427659.65423925</v>
      </c>
      <c r="AD93" s="718">
        <v>411039.35183248197</v>
      </c>
      <c r="AE93" s="718">
        <v>402949.91264069302</v>
      </c>
      <c r="AF93" s="712">
        <f t="shared" si="3"/>
        <v>410294.78088391811</v>
      </c>
    </row>
    <row r="94" spans="1:32">
      <c r="A94" s="584"/>
      <c r="O94" s="235">
        <f t="shared" si="2"/>
        <v>0</v>
      </c>
      <c r="AF94" s="712">
        <f t="shared" si="3"/>
        <v>0</v>
      </c>
    </row>
    <row r="95" spans="1:32">
      <c r="A95" s="717" t="s">
        <v>1899</v>
      </c>
      <c r="B95" s="713"/>
      <c r="C95" s="713"/>
      <c r="D95" s="713"/>
      <c r="E95" s="713"/>
      <c r="F95" s="713"/>
      <c r="G95" s="713"/>
      <c r="H95" s="713"/>
      <c r="I95" s="713"/>
      <c r="J95" s="713"/>
      <c r="K95" s="713"/>
      <c r="L95" s="713"/>
      <c r="M95" s="713"/>
      <c r="N95" s="713"/>
      <c r="O95" s="235">
        <f t="shared" si="2"/>
        <v>0</v>
      </c>
      <c r="P95" s="713"/>
      <c r="Q95" s="713"/>
      <c r="R95" s="713"/>
      <c r="S95" s="713"/>
      <c r="T95" s="713"/>
      <c r="U95" s="713"/>
      <c r="V95" s="713"/>
      <c r="W95" s="713"/>
      <c r="X95" s="713"/>
      <c r="Y95" s="713"/>
      <c r="Z95" s="713"/>
      <c r="AA95" s="713"/>
      <c r="AB95" s="713"/>
      <c r="AC95" s="713"/>
      <c r="AD95" s="713"/>
      <c r="AE95" s="713"/>
      <c r="AF95" s="712">
        <f t="shared" si="3"/>
        <v>0</v>
      </c>
    </row>
    <row r="96" spans="1:32">
      <c r="A96" s="584" t="s">
        <v>1900</v>
      </c>
      <c r="B96" s="713"/>
      <c r="C96" s="713"/>
      <c r="D96" s="713"/>
      <c r="E96" s="713"/>
      <c r="F96" s="713"/>
      <c r="G96" s="713"/>
      <c r="H96" s="713"/>
      <c r="I96" s="713"/>
      <c r="J96" s="713"/>
      <c r="K96" s="713"/>
      <c r="L96" s="713"/>
      <c r="M96" s="713"/>
      <c r="N96" s="713"/>
      <c r="O96" s="235">
        <f t="shared" si="2"/>
        <v>0</v>
      </c>
      <c r="P96" s="713"/>
      <c r="Q96" s="713"/>
      <c r="R96" s="713"/>
      <c r="S96" s="713"/>
      <c r="T96" s="713"/>
      <c r="U96" s="713"/>
      <c r="V96" s="713"/>
      <c r="W96" s="713"/>
      <c r="X96" s="713"/>
      <c r="Y96" s="713"/>
      <c r="Z96" s="713"/>
      <c r="AA96" s="713"/>
      <c r="AB96" s="713"/>
      <c r="AC96" s="713"/>
      <c r="AD96" s="713"/>
      <c r="AE96" s="713"/>
      <c r="AF96" s="712">
        <f t="shared" si="3"/>
        <v>0</v>
      </c>
    </row>
    <row r="97" spans="1:32">
      <c r="A97" s="584" t="s">
        <v>2225</v>
      </c>
      <c r="B97" s="711">
        <v>15715.583720000001</v>
      </c>
      <c r="C97" s="711">
        <v>15580.693020000001</v>
      </c>
      <c r="D97" s="711">
        <v>15468.97121</v>
      </c>
      <c r="E97" s="711">
        <v>15381.873159999999</v>
      </c>
      <c r="F97" s="711">
        <v>15259.21631</v>
      </c>
      <c r="G97" s="711">
        <v>15131.9926</v>
      </c>
      <c r="H97" s="711">
        <v>15008.011259999999</v>
      </c>
      <c r="I97" s="711">
        <v>14781.12147</v>
      </c>
      <c r="J97" s="711">
        <v>14651.838809999999</v>
      </c>
      <c r="K97" s="711">
        <v>14900.83561</v>
      </c>
      <c r="L97" s="711">
        <v>14765.0801484274</v>
      </c>
      <c r="M97" s="711">
        <v>14632.884010454</v>
      </c>
      <c r="N97" s="711">
        <v>14495.4413188815</v>
      </c>
      <c r="O97" s="235">
        <f t="shared" si="2"/>
        <v>15059.503280597146</v>
      </c>
      <c r="P97" s="711">
        <v>14358.1119573089</v>
      </c>
      <c r="Q97" s="711">
        <v>14233.4839165337</v>
      </c>
      <c r="R97" s="711">
        <v>14094.6122749612</v>
      </c>
      <c r="S97" s="711">
        <v>13959.3073269878</v>
      </c>
      <c r="T97" s="711">
        <v>16893.5246354152</v>
      </c>
      <c r="U97" s="711">
        <v>16747.757877831798</v>
      </c>
      <c r="V97" s="711">
        <v>16596.400356649199</v>
      </c>
      <c r="W97" s="711">
        <v>16443.9824354667</v>
      </c>
      <c r="X97" s="711">
        <v>16947.711539800999</v>
      </c>
      <c r="Y97" s="711">
        <v>16809.236967933499</v>
      </c>
      <c r="Z97" s="711">
        <v>16674.939962267901</v>
      </c>
      <c r="AA97" s="711">
        <v>16536.438380400399</v>
      </c>
      <c r="AB97" s="711">
        <v>16125.886308241101</v>
      </c>
      <c r="AC97" s="711">
        <v>15995.742358777299</v>
      </c>
      <c r="AD97" s="711">
        <v>15857.2002869098</v>
      </c>
      <c r="AE97" s="711">
        <v>15722.8378412441</v>
      </c>
      <c r="AF97" s="712">
        <f t="shared" si="3"/>
        <v>16254.689713686597</v>
      </c>
    </row>
    <row r="98" spans="1:32">
      <c r="A98" s="584" t="s">
        <v>2226</v>
      </c>
      <c r="B98" s="711">
        <v>2339.5183099999999</v>
      </c>
      <c r="C98" s="711">
        <v>2581.2042499999998</v>
      </c>
      <c r="D98" s="711">
        <v>2535.1667299999999</v>
      </c>
      <c r="E98" s="711">
        <v>2507.8151699999999</v>
      </c>
      <c r="F98" s="711">
        <v>2457.8864100000001</v>
      </c>
      <c r="G98" s="711">
        <v>2406.2933399999902</v>
      </c>
      <c r="H98" s="711">
        <v>2356.3645699999902</v>
      </c>
      <c r="I98" s="711">
        <v>2304.77150999999</v>
      </c>
      <c r="J98" s="711">
        <v>2253.1784599999901</v>
      </c>
      <c r="K98" s="711">
        <v>2203.2496899999901</v>
      </c>
      <c r="L98" s="711">
        <v>2151.6566299999899</v>
      </c>
      <c r="M98" s="711">
        <v>2101.72785999999</v>
      </c>
      <c r="N98" s="711">
        <v>2050.1347999999898</v>
      </c>
      <c r="O98" s="235">
        <f t="shared" si="2"/>
        <v>2326.8436715384555</v>
      </c>
      <c r="P98" s="711">
        <v>2341.0076032858701</v>
      </c>
      <c r="Q98" s="711">
        <v>2292.2619616867401</v>
      </c>
      <c r="R98" s="711">
        <v>2238.2935720591399</v>
      </c>
      <c r="S98" s="711">
        <v>2186.0660917743598</v>
      </c>
      <c r="T98" s="711">
        <v>2132.0977121467599</v>
      </c>
      <c r="U98" s="711">
        <v>2079.8702418619901</v>
      </c>
      <c r="V98" s="711">
        <v>2025.9018522343899</v>
      </c>
      <c r="W98" s="711">
        <v>1971.93346260679</v>
      </c>
      <c r="X98" s="711">
        <v>1919.7059923220099</v>
      </c>
      <c r="Y98" s="711">
        <v>1865.73760269441</v>
      </c>
      <c r="Z98" s="711">
        <v>1813.5101324096299</v>
      </c>
      <c r="AA98" s="711">
        <v>1759.54174278203</v>
      </c>
      <c r="AB98" s="711">
        <v>2052.1162371544301</v>
      </c>
      <c r="AC98" s="711">
        <v>2008.5976357576101</v>
      </c>
      <c r="AD98" s="711">
        <v>1961.1752815058301</v>
      </c>
      <c r="AE98" s="711">
        <v>1915.2826746815199</v>
      </c>
      <c r="AF98" s="712">
        <f t="shared" si="3"/>
        <v>1976.2720507639815</v>
      </c>
    </row>
    <row r="99" spans="1:32" ht="15.75" thickBot="1">
      <c r="A99" s="584" t="s">
        <v>1901</v>
      </c>
      <c r="B99" s="716">
        <v>8826.06315</v>
      </c>
      <c r="C99" s="716">
        <v>8780.9917600000008</v>
      </c>
      <c r="D99" s="716">
        <v>8740.2821100000001</v>
      </c>
      <c r="E99" s="716">
        <v>8695.2107799999994</v>
      </c>
      <c r="F99" s="716">
        <v>8651.5932899999898</v>
      </c>
      <c r="G99" s="716">
        <v>8608.4946299999992</v>
      </c>
      <c r="H99" s="716">
        <v>8565.3662999999997</v>
      </c>
      <c r="I99" s="716">
        <v>8618.7523399999991</v>
      </c>
      <c r="J99" s="716">
        <v>8573.7389700000003</v>
      </c>
      <c r="K99" s="716">
        <v>8581.2635900000005</v>
      </c>
      <c r="L99" s="716">
        <v>8535.3219599999993</v>
      </c>
      <c r="M99" s="716">
        <v>8490.8622699999996</v>
      </c>
      <c r="N99" s="716">
        <v>8444.9206099999992</v>
      </c>
      <c r="O99" s="235">
        <f t="shared" si="2"/>
        <v>8624.0662892307701</v>
      </c>
      <c r="P99" s="716">
        <v>8398.9806940375602</v>
      </c>
      <c r="Q99" s="716">
        <v>8357.4864918779294</v>
      </c>
      <c r="R99" s="716">
        <v>8311.5465459154893</v>
      </c>
      <c r="S99" s="716">
        <v>8267.0884878873203</v>
      </c>
      <c r="T99" s="716">
        <v>8221.1485319248804</v>
      </c>
      <c r="U99" s="716">
        <v>8176.6905138967104</v>
      </c>
      <c r="V99" s="716">
        <v>8130.7505379342701</v>
      </c>
      <c r="W99" s="716">
        <v>8084.8105519718301</v>
      </c>
      <c r="X99" s="716">
        <v>8040.3525339436601</v>
      </c>
      <c r="Y99" s="716">
        <v>7994.4125479812201</v>
      </c>
      <c r="Z99" s="716">
        <v>7949.9545199530503</v>
      </c>
      <c r="AA99" s="716">
        <v>7904.0145639906004</v>
      </c>
      <c r="AB99" s="716">
        <v>8129.5859583199799</v>
      </c>
      <c r="AC99" s="716">
        <v>8081.6437388292597</v>
      </c>
      <c r="AD99" s="716">
        <v>8030.3361952392197</v>
      </c>
      <c r="AE99" s="716">
        <v>7980.6837369262703</v>
      </c>
      <c r="AF99" s="712">
        <f t="shared" si="3"/>
        <v>8076.2671091383272</v>
      </c>
    </row>
    <row r="100" spans="1:32">
      <c r="A100" s="584" t="s">
        <v>1900</v>
      </c>
      <c r="B100" s="711">
        <v>26881.16518</v>
      </c>
      <c r="C100" s="711">
        <v>26942.889029999998</v>
      </c>
      <c r="D100" s="711">
        <v>26744.420050000001</v>
      </c>
      <c r="E100" s="711">
        <v>26584.899109999998</v>
      </c>
      <c r="F100" s="711">
        <v>26368.69601</v>
      </c>
      <c r="G100" s="711">
        <v>26146.780569999999</v>
      </c>
      <c r="H100" s="711">
        <v>25929.742129999999</v>
      </c>
      <c r="I100" s="711">
        <v>25704.64532</v>
      </c>
      <c r="J100" s="711">
        <v>25478.756239999999</v>
      </c>
      <c r="K100" s="711">
        <v>25685.348890000001</v>
      </c>
      <c r="L100" s="711">
        <v>25452.0587384274</v>
      </c>
      <c r="M100" s="711">
        <v>25225.474140454</v>
      </c>
      <c r="N100" s="711">
        <v>24990.496728881499</v>
      </c>
      <c r="O100" s="235">
        <f t="shared" si="2"/>
        <v>26010.413241366383</v>
      </c>
      <c r="P100" s="711">
        <v>25098.1002546323</v>
      </c>
      <c r="Q100" s="711">
        <v>24883.232370098402</v>
      </c>
      <c r="R100" s="711">
        <v>24644.4523929358</v>
      </c>
      <c r="S100" s="711">
        <v>24412.4619066495</v>
      </c>
      <c r="T100" s="711">
        <v>27246.7708794869</v>
      </c>
      <c r="U100" s="711">
        <v>27004.318633590501</v>
      </c>
      <c r="V100" s="711">
        <v>26753.052746817899</v>
      </c>
      <c r="W100" s="711">
        <v>26500.726450045298</v>
      </c>
      <c r="X100" s="711">
        <v>26907.7700660667</v>
      </c>
      <c r="Y100" s="711">
        <v>26669.3871186092</v>
      </c>
      <c r="Z100" s="711">
        <v>26438.404614630599</v>
      </c>
      <c r="AA100" s="711">
        <v>26199.994687172999</v>
      </c>
      <c r="AB100" s="711">
        <v>26307.588503715499</v>
      </c>
      <c r="AC100" s="711">
        <v>26085.983733364199</v>
      </c>
      <c r="AD100" s="711">
        <v>25848.711763654799</v>
      </c>
      <c r="AE100" s="711">
        <v>25618.8042528519</v>
      </c>
      <c r="AF100" s="712">
        <f t="shared" si="3"/>
        <v>26307.228873588923</v>
      </c>
    </row>
    <row r="101" spans="1:32">
      <c r="A101" s="584"/>
      <c r="B101" s="713"/>
      <c r="C101" s="713"/>
      <c r="D101" s="713"/>
      <c r="E101" s="713"/>
      <c r="F101" s="713"/>
      <c r="G101" s="713"/>
      <c r="H101" s="713"/>
      <c r="I101" s="713"/>
      <c r="J101" s="713"/>
      <c r="K101" s="713"/>
      <c r="L101" s="713"/>
      <c r="M101" s="713"/>
      <c r="N101" s="713"/>
      <c r="O101" s="235">
        <f t="shared" si="2"/>
        <v>0</v>
      </c>
      <c r="P101" s="713"/>
      <c r="Q101" s="713"/>
      <c r="R101" s="713"/>
      <c r="S101" s="713"/>
      <c r="T101" s="713"/>
      <c r="U101" s="713"/>
      <c r="V101" s="713"/>
      <c r="W101" s="713"/>
      <c r="X101" s="713"/>
      <c r="Y101" s="713"/>
      <c r="Z101" s="713"/>
      <c r="AA101" s="713"/>
      <c r="AB101" s="713"/>
      <c r="AC101" s="713"/>
      <c r="AD101" s="713"/>
      <c r="AE101" s="713"/>
      <c r="AF101" s="712">
        <f t="shared" si="3"/>
        <v>0</v>
      </c>
    </row>
    <row r="102" spans="1:32">
      <c r="A102" s="584" t="s">
        <v>1902</v>
      </c>
      <c r="B102" s="713"/>
      <c r="C102" s="713"/>
      <c r="D102" s="713"/>
      <c r="E102" s="713"/>
      <c r="F102" s="713"/>
      <c r="G102" s="713"/>
      <c r="H102" s="713"/>
      <c r="I102" s="713"/>
      <c r="J102" s="713"/>
      <c r="K102" s="713"/>
      <c r="L102" s="713"/>
      <c r="M102" s="713"/>
      <c r="N102" s="713"/>
      <c r="O102" s="235">
        <f t="shared" si="2"/>
        <v>0</v>
      </c>
      <c r="P102" s="713"/>
      <c r="Q102" s="713"/>
      <c r="R102" s="713"/>
      <c r="S102" s="713"/>
      <c r="T102" s="713"/>
      <c r="U102" s="713"/>
      <c r="V102" s="713"/>
      <c r="W102" s="713"/>
      <c r="X102" s="713"/>
      <c r="Y102" s="713"/>
      <c r="Z102" s="713"/>
      <c r="AA102" s="713"/>
      <c r="AB102" s="713"/>
      <c r="AC102" s="713"/>
      <c r="AD102" s="713"/>
      <c r="AE102" s="713"/>
      <c r="AF102" s="712">
        <f t="shared" si="3"/>
        <v>0</v>
      </c>
    </row>
    <row r="103" spans="1:32">
      <c r="A103" s="584" t="s">
        <v>1903</v>
      </c>
      <c r="B103" s="711">
        <v>159778.14242999899</v>
      </c>
      <c r="C103" s="711">
        <v>159778.14242999899</v>
      </c>
      <c r="D103" s="711">
        <v>159778.14242999899</v>
      </c>
      <c r="E103" s="711">
        <v>159280.21995999999</v>
      </c>
      <c r="F103" s="711">
        <v>158431.40951</v>
      </c>
      <c r="G103" s="711">
        <v>158431.40951</v>
      </c>
      <c r="H103" s="711">
        <v>149865.57358</v>
      </c>
      <c r="I103" s="711">
        <v>149865.57358</v>
      </c>
      <c r="J103" s="711">
        <v>149865.57358</v>
      </c>
      <c r="K103" s="711">
        <v>149865.57358</v>
      </c>
      <c r="L103" s="711">
        <v>149865.57358</v>
      </c>
      <c r="M103" s="711">
        <v>149865.57358</v>
      </c>
      <c r="N103" s="711">
        <v>149865.57358</v>
      </c>
      <c r="O103" s="235">
        <f t="shared" si="2"/>
        <v>154195.11394846134</v>
      </c>
      <c r="P103" s="711">
        <v>149865.57358</v>
      </c>
      <c r="Q103" s="711">
        <v>149865.57358</v>
      </c>
      <c r="R103" s="711">
        <v>149865.57358</v>
      </c>
      <c r="S103" s="711">
        <v>149865.57358</v>
      </c>
      <c r="T103" s="711">
        <v>149865.57358</v>
      </c>
      <c r="U103" s="711">
        <v>149865.57358</v>
      </c>
      <c r="V103" s="711">
        <v>149865.57358</v>
      </c>
      <c r="W103" s="711">
        <v>149865.57358</v>
      </c>
      <c r="X103" s="711">
        <v>149865.57358</v>
      </c>
      <c r="Y103" s="711">
        <v>149865.57358</v>
      </c>
      <c r="Z103" s="711">
        <v>149865.57358</v>
      </c>
      <c r="AA103" s="711">
        <v>149865.57358</v>
      </c>
      <c r="AB103" s="711">
        <v>149865.57358</v>
      </c>
      <c r="AC103" s="711">
        <v>149865.57358</v>
      </c>
      <c r="AD103" s="711">
        <v>149865.57358</v>
      </c>
      <c r="AE103" s="711">
        <v>149865.57358</v>
      </c>
      <c r="AF103" s="712">
        <f t="shared" si="3"/>
        <v>149865.57358000003</v>
      </c>
    </row>
    <row r="104" spans="1:32">
      <c r="A104" s="584" t="s">
        <v>1904</v>
      </c>
      <c r="B104" s="711">
        <v>202593.03302999999</v>
      </c>
      <c r="C104" s="711">
        <v>202593.03305</v>
      </c>
      <c r="D104" s="711">
        <v>202593.03305</v>
      </c>
      <c r="E104" s="711">
        <v>201458.83363000001</v>
      </c>
      <c r="F104" s="711">
        <v>201266.29419999901</v>
      </c>
      <c r="G104" s="711">
        <v>201266.29419999901</v>
      </c>
      <c r="H104" s="711">
        <v>199200.15653000001</v>
      </c>
      <c r="I104" s="711">
        <v>199200.15653000001</v>
      </c>
      <c r="J104" s="711">
        <v>199200.15653000001</v>
      </c>
      <c r="K104" s="711">
        <v>199200.15653000001</v>
      </c>
      <c r="L104" s="711">
        <v>199200.15653000001</v>
      </c>
      <c r="M104" s="711">
        <v>199200.15653000001</v>
      </c>
      <c r="N104" s="711">
        <v>199200.15653000001</v>
      </c>
      <c r="O104" s="235">
        <f t="shared" si="2"/>
        <v>200474.73975923058</v>
      </c>
      <c r="P104" s="711">
        <v>199200.15653000001</v>
      </c>
      <c r="Q104" s="711">
        <v>199200.15653000001</v>
      </c>
      <c r="R104" s="711">
        <v>199200.15653000001</v>
      </c>
      <c r="S104" s="711">
        <v>199200.15653000001</v>
      </c>
      <c r="T104" s="711">
        <v>199200.15653000001</v>
      </c>
      <c r="U104" s="711">
        <v>199200.15653000001</v>
      </c>
      <c r="V104" s="711">
        <v>199200.15653000001</v>
      </c>
      <c r="W104" s="711">
        <v>199200.15653000001</v>
      </c>
      <c r="X104" s="711">
        <v>199200.15653000001</v>
      </c>
      <c r="Y104" s="711">
        <v>199200.15653000001</v>
      </c>
      <c r="Z104" s="711">
        <v>199200.15653000001</v>
      </c>
      <c r="AA104" s="711">
        <v>199200.15653000001</v>
      </c>
      <c r="AB104" s="711">
        <v>199200.15653000001</v>
      </c>
      <c r="AC104" s="711">
        <v>199200.15653000001</v>
      </c>
      <c r="AD104" s="711">
        <v>199200.15653000001</v>
      </c>
      <c r="AE104" s="711">
        <v>199200.15653000001</v>
      </c>
      <c r="AF104" s="712">
        <f t="shared" si="3"/>
        <v>199200.15652999998</v>
      </c>
    </row>
    <row r="105" spans="1:32" ht="15.75" thickBot="1">
      <c r="A105" s="584" t="s">
        <v>1905</v>
      </c>
      <c r="B105" s="716">
        <v>0</v>
      </c>
      <c r="C105" s="716">
        <v>0</v>
      </c>
      <c r="D105" s="716">
        <v>0</v>
      </c>
      <c r="E105" s="716">
        <v>0</v>
      </c>
      <c r="F105" s="716">
        <v>0</v>
      </c>
      <c r="G105" s="716">
        <v>0</v>
      </c>
      <c r="H105" s="716">
        <v>0</v>
      </c>
      <c r="I105" s="716">
        <v>0</v>
      </c>
      <c r="J105" s="716">
        <v>0</v>
      </c>
      <c r="K105" s="716">
        <v>0</v>
      </c>
      <c r="L105" s="716">
        <v>0</v>
      </c>
      <c r="M105" s="716">
        <v>0</v>
      </c>
      <c r="N105" s="716">
        <v>0</v>
      </c>
      <c r="O105" s="235">
        <f t="shared" si="2"/>
        <v>0</v>
      </c>
      <c r="P105" s="716">
        <v>0</v>
      </c>
      <c r="Q105" s="716">
        <v>0</v>
      </c>
      <c r="R105" s="716">
        <v>0</v>
      </c>
      <c r="S105" s="716">
        <v>0</v>
      </c>
      <c r="T105" s="716">
        <v>0</v>
      </c>
      <c r="U105" s="716">
        <v>0</v>
      </c>
      <c r="V105" s="716">
        <v>0</v>
      </c>
      <c r="W105" s="716">
        <v>0</v>
      </c>
      <c r="X105" s="716">
        <v>0</v>
      </c>
      <c r="Y105" s="716">
        <v>0</v>
      </c>
      <c r="Z105" s="716">
        <v>0</v>
      </c>
      <c r="AA105" s="716">
        <v>0</v>
      </c>
      <c r="AB105" s="716">
        <v>0</v>
      </c>
      <c r="AC105" s="716">
        <v>0</v>
      </c>
      <c r="AD105" s="716">
        <v>0</v>
      </c>
      <c r="AE105" s="716">
        <v>0</v>
      </c>
      <c r="AF105" s="712">
        <f t="shared" si="3"/>
        <v>0</v>
      </c>
    </row>
    <row r="106" spans="1:32">
      <c r="A106" s="584" t="s">
        <v>1902</v>
      </c>
      <c r="B106" s="711">
        <v>362371.17545999901</v>
      </c>
      <c r="C106" s="711">
        <v>362371.17547999998</v>
      </c>
      <c r="D106" s="711">
        <v>362371.17547999998</v>
      </c>
      <c r="E106" s="711">
        <v>360739.05359000002</v>
      </c>
      <c r="F106" s="711">
        <v>359697.70370999997</v>
      </c>
      <c r="G106" s="711">
        <v>359697.70370999997</v>
      </c>
      <c r="H106" s="711">
        <v>349065.73011</v>
      </c>
      <c r="I106" s="711">
        <v>349065.73011</v>
      </c>
      <c r="J106" s="711">
        <v>349065.73011</v>
      </c>
      <c r="K106" s="711">
        <v>349065.73011</v>
      </c>
      <c r="L106" s="711">
        <v>349065.73011</v>
      </c>
      <c r="M106" s="711">
        <v>349065.73011</v>
      </c>
      <c r="N106" s="711">
        <v>349065.73011</v>
      </c>
      <c r="O106" s="235">
        <f t="shared" si="2"/>
        <v>354669.85370769224</v>
      </c>
      <c r="P106" s="711">
        <v>349065.73011</v>
      </c>
      <c r="Q106" s="711">
        <v>349065.73011</v>
      </c>
      <c r="R106" s="711">
        <v>349065.73011</v>
      </c>
      <c r="S106" s="711">
        <v>349065.73011</v>
      </c>
      <c r="T106" s="711">
        <v>349065.73011</v>
      </c>
      <c r="U106" s="711">
        <v>349065.73011</v>
      </c>
      <c r="V106" s="711">
        <v>349065.73011</v>
      </c>
      <c r="W106" s="711">
        <v>349065.73011</v>
      </c>
      <c r="X106" s="711">
        <v>349065.73011</v>
      </c>
      <c r="Y106" s="711">
        <v>349065.73011</v>
      </c>
      <c r="Z106" s="711">
        <v>349065.73011</v>
      </c>
      <c r="AA106" s="711">
        <v>349065.73011</v>
      </c>
      <c r="AB106" s="711">
        <v>349065.73011</v>
      </c>
      <c r="AC106" s="711">
        <v>349065.73011</v>
      </c>
      <c r="AD106" s="711">
        <v>349065.73011</v>
      </c>
      <c r="AE106" s="711">
        <v>349065.73011</v>
      </c>
      <c r="AF106" s="712">
        <f t="shared" si="3"/>
        <v>349065.73010999995</v>
      </c>
    </row>
    <row r="107" spans="1:32">
      <c r="A107" s="584"/>
      <c r="B107" s="713"/>
      <c r="C107" s="713"/>
      <c r="D107" s="713"/>
      <c r="E107" s="713"/>
      <c r="F107" s="713"/>
      <c r="G107" s="713"/>
      <c r="H107" s="713"/>
      <c r="I107" s="713"/>
      <c r="J107" s="713"/>
      <c r="K107" s="713"/>
      <c r="L107" s="713"/>
      <c r="M107" s="713"/>
      <c r="N107" s="713"/>
      <c r="O107" s="235">
        <f t="shared" si="2"/>
        <v>0</v>
      </c>
      <c r="P107" s="713"/>
      <c r="Q107" s="713"/>
      <c r="R107" s="713"/>
      <c r="S107" s="713"/>
      <c r="T107" s="713"/>
      <c r="U107" s="713"/>
      <c r="V107" s="713"/>
      <c r="W107" s="713"/>
      <c r="X107" s="713"/>
      <c r="Y107" s="713"/>
      <c r="Z107" s="713"/>
      <c r="AA107" s="713"/>
      <c r="AB107" s="713"/>
      <c r="AC107" s="713"/>
      <c r="AD107" s="713"/>
      <c r="AE107" s="713"/>
      <c r="AF107" s="712">
        <f t="shared" si="3"/>
        <v>0</v>
      </c>
    </row>
    <row r="108" spans="1:32">
      <c r="A108" s="584" t="s">
        <v>1906</v>
      </c>
      <c r="B108" s="713"/>
      <c r="C108" s="713"/>
      <c r="D108" s="713"/>
      <c r="E108" s="713"/>
      <c r="F108" s="713"/>
      <c r="G108" s="713"/>
      <c r="H108" s="713"/>
      <c r="I108" s="713"/>
      <c r="J108" s="713"/>
      <c r="K108" s="713"/>
      <c r="L108" s="713"/>
      <c r="M108" s="713"/>
      <c r="N108" s="713"/>
      <c r="O108" s="235">
        <f t="shared" si="2"/>
        <v>0</v>
      </c>
      <c r="P108" s="713"/>
      <c r="Q108" s="713"/>
      <c r="R108" s="713"/>
      <c r="S108" s="713"/>
      <c r="T108" s="713"/>
      <c r="U108" s="713"/>
      <c r="V108" s="713"/>
      <c r="W108" s="713"/>
      <c r="X108" s="713"/>
      <c r="Y108" s="713"/>
      <c r="Z108" s="713"/>
      <c r="AA108" s="713"/>
      <c r="AB108" s="713"/>
      <c r="AC108" s="713"/>
      <c r="AD108" s="713"/>
      <c r="AE108" s="713"/>
      <c r="AF108" s="712">
        <f t="shared" si="3"/>
        <v>0</v>
      </c>
    </row>
    <row r="109" spans="1:32">
      <c r="A109" s="584" t="s">
        <v>1907</v>
      </c>
      <c r="B109" s="711">
        <v>37055.29552</v>
      </c>
      <c r="C109" s="711">
        <v>37055.29552</v>
      </c>
      <c r="D109" s="711">
        <v>37055.29552</v>
      </c>
      <c r="E109" s="711">
        <v>36846.876700000001</v>
      </c>
      <c r="F109" s="711">
        <v>36849.97911</v>
      </c>
      <c r="G109" s="711">
        <v>36849.97911</v>
      </c>
      <c r="H109" s="711">
        <v>35161.062919999997</v>
      </c>
      <c r="I109" s="711">
        <v>35161.062919999997</v>
      </c>
      <c r="J109" s="711">
        <v>35161.062919999997</v>
      </c>
      <c r="K109" s="711">
        <v>34933.285883826196</v>
      </c>
      <c r="L109" s="711">
        <v>34933.285883826196</v>
      </c>
      <c r="M109" s="711">
        <v>34933.285883826196</v>
      </c>
      <c r="N109" s="711">
        <v>34694.611073105101</v>
      </c>
      <c r="O109" s="235">
        <f t="shared" si="2"/>
        <v>35899.259920352597</v>
      </c>
      <c r="P109" s="711">
        <v>34694.611073105101</v>
      </c>
      <c r="Q109" s="711">
        <v>34694.611073105101</v>
      </c>
      <c r="R109" s="711">
        <v>34458.180898395702</v>
      </c>
      <c r="S109" s="711">
        <v>34404.032888013797</v>
      </c>
      <c r="T109" s="711">
        <v>34404.032888013797</v>
      </c>
      <c r="U109" s="711">
        <v>34240.482228460904</v>
      </c>
      <c r="V109" s="711">
        <v>34240.482228460904</v>
      </c>
      <c r="W109" s="711">
        <v>34240.482228460904</v>
      </c>
      <c r="X109" s="711">
        <v>34032.149310913403</v>
      </c>
      <c r="Y109" s="711">
        <v>34032.149310913403</v>
      </c>
      <c r="Z109" s="711">
        <v>34032.149310913403</v>
      </c>
      <c r="AA109" s="711">
        <v>33823.816393365902</v>
      </c>
      <c r="AB109" s="711">
        <v>33823.816393365902</v>
      </c>
      <c r="AC109" s="711">
        <v>33823.816393365902</v>
      </c>
      <c r="AD109" s="711">
        <v>33614.266970729201</v>
      </c>
      <c r="AE109" s="711">
        <v>33561.747968730597</v>
      </c>
      <c r="AF109" s="712">
        <f t="shared" si="3"/>
        <v>34021.032654900613</v>
      </c>
    </row>
    <row r="110" spans="1:32">
      <c r="A110" s="584" t="s">
        <v>1908</v>
      </c>
      <c r="B110" s="711">
        <v>141611.44649</v>
      </c>
      <c r="C110" s="711">
        <v>141611.44649</v>
      </c>
      <c r="D110" s="711">
        <v>141611.44649</v>
      </c>
      <c r="E110" s="711">
        <v>140315.17949000001</v>
      </c>
      <c r="F110" s="711">
        <v>140315.17949000001</v>
      </c>
      <c r="G110" s="711">
        <v>140315.17949000001</v>
      </c>
      <c r="H110" s="711">
        <v>134679.26548999999</v>
      </c>
      <c r="I110" s="711">
        <v>134008.59338693801</v>
      </c>
      <c r="J110" s="711">
        <v>133337.921283876</v>
      </c>
      <c r="K110" s="711">
        <v>133248.610054388</v>
      </c>
      <c r="L110" s="711">
        <v>132577.93795132701</v>
      </c>
      <c r="M110" s="711">
        <v>131907.265848265</v>
      </c>
      <c r="N110" s="711">
        <v>131817.954618777</v>
      </c>
      <c r="O110" s="235">
        <f t="shared" si="2"/>
        <v>136719.80204412085</v>
      </c>
      <c r="P110" s="711">
        <v>131358.46817607299</v>
      </c>
      <c r="Q110" s="711">
        <v>130898.981733369</v>
      </c>
      <c r="R110" s="711">
        <v>130628.919083167</v>
      </c>
      <c r="S110" s="711">
        <v>130169.432640463</v>
      </c>
      <c r="T110" s="711">
        <v>129709.946197759</v>
      </c>
      <c r="U110" s="711">
        <v>129439.88354755699</v>
      </c>
      <c r="V110" s="711">
        <v>128980.39710485299</v>
      </c>
      <c r="W110" s="711">
        <v>128520.91066214901</v>
      </c>
      <c r="X110" s="711">
        <v>128250.848011947</v>
      </c>
      <c r="Y110" s="711">
        <v>127791.361569243</v>
      </c>
      <c r="Z110" s="711">
        <v>127331.875126539</v>
      </c>
      <c r="AA110" s="711">
        <v>127061.812476337</v>
      </c>
      <c r="AB110" s="711">
        <v>126612.180693141</v>
      </c>
      <c r="AC110" s="711">
        <v>126162.54890994501</v>
      </c>
      <c r="AD110" s="711">
        <v>125813.239548863</v>
      </c>
      <c r="AE110" s="711">
        <v>125363.60776566699</v>
      </c>
      <c r="AF110" s="712">
        <f t="shared" si="3"/>
        <v>127785.23417342021</v>
      </c>
    </row>
    <row r="111" spans="1:32">
      <c r="A111" s="584" t="s">
        <v>1909</v>
      </c>
      <c r="B111" s="711">
        <v>15353.33822</v>
      </c>
      <c r="C111" s="711">
        <v>14858.06927</v>
      </c>
      <c r="D111" s="711">
        <v>14362.80032</v>
      </c>
      <c r="E111" s="711">
        <v>13867.531369999901</v>
      </c>
      <c r="F111" s="711">
        <v>13372.262419999999</v>
      </c>
      <c r="G111" s="711">
        <v>12876.993469999999</v>
      </c>
      <c r="H111" s="711">
        <v>12381.72452</v>
      </c>
      <c r="I111" s="711">
        <v>11886.45557</v>
      </c>
      <c r="J111" s="711">
        <v>11391.1866199999</v>
      </c>
      <c r="K111" s="711">
        <v>10895.917669999901</v>
      </c>
      <c r="L111" s="711">
        <v>10400.648719999899</v>
      </c>
      <c r="M111" s="711">
        <v>14628.6541699999</v>
      </c>
      <c r="N111" s="711">
        <v>14133.3852199999</v>
      </c>
      <c r="O111" s="235">
        <f t="shared" si="2"/>
        <v>13108.382119999957</v>
      </c>
      <c r="P111" s="711">
        <v>13638.1162699999</v>
      </c>
      <c r="Q111" s="711">
        <v>13142.847319999901</v>
      </c>
      <c r="R111" s="711">
        <v>12647.578369999899</v>
      </c>
      <c r="S111" s="711">
        <v>12152.3094199999</v>
      </c>
      <c r="T111" s="711">
        <v>11787.8560599999</v>
      </c>
      <c r="U111" s="711">
        <v>11423.402699999901</v>
      </c>
      <c r="V111" s="711">
        <v>11058.949339999999</v>
      </c>
      <c r="W111" s="711">
        <v>10694.49598</v>
      </c>
      <c r="X111" s="711">
        <v>10330.04262</v>
      </c>
      <c r="Y111" s="711">
        <v>9965.5892600000006</v>
      </c>
      <c r="Z111" s="711">
        <v>9601.1358999999993</v>
      </c>
      <c r="AA111" s="711">
        <v>9236.6825399999998</v>
      </c>
      <c r="AB111" s="711">
        <v>8872.2291800000003</v>
      </c>
      <c r="AC111" s="711">
        <v>8507.7758200000007</v>
      </c>
      <c r="AD111" s="711">
        <v>8143.3224600000003</v>
      </c>
      <c r="AE111" s="711">
        <v>7778.8690999999999</v>
      </c>
      <c r="AF111" s="712">
        <f t="shared" si="3"/>
        <v>9965.5892599999752</v>
      </c>
    </row>
    <row r="112" spans="1:32">
      <c r="A112" s="584" t="s">
        <v>1910</v>
      </c>
      <c r="B112" s="711">
        <v>482.95704999999998</v>
      </c>
      <c r="C112" s="711">
        <v>2536</v>
      </c>
      <c r="D112" s="711">
        <v>914</v>
      </c>
      <c r="E112" s="711">
        <v>0</v>
      </c>
      <c r="F112" s="711">
        <v>0</v>
      </c>
      <c r="G112" s="711">
        <v>0</v>
      </c>
      <c r="H112" s="711">
        <v>0</v>
      </c>
      <c r="I112" s="711">
        <v>0</v>
      </c>
      <c r="J112" s="711">
        <v>0</v>
      </c>
      <c r="K112" s="711">
        <v>10.50001</v>
      </c>
      <c r="L112" s="711">
        <v>44.666679999999999</v>
      </c>
      <c r="M112" s="711">
        <v>78.833349999999996</v>
      </c>
      <c r="N112" s="711">
        <v>134.672907283028</v>
      </c>
      <c r="O112" s="235">
        <f t="shared" si="2"/>
        <v>323.20230748330982</v>
      </c>
      <c r="P112" s="711">
        <v>170.838708246105</v>
      </c>
      <c r="Q112" s="711">
        <v>192.78225061440801</v>
      </c>
      <c r="R112" s="711">
        <v>224.012481149769</v>
      </c>
      <c r="S112" s="711">
        <v>197.54169416666599</v>
      </c>
      <c r="T112" s="711">
        <v>179.583358333333</v>
      </c>
      <c r="U112" s="711">
        <v>161.6250225</v>
      </c>
      <c r="V112" s="711">
        <v>143.66668666666601</v>
      </c>
      <c r="W112" s="711">
        <v>125.708350833333</v>
      </c>
      <c r="X112" s="711">
        <v>107.750015</v>
      </c>
      <c r="Y112" s="711">
        <v>89.791679166666896</v>
      </c>
      <c r="Z112" s="711">
        <v>77.303431938278806</v>
      </c>
      <c r="AA112" s="711">
        <v>63.021982027049198</v>
      </c>
      <c r="AB112" s="711">
        <v>35.916671666667</v>
      </c>
      <c r="AC112" s="711">
        <v>19.513332299177499</v>
      </c>
      <c r="AD112" s="711">
        <v>10.3913920345992</v>
      </c>
      <c r="AE112" s="711">
        <v>0</v>
      </c>
      <c r="AF112" s="712">
        <f t="shared" si="3"/>
        <v>93.216432048648983</v>
      </c>
    </row>
    <row r="113" spans="1:33">
      <c r="A113" s="584" t="s">
        <v>1911</v>
      </c>
      <c r="B113" s="711">
        <v>216771.19902999999</v>
      </c>
      <c r="C113" s="711">
        <v>218490.05882999999</v>
      </c>
      <c r="D113" s="711">
        <v>220215.08678999901</v>
      </c>
      <c r="E113" s="711">
        <v>222052.64624999999</v>
      </c>
      <c r="F113" s="711">
        <v>226637.94365999999</v>
      </c>
      <c r="G113" s="711">
        <v>228499.87799000001</v>
      </c>
      <c r="H113" s="711">
        <v>229959.89970000001</v>
      </c>
      <c r="I113" s="711">
        <v>231617.20725618</v>
      </c>
      <c r="J113" s="711">
        <v>233408.81708929001</v>
      </c>
      <c r="K113" s="711">
        <v>235050.57043870501</v>
      </c>
      <c r="L113" s="711">
        <v>238351.29285119299</v>
      </c>
      <c r="M113" s="711">
        <v>239830.79749441199</v>
      </c>
      <c r="N113" s="711">
        <v>241274.445434864</v>
      </c>
      <c r="O113" s="235">
        <f t="shared" si="2"/>
        <v>229396.91098574176</v>
      </c>
      <c r="P113" s="711">
        <v>242562.519534241</v>
      </c>
      <c r="Q113" s="711">
        <v>243795.17639719701</v>
      </c>
      <c r="R113" s="711">
        <v>244974.747660589</v>
      </c>
      <c r="S113" s="711">
        <v>247879.84366612101</v>
      </c>
      <c r="T113" s="711">
        <v>249255.46581324199</v>
      </c>
      <c r="U113" s="711">
        <v>250538.445486927</v>
      </c>
      <c r="V113" s="711">
        <v>251798.83666979699</v>
      </c>
      <c r="W113" s="711">
        <v>253043.530815729</v>
      </c>
      <c r="X113" s="711">
        <v>254283.74042480599</v>
      </c>
      <c r="Y113" s="711">
        <v>255509.259908379</v>
      </c>
      <c r="Z113" s="711">
        <v>256734.323679864</v>
      </c>
      <c r="AA113" s="711">
        <v>257920.17727667801</v>
      </c>
      <c r="AB113" s="711">
        <v>258346.53775232099</v>
      </c>
      <c r="AC113" s="711">
        <v>258778.226702796</v>
      </c>
      <c r="AD113" s="711">
        <v>259187.95456652599</v>
      </c>
      <c r="AE113" s="711">
        <v>259585.08587087199</v>
      </c>
      <c r="AF113" s="712">
        <f t="shared" si="3"/>
        <v>254835.4945103121</v>
      </c>
    </row>
    <row r="114" spans="1:33" ht="15.75" thickBot="1">
      <c r="A114" s="584" t="s">
        <v>1912</v>
      </c>
      <c r="B114" s="716">
        <v>5673.3885300000002</v>
      </c>
      <c r="C114" s="716">
        <v>4588.7060499999998</v>
      </c>
      <c r="D114" s="716">
        <v>3351.0311900000002</v>
      </c>
      <c r="E114" s="716">
        <v>2462.1465199999998</v>
      </c>
      <c r="F114" s="716">
        <v>1160.49278</v>
      </c>
      <c r="G114" s="716">
        <v>0</v>
      </c>
      <c r="H114" s="716">
        <v>0</v>
      </c>
      <c r="I114" s="716">
        <v>0</v>
      </c>
      <c r="J114" s="716">
        <v>0</v>
      </c>
      <c r="K114" s="716">
        <v>1668.29990232674</v>
      </c>
      <c r="L114" s="716">
        <v>2748.44579593157</v>
      </c>
      <c r="M114" s="716">
        <v>2194.33594322422</v>
      </c>
      <c r="N114" s="716">
        <v>2079.47317308227</v>
      </c>
      <c r="O114" s="235">
        <f t="shared" si="2"/>
        <v>1994.3322988126772</v>
      </c>
      <c r="P114" s="716">
        <v>2025.02204498488</v>
      </c>
      <c r="Q114" s="716">
        <v>1698.5760913516399</v>
      </c>
      <c r="R114" s="716">
        <v>1386.1958438305001</v>
      </c>
      <c r="S114" s="716">
        <v>0</v>
      </c>
      <c r="T114" s="716">
        <v>0</v>
      </c>
      <c r="U114" s="716">
        <v>0</v>
      </c>
      <c r="V114" s="716">
        <v>0</v>
      </c>
      <c r="W114" s="716">
        <v>0</v>
      </c>
      <c r="X114" s="716">
        <v>0</v>
      </c>
      <c r="Y114" s="716">
        <v>2452.6080206126499</v>
      </c>
      <c r="Z114" s="716">
        <v>9555.7507135548694</v>
      </c>
      <c r="AA114" s="716">
        <v>9568.2057317208</v>
      </c>
      <c r="AB114" s="716">
        <v>9484.6679009120508</v>
      </c>
      <c r="AC114" s="716">
        <v>10551.1140674543</v>
      </c>
      <c r="AD114" s="716">
        <v>18407.130621948301</v>
      </c>
      <c r="AE114" s="716">
        <v>20411.434120857699</v>
      </c>
      <c r="AF114" s="712">
        <f t="shared" si="3"/>
        <v>6186.9931674662057</v>
      </c>
    </row>
    <row r="115" spans="1:33">
      <c r="A115" s="584" t="s">
        <v>1906</v>
      </c>
      <c r="B115" s="711">
        <v>416947.62484</v>
      </c>
      <c r="C115" s="711">
        <v>419139.57616</v>
      </c>
      <c r="D115" s="711">
        <v>417509.66030999902</v>
      </c>
      <c r="E115" s="711">
        <v>415544.38033000001</v>
      </c>
      <c r="F115" s="711">
        <v>418335.85745999898</v>
      </c>
      <c r="G115" s="711">
        <v>418542.03006000002</v>
      </c>
      <c r="H115" s="711">
        <v>412181.95263000001</v>
      </c>
      <c r="I115" s="711">
        <v>412673.31913311803</v>
      </c>
      <c r="J115" s="711">
        <v>413298.98791316699</v>
      </c>
      <c r="K115" s="711">
        <v>415807.18395924597</v>
      </c>
      <c r="L115" s="711">
        <v>419056.27788227802</v>
      </c>
      <c r="M115" s="711">
        <v>423573.17268972797</v>
      </c>
      <c r="N115" s="711">
        <v>424134.542427112</v>
      </c>
      <c r="O115" s="235">
        <f t="shared" si="2"/>
        <v>417441.88967651135</v>
      </c>
      <c r="P115" s="711">
        <v>424449.57580665097</v>
      </c>
      <c r="Q115" s="711">
        <v>424422.97486563801</v>
      </c>
      <c r="R115" s="711">
        <v>424319.63433713297</v>
      </c>
      <c r="S115" s="711">
        <v>424803.16030876403</v>
      </c>
      <c r="T115" s="711">
        <v>425336.884317349</v>
      </c>
      <c r="U115" s="711">
        <v>425803.83898544498</v>
      </c>
      <c r="V115" s="711">
        <v>426222.33202977799</v>
      </c>
      <c r="W115" s="711">
        <v>426625.12803717301</v>
      </c>
      <c r="X115" s="711">
        <v>427004.53038266703</v>
      </c>
      <c r="Y115" s="711">
        <v>429840.75974831602</v>
      </c>
      <c r="Z115" s="711">
        <v>437332.53816281102</v>
      </c>
      <c r="AA115" s="711">
        <v>437673.71640012902</v>
      </c>
      <c r="AB115" s="711">
        <v>437175.34859140799</v>
      </c>
      <c r="AC115" s="711">
        <v>437842.99522586103</v>
      </c>
      <c r="AD115" s="711">
        <v>445176.305560101</v>
      </c>
      <c r="AE115" s="711">
        <v>446700.74482612801</v>
      </c>
      <c r="AF115" s="712">
        <f t="shared" si="3"/>
        <v>432887.56019814842</v>
      </c>
    </row>
    <row r="116" spans="1:33">
      <c r="A116" s="584"/>
      <c r="B116" s="713"/>
      <c r="C116" s="713"/>
      <c r="D116" s="713"/>
      <c r="E116" s="713"/>
      <c r="F116" s="713"/>
      <c r="G116" s="713"/>
      <c r="H116" s="713"/>
      <c r="I116" s="713"/>
      <c r="J116" s="713"/>
      <c r="K116" s="713"/>
      <c r="L116" s="713"/>
      <c r="M116" s="713"/>
      <c r="N116" s="713"/>
      <c r="O116" s="235">
        <f t="shared" si="2"/>
        <v>0</v>
      </c>
      <c r="P116" s="713"/>
      <c r="Q116" s="713"/>
      <c r="R116" s="713"/>
      <c r="S116" s="713"/>
      <c r="T116" s="713"/>
      <c r="U116" s="713"/>
      <c r="V116" s="713"/>
      <c r="W116" s="713"/>
      <c r="X116" s="713"/>
      <c r="Y116" s="713"/>
      <c r="Z116" s="713"/>
      <c r="AA116" s="713"/>
      <c r="AB116" s="713"/>
      <c r="AC116" s="713"/>
      <c r="AD116" s="713"/>
      <c r="AE116" s="713"/>
      <c r="AF116" s="712">
        <f t="shared" si="3"/>
        <v>0</v>
      </c>
    </row>
    <row r="117" spans="1:33">
      <c r="A117" s="584" t="s">
        <v>1913</v>
      </c>
      <c r="B117" s="713"/>
      <c r="C117" s="713"/>
      <c r="D117" s="713"/>
      <c r="E117" s="713"/>
      <c r="F117" s="713"/>
      <c r="G117" s="713"/>
      <c r="H117" s="713"/>
      <c r="I117" s="713"/>
      <c r="J117" s="713"/>
      <c r="K117" s="713"/>
      <c r="L117" s="713"/>
      <c r="M117" s="713"/>
      <c r="N117" s="713"/>
      <c r="O117" s="235">
        <f t="shared" si="2"/>
        <v>0</v>
      </c>
      <c r="P117" s="713"/>
      <c r="Q117" s="713"/>
      <c r="R117" s="713"/>
      <c r="S117" s="713"/>
      <c r="T117" s="713"/>
      <c r="U117" s="713"/>
      <c r="V117" s="713"/>
      <c r="W117" s="713"/>
      <c r="X117" s="713"/>
      <c r="Y117" s="713"/>
      <c r="Z117" s="713"/>
      <c r="AA117" s="713"/>
      <c r="AB117" s="713"/>
      <c r="AC117" s="713"/>
      <c r="AD117" s="713"/>
      <c r="AE117" s="713"/>
      <c r="AF117" s="712">
        <f t="shared" si="3"/>
        <v>0</v>
      </c>
    </row>
    <row r="118" spans="1:33">
      <c r="A118" s="584" t="s">
        <v>1914</v>
      </c>
      <c r="B118" s="711">
        <v>103.12097</v>
      </c>
      <c r="C118" s="711">
        <v>103.12097</v>
      </c>
      <c r="D118" s="711">
        <v>103.12097</v>
      </c>
      <c r="E118" s="711">
        <v>103.12097</v>
      </c>
      <c r="F118" s="711">
        <v>103.12097</v>
      </c>
      <c r="G118" s="711">
        <v>89.896209999999996</v>
      </c>
      <c r="H118" s="711">
        <v>89.896209999999996</v>
      </c>
      <c r="I118" s="711">
        <v>89.896209999999996</v>
      </c>
      <c r="J118" s="711">
        <v>89.896209999999996</v>
      </c>
      <c r="K118" s="711">
        <v>89.896209999999996</v>
      </c>
      <c r="L118" s="711">
        <v>89.896209999999996</v>
      </c>
      <c r="M118" s="711">
        <v>89.896209999999996</v>
      </c>
      <c r="N118" s="711">
        <v>89.896209999999996</v>
      </c>
      <c r="O118" s="235">
        <f t="shared" si="2"/>
        <v>94.982656153846136</v>
      </c>
      <c r="P118" s="711">
        <v>89.896209999999996</v>
      </c>
      <c r="Q118" s="711">
        <v>89.896209999999996</v>
      </c>
      <c r="R118" s="711">
        <v>89.896209999999996</v>
      </c>
      <c r="S118" s="711">
        <v>89.896209999999996</v>
      </c>
      <c r="T118" s="711">
        <v>89.896209999999996</v>
      </c>
      <c r="U118" s="711">
        <v>89.896209999999996</v>
      </c>
      <c r="V118" s="711">
        <v>89.896209999999996</v>
      </c>
      <c r="W118" s="711">
        <v>89.896209999999996</v>
      </c>
      <c r="X118" s="711">
        <v>89.896209999999996</v>
      </c>
      <c r="Y118" s="711">
        <v>89.896209999999996</v>
      </c>
      <c r="Z118" s="711">
        <v>89.896209999999996</v>
      </c>
      <c r="AA118" s="711">
        <v>89.896209999999996</v>
      </c>
      <c r="AB118" s="711">
        <v>89.896209999999996</v>
      </c>
      <c r="AC118" s="711">
        <v>89.896209999999996</v>
      </c>
      <c r="AD118" s="711">
        <v>89.896209999999996</v>
      </c>
      <c r="AE118" s="711">
        <v>89.896209999999996</v>
      </c>
      <c r="AF118" s="712">
        <f t="shared" si="3"/>
        <v>89.896209999999982</v>
      </c>
    </row>
    <row r="119" spans="1:33">
      <c r="A119" s="584" t="s">
        <v>1915</v>
      </c>
      <c r="B119" s="711">
        <v>4745.7056899999998</v>
      </c>
      <c r="C119" s="711">
        <v>4541.7560700000004</v>
      </c>
      <c r="D119" s="711">
        <v>4242.9560000000001</v>
      </c>
      <c r="E119" s="711">
        <v>4023.7732099999998</v>
      </c>
      <c r="F119" s="711">
        <v>4188.3331699999999</v>
      </c>
      <c r="G119" s="711">
        <v>4176.5795900000003</v>
      </c>
      <c r="H119" s="711">
        <v>4087.8315400000001</v>
      </c>
      <c r="I119" s="711">
        <v>4087.8315400000001</v>
      </c>
      <c r="J119" s="711">
        <v>4087.8315400000001</v>
      </c>
      <c r="K119" s="711">
        <v>4087.8315400000001</v>
      </c>
      <c r="L119" s="711">
        <v>4087.8315400000001</v>
      </c>
      <c r="M119" s="711">
        <v>4087.8315400000001</v>
      </c>
      <c r="N119" s="711">
        <v>4087.8315400000001</v>
      </c>
      <c r="O119" s="235">
        <f t="shared" si="2"/>
        <v>4194.9172699999999</v>
      </c>
      <c r="P119" s="711">
        <v>4087.8315400000001</v>
      </c>
      <c r="Q119" s="711">
        <v>4087.8315400000001</v>
      </c>
      <c r="R119" s="711">
        <v>4087.8315400000001</v>
      </c>
      <c r="S119" s="711">
        <v>4087.8315400000001</v>
      </c>
      <c r="T119" s="711">
        <v>4087.8315400000001</v>
      </c>
      <c r="U119" s="711">
        <v>4087.8315400000001</v>
      </c>
      <c r="V119" s="711">
        <v>4087.8315400000001</v>
      </c>
      <c r="W119" s="711">
        <v>4087.8315400000001</v>
      </c>
      <c r="X119" s="711">
        <v>4087.8315400000001</v>
      </c>
      <c r="Y119" s="711">
        <v>4087.8315400000001</v>
      </c>
      <c r="Z119" s="711">
        <v>4087.8315400000001</v>
      </c>
      <c r="AA119" s="711">
        <v>4087.8315400000001</v>
      </c>
      <c r="AB119" s="711">
        <v>4087.8315400000001</v>
      </c>
      <c r="AC119" s="711">
        <v>4087.8315400000001</v>
      </c>
      <c r="AD119" s="711">
        <v>4087.8315400000001</v>
      </c>
      <c r="AE119" s="711">
        <v>4087.8315400000001</v>
      </c>
      <c r="AF119" s="712">
        <f t="shared" si="3"/>
        <v>4087.8315399999997</v>
      </c>
    </row>
    <row r="120" spans="1:33">
      <c r="A120" s="584" t="s">
        <v>1916</v>
      </c>
      <c r="B120" s="711">
        <v>0</v>
      </c>
      <c r="C120" s="711">
        <v>-889.50357999999903</v>
      </c>
      <c r="D120" s="711">
        <v>-1694.8170500000001</v>
      </c>
      <c r="E120" s="711">
        <v>220.69137999999899</v>
      </c>
      <c r="F120" s="711">
        <v>-1183.12193</v>
      </c>
      <c r="G120" s="711">
        <v>-1839.70616</v>
      </c>
      <c r="H120" s="711">
        <v>223.45410999999999</v>
      </c>
      <c r="I120" s="711">
        <v>223.45410999999999</v>
      </c>
      <c r="J120" s="711">
        <v>223.45410999999999</v>
      </c>
      <c r="K120" s="711">
        <v>223.45410999999999</v>
      </c>
      <c r="L120" s="711">
        <v>223.45410999999999</v>
      </c>
      <c r="M120" s="711">
        <v>223.45410999999999</v>
      </c>
      <c r="N120" s="711">
        <v>223.45410999999999</v>
      </c>
      <c r="O120" s="235">
        <f t="shared" si="2"/>
        <v>-294.02142846153856</v>
      </c>
      <c r="P120" s="711">
        <v>223.45410999999999</v>
      </c>
      <c r="Q120" s="711">
        <v>223.45410999999999</v>
      </c>
      <c r="R120" s="711">
        <v>223.45410999999999</v>
      </c>
      <c r="S120" s="711">
        <v>223.45410999999999</v>
      </c>
      <c r="T120" s="711">
        <v>223.45410999999999</v>
      </c>
      <c r="U120" s="711">
        <v>223.45410999999999</v>
      </c>
      <c r="V120" s="711">
        <v>223.45410999999999</v>
      </c>
      <c r="W120" s="711">
        <v>223.45410999999999</v>
      </c>
      <c r="X120" s="711">
        <v>223.45410999999999</v>
      </c>
      <c r="Y120" s="711">
        <v>223.45410999999999</v>
      </c>
      <c r="Z120" s="711">
        <v>223.45410999999999</v>
      </c>
      <c r="AA120" s="711">
        <v>223.45410999999999</v>
      </c>
      <c r="AB120" s="711">
        <v>223.45410999999999</v>
      </c>
      <c r="AC120" s="711">
        <v>223.45410999999999</v>
      </c>
      <c r="AD120" s="711">
        <v>223.45410999999999</v>
      </c>
      <c r="AE120" s="711">
        <v>223.45410999999999</v>
      </c>
      <c r="AF120" s="712">
        <f t="shared" si="3"/>
        <v>223.45410999999999</v>
      </c>
    </row>
    <row r="121" spans="1:33">
      <c r="A121" s="584" t="s">
        <v>1917</v>
      </c>
      <c r="B121" s="711">
        <v>0</v>
      </c>
      <c r="C121" s="711">
        <v>-232.33079000000001</v>
      </c>
      <c r="D121" s="711">
        <v>-436.78422999999998</v>
      </c>
      <c r="E121" s="711">
        <v>1892.18858</v>
      </c>
      <c r="F121" s="711">
        <v>1376.7766099999999</v>
      </c>
      <c r="G121" s="711">
        <v>1399.1933899999999</v>
      </c>
      <c r="H121" s="711">
        <v>4097.01721</v>
      </c>
      <c r="I121" s="711">
        <v>4097.01721</v>
      </c>
      <c r="J121" s="711">
        <v>4097.01721</v>
      </c>
      <c r="K121" s="711">
        <v>4097.01721</v>
      </c>
      <c r="L121" s="711">
        <v>4097.01721</v>
      </c>
      <c r="M121" s="711">
        <v>4097.01721</v>
      </c>
      <c r="N121" s="711">
        <v>4097.01721</v>
      </c>
      <c r="O121" s="235">
        <f t="shared" si="2"/>
        <v>2513.7049253846149</v>
      </c>
      <c r="P121" s="711">
        <v>4097.01721</v>
      </c>
      <c r="Q121" s="711">
        <v>4097.01721</v>
      </c>
      <c r="R121" s="711">
        <v>4097.01721</v>
      </c>
      <c r="S121" s="711">
        <v>4097.01721</v>
      </c>
      <c r="T121" s="711">
        <v>4097.01721</v>
      </c>
      <c r="U121" s="711">
        <v>4097.01721</v>
      </c>
      <c r="V121" s="711">
        <v>4097.01721</v>
      </c>
      <c r="W121" s="711">
        <v>4097.01721</v>
      </c>
      <c r="X121" s="711">
        <v>4097.01721</v>
      </c>
      <c r="Y121" s="711">
        <v>4097.01721</v>
      </c>
      <c r="Z121" s="711">
        <v>4097.01721</v>
      </c>
      <c r="AA121" s="711">
        <v>4097.01721</v>
      </c>
      <c r="AB121" s="711">
        <v>4097.01721</v>
      </c>
      <c r="AC121" s="711">
        <v>4097.01721</v>
      </c>
      <c r="AD121" s="711">
        <v>4097.01721</v>
      </c>
      <c r="AE121" s="711">
        <v>4097.01721</v>
      </c>
      <c r="AF121" s="712">
        <f t="shared" si="3"/>
        <v>4097.0172099999991</v>
      </c>
    </row>
    <row r="122" spans="1:33">
      <c r="A122" s="584" t="s">
        <v>1918</v>
      </c>
      <c r="B122" s="711">
        <v>2.0000029103830401E-5</v>
      </c>
      <c r="C122" s="711">
        <v>-1285.3780899999999</v>
      </c>
      <c r="D122" s="711">
        <v>-970.31243999997503</v>
      </c>
      <c r="E122" s="711">
        <v>-121.21279000001999</v>
      </c>
      <c r="F122" s="711">
        <v>-465.62885999999799</v>
      </c>
      <c r="G122" s="711">
        <v>-444.45148999998497</v>
      </c>
      <c r="H122" s="711">
        <v>-304.02173999997899</v>
      </c>
      <c r="I122" s="711">
        <v>-304.02173999997899</v>
      </c>
      <c r="J122" s="711">
        <v>-304.02173999997899</v>
      </c>
      <c r="K122" s="711">
        <v>-304.02173999997899</v>
      </c>
      <c r="L122" s="711">
        <v>-304.02173999997899</v>
      </c>
      <c r="M122" s="711">
        <v>-304.02173999997899</v>
      </c>
      <c r="N122" s="711">
        <v>-304.02173999997899</v>
      </c>
      <c r="O122" s="235">
        <f t="shared" si="2"/>
        <v>-416.54890999998486</v>
      </c>
      <c r="P122" s="711">
        <v>-304.02173999997899</v>
      </c>
      <c r="Q122" s="711">
        <v>-304.02173999997899</v>
      </c>
      <c r="R122" s="711">
        <v>-304.02173999997899</v>
      </c>
      <c r="S122" s="711">
        <v>-304.02173999997899</v>
      </c>
      <c r="T122" s="711">
        <v>-304.02173999997899</v>
      </c>
      <c r="U122" s="711">
        <v>-304.02173999997899</v>
      </c>
      <c r="V122" s="711">
        <v>-304.02173999997899</v>
      </c>
      <c r="W122" s="711">
        <v>-304.02173999997899</v>
      </c>
      <c r="X122" s="711">
        <v>-304.02173999997899</v>
      </c>
      <c r="Y122" s="711">
        <v>-304.02173999997899</v>
      </c>
      <c r="Z122" s="711">
        <v>-304.02173999997899</v>
      </c>
      <c r="AA122" s="711">
        <v>-304.02173999997899</v>
      </c>
      <c r="AB122" s="711">
        <v>-304.02173999997899</v>
      </c>
      <c r="AC122" s="711">
        <v>-304.02173999997899</v>
      </c>
      <c r="AD122" s="711">
        <v>-304.02173999997899</v>
      </c>
      <c r="AE122" s="711">
        <v>-304.02173999997899</v>
      </c>
      <c r="AF122" s="712">
        <f t="shared" si="3"/>
        <v>-304.0217399999791</v>
      </c>
    </row>
    <row r="123" spans="1:33">
      <c r="A123" s="584" t="s">
        <v>1919</v>
      </c>
      <c r="B123" s="711">
        <v>0</v>
      </c>
      <c r="C123" s="711">
        <v>2592.8223199999902</v>
      </c>
      <c r="D123" s="711">
        <v>3424.8079200000002</v>
      </c>
      <c r="E123" s="711">
        <v>481.53505000000001</v>
      </c>
      <c r="F123" s="711">
        <v>753.32533000000001</v>
      </c>
      <c r="G123" s="711">
        <v>1462.6456599999999</v>
      </c>
      <c r="H123" s="711">
        <v>371.63267000000002</v>
      </c>
      <c r="I123" s="711">
        <v>371.63267000000002</v>
      </c>
      <c r="J123" s="711">
        <v>371.63267000000002</v>
      </c>
      <c r="K123" s="711">
        <v>371.63267000000002</v>
      </c>
      <c r="L123" s="711">
        <v>371.63267000000002</v>
      </c>
      <c r="M123" s="711">
        <v>371.63267000000002</v>
      </c>
      <c r="N123" s="711">
        <v>371.63267000000002</v>
      </c>
      <c r="O123" s="235">
        <f t="shared" si="2"/>
        <v>870.50499769230737</v>
      </c>
      <c r="P123" s="711">
        <v>371.63267000000002</v>
      </c>
      <c r="Q123" s="711">
        <v>371.63267000000002</v>
      </c>
      <c r="R123" s="711">
        <v>371.63267000000002</v>
      </c>
      <c r="S123" s="711">
        <v>371.63267000000002</v>
      </c>
      <c r="T123" s="711">
        <v>371.63267000000002</v>
      </c>
      <c r="U123" s="711">
        <v>371.63267000000002</v>
      </c>
      <c r="V123" s="711">
        <v>371.63267000000002</v>
      </c>
      <c r="W123" s="711">
        <v>371.63267000000002</v>
      </c>
      <c r="X123" s="711">
        <v>371.63267000000002</v>
      </c>
      <c r="Y123" s="711">
        <v>371.63267000000002</v>
      </c>
      <c r="Z123" s="711">
        <v>371.63267000000002</v>
      </c>
      <c r="AA123" s="711">
        <v>371.63267000000002</v>
      </c>
      <c r="AB123" s="711">
        <v>371.63267000000002</v>
      </c>
      <c r="AC123" s="711">
        <v>371.63267000000002</v>
      </c>
      <c r="AD123" s="711">
        <v>371.63267000000002</v>
      </c>
      <c r="AE123" s="711">
        <v>371.63267000000002</v>
      </c>
      <c r="AF123" s="712">
        <f t="shared" si="3"/>
        <v>371.63267000000002</v>
      </c>
    </row>
    <row r="124" spans="1:33">
      <c r="A124" s="584" t="s">
        <v>1920</v>
      </c>
      <c r="B124" s="711">
        <v>0</v>
      </c>
      <c r="C124" s="711">
        <v>-153.50695999999999</v>
      </c>
      <c r="D124" s="711">
        <v>-288.89758999999998</v>
      </c>
      <c r="E124" s="711">
        <v>-221.12208999999999</v>
      </c>
      <c r="F124" s="711">
        <v>-444.29534999999998</v>
      </c>
      <c r="G124" s="711">
        <v>-535.11137999999903</v>
      </c>
      <c r="H124" s="711">
        <v>-322.48486999999898</v>
      </c>
      <c r="I124" s="711">
        <v>-322.48486999999898</v>
      </c>
      <c r="J124" s="711">
        <v>-322.48486999999898</v>
      </c>
      <c r="K124" s="711">
        <v>-322.48486999999898</v>
      </c>
      <c r="L124" s="711">
        <v>-322.48486999999898</v>
      </c>
      <c r="M124" s="711">
        <v>-322.48486999999898</v>
      </c>
      <c r="N124" s="711">
        <v>-322.48486999999898</v>
      </c>
      <c r="O124" s="235">
        <f t="shared" si="2"/>
        <v>-300.02518923076855</v>
      </c>
      <c r="P124" s="711">
        <v>-322.48486999999898</v>
      </c>
      <c r="Q124" s="711">
        <v>-322.48486999999898</v>
      </c>
      <c r="R124" s="711">
        <v>-322.48486999999898</v>
      </c>
      <c r="S124" s="711">
        <v>-322.48486999999898</v>
      </c>
      <c r="T124" s="711">
        <v>-322.48486999999898</v>
      </c>
      <c r="U124" s="711">
        <v>-322.48486999999898</v>
      </c>
      <c r="V124" s="711">
        <v>-322.48486999999898</v>
      </c>
      <c r="W124" s="711">
        <v>-322.48486999999898</v>
      </c>
      <c r="X124" s="711">
        <v>-322.48486999999898</v>
      </c>
      <c r="Y124" s="711">
        <v>-322.48486999999898</v>
      </c>
      <c r="Z124" s="711">
        <v>-322.48486999999898</v>
      </c>
      <c r="AA124" s="711">
        <v>-322.48486999999898</v>
      </c>
      <c r="AB124" s="711">
        <v>-322.48486999999898</v>
      </c>
      <c r="AC124" s="711">
        <v>-322.48486999999898</v>
      </c>
      <c r="AD124" s="711">
        <v>-322.48486999999898</v>
      </c>
      <c r="AE124" s="711">
        <v>-322.48486999999898</v>
      </c>
      <c r="AF124" s="712">
        <f t="shared" si="3"/>
        <v>-322.48486999999892</v>
      </c>
    </row>
    <row r="125" spans="1:33">
      <c r="A125" s="584" t="s">
        <v>2227</v>
      </c>
      <c r="B125" s="711">
        <v>0</v>
      </c>
      <c r="C125" s="711">
        <v>0</v>
      </c>
      <c r="D125" s="711">
        <v>0</v>
      </c>
      <c r="E125" s="711">
        <v>0</v>
      </c>
      <c r="F125" s="711">
        <v>0</v>
      </c>
      <c r="G125" s="711">
        <v>0</v>
      </c>
      <c r="H125" s="711">
        <v>0</v>
      </c>
      <c r="I125" s="711">
        <v>0</v>
      </c>
      <c r="J125" s="711">
        <v>0</v>
      </c>
      <c r="K125" s="711">
        <v>0</v>
      </c>
      <c r="L125" s="711">
        <v>0</v>
      </c>
      <c r="M125" s="711">
        <v>0</v>
      </c>
      <c r="N125" s="711">
        <v>0</v>
      </c>
      <c r="O125" s="235">
        <f t="shared" si="2"/>
        <v>0</v>
      </c>
      <c r="P125" s="711">
        <v>0</v>
      </c>
      <c r="Q125" s="711">
        <v>0</v>
      </c>
      <c r="R125" s="711">
        <v>0</v>
      </c>
      <c r="S125" s="711">
        <v>0</v>
      </c>
      <c r="T125" s="711">
        <v>0</v>
      </c>
      <c r="U125" s="711">
        <v>0</v>
      </c>
      <c r="V125" s="711">
        <v>0</v>
      </c>
      <c r="W125" s="711">
        <v>0</v>
      </c>
      <c r="X125" s="711">
        <v>0</v>
      </c>
      <c r="Y125" s="711">
        <v>0</v>
      </c>
      <c r="Z125" s="711">
        <v>0</v>
      </c>
      <c r="AA125" s="711">
        <v>0</v>
      </c>
      <c r="AB125" s="711">
        <v>0</v>
      </c>
      <c r="AC125" s="711">
        <v>0</v>
      </c>
      <c r="AD125" s="711">
        <v>0</v>
      </c>
      <c r="AE125" s="711">
        <v>0</v>
      </c>
      <c r="AF125" s="712">
        <f t="shared" si="3"/>
        <v>0</v>
      </c>
    </row>
    <row r="126" spans="1:33">
      <c r="A126" s="584" t="s">
        <v>2524</v>
      </c>
      <c r="B126" s="711">
        <v>0</v>
      </c>
      <c r="C126" s="711">
        <v>0</v>
      </c>
      <c r="D126" s="711">
        <v>0</v>
      </c>
      <c r="E126" s="711">
        <v>0</v>
      </c>
      <c r="F126" s="711">
        <v>0</v>
      </c>
      <c r="G126" s="711">
        <v>0</v>
      </c>
      <c r="H126" s="711">
        <v>0</v>
      </c>
      <c r="I126" s="711">
        <v>0</v>
      </c>
      <c r="J126" s="711">
        <v>0</v>
      </c>
      <c r="K126" s="711">
        <v>0</v>
      </c>
      <c r="L126" s="711">
        <v>0</v>
      </c>
      <c r="M126" s="711">
        <v>0</v>
      </c>
      <c r="N126" s="711">
        <v>0</v>
      </c>
      <c r="O126" s="235">
        <f t="shared" si="2"/>
        <v>0</v>
      </c>
      <c r="P126" s="711">
        <v>38.941219999998701</v>
      </c>
      <c r="Q126" s="711">
        <v>53.815969999994799</v>
      </c>
      <c r="R126" s="711">
        <v>73.1242299999967</v>
      </c>
      <c r="S126" s="711">
        <v>-26.2348600000036</v>
      </c>
      <c r="T126" s="711">
        <v>-5.37210000000516</v>
      </c>
      <c r="U126" s="711">
        <v>-5.7348800000031996</v>
      </c>
      <c r="V126" s="711">
        <v>15.244299999996599</v>
      </c>
      <c r="W126" s="711">
        <v>36.223479999996201</v>
      </c>
      <c r="X126" s="711">
        <v>57.202659999993998</v>
      </c>
      <c r="Y126" s="711">
        <v>78.147039999994902</v>
      </c>
      <c r="Z126" s="711">
        <v>96.993599999993904</v>
      </c>
      <c r="AA126" s="711">
        <v>115.53693999999599</v>
      </c>
      <c r="AB126" s="711">
        <v>132.17414999999599</v>
      </c>
      <c r="AC126" s="711">
        <v>145.876179999995</v>
      </c>
      <c r="AD126" s="711">
        <v>163.12218999999499</v>
      </c>
      <c r="AE126" s="711">
        <v>70.797959999995996</v>
      </c>
      <c r="AF126" s="712">
        <f t="shared" si="3"/>
        <v>67.228973846149358</v>
      </c>
      <c r="AG126" s="712">
        <f>AF126</f>
        <v>67.228973846149358</v>
      </c>
    </row>
    <row r="127" spans="1:33">
      <c r="A127" s="584" t="s">
        <v>1921</v>
      </c>
      <c r="B127" s="711">
        <v>32786.648260000002</v>
      </c>
      <c r="C127" s="711">
        <v>32866.806429999997</v>
      </c>
      <c r="D127" s="711">
        <v>33065.273529999999</v>
      </c>
      <c r="E127" s="711">
        <v>33141.526819999999</v>
      </c>
      <c r="F127" s="711">
        <v>33281.120110000003</v>
      </c>
      <c r="G127" s="711">
        <v>33442.024230000003</v>
      </c>
      <c r="H127" s="711">
        <v>33607.342320000003</v>
      </c>
      <c r="I127" s="711">
        <v>33739.217779999999</v>
      </c>
      <c r="J127" s="711">
        <v>33871.093240000002</v>
      </c>
      <c r="K127" s="711">
        <v>34002.968699999998</v>
      </c>
      <c r="L127" s="711">
        <v>34134.844160000001</v>
      </c>
      <c r="M127" s="711">
        <v>34266.719620000003</v>
      </c>
      <c r="N127" s="711">
        <v>34398.595079999999</v>
      </c>
      <c r="O127" s="235">
        <f t="shared" si="2"/>
        <v>33584.93694461538</v>
      </c>
      <c r="P127" s="711">
        <v>34541.432589999997</v>
      </c>
      <c r="Q127" s="711">
        <v>34684.270100000002</v>
      </c>
      <c r="R127" s="711">
        <v>34827.107609999999</v>
      </c>
      <c r="S127" s="711">
        <v>34969.945119999997</v>
      </c>
      <c r="T127" s="711">
        <v>35112.782630000002</v>
      </c>
      <c r="U127" s="711">
        <v>35255.620139999999</v>
      </c>
      <c r="V127" s="711">
        <v>35398.457649999997</v>
      </c>
      <c r="W127" s="711">
        <v>35541.295160000001</v>
      </c>
      <c r="X127" s="711">
        <v>35684.132669999999</v>
      </c>
      <c r="Y127" s="711">
        <v>35826.970179999997</v>
      </c>
      <c r="Z127" s="711">
        <v>35969.8076899999</v>
      </c>
      <c r="AA127" s="711">
        <v>36112.645199999897</v>
      </c>
      <c r="AB127" s="711">
        <v>36258.339459999901</v>
      </c>
      <c r="AC127" s="711">
        <v>36404.033719999898</v>
      </c>
      <c r="AD127" s="711">
        <v>36549.727979999901</v>
      </c>
      <c r="AE127" s="711">
        <v>36695.422239999898</v>
      </c>
      <c r="AF127" s="712">
        <f t="shared" si="3"/>
        <v>35829.167679999955</v>
      </c>
    </row>
    <row r="128" spans="1:33">
      <c r="A128" s="584" t="s">
        <v>1922</v>
      </c>
      <c r="B128" s="711">
        <v>12160.265299999999</v>
      </c>
      <c r="C128" s="711">
        <v>12927.311799999999</v>
      </c>
      <c r="D128" s="711">
        <v>13379.6012999999</v>
      </c>
      <c r="E128" s="711">
        <v>14014.7890799999</v>
      </c>
      <c r="F128" s="711">
        <v>14720.433129999999</v>
      </c>
      <c r="G128" s="711">
        <v>15304.19477</v>
      </c>
      <c r="H128" s="711">
        <v>15642.33473</v>
      </c>
      <c r="I128" s="711">
        <v>16221.329082234</v>
      </c>
      <c r="J128" s="711">
        <v>16796.946914468099</v>
      </c>
      <c r="K128" s="711">
        <v>17275.541469210599</v>
      </c>
      <c r="L128" s="711">
        <v>17516.080157589</v>
      </c>
      <c r="M128" s="711">
        <v>17974.5289606355</v>
      </c>
      <c r="N128" s="711">
        <v>18438.962812869599</v>
      </c>
      <c r="O128" s="235">
        <f t="shared" si="2"/>
        <v>15567.101500538971</v>
      </c>
      <c r="P128" s="711">
        <v>19167.517491804101</v>
      </c>
      <c r="Q128" s="711">
        <v>25654.788671151098</v>
      </c>
      <c r="R128" s="711">
        <v>24339.1844840378</v>
      </c>
      <c r="S128" s="711">
        <v>19321.838131558001</v>
      </c>
      <c r="T128" s="711">
        <v>18438.773839013102</v>
      </c>
      <c r="U128" s="711">
        <v>18911.701378059701</v>
      </c>
      <c r="V128" s="711">
        <v>19412.748808189699</v>
      </c>
      <c r="W128" s="711">
        <v>19926.2599872994</v>
      </c>
      <c r="X128" s="711">
        <v>20341.9091133691</v>
      </c>
      <c r="Y128" s="711">
        <v>20749.0579412228</v>
      </c>
      <c r="Z128" s="711">
        <v>21286.986398069301</v>
      </c>
      <c r="AA128" s="711">
        <v>21760.183379903399</v>
      </c>
      <c r="AB128" s="711">
        <v>22508.078497288101</v>
      </c>
      <c r="AC128" s="711">
        <v>22827.901119196998</v>
      </c>
      <c r="AD128" s="711">
        <v>8275.9847449352401</v>
      </c>
      <c r="AE128" s="711">
        <v>4757.5091288919903</v>
      </c>
      <c r="AF128" s="712">
        <f t="shared" si="3"/>
        <v>18347.610189768988</v>
      </c>
    </row>
    <row r="129" spans="1:32" ht="15.75" thickBot="1">
      <c r="A129" s="584" t="s">
        <v>2228</v>
      </c>
      <c r="B129" s="716">
        <v>1286.6089899999999</v>
      </c>
      <c r="C129" s="716">
        <v>1260.35166</v>
      </c>
      <c r="D129" s="716">
        <v>1234.0943299999999</v>
      </c>
      <c r="E129" s="716">
        <v>1207.837</v>
      </c>
      <c r="F129" s="716">
        <v>1181.5796700000001</v>
      </c>
      <c r="G129" s="716">
        <v>1155.3223399999999</v>
      </c>
      <c r="H129" s="716">
        <v>1129.06501</v>
      </c>
      <c r="I129" s="716">
        <v>1102.8524500000001</v>
      </c>
      <c r="J129" s="716">
        <v>1076.6398899999999</v>
      </c>
      <c r="K129" s="716">
        <v>1050.42733</v>
      </c>
      <c r="L129" s="716">
        <v>1024.21477</v>
      </c>
      <c r="M129" s="716">
        <v>998.00220999999999</v>
      </c>
      <c r="N129" s="716">
        <v>971.78965000000005</v>
      </c>
      <c r="O129" s="235">
        <f t="shared" si="2"/>
        <v>1129.1373307692311</v>
      </c>
      <c r="P129" s="716">
        <v>945.57709</v>
      </c>
      <c r="Q129" s="716">
        <v>919.36452999999995</v>
      </c>
      <c r="R129" s="716">
        <v>893.15197000000001</v>
      </c>
      <c r="S129" s="716">
        <v>866.93940999999995</v>
      </c>
      <c r="T129" s="716">
        <v>840.72684999999899</v>
      </c>
      <c r="U129" s="716">
        <v>814.51428999999905</v>
      </c>
      <c r="V129" s="716">
        <v>788.301729999999</v>
      </c>
      <c r="W129" s="716">
        <v>762.08916999999894</v>
      </c>
      <c r="X129" s="716">
        <v>735.876609999999</v>
      </c>
      <c r="Y129" s="716">
        <v>709.66404999999895</v>
      </c>
      <c r="Z129" s="716">
        <v>683.45148999999901</v>
      </c>
      <c r="AA129" s="716">
        <v>657.23892999999896</v>
      </c>
      <c r="AB129" s="716">
        <v>631.02636999999902</v>
      </c>
      <c r="AC129" s="716">
        <v>604.81380999999897</v>
      </c>
      <c r="AD129" s="716">
        <v>578.60124999999903</v>
      </c>
      <c r="AE129" s="716">
        <v>552.38868999999897</v>
      </c>
      <c r="AF129" s="712">
        <f t="shared" si="3"/>
        <v>709.66404999999918</v>
      </c>
    </row>
    <row r="130" spans="1:32">
      <c r="A130" s="584" t="s">
        <v>1913</v>
      </c>
      <c r="B130" s="711">
        <v>51082.34923</v>
      </c>
      <c r="C130" s="711">
        <v>51731.449829999998</v>
      </c>
      <c r="D130" s="711">
        <v>52059.042739999997</v>
      </c>
      <c r="E130" s="711">
        <v>54743.127209999897</v>
      </c>
      <c r="F130" s="711">
        <v>53511.642849999997</v>
      </c>
      <c r="G130" s="711">
        <v>54210.587160000003</v>
      </c>
      <c r="H130" s="711">
        <v>58622.067190000002</v>
      </c>
      <c r="I130" s="711">
        <v>59306.724442234001</v>
      </c>
      <c r="J130" s="711">
        <v>59988.005174468097</v>
      </c>
      <c r="K130" s="711">
        <v>60572.2626292106</v>
      </c>
      <c r="L130" s="711">
        <v>60918.464217588997</v>
      </c>
      <c r="M130" s="711">
        <v>61482.575920635602</v>
      </c>
      <c r="N130" s="711">
        <v>62052.672672869601</v>
      </c>
      <c r="O130" s="235">
        <f t="shared" si="2"/>
        <v>56944.690097462066</v>
      </c>
      <c r="P130" s="711">
        <v>62936.793521804102</v>
      </c>
      <c r="Q130" s="711">
        <v>69555.564401151103</v>
      </c>
      <c r="R130" s="711">
        <v>68375.8934240378</v>
      </c>
      <c r="S130" s="711">
        <v>63375.812931558001</v>
      </c>
      <c r="T130" s="711">
        <v>62630.236349013197</v>
      </c>
      <c r="U130" s="711">
        <v>63219.426058059697</v>
      </c>
      <c r="V130" s="711">
        <v>63858.077618189804</v>
      </c>
      <c r="W130" s="711">
        <v>64509.192927299402</v>
      </c>
      <c r="X130" s="711">
        <v>65062.446183369102</v>
      </c>
      <c r="Y130" s="711">
        <v>65607.1643412228</v>
      </c>
      <c r="Z130" s="711">
        <v>66280.564308069297</v>
      </c>
      <c r="AA130" s="711">
        <v>66888.929579903401</v>
      </c>
      <c r="AB130" s="711">
        <v>67772.943607288107</v>
      </c>
      <c r="AC130" s="711">
        <v>68225.949959196994</v>
      </c>
      <c r="AD130" s="711">
        <v>53810.761294935197</v>
      </c>
      <c r="AE130" s="711">
        <v>50319.4431488919</v>
      </c>
      <c r="AF130" s="712">
        <f t="shared" si="3"/>
        <v>63196.996023615138</v>
      </c>
    </row>
    <row r="131" spans="1:32">
      <c r="A131" s="584"/>
      <c r="B131" s="713"/>
      <c r="C131" s="713"/>
      <c r="D131" s="713"/>
      <c r="E131" s="713"/>
      <c r="F131" s="713"/>
      <c r="G131" s="713"/>
      <c r="H131" s="713"/>
      <c r="I131" s="713"/>
      <c r="J131" s="713"/>
      <c r="K131" s="713"/>
      <c r="L131" s="713"/>
      <c r="M131" s="713"/>
      <c r="N131" s="713"/>
      <c r="O131" s="235">
        <f t="shared" si="2"/>
        <v>0</v>
      </c>
      <c r="P131" s="713"/>
      <c r="Q131" s="713"/>
      <c r="R131" s="713"/>
      <c r="S131" s="713"/>
      <c r="T131" s="713"/>
      <c r="U131" s="713"/>
      <c r="V131" s="713"/>
      <c r="W131" s="713"/>
      <c r="X131" s="713"/>
      <c r="Y131" s="713"/>
      <c r="Z131" s="713"/>
      <c r="AA131" s="713"/>
      <c r="AB131" s="713"/>
      <c r="AC131" s="713"/>
      <c r="AD131" s="713"/>
      <c r="AE131" s="713"/>
      <c r="AF131" s="712">
        <f t="shared" si="3"/>
        <v>0</v>
      </c>
    </row>
    <row r="132" spans="1:32">
      <c r="A132" s="584"/>
      <c r="B132" s="713"/>
      <c r="C132" s="713"/>
      <c r="D132" s="713"/>
      <c r="E132" s="713"/>
      <c r="F132" s="713"/>
      <c r="G132" s="713"/>
      <c r="H132" s="713"/>
      <c r="I132" s="713"/>
      <c r="J132" s="713"/>
      <c r="K132" s="713"/>
      <c r="L132" s="713"/>
      <c r="M132" s="713"/>
      <c r="N132" s="713"/>
      <c r="O132" s="235">
        <f t="shared" si="2"/>
        <v>0</v>
      </c>
      <c r="P132" s="713"/>
      <c r="Q132" s="713"/>
      <c r="R132" s="713"/>
      <c r="S132" s="713"/>
      <c r="T132" s="713"/>
      <c r="U132" s="713"/>
      <c r="V132" s="713"/>
      <c r="W132" s="713"/>
      <c r="X132" s="713"/>
      <c r="Y132" s="713"/>
      <c r="Z132" s="713"/>
      <c r="AA132" s="713"/>
      <c r="AB132" s="713"/>
      <c r="AC132" s="713"/>
      <c r="AD132" s="713"/>
      <c r="AE132" s="713"/>
      <c r="AF132" s="712">
        <f t="shared" si="3"/>
        <v>0</v>
      </c>
    </row>
    <row r="133" spans="1:32" ht="15.75" thickBot="1">
      <c r="A133" s="717" t="s">
        <v>1923</v>
      </c>
      <c r="B133" s="718">
        <v>857282.31470999995</v>
      </c>
      <c r="C133" s="718">
        <v>860185.090499999</v>
      </c>
      <c r="D133" s="718">
        <v>858684.29857999994</v>
      </c>
      <c r="E133" s="718">
        <v>857611.46024000004</v>
      </c>
      <c r="F133" s="718">
        <v>857913.90002999897</v>
      </c>
      <c r="G133" s="718">
        <v>858597.10149999999</v>
      </c>
      <c r="H133" s="718">
        <v>845799.49205999996</v>
      </c>
      <c r="I133" s="718">
        <v>846750.419005353</v>
      </c>
      <c r="J133" s="718">
        <v>847831.47943763505</v>
      </c>
      <c r="K133" s="718">
        <v>851130.52558845701</v>
      </c>
      <c r="L133" s="718">
        <v>854492.53094829503</v>
      </c>
      <c r="M133" s="718">
        <v>859346.95286081801</v>
      </c>
      <c r="N133" s="718">
        <v>860243.44193886302</v>
      </c>
      <c r="O133" s="235">
        <f t="shared" si="2"/>
        <v>855066.84672303207</v>
      </c>
      <c r="P133" s="718">
        <v>861550.19969308702</v>
      </c>
      <c r="Q133" s="718">
        <v>867927.50174688804</v>
      </c>
      <c r="R133" s="718">
        <v>866405.71026410605</v>
      </c>
      <c r="S133" s="718">
        <v>861657.16525697196</v>
      </c>
      <c r="T133" s="718">
        <v>864279.62165584904</v>
      </c>
      <c r="U133" s="718">
        <v>865093.31378709595</v>
      </c>
      <c r="V133" s="718">
        <v>865899.19250478595</v>
      </c>
      <c r="W133" s="718">
        <v>866700.77752451797</v>
      </c>
      <c r="X133" s="718">
        <v>868040.476742103</v>
      </c>
      <c r="Y133" s="718">
        <v>871183.04131814803</v>
      </c>
      <c r="Z133" s="718">
        <v>879117.237195511</v>
      </c>
      <c r="AA133" s="718">
        <v>879828.37077720603</v>
      </c>
      <c r="AB133" s="718">
        <v>880321.61081241095</v>
      </c>
      <c r="AC133" s="718">
        <v>881220.65902842197</v>
      </c>
      <c r="AD133" s="718">
        <v>873901.50872869103</v>
      </c>
      <c r="AE133" s="718">
        <v>871704.72233787202</v>
      </c>
      <c r="AF133" s="712">
        <f t="shared" si="3"/>
        <v>871457.51520535268</v>
      </c>
    </row>
    <row r="134" spans="1:32">
      <c r="A134" s="584"/>
      <c r="O134" s="235">
        <f t="shared" si="2"/>
        <v>0</v>
      </c>
      <c r="AF134" s="712">
        <f t="shared" si="3"/>
        <v>0</v>
      </c>
    </row>
    <row r="135" spans="1:32" ht="15.75" thickBot="1">
      <c r="A135" s="717" t="s">
        <v>1924</v>
      </c>
      <c r="B135" s="718">
        <v>7644717.1195599996</v>
      </c>
      <c r="C135" s="718">
        <v>7695286.5709100002</v>
      </c>
      <c r="D135" s="718">
        <v>7669947.7298400002</v>
      </c>
      <c r="E135" s="718">
        <v>7663744.5751</v>
      </c>
      <c r="F135" s="718">
        <v>7687644.21651999</v>
      </c>
      <c r="G135" s="718">
        <v>7713110.8547599996</v>
      </c>
      <c r="H135" s="718">
        <v>7724823.05249999</v>
      </c>
      <c r="I135" s="718">
        <v>7762016.2373045003</v>
      </c>
      <c r="J135" s="718">
        <v>7807776.9414351797</v>
      </c>
      <c r="K135" s="718">
        <v>7816934.6839623498</v>
      </c>
      <c r="L135" s="718">
        <v>7851616.5672822101</v>
      </c>
      <c r="M135" s="718">
        <v>7892770.2264597798</v>
      </c>
      <c r="N135" s="718">
        <v>7944311.7584961597</v>
      </c>
      <c r="O135" s="235">
        <f t="shared" si="2"/>
        <v>7759592.3487792443</v>
      </c>
      <c r="P135" s="718">
        <v>8010609.0030681696</v>
      </c>
      <c r="Q135" s="718">
        <v>8009468.9766502203</v>
      </c>
      <c r="R135" s="718">
        <v>8023583.1161362901</v>
      </c>
      <c r="S135" s="718">
        <v>8043412.0267811604</v>
      </c>
      <c r="T135" s="718">
        <v>8062013.8478035396</v>
      </c>
      <c r="U135" s="718">
        <v>8087229.5063679498</v>
      </c>
      <c r="V135" s="718">
        <v>8117561.0355011504</v>
      </c>
      <c r="W135" s="718">
        <v>8133918.9717632197</v>
      </c>
      <c r="X135" s="718">
        <v>8127344.9148278497</v>
      </c>
      <c r="Y135" s="718">
        <v>8142013.7288717497</v>
      </c>
      <c r="Z135" s="718">
        <v>8180912.7462681197</v>
      </c>
      <c r="AA135" s="718">
        <v>8205864.44762858</v>
      </c>
      <c r="AB135" s="718">
        <v>8226353.6510664802</v>
      </c>
      <c r="AC135" s="718">
        <v>8208510.2552338503</v>
      </c>
      <c r="AD135" s="718">
        <v>8223819.43111334</v>
      </c>
      <c r="AE135" s="718">
        <v>8238440.2753088502</v>
      </c>
      <c r="AF135" s="712">
        <f t="shared" si="3"/>
        <v>8153645.75681045</v>
      </c>
    </row>
    <row r="136" spans="1:32">
      <c r="A136" s="584"/>
      <c r="O136" s="235">
        <f t="shared" si="2"/>
        <v>0</v>
      </c>
      <c r="AF136" s="712">
        <f t="shared" si="3"/>
        <v>0</v>
      </c>
    </row>
    <row r="137" spans="1:32">
      <c r="A137" s="717" t="s">
        <v>1925</v>
      </c>
      <c r="O137" s="235">
        <f t="shared" si="2"/>
        <v>0</v>
      </c>
      <c r="AF137" s="712">
        <f t="shared" si="3"/>
        <v>0</v>
      </c>
    </row>
    <row r="138" spans="1:32">
      <c r="A138" s="584"/>
      <c r="O138" s="235">
        <f t="shared" si="2"/>
        <v>0</v>
      </c>
      <c r="AF138" s="712">
        <f t="shared" si="3"/>
        <v>0</v>
      </c>
    </row>
    <row r="139" spans="1:32">
      <c r="A139" s="717" t="s">
        <v>1446</v>
      </c>
      <c r="B139" s="713"/>
      <c r="C139" s="713"/>
      <c r="D139" s="713"/>
      <c r="E139" s="713"/>
      <c r="F139" s="713"/>
      <c r="G139" s="713"/>
      <c r="H139" s="713"/>
      <c r="I139" s="713"/>
      <c r="J139" s="713"/>
      <c r="K139" s="713"/>
      <c r="L139" s="713"/>
      <c r="M139" s="713"/>
      <c r="N139" s="713"/>
      <c r="O139" s="235">
        <f t="shared" ref="O139:O202" si="4">SUM(B139:N139)/13</f>
        <v>0</v>
      </c>
      <c r="P139" s="713"/>
      <c r="Q139" s="713"/>
      <c r="R139" s="713"/>
      <c r="S139" s="713"/>
      <c r="T139" s="713"/>
      <c r="U139" s="713"/>
      <c r="V139" s="713"/>
      <c r="W139" s="713"/>
      <c r="X139" s="713"/>
      <c r="Y139" s="713"/>
      <c r="Z139" s="713"/>
      <c r="AA139" s="713"/>
      <c r="AB139" s="713"/>
      <c r="AC139" s="713"/>
      <c r="AD139" s="713"/>
      <c r="AE139" s="713"/>
      <c r="AF139" s="712">
        <f t="shared" ref="AF139:AF202" si="5">SUM(S139:AE139)/13</f>
        <v>0</v>
      </c>
    </row>
    <row r="140" spans="1:32">
      <c r="A140" s="584" t="s">
        <v>1926</v>
      </c>
      <c r="B140" s="713"/>
      <c r="C140" s="713"/>
      <c r="D140" s="713"/>
      <c r="E140" s="713"/>
      <c r="F140" s="713"/>
      <c r="G140" s="713"/>
      <c r="H140" s="713"/>
      <c r="I140" s="713"/>
      <c r="J140" s="713"/>
      <c r="K140" s="713"/>
      <c r="L140" s="713"/>
      <c r="M140" s="713"/>
      <c r="N140" s="713"/>
      <c r="O140" s="235">
        <f t="shared" si="4"/>
        <v>0</v>
      </c>
      <c r="P140" s="713"/>
      <c r="Q140" s="713"/>
      <c r="R140" s="713"/>
      <c r="S140" s="713"/>
      <c r="T140" s="713"/>
      <c r="U140" s="713"/>
      <c r="V140" s="713"/>
      <c r="W140" s="713"/>
      <c r="X140" s="713"/>
      <c r="Y140" s="713"/>
      <c r="Z140" s="713"/>
      <c r="AA140" s="713"/>
      <c r="AB140" s="713"/>
      <c r="AC140" s="713"/>
      <c r="AD140" s="713"/>
      <c r="AE140" s="713"/>
      <c r="AF140" s="712">
        <f t="shared" si="5"/>
        <v>0</v>
      </c>
    </row>
    <row r="141" spans="1:32" ht="15.75" thickBot="1">
      <c r="A141" s="584" t="s">
        <v>1927</v>
      </c>
      <c r="B141" s="716">
        <v>308139.97756000003</v>
      </c>
      <c r="C141" s="716">
        <v>308139.97756000003</v>
      </c>
      <c r="D141" s="716">
        <v>308139.97756000003</v>
      </c>
      <c r="E141" s="716">
        <v>308139.97756000003</v>
      </c>
      <c r="F141" s="716">
        <v>308139.97756000003</v>
      </c>
      <c r="G141" s="716">
        <v>308139.97756000003</v>
      </c>
      <c r="H141" s="716">
        <v>308139.97756000003</v>
      </c>
      <c r="I141" s="716">
        <v>308139.97756000003</v>
      </c>
      <c r="J141" s="716">
        <v>308139.97756000003</v>
      </c>
      <c r="K141" s="716">
        <v>308139.97756000003</v>
      </c>
      <c r="L141" s="716">
        <v>308139.97756000003</v>
      </c>
      <c r="M141" s="716">
        <v>308139.97756000003</v>
      </c>
      <c r="N141" s="716">
        <v>308139.97756000003</v>
      </c>
      <c r="O141" s="235">
        <f t="shared" si="4"/>
        <v>308139.97756000003</v>
      </c>
      <c r="P141" s="716">
        <v>308139.97756000003</v>
      </c>
      <c r="Q141" s="716">
        <v>308139.97756000003</v>
      </c>
      <c r="R141" s="716">
        <v>308139.97756000003</v>
      </c>
      <c r="S141" s="716">
        <v>308139.97756000003</v>
      </c>
      <c r="T141" s="716">
        <v>308139.97756000003</v>
      </c>
      <c r="U141" s="716">
        <v>308139.97756000003</v>
      </c>
      <c r="V141" s="716">
        <v>308139.97756000003</v>
      </c>
      <c r="W141" s="716">
        <v>308139.97756000003</v>
      </c>
      <c r="X141" s="716">
        <v>308139.97756000003</v>
      </c>
      <c r="Y141" s="716">
        <v>308139.97756000003</v>
      </c>
      <c r="Z141" s="716">
        <v>308139.97756000003</v>
      </c>
      <c r="AA141" s="716">
        <v>308139.97756000003</v>
      </c>
      <c r="AB141" s="716">
        <v>308139.97756000003</v>
      </c>
      <c r="AC141" s="716">
        <v>308139.97756000003</v>
      </c>
      <c r="AD141" s="716">
        <v>308139.97756000003</v>
      </c>
      <c r="AE141" s="716">
        <v>308139.97756000003</v>
      </c>
      <c r="AF141" s="712">
        <f t="shared" si="5"/>
        <v>308139.97756000003</v>
      </c>
    </row>
    <row r="142" spans="1:32">
      <c r="A142" s="584" t="s">
        <v>1928</v>
      </c>
      <c r="B142" s="711">
        <v>308139.97756000003</v>
      </c>
      <c r="C142" s="711">
        <v>308139.97756000003</v>
      </c>
      <c r="D142" s="711">
        <v>308139.97756000003</v>
      </c>
      <c r="E142" s="711">
        <v>308139.97756000003</v>
      </c>
      <c r="F142" s="711">
        <v>308139.97756000003</v>
      </c>
      <c r="G142" s="711">
        <v>308139.97756000003</v>
      </c>
      <c r="H142" s="711">
        <v>308139.97756000003</v>
      </c>
      <c r="I142" s="711">
        <v>308139.97756000003</v>
      </c>
      <c r="J142" s="711">
        <v>308139.97756000003</v>
      </c>
      <c r="K142" s="711">
        <v>308139.97756000003</v>
      </c>
      <c r="L142" s="711">
        <v>308139.97756000003</v>
      </c>
      <c r="M142" s="711">
        <v>308139.97756000003</v>
      </c>
      <c r="N142" s="711">
        <v>308139.97756000003</v>
      </c>
      <c r="O142" s="235">
        <f t="shared" si="4"/>
        <v>308139.97756000003</v>
      </c>
      <c r="P142" s="711">
        <v>308139.97756000003</v>
      </c>
      <c r="Q142" s="711">
        <v>308139.97756000003</v>
      </c>
      <c r="R142" s="711">
        <v>308139.97756000003</v>
      </c>
      <c r="S142" s="711">
        <v>308139.97756000003</v>
      </c>
      <c r="T142" s="711">
        <v>308139.97756000003</v>
      </c>
      <c r="U142" s="711">
        <v>308139.97756000003</v>
      </c>
      <c r="V142" s="711">
        <v>308139.97756000003</v>
      </c>
      <c r="W142" s="711">
        <v>308139.97756000003</v>
      </c>
      <c r="X142" s="711">
        <v>308139.97756000003</v>
      </c>
      <c r="Y142" s="711">
        <v>308139.97756000003</v>
      </c>
      <c r="Z142" s="711">
        <v>308139.97756000003</v>
      </c>
      <c r="AA142" s="711">
        <v>308139.97756000003</v>
      </c>
      <c r="AB142" s="711">
        <v>308139.97756000003</v>
      </c>
      <c r="AC142" s="711">
        <v>308139.97756000003</v>
      </c>
      <c r="AD142" s="711">
        <v>308139.97756000003</v>
      </c>
      <c r="AE142" s="711">
        <v>308139.97756000003</v>
      </c>
      <c r="AF142" s="712">
        <f t="shared" si="5"/>
        <v>308139.97756000003</v>
      </c>
    </row>
    <row r="143" spans="1:32">
      <c r="A143" s="584"/>
      <c r="B143" s="713"/>
      <c r="C143" s="713"/>
      <c r="D143" s="713"/>
      <c r="E143" s="713"/>
      <c r="F143" s="713"/>
      <c r="G143" s="713"/>
      <c r="H143" s="713"/>
      <c r="I143" s="713"/>
      <c r="J143" s="713"/>
      <c r="K143" s="713"/>
      <c r="L143" s="713"/>
      <c r="M143" s="713"/>
      <c r="N143" s="713"/>
      <c r="O143" s="235">
        <f t="shared" si="4"/>
        <v>0</v>
      </c>
      <c r="P143" s="713"/>
      <c r="Q143" s="713"/>
      <c r="R143" s="713"/>
      <c r="S143" s="713"/>
      <c r="T143" s="713"/>
      <c r="U143" s="713"/>
      <c r="V143" s="713"/>
      <c r="W143" s="713"/>
      <c r="X143" s="713"/>
      <c r="Y143" s="713"/>
      <c r="Z143" s="713"/>
      <c r="AA143" s="713"/>
      <c r="AB143" s="713"/>
      <c r="AC143" s="713"/>
      <c r="AD143" s="713"/>
      <c r="AE143" s="713"/>
      <c r="AF143" s="712">
        <f t="shared" si="5"/>
        <v>0</v>
      </c>
    </row>
    <row r="144" spans="1:32">
      <c r="A144" s="584" t="s">
        <v>1929</v>
      </c>
      <c r="B144" s="713"/>
      <c r="C144" s="713"/>
      <c r="D144" s="713"/>
      <c r="E144" s="713"/>
      <c r="F144" s="713"/>
      <c r="G144" s="713"/>
      <c r="H144" s="713"/>
      <c r="I144" s="713"/>
      <c r="J144" s="713"/>
      <c r="K144" s="713"/>
      <c r="L144" s="713"/>
      <c r="M144" s="713"/>
      <c r="N144" s="713"/>
      <c r="O144" s="235">
        <f t="shared" si="4"/>
        <v>0</v>
      </c>
      <c r="P144" s="713"/>
      <c r="Q144" s="713"/>
      <c r="R144" s="713"/>
      <c r="S144" s="713"/>
      <c r="T144" s="713"/>
      <c r="U144" s="713"/>
      <c r="V144" s="713"/>
      <c r="W144" s="713"/>
      <c r="X144" s="713"/>
      <c r="Y144" s="713"/>
      <c r="Z144" s="713"/>
      <c r="AA144" s="713"/>
      <c r="AB144" s="713"/>
      <c r="AC144" s="713"/>
      <c r="AD144" s="713"/>
      <c r="AE144" s="713"/>
      <c r="AF144" s="712">
        <f t="shared" si="5"/>
        <v>0</v>
      </c>
    </row>
    <row r="145" spans="1:32" ht="15.75" thickBot="1">
      <c r="A145" s="584" t="s">
        <v>1930</v>
      </c>
      <c r="B145" s="716">
        <v>-321.28886999999997</v>
      </c>
      <c r="C145" s="716">
        <v>-321.28886999999997</v>
      </c>
      <c r="D145" s="716">
        <v>-321.28886999999997</v>
      </c>
      <c r="E145" s="716">
        <v>-321.28886999999997</v>
      </c>
      <c r="F145" s="716">
        <v>-321.28886999999997</v>
      </c>
      <c r="G145" s="716">
        <v>-321.28886999999997</v>
      </c>
      <c r="H145" s="716">
        <v>-321.28886999999997</v>
      </c>
      <c r="I145" s="716">
        <v>-321.28886999999997</v>
      </c>
      <c r="J145" s="716">
        <v>-321.28886999999997</v>
      </c>
      <c r="K145" s="716">
        <v>-321.28886999999997</v>
      </c>
      <c r="L145" s="716">
        <v>-321.28886999999997</v>
      </c>
      <c r="M145" s="716">
        <v>-321.28886999999997</v>
      </c>
      <c r="N145" s="716">
        <v>-321.28886999999997</v>
      </c>
      <c r="O145" s="235">
        <f t="shared" si="4"/>
        <v>-321.28886999999992</v>
      </c>
      <c r="P145" s="716">
        <v>-321.28886999999997</v>
      </c>
      <c r="Q145" s="716">
        <v>-321.28886999999997</v>
      </c>
      <c r="R145" s="716">
        <v>-321.28886999999997</v>
      </c>
      <c r="S145" s="716">
        <v>-321.28886999999997</v>
      </c>
      <c r="T145" s="716">
        <v>-321.28886999999997</v>
      </c>
      <c r="U145" s="716">
        <v>-321.28886999999997</v>
      </c>
      <c r="V145" s="716">
        <v>-321.28886999999997</v>
      </c>
      <c r="W145" s="716">
        <v>-321.28886999999997</v>
      </c>
      <c r="X145" s="716">
        <v>-321.28886999999997</v>
      </c>
      <c r="Y145" s="716">
        <v>-321.28886999999997</v>
      </c>
      <c r="Z145" s="716">
        <v>-321.28886999999997</v>
      </c>
      <c r="AA145" s="716">
        <v>-321.28886999999997</v>
      </c>
      <c r="AB145" s="716">
        <v>-321.28886999999997</v>
      </c>
      <c r="AC145" s="716">
        <v>-321.28886999999997</v>
      </c>
      <c r="AD145" s="716">
        <v>-321.28886999999997</v>
      </c>
      <c r="AE145" s="716">
        <v>-321.28886999999997</v>
      </c>
      <c r="AF145" s="712">
        <f t="shared" si="5"/>
        <v>-321.28886999999992</v>
      </c>
    </row>
    <row r="146" spans="1:32">
      <c r="A146" s="584" t="s">
        <v>1931</v>
      </c>
      <c r="B146" s="711">
        <v>-321.28886999999997</v>
      </c>
      <c r="C146" s="711">
        <v>-321.28886999999997</v>
      </c>
      <c r="D146" s="711">
        <v>-321.28886999999997</v>
      </c>
      <c r="E146" s="711">
        <v>-321.28886999999997</v>
      </c>
      <c r="F146" s="711">
        <v>-321.28886999999997</v>
      </c>
      <c r="G146" s="711">
        <v>-321.28886999999997</v>
      </c>
      <c r="H146" s="711">
        <v>-321.28886999999997</v>
      </c>
      <c r="I146" s="711">
        <v>-321.28886999999997</v>
      </c>
      <c r="J146" s="711">
        <v>-321.28886999999997</v>
      </c>
      <c r="K146" s="711">
        <v>-321.28886999999997</v>
      </c>
      <c r="L146" s="711">
        <v>-321.28886999999997</v>
      </c>
      <c r="M146" s="711">
        <v>-321.28886999999997</v>
      </c>
      <c r="N146" s="711">
        <v>-321.28886999999997</v>
      </c>
      <c r="O146" s="235">
        <f t="shared" si="4"/>
        <v>-321.28886999999992</v>
      </c>
      <c r="P146" s="711">
        <v>-321.28886999999997</v>
      </c>
      <c r="Q146" s="711">
        <v>-321.28886999999997</v>
      </c>
      <c r="R146" s="711">
        <v>-321.28886999999997</v>
      </c>
      <c r="S146" s="711">
        <v>-321.28886999999997</v>
      </c>
      <c r="T146" s="711">
        <v>-321.28886999999997</v>
      </c>
      <c r="U146" s="711">
        <v>-321.28886999999997</v>
      </c>
      <c r="V146" s="711">
        <v>-321.28886999999997</v>
      </c>
      <c r="W146" s="711">
        <v>-321.28886999999997</v>
      </c>
      <c r="X146" s="711">
        <v>-321.28886999999997</v>
      </c>
      <c r="Y146" s="711">
        <v>-321.28886999999997</v>
      </c>
      <c r="Z146" s="711">
        <v>-321.28886999999997</v>
      </c>
      <c r="AA146" s="711">
        <v>-321.28886999999997</v>
      </c>
      <c r="AB146" s="711">
        <v>-321.28886999999997</v>
      </c>
      <c r="AC146" s="711">
        <v>-321.28886999999997</v>
      </c>
      <c r="AD146" s="711">
        <v>-321.28886999999997</v>
      </c>
      <c r="AE146" s="711">
        <v>-321.28886999999997</v>
      </c>
      <c r="AF146" s="712">
        <f t="shared" si="5"/>
        <v>-321.28886999999992</v>
      </c>
    </row>
    <row r="147" spans="1:32">
      <c r="A147" s="584"/>
      <c r="B147" s="713"/>
      <c r="C147" s="713"/>
      <c r="D147" s="713"/>
      <c r="E147" s="713"/>
      <c r="F147" s="713"/>
      <c r="G147" s="713"/>
      <c r="H147" s="713"/>
      <c r="I147" s="713"/>
      <c r="J147" s="713"/>
      <c r="K147" s="713"/>
      <c r="L147" s="713"/>
      <c r="M147" s="713"/>
      <c r="N147" s="713"/>
      <c r="O147" s="235">
        <f t="shared" si="4"/>
        <v>0</v>
      </c>
      <c r="P147" s="713"/>
      <c r="Q147" s="713"/>
      <c r="R147" s="713"/>
      <c r="S147" s="713"/>
      <c r="T147" s="713"/>
      <c r="U147" s="713"/>
      <c r="V147" s="713"/>
      <c r="W147" s="713"/>
      <c r="X147" s="713"/>
      <c r="Y147" s="713"/>
      <c r="Z147" s="713"/>
      <c r="AA147" s="713"/>
      <c r="AB147" s="713"/>
      <c r="AC147" s="713"/>
      <c r="AD147" s="713"/>
      <c r="AE147" s="713"/>
      <c r="AF147" s="712">
        <f t="shared" si="5"/>
        <v>0</v>
      </c>
    </row>
    <row r="148" spans="1:32">
      <c r="A148" s="584" t="s">
        <v>1932</v>
      </c>
      <c r="B148" s="713"/>
      <c r="C148" s="713"/>
      <c r="D148" s="713"/>
      <c r="E148" s="713"/>
      <c r="F148" s="713"/>
      <c r="G148" s="713"/>
      <c r="H148" s="713"/>
      <c r="I148" s="713"/>
      <c r="J148" s="713"/>
      <c r="K148" s="713"/>
      <c r="L148" s="713"/>
      <c r="M148" s="713"/>
      <c r="N148" s="713"/>
      <c r="O148" s="235">
        <f t="shared" si="4"/>
        <v>0</v>
      </c>
      <c r="P148" s="713"/>
      <c r="Q148" s="713"/>
      <c r="R148" s="713"/>
      <c r="S148" s="713"/>
      <c r="T148" s="713"/>
      <c r="U148" s="713"/>
      <c r="V148" s="713"/>
      <c r="W148" s="713"/>
      <c r="X148" s="713"/>
      <c r="Y148" s="713"/>
      <c r="Z148" s="713"/>
      <c r="AA148" s="713"/>
      <c r="AB148" s="713"/>
      <c r="AC148" s="713"/>
      <c r="AD148" s="713"/>
      <c r="AE148" s="713"/>
      <c r="AF148" s="712">
        <f t="shared" si="5"/>
        <v>0</v>
      </c>
    </row>
    <row r="149" spans="1:32" ht="15.75" thickBot="1">
      <c r="A149" s="584" t="s">
        <v>1933</v>
      </c>
      <c r="B149" s="716">
        <v>583858.08299999998</v>
      </c>
      <c r="C149" s="716">
        <v>583858.08299999998</v>
      </c>
      <c r="D149" s="716">
        <v>583858.08299999998</v>
      </c>
      <c r="E149" s="716">
        <v>583858.08299999998</v>
      </c>
      <c r="F149" s="716">
        <v>583858.08299999998</v>
      </c>
      <c r="G149" s="716">
        <v>583858.08299999998</v>
      </c>
      <c r="H149" s="716">
        <v>628858.08299999998</v>
      </c>
      <c r="I149" s="716">
        <v>628858.08299999998</v>
      </c>
      <c r="J149" s="716">
        <v>628858.08299999998</v>
      </c>
      <c r="K149" s="716">
        <v>628858.08299999998</v>
      </c>
      <c r="L149" s="716">
        <v>628858.08299999998</v>
      </c>
      <c r="M149" s="716">
        <v>628858.08299999998</v>
      </c>
      <c r="N149" s="716">
        <v>695148.63880455995</v>
      </c>
      <c r="O149" s="235">
        <f t="shared" si="4"/>
        <v>613188.12575419678</v>
      </c>
      <c r="P149" s="716">
        <v>695148.63880455995</v>
      </c>
      <c r="Q149" s="716">
        <v>695148.63880455995</v>
      </c>
      <c r="R149" s="716">
        <v>695148.63880455995</v>
      </c>
      <c r="S149" s="716">
        <v>695148.63880455995</v>
      </c>
      <c r="T149" s="716">
        <v>695148.63880455995</v>
      </c>
      <c r="U149" s="716">
        <v>754089.94098179799</v>
      </c>
      <c r="V149" s="716">
        <v>754089.94098179799</v>
      </c>
      <c r="W149" s="716">
        <v>754089.94098179799</v>
      </c>
      <c r="X149" s="716">
        <v>754089.94098179799</v>
      </c>
      <c r="Y149" s="716">
        <v>754089.94098179799</v>
      </c>
      <c r="Z149" s="716">
        <v>754089.94098179799</v>
      </c>
      <c r="AA149" s="716">
        <v>810713.21293772897</v>
      </c>
      <c r="AB149" s="716">
        <v>810713.21293772897</v>
      </c>
      <c r="AC149" s="716">
        <v>810713.21293772897</v>
      </c>
      <c r="AD149" s="716">
        <v>810713.21293772897</v>
      </c>
      <c r="AE149" s="716">
        <v>810713.21293772897</v>
      </c>
      <c r="AF149" s="712">
        <f t="shared" si="5"/>
        <v>766800.22986065794</v>
      </c>
    </row>
    <row r="150" spans="1:32">
      <c r="A150" s="584" t="s">
        <v>1934</v>
      </c>
      <c r="B150" s="711">
        <v>583858.08299999998</v>
      </c>
      <c r="C150" s="711">
        <v>583858.08299999998</v>
      </c>
      <c r="D150" s="711">
        <v>583858.08299999998</v>
      </c>
      <c r="E150" s="711">
        <v>583858.08299999998</v>
      </c>
      <c r="F150" s="711">
        <v>583858.08299999998</v>
      </c>
      <c r="G150" s="711">
        <v>583858.08299999998</v>
      </c>
      <c r="H150" s="711">
        <v>628858.08299999998</v>
      </c>
      <c r="I150" s="711">
        <v>628858.08299999998</v>
      </c>
      <c r="J150" s="711">
        <v>628858.08299999998</v>
      </c>
      <c r="K150" s="711">
        <v>628858.08299999998</v>
      </c>
      <c r="L150" s="711">
        <v>628858.08299999998</v>
      </c>
      <c r="M150" s="711">
        <v>628858.08299999998</v>
      </c>
      <c r="N150" s="711">
        <v>695148.63880455995</v>
      </c>
      <c r="O150" s="235">
        <f t="shared" si="4"/>
        <v>613188.12575419678</v>
      </c>
      <c r="P150" s="711">
        <v>695148.63880455995</v>
      </c>
      <c r="Q150" s="711">
        <v>695148.63880455995</v>
      </c>
      <c r="R150" s="711">
        <v>695148.63880455995</v>
      </c>
      <c r="S150" s="711">
        <v>695148.63880455995</v>
      </c>
      <c r="T150" s="711">
        <v>695148.63880455995</v>
      </c>
      <c r="U150" s="711">
        <v>754089.94098179799</v>
      </c>
      <c r="V150" s="711">
        <v>754089.94098179799</v>
      </c>
      <c r="W150" s="711">
        <v>754089.94098179799</v>
      </c>
      <c r="X150" s="711">
        <v>754089.94098179799</v>
      </c>
      <c r="Y150" s="711">
        <v>754089.94098179799</v>
      </c>
      <c r="Z150" s="711">
        <v>754089.94098179799</v>
      </c>
      <c r="AA150" s="711">
        <v>810713.21293772897</v>
      </c>
      <c r="AB150" s="711">
        <v>810713.21293772897</v>
      </c>
      <c r="AC150" s="711">
        <v>810713.21293772897</v>
      </c>
      <c r="AD150" s="711">
        <v>810713.21293772897</v>
      </c>
      <c r="AE150" s="711">
        <v>810713.21293772897</v>
      </c>
      <c r="AF150" s="712">
        <f t="shared" si="5"/>
        <v>766800.22986065794</v>
      </c>
    </row>
    <row r="151" spans="1:32">
      <c r="A151" s="584"/>
      <c r="B151" s="713"/>
      <c r="C151" s="713"/>
      <c r="D151" s="713"/>
      <c r="E151" s="713"/>
      <c r="F151" s="713"/>
      <c r="G151" s="713"/>
      <c r="H151" s="713"/>
      <c r="I151" s="713"/>
      <c r="J151" s="713"/>
      <c r="K151" s="713"/>
      <c r="L151" s="713"/>
      <c r="M151" s="713"/>
      <c r="N151" s="713"/>
      <c r="O151" s="235">
        <f t="shared" si="4"/>
        <v>0</v>
      </c>
      <c r="P151" s="713"/>
      <c r="Q151" s="713"/>
      <c r="R151" s="713"/>
      <c r="S151" s="713"/>
      <c r="T151" s="713"/>
      <c r="U151" s="713"/>
      <c r="V151" s="713"/>
      <c r="W151" s="713"/>
      <c r="X151" s="713"/>
      <c r="Y151" s="713"/>
      <c r="Z151" s="713"/>
      <c r="AA151" s="713"/>
      <c r="AB151" s="713"/>
      <c r="AC151" s="713"/>
      <c r="AD151" s="713"/>
      <c r="AE151" s="713"/>
      <c r="AF151" s="712">
        <f t="shared" si="5"/>
        <v>0</v>
      </c>
    </row>
    <row r="152" spans="1:32">
      <c r="A152" s="584" t="s">
        <v>1935</v>
      </c>
      <c r="B152" s="713"/>
      <c r="C152" s="713"/>
      <c r="D152" s="713"/>
      <c r="E152" s="713"/>
      <c r="F152" s="713"/>
      <c r="G152" s="713"/>
      <c r="H152" s="713"/>
      <c r="I152" s="713"/>
      <c r="J152" s="713"/>
      <c r="K152" s="713"/>
      <c r="L152" s="713"/>
      <c r="M152" s="713"/>
      <c r="N152" s="713"/>
      <c r="O152" s="235">
        <f t="shared" si="4"/>
        <v>0</v>
      </c>
      <c r="P152" s="713"/>
      <c r="Q152" s="713"/>
      <c r="R152" s="713"/>
      <c r="S152" s="713"/>
      <c r="T152" s="713"/>
      <c r="U152" s="713"/>
      <c r="V152" s="713"/>
      <c r="W152" s="713"/>
      <c r="X152" s="713"/>
      <c r="Y152" s="713"/>
      <c r="Z152" s="713"/>
      <c r="AA152" s="713"/>
      <c r="AB152" s="713"/>
      <c r="AC152" s="713"/>
      <c r="AD152" s="713"/>
      <c r="AE152" s="713"/>
      <c r="AF152" s="712">
        <f t="shared" si="5"/>
        <v>0</v>
      </c>
    </row>
    <row r="153" spans="1:32" ht="15.75" thickBot="1">
      <c r="A153" s="584" t="s">
        <v>1936</v>
      </c>
      <c r="B153" s="716">
        <v>1857820.1530800001</v>
      </c>
      <c r="C153" s="716">
        <v>1899758.67245</v>
      </c>
      <c r="D153" s="716">
        <v>1922625.5466</v>
      </c>
      <c r="E153" s="716">
        <v>1866602.89491</v>
      </c>
      <c r="F153" s="716">
        <v>1877667.45047</v>
      </c>
      <c r="G153" s="716">
        <v>1900159.88928</v>
      </c>
      <c r="H153" s="716">
        <v>1870189.4151399999</v>
      </c>
      <c r="I153" s="716">
        <v>1892560.3020353499</v>
      </c>
      <c r="J153" s="716">
        <v>1916107.8750708699</v>
      </c>
      <c r="K153" s="716">
        <v>1875631.06207797</v>
      </c>
      <c r="L153" s="716">
        <v>1884073.54165868</v>
      </c>
      <c r="M153" s="716">
        <v>1903418.9182962</v>
      </c>
      <c r="N153" s="716">
        <v>1889722.9491101101</v>
      </c>
      <c r="O153" s="235">
        <f t="shared" si="4"/>
        <v>1888949.1284753212</v>
      </c>
      <c r="P153" s="716">
        <v>1922558.1104738601</v>
      </c>
      <c r="Q153" s="716">
        <v>1946092.9615148001</v>
      </c>
      <c r="R153" s="716">
        <v>1915311.2042781301</v>
      </c>
      <c r="S153" s="716">
        <v>1926515.4831949801</v>
      </c>
      <c r="T153" s="716">
        <v>1939140.595434</v>
      </c>
      <c r="U153" s="716">
        <v>1905582.7924774799</v>
      </c>
      <c r="V153" s="716">
        <v>1926625.88395082</v>
      </c>
      <c r="W153" s="716">
        <v>1949339.61925641</v>
      </c>
      <c r="X153" s="716">
        <v>1909899.8758525001</v>
      </c>
      <c r="Y153" s="716">
        <v>1914880.74417273</v>
      </c>
      <c r="Z153" s="716">
        <v>1928146.8345667999</v>
      </c>
      <c r="AA153" s="716">
        <v>1913675.1993114899</v>
      </c>
      <c r="AB153" s="716">
        <v>1944116.15582319</v>
      </c>
      <c r="AC153" s="716">
        <v>1966450.7356807301</v>
      </c>
      <c r="AD153" s="716">
        <v>1912503.3942233401</v>
      </c>
      <c r="AE153" s="716">
        <v>1918399.7226471</v>
      </c>
      <c r="AF153" s="712">
        <f t="shared" si="5"/>
        <v>1927329.002814736</v>
      </c>
    </row>
    <row r="154" spans="1:32">
      <c r="A154" s="584" t="s">
        <v>1935</v>
      </c>
      <c r="B154" s="711">
        <v>1857820.1530800001</v>
      </c>
      <c r="C154" s="711">
        <v>1899758.67245</v>
      </c>
      <c r="D154" s="711">
        <v>1922625.5466</v>
      </c>
      <c r="E154" s="711">
        <v>1866602.89491</v>
      </c>
      <c r="F154" s="711">
        <v>1877667.45047</v>
      </c>
      <c r="G154" s="711">
        <v>1900159.88928</v>
      </c>
      <c r="H154" s="711">
        <v>1870189.4151399999</v>
      </c>
      <c r="I154" s="711">
        <v>1892560.3020353499</v>
      </c>
      <c r="J154" s="711">
        <v>1916107.8750708699</v>
      </c>
      <c r="K154" s="711">
        <v>1875631.06207797</v>
      </c>
      <c r="L154" s="711">
        <v>1884073.54165868</v>
      </c>
      <c r="M154" s="711">
        <v>1903418.9182962</v>
      </c>
      <c r="N154" s="711">
        <v>1889722.9491101101</v>
      </c>
      <c r="O154" s="235">
        <f t="shared" si="4"/>
        <v>1888949.1284753212</v>
      </c>
      <c r="P154" s="711">
        <v>1922558.1104738601</v>
      </c>
      <c r="Q154" s="711">
        <v>1946092.9615148001</v>
      </c>
      <c r="R154" s="711">
        <v>1915311.2042781301</v>
      </c>
      <c r="S154" s="711">
        <v>1926515.4831949801</v>
      </c>
      <c r="T154" s="711">
        <v>1939140.595434</v>
      </c>
      <c r="U154" s="711">
        <v>1905582.7924774799</v>
      </c>
      <c r="V154" s="711">
        <v>1926625.88395082</v>
      </c>
      <c r="W154" s="711">
        <v>1949339.61925641</v>
      </c>
      <c r="X154" s="711">
        <v>1909899.8758525001</v>
      </c>
      <c r="Y154" s="711">
        <v>1914880.74417273</v>
      </c>
      <c r="Z154" s="711">
        <v>1928146.8345667999</v>
      </c>
      <c r="AA154" s="711">
        <v>1913675.1993114899</v>
      </c>
      <c r="AB154" s="711">
        <v>1944116.15582319</v>
      </c>
      <c r="AC154" s="711">
        <v>1966450.7356807301</v>
      </c>
      <c r="AD154" s="711">
        <v>1912503.3942233401</v>
      </c>
      <c r="AE154" s="711">
        <v>1918399.7226471</v>
      </c>
      <c r="AF154" s="712">
        <f t="shared" si="5"/>
        <v>1927329.002814736</v>
      </c>
    </row>
    <row r="155" spans="1:32">
      <c r="A155" s="584"/>
      <c r="B155" s="713"/>
      <c r="C155" s="713"/>
      <c r="D155" s="713"/>
      <c r="E155" s="713"/>
      <c r="F155" s="713"/>
      <c r="G155" s="713"/>
      <c r="H155" s="713"/>
      <c r="I155" s="713"/>
      <c r="J155" s="713"/>
      <c r="K155" s="713"/>
      <c r="L155" s="713"/>
      <c r="M155" s="713"/>
      <c r="N155" s="713"/>
      <c r="O155" s="235">
        <f t="shared" si="4"/>
        <v>0</v>
      </c>
      <c r="P155" s="713"/>
      <c r="Q155" s="713"/>
      <c r="R155" s="713"/>
      <c r="S155" s="713"/>
      <c r="T155" s="713"/>
      <c r="U155" s="713"/>
      <c r="V155" s="713"/>
      <c r="W155" s="713"/>
      <c r="X155" s="713"/>
      <c r="Y155" s="713"/>
      <c r="Z155" s="713"/>
      <c r="AA155" s="713"/>
      <c r="AB155" s="713"/>
      <c r="AC155" s="713"/>
      <c r="AD155" s="713"/>
      <c r="AE155" s="713"/>
      <c r="AF155" s="712">
        <f t="shared" si="5"/>
        <v>0</v>
      </c>
    </row>
    <row r="156" spans="1:32">
      <c r="A156" s="584" t="s">
        <v>1937</v>
      </c>
      <c r="O156" s="235">
        <f t="shared" si="4"/>
        <v>0</v>
      </c>
      <c r="AF156" s="712">
        <f t="shared" si="5"/>
        <v>0</v>
      </c>
    </row>
    <row r="157" spans="1:32">
      <c r="A157" s="584" t="s">
        <v>1938</v>
      </c>
      <c r="B157" s="711">
        <v>1.0000000000000001E-5</v>
      </c>
      <c r="C157" s="711">
        <v>1.0000000000000001E-5</v>
      </c>
      <c r="D157" s="711">
        <v>1.0000000000000001E-5</v>
      </c>
      <c r="E157" s="711">
        <v>1.0000000000000001E-5</v>
      </c>
      <c r="F157" s="711">
        <v>1.0000000000000001E-5</v>
      </c>
      <c r="G157" s="711">
        <v>1.0000000000000001E-5</v>
      </c>
      <c r="H157" s="711">
        <v>1.0000000000000001E-5</v>
      </c>
      <c r="I157" s="711">
        <v>1.0000000000000001E-5</v>
      </c>
      <c r="J157" s="711">
        <v>1.0000000000000001E-5</v>
      </c>
      <c r="K157" s="711">
        <v>1.0000000000000001E-5</v>
      </c>
      <c r="L157" s="711">
        <v>1.0000000000000001E-5</v>
      </c>
      <c r="M157" s="711">
        <v>1.0000000000000001E-5</v>
      </c>
      <c r="N157" s="711">
        <v>1.0000000000000001E-5</v>
      </c>
      <c r="O157" s="235">
        <f t="shared" si="4"/>
        <v>1.0000000000000001E-5</v>
      </c>
      <c r="P157" s="711">
        <v>1.0000000000000001E-5</v>
      </c>
      <c r="Q157" s="711">
        <v>1.0000000000000001E-5</v>
      </c>
      <c r="R157" s="711">
        <v>1.0000000000000001E-5</v>
      </c>
      <c r="S157" s="711">
        <v>1.0000000000000001E-5</v>
      </c>
      <c r="T157" s="711">
        <v>1.0000000000000001E-5</v>
      </c>
      <c r="U157" s="711">
        <v>1.0000000000000001E-5</v>
      </c>
      <c r="V157" s="711">
        <v>1.0000000000000001E-5</v>
      </c>
      <c r="W157" s="711">
        <v>1.0000000000000001E-5</v>
      </c>
      <c r="X157" s="711">
        <v>1.0000000000000001E-5</v>
      </c>
      <c r="Y157" s="711">
        <v>1.0000000000000001E-5</v>
      </c>
      <c r="Z157" s="711">
        <v>1.0000000000000001E-5</v>
      </c>
      <c r="AA157" s="711">
        <v>1.0000000000000001E-5</v>
      </c>
      <c r="AB157" s="711">
        <v>1.0000000000000001E-5</v>
      </c>
      <c r="AC157" s="711">
        <v>1.0000000000000001E-5</v>
      </c>
      <c r="AD157" s="711">
        <v>1.0000000000000001E-5</v>
      </c>
      <c r="AE157" s="711">
        <v>1.0000000000000001E-5</v>
      </c>
      <c r="AF157" s="712">
        <f t="shared" si="5"/>
        <v>1.0000000000000001E-5</v>
      </c>
    </row>
    <row r="158" spans="1:32">
      <c r="A158" s="584" t="s">
        <v>1939</v>
      </c>
      <c r="B158" s="711">
        <v>0</v>
      </c>
      <c r="C158" s="711">
        <v>0</v>
      </c>
      <c r="D158" s="711">
        <v>0</v>
      </c>
      <c r="E158" s="711">
        <v>0</v>
      </c>
      <c r="F158" s="711">
        <v>0</v>
      </c>
      <c r="G158" s="711">
        <v>0</v>
      </c>
      <c r="H158" s="711">
        <v>0</v>
      </c>
      <c r="I158" s="711">
        <v>0</v>
      </c>
      <c r="J158" s="711">
        <v>0</v>
      </c>
      <c r="K158" s="711">
        <v>0</v>
      </c>
      <c r="L158" s="711">
        <v>0</v>
      </c>
      <c r="M158" s="711">
        <v>0</v>
      </c>
      <c r="N158" s="711">
        <v>0</v>
      </c>
      <c r="O158" s="235">
        <f t="shared" si="4"/>
        <v>0</v>
      </c>
      <c r="P158" s="711">
        <v>0</v>
      </c>
      <c r="Q158" s="711">
        <v>0</v>
      </c>
      <c r="R158" s="711">
        <v>0</v>
      </c>
      <c r="S158" s="711">
        <v>0</v>
      </c>
      <c r="T158" s="711">
        <v>0</v>
      </c>
      <c r="U158" s="711">
        <v>0</v>
      </c>
      <c r="V158" s="711">
        <v>0</v>
      </c>
      <c r="W158" s="711">
        <v>0</v>
      </c>
      <c r="X158" s="711">
        <v>0</v>
      </c>
      <c r="Y158" s="711">
        <v>0</v>
      </c>
      <c r="Z158" s="711">
        <v>0</v>
      </c>
      <c r="AA158" s="711">
        <v>0</v>
      </c>
      <c r="AB158" s="711">
        <v>0</v>
      </c>
      <c r="AC158" s="711">
        <v>0</v>
      </c>
      <c r="AD158" s="711">
        <v>0</v>
      </c>
      <c r="AE158" s="711">
        <v>0</v>
      </c>
      <c r="AF158" s="712">
        <f t="shared" si="5"/>
        <v>0</v>
      </c>
    </row>
    <row r="159" spans="1:32">
      <c r="A159" s="584" t="s">
        <v>1937</v>
      </c>
      <c r="B159" s="711">
        <v>1.0000000000000001E-5</v>
      </c>
      <c r="C159" s="711">
        <v>1.0000000000000001E-5</v>
      </c>
      <c r="D159" s="711">
        <v>1.0000000000000001E-5</v>
      </c>
      <c r="E159" s="711">
        <v>1.0000000000000001E-5</v>
      </c>
      <c r="F159" s="711">
        <v>1.0000000000000001E-5</v>
      </c>
      <c r="G159" s="711">
        <v>1.0000000000000001E-5</v>
      </c>
      <c r="H159" s="711">
        <v>1.0000000000000001E-5</v>
      </c>
      <c r="I159" s="711">
        <v>1.0000000000000001E-5</v>
      </c>
      <c r="J159" s="711">
        <v>1.0000000000000001E-5</v>
      </c>
      <c r="K159" s="711">
        <v>1.0000000000000001E-5</v>
      </c>
      <c r="L159" s="711">
        <v>1.0000000000000001E-5</v>
      </c>
      <c r="M159" s="711">
        <v>1.0000000000000001E-5</v>
      </c>
      <c r="N159" s="711">
        <v>1.0000000000000001E-5</v>
      </c>
      <c r="O159" s="235">
        <f t="shared" si="4"/>
        <v>1.0000000000000001E-5</v>
      </c>
      <c r="P159" s="711">
        <v>1.0000000000000001E-5</v>
      </c>
      <c r="Q159" s="711">
        <v>1.0000000000000001E-5</v>
      </c>
      <c r="R159" s="711">
        <v>1.0000000000000001E-5</v>
      </c>
      <c r="S159" s="711">
        <v>1.0000000000000001E-5</v>
      </c>
      <c r="T159" s="711">
        <v>1.0000000000000001E-5</v>
      </c>
      <c r="U159" s="711">
        <v>1.0000000000000001E-5</v>
      </c>
      <c r="V159" s="711">
        <v>1.0000000000000001E-5</v>
      </c>
      <c r="W159" s="711">
        <v>1.0000000000000001E-5</v>
      </c>
      <c r="X159" s="711">
        <v>1.0000000000000001E-5</v>
      </c>
      <c r="Y159" s="711">
        <v>1.0000000000000001E-5</v>
      </c>
      <c r="Z159" s="711">
        <v>1.0000000000000001E-5</v>
      </c>
      <c r="AA159" s="711">
        <v>1.0000000000000001E-5</v>
      </c>
      <c r="AB159" s="711">
        <v>1.0000000000000001E-5</v>
      </c>
      <c r="AC159" s="711">
        <v>1.0000000000000001E-5</v>
      </c>
      <c r="AD159" s="711">
        <v>1.0000000000000001E-5</v>
      </c>
      <c r="AE159" s="711">
        <v>1.0000000000000001E-5</v>
      </c>
      <c r="AF159" s="712">
        <f t="shared" si="5"/>
        <v>1.0000000000000001E-5</v>
      </c>
    </row>
    <row r="160" spans="1:32">
      <c r="A160" s="584"/>
      <c r="B160" s="713"/>
      <c r="C160" s="713"/>
      <c r="D160" s="713"/>
      <c r="E160" s="713"/>
      <c r="F160" s="713"/>
      <c r="G160" s="713"/>
      <c r="H160" s="713"/>
      <c r="I160" s="713"/>
      <c r="J160" s="713"/>
      <c r="K160" s="713"/>
      <c r="L160" s="713"/>
      <c r="M160" s="713"/>
      <c r="N160" s="713"/>
      <c r="O160" s="235">
        <f t="shared" si="4"/>
        <v>0</v>
      </c>
      <c r="P160" s="713"/>
      <c r="Q160" s="713"/>
      <c r="R160" s="713"/>
      <c r="S160" s="713"/>
      <c r="T160" s="713"/>
      <c r="U160" s="713"/>
      <c r="V160" s="713"/>
      <c r="W160" s="713"/>
      <c r="X160" s="713"/>
      <c r="Y160" s="713"/>
      <c r="Z160" s="713"/>
      <c r="AA160" s="713"/>
      <c r="AB160" s="713"/>
      <c r="AC160" s="713"/>
      <c r="AD160" s="713"/>
      <c r="AE160" s="713"/>
      <c r="AF160" s="712">
        <f t="shared" si="5"/>
        <v>0</v>
      </c>
    </row>
    <row r="161" spans="1:32">
      <c r="A161" s="584"/>
      <c r="B161" s="713"/>
      <c r="C161" s="713"/>
      <c r="D161" s="713"/>
      <c r="E161" s="713"/>
      <c r="F161" s="713"/>
      <c r="G161" s="713"/>
      <c r="H161" s="713"/>
      <c r="I161" s="713"/>
      <c r="J161" s="713"/>
      <c r="K161" s="713"/>
      <c r="L161" s="713"/>
      <c r="M161" s="713"/>
      <c r="N161" s="713"/>
      <c r="O161" s="235">
        <f t="shared" si="4"/>
        <v>0</v>
      </c>
      <c r="P161" s="713"/>
      <c r="Q161" s="713"/>
      <c r="R161" s="713"/>
      <c r="S161" s="713"/>
      <c r="T161" s="713"/>
      <c r="U161" s="713"/>
      <c r="V161" s="713"/>
      <c r="W161" s="713"/>
      <c r="X161" s="713"/>
      <c r="Y161" s="713"/>
      <c r="Z161" s="713"/>
      <c r="AA161" s="713"/>
      <c r="AB161" s="713"/>
      <c r="AC161" s="713"/>
      <c r="AD161" s="713"/>
      <c r="AE161" s="713"/>
      <c r="AF161" s="712">
        <f t="shared" si="5"/>
        <v>0</v>
      </c>
    </row>
    <row r="162" spans="1:32" ht="15.75" thickBot="1">
      <c r="A162" s="717" t="s">
        <v>1539</v>
      </c>
      <c r="B162" s="718">
        <v>2749496.92478</v>
      </c>
      <c r="C162" s="718">
        <v>2791435.4441499999</v>
      </c>
      <c r="D162" s="718">
        <v>2814302.3182999999</v>
      </c>
      <c r="E162" s="718">
        <v>2758279.6666100002</v>
      </c>
      <c r="F162" s="718">
        <v>2769344.22217</v>
      </c>
      <c r="G162" s="718">
        <v>2791836.6609800002</v>
      </c>
      <c r="H162" s="718">
        <v>2806866.1868400001</v>
      </c>
      <c r="I162" s="718">
        <v>2829237.0737353498</v>
      </c>
      <c r="J162" s="718">
        <v>2852784.6467708698</v>
      </c>
      <c r="K162" s="718">
        <v>2812307.8337779702</v>
      </c>
      <c r="L162" s="718">
        <v>2820750.3133586799</v>
      </c>
      <c r="M162" s="718">
        <v>2840095.6899962001</v>
      </c>
      <c r="N162" s="718">
        <v>2892690.2766146702</v>
      </c>
      <c r="O162" s="235">
        <f t="shared" si="4"/>
        <v>2809955.9429295189</v>
      </c>
      <c r="P162" s="718">
        <v>2925525.4379784199</v>
      </c>
      <c r="Q162" s="718">
        <v>2949060.2890193602</v>
      </c>
      <c r="R162" s="718">
        <v>2918278.53178269</v>
      </c>
      <c r="S162" s="718">
        <v>2929482.8106995402</v>
      </c>
      <c r="T162" s="718">
        <v>2942107.9229385601</v>
      </c>
      <c r="U162" s="718">
        <v>2967491.4221592802</v>
      </c>
      <c r="V162" s="718">
        <v>2988534.5136326202</v>
      </c>
      <c r="W162" s="718">
        <v>3011248.2489382098</v>
      </c>
      <c r="X162" s="718">
        <v>2971808.5055343001</v>
      </c>
      <c r="Y162" s="718">
        <v>2976789.3738545198</v>
      </c>
      <c r="Z162" s="718">
        <v>2990055.4642486</v>
      </c>
      <c r="AA162" s="718">
        <v>3032207.1009492199</v>
      </c>
      <c r="AB162" s="718">
        <v>3062648.05746092</v>
      </c>
      <c r="AC162" s="718">
        <v>3084982.6373184598</v>
      </c>
      <c r="AD162" s="718">
        <v>3031035.29586107</v>
      </c>
      <c r="AE162" s="718">
        <v>3036931.6242848299</v>
      </c>
      <c r="AF162" s="712">
        <f t="shared" si="5"/>
        <v>3001947.9213753948</v>
      </c>
    </row>
    <row r="163" spans="1:32">
      <c r="A163" s="584"/>
      <c r="O163" s="235">
        <f t="shared" si="4"/>
        <v>0</v>
      </c>
      <c r="AF163" s="712">
        <f t="shared" si="5"/>
        <v>0</v>
      </c>
    </row>
    <row r="164" spans="1:32">
      <c r="A164" s="717" t="s">
        <v>1447</v>
      </c>
      <c r="B164" s="713"/>
      <c r="C164" s="713"/>
      <c r="D164" s="713"/>
      <c r="E164" s="713"/>
      <c r="F164" s="713"/>
      <c r="G164" s="713"/>
      <c r="H164" s="713"/>
      <c r="I164" s="713"/>
      <c r="J164" s="713"/>
      <c r="K164" s="713"/>
      <c r="L164" s="713"/>
      <c r="M164" s="713"/>
      <c r="N164" s="713"/>
      <c r="O164" s="235">
        <f t="shared" si="4"/>
        <v>0</v>
      </c>
      <c r="P164" s="713"/>
      <c r="Q164" s="713"/>
      <c r="R164" s="713"/>
      <c r="S164" s="713"/>
      <c r="T164" s="713"/>
      <c r="U164" s="713"/>
      <c r="V164" s="713"/>
      <c r="W164" s="713"/>
      <c r="X164" s="713"/>
      <c r="Y164" s="713"/>
      <c r="Z164" s="713"/>
      <c r="AA164" s="713"/>
      <c r="AB164" s="713"/>
      <c r="AC164" s="713"/>
      <c r="AD164" s="713"/>
      <c r="AE164" s="713"/>
      <c r="AF164" s="712">
        <f t="shared" si="5"/>
        <v>0</v>
      </c>
    </row>
    <row r="165" spans="1:32">
      <c r="A165" s="584" t="s">
        <v>1940</v>
      </c>
      <c r="B165" s="713"/>
      <c r="C165" s="713"/>
      <c r="D165" s="713"/>
      <c r="E165" s="713"/>
      <c r="F165" s="713"/>
      <c r="G165" s="713"/>
      <c r="H165" s="713"/>
      <c r="I165" s="713"/>
      <c r="J165" s="713"/>
      <c r="K165" s="713"/>
      <c r="L165" s="713"/>
      <c r="M165" s="713"/>
      <c r="N165" s="713"/>
      <c r="O165" s="235">
        <f t="shared" si="4"/>
        <v>0</v>
      </c>
      <c r="P165" s="713"/>
      <c r="Q165" s="713"/>
      <c r="R165" s="713"/>
      <c r="S165" s="713"/>
      <c r="T165" s="713"/>
      <c r="U165" s="713"/>
      <c r="V165" s="713"/>
      <c r="W165" s="713"/>
      <c r="X165" s="713"/>
      <c r="Y165" s="713"/>
      <c r="Z165" s="713"/>
      <c r="AA165" s="713"/>
      <c r="AB165" s="713"/>
      <c r="AC165" s="713"/>
      <c r="AD165" s="713"/>
      <c r="AE165" s="713"/>
      <c r="AF165" s="712">
        <f t="shared" si="5"/>
        <v>0</v>
      </c>
    </row>
    <row r="166" spans="1:32">
      <c r="A166" s="584" t="s">
        <v>1941</v>
      </c>
      <c r="B166" s="711">
        <v>0</v>
      </c>
      <c r="C166" s="711">
        <v>0</v>
      </c>
      <c r="D166" s="711">
        <v>0</v>
      </c>
      <c r="E166" s="711">
        <v>0</v>
      </c>
      <c r="F166" s="711">
        <v>0</v>
      </c>
      <c r="G166" s="711">
        <v>8927</v>
      </c>
      <c r="H166" s="711">
        <v>8927</v>
      </c>
      <c r="I166" s="711">
        <v>0</v>
      </c>
      <c r="J166" s="711">
        <v>0</v>
      </c>
      <c r="K166" s="711">
        <v>0</v>
      </c>
      <c r="L166" s="711">
        <v>0</v>
      </c>
      <c r="M166" s="711">
        <v>0</v>
      </c>
      <c r="N166" s="711">
        <v>0</v>
      </c>
      <c r="O166" s="235">
        <f t="shared" si="4"/>
        <v>1373.3846153846155</v>
      </c>
      <c r="P166" s="711">
        <v>0</v>
      </c>
      <c r="Q166" s="711">
        <v>0</v>
      </c>
      <c r="R166" s="711">
        <v>0</v>
      </c>
      <c r="S166" s="711">
        <v>0</v>
      </c>
      <c r="T166" s="711">
        <v>0</v>
      </c>
      <c r="U166" s="711">
        <v>0</v>
      </c>
      <c r="V166" s="711">
        <v>0</v>
      </c>
      <c r="W166" s="711">
        <v>0</v>
      </c>
      <c r="X166" s="711">
        <v>500000</v>
      </c>
      <c r="Y166" s="711">
        <v>500000</v>
      </c>
      <c r="Z166" s="711">
        <v>500000</v>
      </c>
      <c r="AA166" s="711">
        <v>500000</v>
      </c>
      <c r="AB166" s="711">
        <v>500000</v>
      </c>
      <c r="AC166" s="711">
        <v>500000</v>
      </c>
      <c r="AD166" s="711">
        <v>500000</v>
      </c>
      <c r="AE166" s="711">
        <v>500000</v>
      </c>
      <c r="AF166" s="712">
        <f t="shared" si="5"/>
        <v>307692.30769230769</v>
      </c>
    </row>
    <row r="167" spans="1:32">
      <c r="A167" s="584" t="s">
        <v>1942</v>
      </c>
      <c r="B167" s="711">
        <v>2350779.4049999998</v>
      </c>
      <c r="C167" s="711">
        <v>2350779.4049999998</v>
      </c>
      <c r="D167" s="711">
        <v>2350779.4049999998</v>
      </c>
      <c r="E167" s="711">
        <v>2350779.4049999998</v>
      </c>
      <c r="F167" s="711">
        <v>2350779.4049999998</v>
      </c>
      <c r="G167" s="711">
        <v>2341852.4049999998</v>
      </c>
      <c r="H167" s="711">
        <v>2341852.4049999998</v>
      </c>
      <c r="I167" s="711">
        <v>2341852.4049999998</v>
      </c>
      <c r="J167" s="711">
        <v>2341852.4049999998</v>
      </c>
      <c r="K167" s="711">
        <v>2341852.4049999998</v>
      </c>
      <c r="L167" s="711">
        <v>2341852.4049999998</v>
      </c>
      <c r="M167" s="711">
        <v>2341852.4049999998</v>
      </c>
      <c r="N167" s="711">
        <v>2341852.4049999998</v>
      </c>
      <c r="O167" s="235">
        <f t="shared" si="4"/>
        <v>2345285.8665384618</v>
      </c>
      <c r="P167" s="711">
        <v>2341852.4049999998</v>
      </c>
      <c r="Q167" s="711">
        <v>2341852.4049999998</v>
      </c>
      <c r="R167" s="711">
        <v>2341852.4049999998</v>
      </c>
      <c r="S167" s="711">
        <v>2341852.4049999998</v>
      </c>
      <c r="T167" s="711">
        <v>2641852.4049999998</v>
      </c>
      <c r="U167" s="711">
        <v>2641852.4049999998</v>
      </c>
      <c r="V167" s="711">
        <v>2641852.4049999998</v>
      </c>
      <c r="W167" s="711">
        <v>2641852.4049999998</v>
      </c>
      <c r="X167" s="711">
        <v>2141852.4049999998</v>
      </c>
      <c r="Y167" s="711">
        <v>2141852.4049999998</v>
      </c>
      <c r="Z167" s="711">
        <v>2141852.4049999998</v>
      </c>
      <c r="AA167" s="711">
        <v>2141852.4049999998</v>
      </c>
      <c r="AB167" s="711">
        <v>2141852.4049999998</v>
      </c>
      <c r="AC167" s="711">
        <v>2141852.4049999998</v>
      </c>
      <c r="AD167" s="711">
        <v>2141852.4049999998</v>
      </c>
      <c r="AE167" s="711">
        <v>2141852.4049999998</v>
      </c>
      <c r="AF167" s="712">
        <f t="shared" si="5"/>
        <v>2311083.1742307697</v>
      </c>
    </row>
    <row r="168" spans="1:32" ht="15.75" thickBot="1">
      <c r="A168" s="584" t="s">
        <v>1943</v>
      </c>
      <c r="B168" s="716">
        <v>-8570.0368500000004</v>
      </c>
      <c r="C168" s="716">
        <v>-8520.9947100000009</v>
      </c>
      <c r="D168" s="716">
        <v>-8479.6739899999993</v>
      </c>
      <c r="E168" s="716">
        <v>-8433.9260399999894</v>
      </c>
      <c r="F168" s="716">
        <v>-8389.6538299999993</v>
      </c>
      <c r="G168" s="716">
        <v>-8343.9058800000003</v>
      </c>
      <c r="H168" s="716">
        <v>-8299.6336699999993</v>
      </c>
      <c r="I168" s="716">
        <v>-8253.88573</v>
      </c>
      <c r="J168" s="716">
        <v>-8208.1377699999994</v>
      </c>
      <c r="K168" s="716">
        <v>-8163.8655599999902</v>
      </c>
      <c r="L168" s="716">
        <v>-8118.1176299999997</v>
      </c>
      <c r="M168" s="716">
        <v>-8073.8453899999904</v>
      </c>
      <c r="N168" s="716">
        <v>-8028.09746</v>
      </c>
      <c r="O168" s="235">
        <f t="shared" si="4"/>
        <v>-8298.7518853846123</v>
      </c>
      <c r="P168" s="716">
        <v>-7982.3495000000003</v>
      </c>
      <c r="Q168" s="716">
        <v>-7941.0287799999996</v>
      </c>
      <c r="R168" s="716">
        <v>-7895.2808199999999</v>
      </c>
      <c r="S168" s="716">
        <v>-7851.0086199999996</v>
      </c>
      <c r="T168" s="716">
        <v>-7805.2606800000003</v>
      </c>
      <c r="U168" s="716">
        <v>-7760.9884599999996</v>
      </c>
      <c r="V168" s="716">
        <v>-7715.2405099999996</v>
      </c>
      <c r="W168" s="716">
        <v>-7669.4925599999997</v>
      </c>
      <c r="X168" s="716">
        <v>-7625.2203499999996</v>
      </c>
      <c r="Y168" s="716">
        <v>-7579.4723999999997</v>
      </c>
      <c r="Z168" s="716">
        <v>-7535.2002000000002</v>
      </c>
      <c r="AA168" s="716">
        <v>-7489.4522500000003</v>
      </c>
      <c r="AB168" s="716">
        <v>-7443.7043000000003</v>
      </c>
      <c r="AC168" s="716">
        <v>-7401.4273400000002</v>
      </c>
      <c r="AD168" s="716">
        <v>-7355.6793900000002</v>
      </c>
      <c r="AE168" s="716">
        <v>-7311.4071800000002</v>
      </c>
      <c r="AF168" s="712">
        <f t="shared" si="5"/>
        <v>-7580.2734030769216</v>
      </c>
    </row>
    <row r="169" spans="1:32">
      <c r="A169" s="584" t="s">
        <v>1940</v>
      </c>
      <c r="B169" s="711">
        <v>2342209.36815</v>
      </c>
      <c r="C169" s="711">
        <v>2342258.41029</v>
      </c>
      <c r="D169" s="711">
        <v>2342299.7310100002</v>
      </c>
      <c r="E169" s="711">
        <v>2342345.47896</v>
      </c>
      <c r="F169" s="711">
        <v>2342389.7511700001</v>
      </c>
      <c r="G169" s="711">
        <v>2342435.4991199998</v>
      </c>
      <c r="H169" s="711">
        <v>2342479.7713299999</v>
      </c>
      <c r="I169" s="711">
        <v>2333598.51927</v>
      </c>
      <c r="J169" s="711">
        <v>2333644.2672299999</v>
      </c>
      <c r="K169" s="711">
        <v>2333688.53944</v>
      </c>
      <c r="L169" s="711">
        <v>2333734.28737</v>
      </c>
      <c r="M169" s="711">
        <v>2333778.5596099999</v>
      </c>
      <c r="N169" s="711">
        <v>2333824.30754</v>
      </c>
      <c r="O169" s="235">
        <f t="shared" si="4"/>
        <v>2338360.4992684615</v>
      </c>
      <c r="P169" s="711">
        <v>2333870.0554999998</v>
      </c>
      <c r="Q169" s="711">
        <v>2333911.37622</v>
      </c>
      <c r="R169" s="711">
        <v>2333957.1241799998</v>
      </c>
      <c r="S169" s="711">
        <v>2334001.3963799998</v>
      </c>
      <c r="T169" s="711">
        <v>2634047.14432</v>
      </c>
      <c r="U169" s="711">
        <v>2634091.4165400001</v>
      </c>
      <c r="V169" s="711">
        <v>2634137.1644899999</v>
      </c>
      <c r="W169" s="711">
        <v>2634182.9124400001</v>
      </c>
      <c r="X169" s="711">
        <v>2634227.1846500002</v>
      </c>
      <c r="Y169" s="711">
        <v>2634272.9325999999</v>
      </c>
      <c r="Z169" s="711">
        <v>2634317.2047999999</v>
      </c>
      <c r="AA169" s="711">
        <v>2634362.9527500002</v>
      </c>
      <c r="AB169" s="711">
        <v>2634408.7006999999</v>
      </c>
      <c r="AC169" s="711">
        <v>2634450.9776599999</v>
      </c>
      <c r="AD169" s="711">
        <v>2634496.7256100001</v>
      </c>
      <c r="AE169" s="711">
        <v>2634540.9978200002</v>
      </c>
      <c r="AF169" s="712">
        <f t="shared" si="5"/>
        <v>2611195.2085199999</v>
      </c>
    </row>
    <row r="170" spans="1:32">
      <c r="A170" s="584"/>
      <c r="B170" s="713"/>
      <c r="C170" s="713"/>
      <c r="D170" s="713"/>
      <c r="E170" s="713"/>
      <c r="F170" s="713"/>
      <c r="G170" s="713"/>
      <c r="H170" s="713"/>
      <c r="I170" s="713"/>
      <c r="J170" s="713"/>
      <c r="K170" s="713"/>
      <c r="L170" s="713"/>
      <c r="M170" s="713"/>
      <c r="N170" s="713"/>
      <c r="O170" s="235">
        <f t="shared" si="4"/>
        <v>0</v>
      </c>
      <c r="P170" s="713"/>
      <c r="Q170" s="713"/>
      <c r="R170" s="713"/>
      <c r="S170" s="713"/>
      <c r="T170" s="713"/>
      <c r="U170" s="713"/>
      <c r="V170" s="713"/>
      <c r="W170" s="713"/>
      <c r="X170" s="713"/>
      <c r="Y170" s="713"/>
      <c r="Z170" s="713"/>
      <c r="AA170" s="713"/>
      <c r="AB170" s="713"/>
      <c r="AC170" s="713"/>
      <c r="AD170" s="713"/>
      <c r="AE170" s="713"/>
      <c r="AF170" s="712">
        <f t="shared" si="5"/>
        <v>0</v>
      </c>
    </row>
    <row r="171" spans="1:32">
      <c r="A171" s="584" t="s">
        <v>1944</v>
      </c>
      <c r="O171" s="235">
        <f t="shared" si="4"/>
        <v>0</v>
      </c>
      <c r="AF171" s="712">
        <f t="shared" si="5"/>
        <v>0</v>
      </c>
    </row>
    <row r="172" spans="1:32">
      <c r="A172" s="584"/>
      <c r="B172" s="713"/>
      <c r="C172" s="713"/>
      <c r="D172" s="713"/>
      <c r="E172" s="713"/>
      <c r="F172" s="713"/>
      <c r="G172" s="713"/>
      <c r="H172" s="713"/>
      <c r="I172" s="713"/>
      <c r="J172" s="713"/>
      <c r="K172" s="713"/>
      <c r="L172" s="713"/>
      <c r="M172" s="713"/>
      <c r="N172" s="713"/>
      <c r="O172" s="235">
        <f t="shared" si="4"/>
        <v>0</v>
      </c>
      <c r="P172" s="713"/>
      <c r="Q172" s="713"/>
      <c r="R172" s="713"/>
      <c r="S172" s="713"/>
      <c r="T172" s="713"/>
      <c r="U172" s="713"/>
      <c r="V172" s="713"/>
      <c r="W172" s="713"/>
      <c r="X172" s="713"/>
      <c r="Y172" s="713"/>
      <c r="Z172" s="713"/>
      <c r="AA172" s="713"/>
      <c r="AB172" s="713"/>
      <c r="AC172" s="713"/>
      <c r="AD172" s="713"/>
      <c r="AE172" s="713"/>
      <c r="AF172" s="712">
        <f t="shared" si="5"/>
        <v>0</v>
      </c>
    </row>
    <row r="173" spans="1:32" ht="15.75" thickBot="1">
      <c r="A173" s="717" t="s">
        <v>1945</v>
      </c>
      <c r="B173" s="718">
        <v>2342209.36815</v>
      </c>
      <c r="C173" s="718">
        <v>2342258.41029</v>
      </c>
      <c r="D173" s="718">
        <v>2342299.7310100002</v>
      </c>
      <c r="E173" s="718">
        <v>2342345.47896</v>
      </c>
      <c r="F173" s="718">
        <v>2342389.7511700001</v>
      </c>
      <c r="G173" s="718">
        <v>2342435.4991199998</v>
      </c>
      <c r="H173" s="718">
        <v>2342479.7713299999</v>
      </c>
      <c r="I173" s="718">
        <v>2333598.51927</v>
      </c>
      <c r="J173" s="718">
        <v>2333644.2672299999</v>
      </c>
      <c r="K173" s="718">
        <v>2333688.53944</v>
      </c>
      <c r="L173" s="718">
        <v>2333734.28737</v>
      </c>
      <c r="M173" s="718">
        <v>2333778.5596099999</v>
      </c>
      <c r="N173" s="718">
        <v>2333824.30754</v>
      </c>
      <c r="O173" s="235">
        <f t="shared" si="4"/>
        <v>2338360.4992684615</v>
      </c>
      <c r="P173" s="718">
        <v>2333870.0554999998</v>
      </c>
      <c r="Q173" s="718">
        <v>2333911.37622</v>
      </c>
      <c r="R173" s="718">
        <v>2333957.1241799998</v>
      </c>
      <c r="S173" s="718">
        <v>2334001.3963799998</v>
      </c>
      <c r="T173" s="718">
        <v>2634047.14432</v>
      </c>
      <c r="U173" s="718">
        <v>2634091.4165400001</v>
      </c>
      <c r="V173" s="718">
        <v>2634137.1644899999</v>
      </c>
      <c r="W173" s="718">
        <v>2634182.9124400001</v>
      </c>
      <c r="X173" s="718">
        <v>2634227.1846500002</v>
      </c>
      <c r="Y173" s="718">
        <v>2634272.9325999999</v>
      </c>
      <c r="Z173" s="718">
        <v>2634317.2047999999</v>
      </c>
      <c r="AA173" s="718">
        <v>2634362.9527500002</v>
      </c>
      <c r="AB173" s="718">
        <v>2634408.7006999999</v>
      </c>
      <c r="AC173" s="718">
        <v>2634450.9776599999</v>
      </c>
      <c r="AD173" s="718">
        <v>2634496.7256100001</v>
      </c>
      <c r="AE173" s="718">
        <v>2634540.9978200002</v>
      </c>
      <c r="AF173" s="712">
        <f t="shared" si="5"/>
        <v>2611195.2085199999</v>
      </c>
    </row>
    <row r="174" spans="1:32">
      <c r="A174" s="584"/>
      <c r="O174" s="235">
        <f t="shared" si="4"/>
        <v>0</v>
      </c>
      <c r="AF174" s="712">
        <f t="shared" si="5"/>
        <v>0</v>
      </c>
    </row>
    <row r="175" spans="1:32">
      <c r="A175" s="717" t="s">
        <v>1946</v>
      </c>
      <c r="B175" s="719">
        <v>5091706.2929300005</v>
      </c>
      <c r="C175" s="719">
        <v>5133693.8544399999</v>
      </c>
      <c r="D175" s="719">
        <v>5156602.0493099997</v>
      </c>
      <c r="E175" s="719">
        <v>5100625.1455699997</v>
      </c>
      <c r="F175" s="719">
        <v>5111733.97334</v>
      </c>
      <c r="G175" s="719">
        <v>5134272.1601</v>
      </c>
      <c r="H175" s="719">
        <v>5149345.9581700005</v>
      </c>
      <c r="I175" s="719">
        <v>5162835.5930053499</v>
      </c>
      <c r="J175" s="719">
        <v>5186428.9140008697</v>
      </c>
      <c r="K175" s="719">
        <v>5145996.3732179701</v>
      </c>
      <c r="L175" s="719">
        <v>5154484.6007286804</v>
      </c>
      <c r="M175" s="719">
        <v>5173874.2496061996</v>
      </c>
      <c r="N175" s="719">
        <v>5226514.5841546701</v>
      </c>
      <c r="O175" s="235">
        <f t="shared" si="4"/>
        <v>5148316.4421979804</v>
      </c>
      <c r="P175" s="719">
        <v>5259395.4934784202</v>
      </c>
      <c r="Q175" s="719">
        <v>5282971.6652393602</v>
      </c>
      <c r="R175" s="719">
        <v>5252235.6559626898</v>
      </c>
      <c r="S175" s="719">
        <v>5263484.20707954</v>
      </c>
      <c r="T175" s="719">
        <v>5576155.0672585601</v>
      </c>
      <c r="U175" s="719">
        <v>5601582.8386992803</v>
      </c>
      <c r="V175" s="719">
        <v>5622671.6781226201</v>
      </c>
      <c r="W175" s="719">
        <v>5645431.1613782104</v>
      </c>
      <c r="X175" s="719">
        <v>5606035.6901842998</v>
      </c>
      <c r="Y175" s="719">
        <v>5611062.3064545197</v>
      </c>
      <c r="Z175" s="719">
        <v>5624372.6690485999</v>
      </c>
      <c r="AA175" s="719">
        <v>5666570.0536992196</v>
      </c>
      <c r="AB175" s="719">
        <v>5697056.7581609199</v>
      </c>
      <c r="AC175" s="719">
        <v>5719433.6149784597</v>
      </c>
      <c r="AD175" s="719">
        <v>5665532.0214710701</v>
      </c>
      <c r="AE175" s="719">
        <v>5671472.6221048301</v>
      </c>
      <c r="AF175" s="712">
        <f t="shared" si="5"/>
        <v>5613143.1298953947</v>
      </c>
    </row>
    <row r="176" spans="1:32">
      <c r="A176" s="584"/>
      <c r="O176" s="235">
        <f t="shared" si="4"/>
        <v>0</v>
      </c>
      <c r="AF176" s="712">
        <f t="shared" si="5"/>
        <v>0</v>
      </c>
    </row>
    <row r="177" spans="1:32">
      <c r="A177" s="717" t="s">
        <v>1448</v>
      </c>
      <c r="B177" s="713"/>
      <c r="C177" s="713"/>
      <c r="D177" s="713"/>
      <c r="E177" s="713"/>
      <c r="F177" s="713"/>
      <c r="G177" s="713"/>
      <c r="H177" s="713"/>
      <c r="I177" s="713"/>
      <c r="J177" s="713"/>
      <c r="K177" s="713"/>
      <c r="L177" s="713"/>
      <c r="M177" s="713"/>
      <c r="N177" s="713"/>
      <c r="O177" s="235">
        <f t="shared" si="4"/>
        <v>0</v>
      </c>
      <c r="P177" s="713"/>
      <c r="Q177" s="713"/>
      <c r="R177" s="713"/>
      <c r="S177" s="713"/>
      <c r="T177" s="713"/>
      <c r="U177" s="713"/>
      <c r="V177" s="713"/>
      <c r="W177" s="713"/>
      <c r="X177" s="713"/>
      <c r="Y177" s="713"/>
      <c r="Z177" s="713"/>
      <c r="AA177" s="713"/>
      <c r="AB177" s="713"/>
      <c r="AC177" s="713"/>
      <c r="AD177" s="713"/>
      <c r="AE177" s="713"/>
      <c r="AF177" s="712">
        <f t="shared" si="5"/>
        <v>0</v>
      </c>
    </row>
    <row r="178" spans="1:32">
      <c r="A178" s="584" t="s">
        <v>1947</v>
      </c>
      <c r="O178" s="235">
        <f t="shared" si="4"/>
        <v>0</v>
      </c>
      <c r="AF178" s="712">
        <f t="shared" si="5"/>
        <v>0</v>
      </c>
    </row>
    <row r="179" spans="1:32">
      <c r="A179" s="584"/>
      <c r="B179" s="713"/>
      <c r="C179" s="713"/>
      <c r="D179" s="713"/>
      <c r="E179" s="713"/>
      <c r="F179" s="713"/>
      <c r="G179" s="713"/>
      <c r="H179" s="713"/>
      <c r="I179" s="713"/>
      <c r="J179" s="713"/>
      <c r="K179" s="713"/>
      <c r="L179" s="713"/>
      <c r="M179" s="713"/>
      <c r="N179" s="713"/>
      <c r="O179" s="235">
        <f t="shared" si="4"/>
        <v>0</v>
      </c>
      <c r="P179" s="713"/>
      <c r="Q179" s="713"/>
      <c r="R179" s="713"/>
      <c r="S179" s="713"/>
      <c r="T179" s="713"/>
      <c r="U179" s="713"/>
      <c r="V179" s="713"/>
      <c r="W179" s="713"/>
      <c r="X179" s="713"/>
      <c r="Y179" s="713"/>
      <c r="Z179" s="713"/>
      <c r="AA179" s="713"/>
      <c r="AB179" s="713"/>
      <c r="AC179" s="713"/>
      <c r="AD179" s="713"/>
      <c r="AE179" s="713"/>
      <c r="AF179" s="712">
        <f t="shared" si="5"/>
        <v>0</v>
      </c>
    </row>
    <row r="180" spans="1:32">
      <c r="A180" s="584" t="s">
        <v>1948</v>
      </c>
      <c r="B180" s="713"/>
      <c r="C180" s="713"/>
      <c r="D180" s="713"/>
      <c r="E180" s="713"/>
      <c r="F180" s="713"/>
      <c r="G180" s="713"/>
      <c r="H180" s="713"/>
      <c r="I180" s="713"/>
      <c r="J180" s="713"/>
      <c r="K180" s="713"/>
      <c r="L180" s="713"/>
      <c r="M180" s="713"/>
      <c r="N180" s="713"/>
      <c r="O180" s="235">
        <f t="shared" si="4"/>
        <v>0</v>
      </c>
      <c r="P180" s="713"/>
      <c r="Q180" s="713"/>
      <c r="R180" s="713"/>
      <c r="S180" s="713"/>
      <c r="T180" s="713"/>
      <c r="U180" s="713"/>
      <c r="V180" s="713"/>
      <c r="W180" s="713"/>
      <c r="X180" s="713"/>
      <c r="Y180" s="713"/>
      <c r="Z180" s="713"/>
      <c r="AA180" s="713"/>
      <c r="AB180" s="713"/>
      <c r="AC180" s="713"/>
      <c r="AD180" s="713"/>
      <c r="AE180" s="713"/>
      <c r="AF180" s="712">
        <f t="shared" si="5"/>
        <v>0</v>
      </c>
    </row>
    <row r="181" spans="1:32" ht="15.75" thickBot="1">
      <c r="A181" s="584" t="s">
        <v>1949</v>
      </c>
      <c r="B181" s="716">
        <v>44957.42611</v>
      </c>
      <c r="C181" s="716">
        <v>97981.116389999996</v>
      </c>
      <c r="D181" s="716">
        <v>52033.27882</v>
      </c>
      <c r="E181" s="716">
        <v>78261.438089999996</v>
      </c>
      <c r="F181" s="716">
        <v>90542.850560000006</v>
      </c>
      <c r="G181" s="716">
        <v>109305.57299</v>
      </c>
      <c r="H181" s="716">
        <v>133429.85054000001</v>
      </c>
      <c r="I181" s="716">
        <v>133959.83598025501</v>
      </c>
      <c r="J181" s="716">
        <v>139434.28580066399</v>
      </c>
      <c r="K181" s="716">
        <v>185739.52765493799</v>
      </c>
      <c r="L181" s="716">
        <v>218331.42076446101</v>
      </c>
      <c r="M181" s="716">
        <v>270807.62156544701</v>
      </c>
      <c r="N181" s="716">
        <v>256558.344680838</v>
      </c>
      <c r="O181" s="235">
        <f t="shared" si="4"/>
        <v>139334.04384204638</v>
      </c>
      <c r="P181" s="716">
        <v>256156.489600083</v>
      </c>
      <c r="Q181" s="716">
        <v>229866.796798533</v>
      </c>
      <c r="R181" s="716">
        <v>278576.29707559798</v>
      </c>
      <c r="S181" s="716">
        <v>302375.51591926097</v>
      </c>
      <c r="T181" s="716">
        <v>34887.647950157203</v>
      </c>
      <c r="U181" s="716">
        <v>24348.775050443401</v>
      </c>
      <c r="V181" s="716">
        <v>18563.402529090199</v>
      </c>
      <c r="W181" s="716">
        <v>0</v>
      </c>
      <c r="X181" s="716">
        <v>28383.5245908</v>
      </c>
      <c r="Y181" s="716">
        <v>51008.848287245601</v>
      </c>
      <c r="Z181" s="716">
        <v>107682.99469562</v>
      </c>
      <c r="AA181" s="716">
        <v>80985.019467776307</v>
      </c>
      <c r="AB181" s="716">
        <v>61092.936881248097</v>
      </c>
      <c r="AC181" s="716">
        <v>14843.2139999397</v>
      </c>
      <c r="AD181" s="716">
        <v>78930.089794168103</v>
      </c>
      <c r="AE181" s="716">
        <v>116497.357315838</v>
      </c>
      <c r="AF181" s="712">
        <f t="shared" si="5"/>
        <v>70738.409729352905</v>
      </c>
    </row>
    <row r="182" spans="1:32">
      <c r="A182" s="584" t="s">
        <v>1948</v>
      </c>
      <c r="B182" s="711">
        <v>44957.42611</v>
      </c>
      <c r="C182" s="711">
        <v>97981.116389999996</v>
      </c>
      <c r="D182" s="711">
        <v>52033.27882</v>
      </c>
      <c r="E182" s="711">
        <v>78261.438089999996</v>
      </c>
      <c r="F182" s="711">
        <v>90542.850560000006</v>
      </c>
      <c r="G182" s="711">
        <v>109305.57299</v>
      </c>
      <c r="H182" s="711">
        <v>133429.85054000001</v>
      </c>
      <c r="I182" s="711">
        <v>133959.83598025501</v>
      </c>
      <c r="J182" s="711">
        <v>139434.28580066399</v>
      </c>
      <c r="K182" s="711">
        <v>185739.52765493799</v>
      </c>
      <c r="L182" s="711">
        <v>218331.42076446101</v>
      </c>
      <c r="M182" s="711">
        <v>270807.62156544701</v>
      </c>
      <c r="N182" s="711">
        <v>256558.344680838</v>
      </c>
      <c r="O182" s="235">
        <f t="shared" si="4"/>
        <v>139334.04384204638</v>
      </c>
      <c r="P182" s="711">
        <v>256156.489600083</v>
      </c>
      <c r="Q182" s="711">
        <v>229866.796798533</v>
      </c>
      <c r="R182" s="711">
        <v>278576.29707559798</v>
      </c>
      <c r="S182" s="711">
        <v>302375.51591926097</v>
      </c>
      <c r="T182" s="711">
        <v>34887.647950157203</v>
      </c>
      <c r="U182" s="711">
        <v>24348.775050443401</v>
      </c>
      <c r="V182" s="711">
        <v>18563.402529090199</v>
      </c>
      <c r="W182" s="711">
        <v>0</v>
      </c>
      <c r="X182" s="711">
        <v>28383.5245908</v>
      </c>
      <c r="Y182" s="711">
        <v>51008.848287245601</v>
      </c>
      <c r="Z182" s="711">
        <v>107682.99469562</v>
      </c>
      <c r="AA182" s="711">
        <v>80985.019467776307</v>
      </c>
      <c r="AB182" s="711">
        <v>61092.936881248097</v>
      </c>
      <c r="AC182" s="711">
        <v>14843.2139999397</v>
      </c>
      <c r="AD182" s="711">
        <v>78930.089794168103</v>
      </c>
      <c r="AE182" s="711">
        <v>116497.357315838</v>
      </c>
      <c r="AF182" s="712">
        <f t="shared" si="5"/>
        <v>70738.409729352905</v>
      </c>
    </row>
    <row r="183" spans="1:32">
      <c r="A183" s="584"/>
      <c r="B183" s="713"/>
      <c r="C183" s="713"/>
      <c r="D183" s="713"/>
      <c r="E183" s="713"/>
      <c r="F183" s="713"/>
      <c r="G183" s="713"/>
      <c r="H183" s="713"/>
      <c r="I183" s="713"/>
      <c r="J183" s="713"/>
      <c r="K183" s="713"/>
      <c r="L183" s="713"/>
      <c r="M183" s="713"/>
      <c r="N183" s="713"/>
      <c r="O183" s="235">
        <f t="shared" si="4"/>
        <v>0</v>
      </c>
      <c r="P183" s="713"/>
      <c r="Q183" s="713"/>
      <c r="R183" s="713"/>
      <c r="S183" s="713"/>
      <c r="T183" s="713"/>
      <c r="U183" s="713"/>
      <c r="V183" s="713"/>
      <c r="W183" s="713"/>
      <c r="X183" s="713"/>
      <c r="Y183" s="713"/>
      <c r="Z183" s="713"/>
      <c r="AA183" s="713"/>
      <c r="AB183" s="713"/>
      <c r="AC183" s="713"/>
      <c r="AD183" s="713"/>
      <c r="AE183" s="713"/>
      <c r="AF183" s="712">
        <f t="shared" si="5"/>
        <v>0</v>
      </c>
    </row>
    <row r="184" spans="1:32">
      <c r="A184" s="584" t="s">
        <v>1950</v>
      </c>
      <c r="B184" s="713"/>
      <c r="C184" s="713"/>
      <c r="D184" s="713"/>
      <c r="E184" s="713"/>
      <c r="F184" s="713"/>
      <c r="G184" s="713"/>
      <c r="H184" s="713"/>
      <c r="I184" s="713"/>
      <c r="J184" s="713"/>
      <c r="K184" s="713"/>
      <c r="L184" s="713"/>
      <c r="M184" s="713"/>
      <c r="N184" s="713"/>
      <c r="O184" s="235">
        <f t="shared" si="4"/>
        <v>0</v>
      </c>
      <c r="P184" s="713"/>
      <c r="Q184" s="713"/>
      <c r="R184" s="713"/>
      <c r="S184" s="713"/>
      <c r="T184" s="713"/>
      <c r="U184" s="713"/>
      <c r="V184" s="713"/>
      <c r="W184" s="713"/>
      <c r="X184" s="713"/>
      <c r="Y184" s="713"/>
      <c r="Z184" s="713"/>
      <c r="AA184" s="713"/>
      <c r="AB184" s="713"/>
      <c r="AC184" s="713"/>
      <c r="AD184" s="713"/>
      <c r="AE184" s="713"/>
      <c r="AF184" s="712">
        <f t="shared" si="5"/>
        <v>0</v>
      </c>
    </row>
    <row r="185" spans="1:32">
      <c r="A185" s="584" t="s">
        <v>1951</v>
      </c>
      <c r="B185" s="711">
        <v>8470.2291599999899</v>
      </c>
      <c r="C185" s="711">
        <v>9384.1199799999995</v>
      </c>
      <c r="D185" s="711">
        <v>9451.4621999999908</v>
      </c>
      <c r="E185" s="711">
        <v>5184.5480500000003</v>
      </c>
      <c r="F185" s="711">
        <v>5427.3794399999997</v>
      </c>
      <c r="G185" s="711">
        <v>4999.2043000000003</v>
      </c>
      <c r="H185" s="711">
        <v>5030.85743</v>
      </c>
      <c r="I185" s="711">
        <v>5525.3822841239999</v>
      </c>
      <c r="J185" s="711">
        <v>6051.0822038619999</v>
      </c>
      <c r="K185" s="711">
        <v>6471.11868082</v>
      </c>
      <c r="L185" s="711">
        <v>7003.6090189340002</v>
      </c>
      <c r="M185" s="711">
        <v>7471.4732073340001</v>
      </c>
      <c r="N185" s="711">
        <v>7862.1788356959996</v>
      </c>
      <c r="O185" s="235">
        <f t="shared" si="4"/>
        <v>6794.8188300592301</v>
      </c>
      <c r="P185" s="711">
        <v>8381.6025602647296</v>
      </c>
      <c r="Q185" s="711">
        <v>8829.6340715127408</v>
      </c>
      <c r="R185" s="711">
        <v>3661.56035370261</v>
      </c>
      <c r="S185" s="711">
        <v>4158.8308868786498</v>
      </c>
      <c r="T185" s="711">
        <v>4683.31979180704</v>
      </c>
      <c r="U185" s="711">
        <v>5123.4278460320702</v>
      </c>
      <c r="V185" s="711">
        <v>5646.4115360600299</v>
      </c>
      <c r="W185" s="711">
        <v>6167.5615115187302</v>
      </c>
      <c r="X185" s="711">
        <v>6632.7153546607096</v>
      </c>
      <c r="Y185" s="711">
        <v>7182.4140170219198</v>
      </c>
      <c r="Z185" s="711">
        <v>7649.2975672529701</v>
      </c>
      <c r="AA185" s="711">
        <v>8091.3115947216502</v>
      </c>
      <c r="AB185" s="711">
        <v>8624.5881672037594</v>
      </c>
      <c r="AC185" s="711">
        <v>9083.9852686573504</v>
      </c>
      <c r="AD185" s="711">
        <v>3719.8326744513001</v>
      </c>
      <c r="AE185" s="711">
        <v>4231.4240088247498</v>
      </c>
      <c r="AF185" s="712">
        <f t="shared" si="5"/>
        <v>6230.3938634685328</v>
      </c>
    </row>
    <row r="186" spans="1:32">
      <c r="A186" s="584" t="s">
        <v>1952</v>
      </c>
      <c r="B186" s="711">
        <v>136978.22456</v>
      </c>
      <c r="C186" s="711">
        <v>131797.52256000001</v>
      </c>
      <c r="D186" s="711">
        <v>107602.33288</v>
      </c>
      <c r="E186" s="711">
        <v>109215.64968</v>
      </c>
      <c r="F186" s="711">
        <v>123840.452159999</v>
      </c>
      <c r="G186" s="711">
        <v>136762.43487999999</v>
      </c>
      <c r="H186" s="711">
        <v>120925.886479999</v>
      </c>
      <c r="I186" s="711">
        <v>131952.16157898001</v>
      </c>
      <c r="J186" s="711">
        <v>136194.76488120199</v>
      </c>
      <c r="K186" s="711">
        <v>125316.687598616</v>
      </c>
      <c r="L186" s="711">
        <v>139419.344931445</v>
      </c>
      <c r="M186" s="711">
        <v>129020.797373397</v>
      </c>
      <c r="N186" s="711">
        <v>132779.985100928</v>
      </c>
      <c r="O186" s="235">
        <f t="shared" si="4"/>
        <v>127831.249589582</v>
      </c>
      <c r="P186" s="711">
        <v>120732.414369554</v>
      </c>
      <c r="Q186" s="711">
        <v>121301.72072319601</v>
      </c>
      <c r="R186" s="711">
        <v>126101.54934890301</v>
      </c>
      <c r="S186" s="711">
        <v>126063.133401969</v>
      </c>
      <c r="T186" s="711">
        <v>123625.52102712799</v>
      </c>
      <c r="U186" s="711">
        <v>124551.63475933899</v>
      </c>
      <c r="V186" s="711">
        <v>124519.796454447</v>
      </c>
      <c r="W186" s="711">
        <v>122861.669842188</v>
      </c>
      <c r="X186" s="711">
        <v>121711.075459723</v>
      </c>
      <c r="Y186" s="711">
        <v>128133.279984928</v>
      </c>
      <c r="Z186" s="711">
        <v>123711.679780249</v>
      </c>
      <c r="AA186" s="711">
        <v>118880.573246852</v>
      </c>
      <c r="AB186" s="711">
        <v>111803.651084075</v>
      </c>
      <c r="AC186" s="711">
        <v>115067.450816968</v>
      </c>
      <c r="AD186" s="711">
        <v>125115.26302718899</v>
      </c>
      <c r="AE186" s="711">
        <v>123944.56389387901</v>
      </c>
      <c r="AF186" s="712">
        <f t="shared" si="5"/>
        <v>122306.86867530263</v>
      </c>
    </row>
    <row r="187" spans="1:32" ht="15.75" thickBot="1">
      <c r="A187" s="584" t="s">
        <v>1953</v>
      </c>
      <c r="B187" s="716">
        <v>13845.560740000001</v>
      </c>
      <c r="C187" s="716">
        <v>500.47620999999998</v>
      </c>
      <c r="D187" s="716">
        <v>1595.0740900000001</v>
      </c>
      <c r="E187" s="716">
        <v>0</v>
      </c>
      <c r="F187" s="716">
        <v>1018.27779</v>
      </c>
      <c r="G187" s="716">
        <v>2207.5380399999999</v>
      </c>
      <c r="H187" s="716">
        <v>5878.8361199999999</v>
      </c>
      <c r="I187" s="716">
        <v>5878.8361199999999</v>
      </c>
      <c r="J187" s="716">
        <v>5878.8361199999999</v>
      </c>
      <c r="K187" s="716">
        <v>5878.8361199999999</v>
      </c>
      <c r="L187" s="716">
        <v>5878.8361199999999</v>
      </c>
      <c r="M187" s="716">
        <v>5878.8361199999999</v>
      </c>
      <c r="N187" s="716">
        <v>5878.8361199999999</v>
      </c>
      <c r="O187" s="235">
        <f t="shared" si="4"/>
        <v>4639.9061315384615</v>
      </c>
      <c r="P187" s="716">
        <v>5878.8361199999999</v>
      </c>
      <c r="Q187" s="716">
        <v>5878.8361199999999</v>
      </c>
      <c r="R187" s="716">
        <v>5878.8361199999999</v>
      </c>
      <c r="S187" s="716">
        <v>5878.8361199999999</v>
      </c>
      <c r="T187" s="716">
        <v>5878.8361199999999</v>
      </c>
      <c r="U187" s="716">
        <v>5878.8361199999999</v>
      </c>
      <c r="V187" s="716">
        <v>5878.8361199999999</v>
      </c>
      <c r="W187" s="716">
        <v>5878.8361199999999</v>
      </c>
      <c r="X187" s="716">
        <v>5878.8361199999999</v>
      </c>
      <c r="Y187" s="716">
        <v>5878.8361199999999</v>
      </c>
      <c r="Z187" s="716">
        <v>5878.8361199999999</v>
      </c>
      <c r="AA187" s="716">
        <v>5878.8361199999999</v>
      </c>
      <c r="AB187" s="716">
        <v>5878.8361199999999</v>
      </c>
      <c r="AC187" s="716">
        <v>5878.8361199999999</v>
      </c>
      <c r="AD187" s="716">
        <v>5878.8361199999999</v>
      </c>
      <c r="AE187" s="716">
        <v>5878.8361199999999</v>
      </c>
      <c r="AF187" s="712">
        <f t="shared" si="5"/>
        <v>5878.836119999999</v>
      </c>
    </row>
    <row r="188" spans="1:32">
      <c r="A188" s="584" t="s">
        <v>1950</v>
      </c>
      <c r="B188" s="711">
        <v>159294.01445999899</v>
      </c>
      <c r="C188" s="711">
        <v>141682.11874999999</v>
      </c>
      <c r="D188" s="711">
        <v>118648.869169999</v>
      </c>
      <c r="E188" s="711">
        <v>114400.19773</v>
      </c>
      <c r="F188" s="711">
        <v>130286.10939</v>
      </c>
      <c r="G188" s="711">
        <v>143969.17722000001</v>
      </c>
      <c r="H188" s="711">
        <v>131835.58002999899</v>
      </c>
      <c r="I188" s="711">
        <v>143356.37998310401</v>
      </c>
      <c r="J188" s="711">
        <v>148124.68320506401</v>
      </c>
      <c r="K188" s="711">
        <v>137666.64239943601</v>
      </c>
      <c r="L188" s="711">
        <v>152301.79007037901</v>
      </c>
      <c r="M188" s="711">
        <v>142371.106700731</v>
      </c>
      <c r="N188" s="711">
        <v>146521.00005662401</v>
      </c>
      <c r="O188" s="235">
        <f t="shared" si="4"/>
        <v>139265.97455117962</v>
      </c>
      <c r="P188" s="711">
        <v>134992.85304981799</v>
      </c>
      <c r="Q188" s="711">
        <v>136010.190914709</v>
      </c>
      <c r="R188" s="711">
        <v>135641.94582260601</v>
      </c>
      <c r="S188" s="711">
        <v>136100.80040884801</v>
      </c>
      <c r="T188" s="711">
        <v>134187.67693893501</v>
      </c>
      <c r="U188" s="711">
        <v>135553.89872537099</v>
      </c>
      <c r="V188" s="711">
        <v>136045.04411050701</v>
      </c>
      <c r="W188" s="711">
        <v>134908.067473706</v>
      </c>
      <c r="X188" s="711">
        <v>134222.62693438301</v>
      </c>
      <c r="Y188" s="711">
        <v>141194.53012195</v>
      </c>
      <c r="Z188" s="711">
        <v>137239.81346750201</v>
      </c>
      <c r="AA188" s="711">
        <v>132850.720961574</v>
      </c>
      <c r="AB188" s="711">
        <v>126307.075371279</v>
      </c>
      <c r="AC188" s="711">
        <v>130030.27220562501</v>
      </c>
      <c r="AD188" s="711">
        <v>134713.93182164</v>
      </c>
      <c r="AE188" s="711">
        <v>134054.82402270401</v>
      </c>
      <c r="AF188" s="712">
        <f t="shared" si="5"/>
        <v>134416.09865877105</v>
      </c>
    </row>
    <row r="189" spans="1:32">
      <c r="A189" s="584"/>
      <c r="B189" s="713"/>
      <c r="C189" s="713"/>
      <c r="D189" s="713"/>
      <c r="E189" s="713"/>
      <c r="F189" s="713"/>
      <c r="G189" s="713"/>
      <c r="H189" s="713"/>
      <c r="I189" s="713"/>
      <c r="J189" s="713"/>
      <c r="K189" s="713"/>
      <c r="L189" s="713"/>
      <c r="M189" s="713"/>
      <c r="N189" s="713"/>
      <c r="O189" s="235">
        <f t="shared" si="4"/>
        <v>0</v>
      </c>
      <c r="P189" s="713"/>
      <c r="Q189" s="713"/>
      <c r="R189" s="713"/>
      <c r="S189" s="713"/>
      <c r="T189" s="713"/>
      <c r="U189" s="713"/>
      <c r="V189" s="713"/>
      <c r="W189" s="713"/>
      <c r="X189" s="713"/>
      <c r="Y189" s="713"/>
      <c r="Z189" s="713"/>
      <c r="AA189" s="713"/>
      <c r="AB189" s="713"/>
      <c r="AC189" s="713"/>
      <c r="AD189" s="713"/>
      <c r="AE189" s="713"/>
      <c r="AF189" s="712">
        <f t="shared" si="5"/>
        <v>0</v>
      </c>
    </row>
    <row r="190" spans="1:32">
      <c r="A190" s="584" t="s">
        <v>1954</v>
      </c>
      <c r="B190" s="713"/>
      <c r="C190" s="713"/>
      <c r="D190" s="713"/>
      <c r="E190" s="713"/>
      <c r="F190" s="713"/>
      <c r="G190" s="713"/>
      <c r="H190" s="713"/>
      <c r="I190" s="713"/>
      <c r="J190" s="713"/>
      <c r="K190" s="713"/>
      <c r="L190" s="713"/>
      <c r="M190" s="713"/>
      <c r="N190" s="713"/>
      <c r="O190" s="235">
        <f t="shared" si="4"/>
        <v>0</v>
      </c>
      <c r="P190" s="713"/>
      <c r="Q190" s="713"/>
      <c r="R190" s="713"/>
      <c r="S190" s="713"/>
      <c r="T190" s="713"/>
      <c r="U190" s="713"/>
      <c r="V190" s="713"/>
      <c r="W190" s="713"/>
      <c r="X190" s="713"/>
      <c r="Y190" s="713"/>
      <c r="Z190" s="713"/>
      <c r="AA190" s="713"/>
      <c r="AB190" s="713"/>
      <c r="AC190" s="713"/>
      <c r="AD190" s="713"/>
      <c r="AE190" s="713"/>
      <c r="AF190" s="712">
        <f t="shared" si="5"/>
        <v>0</v>
      </c>
    </row>
    <row r="191" spans="1:32">
      <c r="A191" s="584" t="s">
        <v>1955</v>
      </c>
      <c r="B191" s="711">
        <v>0</v>
      </c>
      <c r="C191" s="711">
        <v>0</v>
      </c>
      <c r="D191" s="711">
        <v>0</v>
      </c>
      <c r="E191" s="711">
        <v>0</v>
      </c>
      <c r="F191" s="711">
        <v>0</v>
      </c>
      <c r="G191" s="711">
        <v>0</v>
      </c>
      <c r="H191" s="711">
        <v>0</v>
      </c>
      <c r="I191" s="711">
        <v>138.32882999999899</v>
      </c>
      <c r="J191" s="711">
        <v>627.83322999999996</v>
      </c>
      <c r="K191" s="711">
        <v>2066.0144299999902</v>
      </c>
      <c r="L191" s="711">
        <v>1606.91982999999</v>
      </c>
      <c r="M191" s="711">
        <v>2753.0353299999902</v>
      </c>
      <c r="N191" s="711">
        <v>6206.5052299999898</v>
      </c>
      <c r="O191" s="235">
        <f t="shared" si="4"/>
        <v>1030.6643753846122</v>
      </c>
      <c r="P191" s="711">
        <v>6459.8333299999904</v>
      </c>
      <c r="Q191" s="711">
        <v>4931.3479299999899</v>
      </c>
      <c r="R191" s="711">
        <v>4320.37272999999</v>
      </c>
      <c r="S191" s="711">
        <v>2772.6395299999899</v>
      </c>
      <c r="T191" s="711">
        <v>2511.0443299999902</v>
      </c>
      <c r="U191" s="711">
        <v>1834.7549299999901</v>
      </c>
      <c r="V191" s="711">
        <v>1779.9694299999901</v>
      </c>
      <c r="W191" s="711">
        <v>1941.60752999999</v>
      </c>
      <c r="X191" s="711">
        <v>2752.4137299999902</v>
      </c>
      <c r="Y191" s="711">
        <v>3318.0635299999899</v>
      </c>
      <c r="Z191" s="711">
        <v>5848.1894300000004</v>
      </c>
      <c r="AA191" s="711">
        <v>7101.2389300000004</v>
      </c>
      <c r="AB191" s="711">
        <v>7428.5877299999902</v>
      </c>
      <c r="AC191" s="711">
        <v>5745.6041299999997</v>
      </c>
      <c r="AD191" s="711">
        <v>9935.5712299999996</v>
      </c>
      <c r="AE191" s="711">
        <v>3907.11752999999</v>
      </c>
      <c r="AF191" s="712">
        <f t="shared" si="5"/>
        <v>4375.1386146153782</v>
      </c>
    </row>
    <row r="192" spans="1:32" ht="15.75" thickBot="1">
      <c r="A192" s="584" t="s">
        <v>1956</v>
      </c>
      <c r="B192" s="716">
        <v>53209.388209999997</v>
      </c>
      <c r="C192" s="716">
        <v>49234.620470000002</v>
      </c>
      <c r="D192" s="716">
        <v>37825.110220000002</v>
      </c>
      <c r="E192" s="716">
        <v>54228.749020000003</v>
      </c>
      <c r="F192" s="716">
        <v>54912.887560000003</v>
      </c>
      <c r="G192" s="716">
        <v>39039.493170000002</v>
      </c>
      <c r="H192" s="716">
        <v>41999.542979999998</v>
      </c>
      <c r="I192" s="716">
        <v>41418.182106426699</v>
      </c>
      <c r="J192" s="716">
        <v>41418.182106426699</v>
      </c>
      <c r="K192" s="716">
        <v>41999.542979999998</v>
      </c>
      <c r="L192" s="716">
        <v>41418.182106426699</v>
      </c>
      <c r="M192" s="716">
        <v>41418.182106426699</v>
      </c>
      <c r="N192" s="716">
        <v>41999.542979999998</v>
      </c>
      <c r="O192" s="235">
        <f t="shared" si="4"/>
        <v>44624.738924285135</v>
      </c>
      <c r="P192" s="716">
        <v>41418.182106426699</v>
      </c>
      <c r="Q192" s="716">
        <v>41418.182106426699</v>
      </c>
      <c r="R192" s="716">
        <v>41607.605898928501</v>
      </c>
      <c r="S192" s="716">
        <v>41418.182106426699</v>
      </c>
      <c r="T192" s="716">
        <v>41418.182106426699</v>
      </c>
      <c r="U192" s="716">
        <v>41607.605898928501</v>
      </c>
      <c r="V192" s="716">
        <v>41418.182106426699</v>
      </c>
      <c r="W192" s="716">
        <v>41418.182106426699</v>
      </c>
      <c r="X192" s="716">
        <v>41607.605898928501</v>
      </c>
      <c r="Y192" s="716">
        <v>41418.182106426699</v>
      </c>
      <c r="Z192" s="716">
        <v>41418.182106426699</v>
      </c>
      <c r="AA192" s="716">
        <v>41607.605898928501</v>
      </c>
      <c r="AB192" s="716">
        <v>41418.182106426699</v>
      </c>
      <c r="AC192" s="716">
        <v>41418.182106426699</v>
      </c>
      <c r="AD192" s="716">
        <v>41518.504528539903</v>
      </c>
      <c r="AE192" s="716">
        <v>41418.182106426699</v>
      </c>
      <c r="AF192" s="712">
        <f t="shared" si="5"/>
        <v>41469.612398705052</v>
      </c>
    </row>
    <row r="193" spans="1:32">
      <c r="A193" s="584" t="s">
        <v>1954</v>
      </c>
      <c r="B193" s="711">
        <v>53209.388209999997</v>
      </c>
      <c r="C193" s="711">
        <v>49234.620470000002</v>
      </c>
      <c r="D193" s="711">
        <v>37825.110220000002</v>
      </c>
      <c r="E193" s="711">
        <v>54228.749020000003</v>
      </c>
      <c r="F193" s="711">
        <v>54912.887560000003</v>
      </c>
      <c r="G193" s="711">
        <v>39039.493170000002</v>
      </c>
      <c r="H193" s="711">
        <v>41999.542979999998</v>
      </c>
      <c r="I193" s="711">
        <v>41556.510936426697</v>
      </c>
      <c r="J193" s="711">
        <v>42046.015336426703</v>
      </c>
      <c r="K193" s="711">
        <v>44065.557409999899</v>
      </c>
      <c r="L193" s="711">
        <v>43025.101936426698</v>
      </c>
      <c r="M193" s="711">
        <v>44171.217436426698</v>
      </c>
      <c r="N193" s="711">
        <v>48206.048209999899</v>
      </c>
      <c r="O193" s="235">
        <f t="shared" si="4"/>
        <v>45655.403299669735</v>
      </c>
      <c r="P193" s="711">
        <v>47878.0154364267</v>
      </c>
      <c r="Q193" s="711">
        <v>46349.530036426702</v>
      </c>
      <c r="R193" s="711">
        <v>45927.978628928497</v>
      </c>
      <c r="S193" s="711">
        <v>44190.821636426699</v>
      </c>
      <c r="T193" s="711">
        <v>43929.226436426703</v>
      </c>
      <c r="U193" s="711">
        <v>43442.360828928497</v>
      </c>
      <c r="V193" s="711">
        <v>43198.151536426703</v>
      </c>
      <c r="W193" s="711">
        <v>43359.7896364267</v>
      </c>
      <c r="X193" s="711">
        <v>44360.019628928501</v>
      </c>
      <c r="Y193" s="711">
        <v>44736.245636426698</v>
      </c>
      <c r="Z193" s="711">
        <v>47266.371536426697</v>
      </c>
      <c r="AA193" s="711">
        <v>48708.844828928501</v>
      </c>
      <c r="AB193" s="711">
        <v>48846.769836426698</v>
      </c>
      <c r="AC193" s="711">
        <v>47163.786236426698</v>
      </c>
      <c r="AD193" s="711">
        <v>51454.075758539897</v>
      </c>
      <c r="AE193" s="711">
        <v>45325.299636426702</v>
      </c>
      <c r="AF193" s="712">
        <f t="shared" si="5"/>
        <v>45844.751013320434</v>
      </c>
    </row>
    <row r="194" spans="1:32">
      <c r="A194" s="584"/>
      <c r="B194" s="713"/>
      <c r="C194" s="713"/>
      <c r="D194" s="713"/>
      <c r="E194" s="713"/>
      <c r="F194" s="713"/>
      <c r="G194" s="713"/>
      <c r="H194" s="713"/>
      <c r="I194" s="713"/>
      <c r="J194" s="713"/>
      <c r="K194" s="713"/>
      <c r="L194" s="713"/>
      <c r="M194" s="713"/>
      <c r="N194" s="713"/>
      <c r="O194" s="235">
        <f t="shared" si="4"/>
        <v>0</v>
      </c>
      <c r="P194" s="713"/>
      <c r="Q194" s="713"/>
      <c r="R194" s="713"/>
      <c r="S194" s="713"/>
      <c r="T194" s="713"/>
      <c r="U194" s="713"/>
      <c r="V194" s="713"/>
      <c r="W194" s="713"/>
      <c r="X194" s="713"/>
      <c r="Y194" s="713"/>
      <c r="Z194" s="713"/>
      <c r="AA194" s="713"/>
      <c r="AB194" s="713"/>
      <c r="AC194" s="713"/>
      <c r="AD194" s="713"/>
      <c r="AE194" s="713"/>
      <c r="AF194" s="712">
        <f t="shared" si="5"/>
        <v>0</v>
      </c>
    </row>
    <row r="195" spans="1:32">
      <c r="A195" s="584" t="s">
        <v>1957</v>
      </c>
      <c r="B195" s="711">
        <v>30584.515169999999</v>
      </c>
      <c r="C195" s="711">
        <v>30719.082579999998</v>
      </c>
      <c r="D195" s="711">
        <v>30856.914059999999</v>
      </c>
      <c r="E195" s="711">
        <v>30993.709279999999</v>
      </c>
      <c r="F195" s="711">
        <v>30979.440269999999</v>
      </c>
      <c r="G195" s="711">
        <v>30764.8396499999</v>
      </c>
      <c r="H195" s="711">
        <v>30898.393370000002</v>
      </c>
      <c r="I195" s="711">
        <v>30898.393370000002</v>
      </c>
      <c r="J195" s="711">
        <v>30898.393370000002</v>
      </c>
      <c r="K195" s="711">
        <v>30898.393370000002</v>
      </c>
      <c r="L195" s="711">
        <v>30898.393370000002</v>
      </c>
      <c r="M195" s="711">
        <v>30898.393370000002</v>
      </c>
      <c r="N195" s="711">
        <v>30898.393370000002</v>
      </c>
      <c r="O195" s="235">
        <f t="shared" si="4"/>
        <v>30860.558046153841</v>
      </c>
      <c r="P195" s="711">
        <v>30898.393370000002</v>
      </c>
      <c r="Q195" s="711">
        <v>30898.393370000002</v>
      </c>
      <c r="R195" s="711">
        <v>30898.393370000002</v>
      </c>
      <c r="S195" s="711">
        <v>30898.393370000002</v>
      </c>
      <c r="T195" s="711">
        <v>30898.393370000002</v>
      </c>
      <c r="U195" s="711">
        <v>30898.393370000002</v>
      </c>
      <c r="V195" s="711">
        <v>30898.393370000002</v>
      </c>
      <c r="W195" s="711">
        <v>30898.393370000002</v>
      </c>
      <c r="X195" s="711">
        <v>30898.393370000002</v>
      </c>
      <c r="Y195" s="711">
        <v>30898.393370000002</v>
      </c>
      <c r="Z195" s="711">
        <v>30898.393370000002</v>
      </c>
      <c r="AA195" s="711">
        <v>30898.393370000002</v>
      </c>
      <c r="AB195" s="711">
        <v>30898.393370000002</v>
      </c>
      <c r="AC195" s="711">
        <v>30898.393370000002</v>
      </c>
      <c r="AD195" s="711">
        <v>30898.393370000002</v>
      </c>
      <c r="AE195" s="711">
        <v>30898.393370000002</v>
      </c>
      <c r="AF195" s="712">
        <f t="shared" si="5"/>
        <v>30898.393370000002</v>
      </c>
    </row>
    <row r="196" spans="1:32">
      <c r="A196" s="584"/>
      <c r="B196" s="713"/>
      <c r="C196" s="713"/>
      <c r="D196" s="713"/>
      <c r="E196" s="713"/>
      <c r="F196" s="713"/>
      <c r="G196" s="713"/>
      <c r="H196" s="713"/>
      <c r="I196" s="713"/>
      <c r="J196" s="713"/>
      <c r="K196" s="713"/>
      <c r="L196" s="713"/>
      <c r="M196" s="713"/>
      <c r="N196" s="713"/>
      <c r="O196" s="235">
        <f t="shared" si="4"/>
        <v>0</v>
      </c>
      <c r="P196" s="713"/>
      <c r="Q196" s="713"/>
      <c r="R196" s="713"/>
      <c r="S196" s="713"/>
      <c r="T196" s="713"/>
      <c r="U196" s="713"/>
      <c r="V196" s="713"/>
      <c r="W196" s="713"/>
      <c r="X196" s="713"/>
      <c r="Y196" s="713"/>
      <c r="Z196" s="713"/>
      <c r="AA196" s="713"/>
      <c r="AB196" s="713"/>
      <c r="AC196" s="713"/>
      <c r="AD196" s="713"/>
      <c r="AE196" s="713"/>
      <c r="AF196" s="712">
        <f t="shared" si="5"/>
        <v>0</v>
      </c>
    </row>
    <row r="197" spans="1:32">
      <c r="A197" s="584" t="s">
        <v>1958</v>
      </c>
      <c r="B197" s="711">
        <v>18835.542000000001</v>
      </c>
      <c r="C197" s="711">
        <v>20430.84418</v>
      </c>
      <c r="D197" s="711">
        <v>29330.54837</v>
      </c>
      <c r="E197" s="711">
        <v>33080.200080000002</v>
      </c>
      <c r="F197" s="711">
        <v>21673.072909999999</v>
      </c>
      <c r="G197" s="711">
        <v>31512.49439</v>
      </c>
      <c r="H197" s="711">
        <v>22610.38636</v>
      </c>
      <c r="I197" s="711">
        <v>32430.062360658099</v>
      </c>
      <c r="J197" s="711">
        <v>42650.1260375048</v>
      </c>
      <c r="K197" s="711">
        <v>24417.158206223499</v>
      </c>
      <c r="L197" s="711">
        <v>14682.1524882835</v>
      </c>
      <c r="M197" s="711">
        <v>23504.283850471598</v>
      </c>
      <c r="N197" s="711">
        <v>18373.835218272099</v>
      </c>
      <c r="O197" s="235">
        <f t="shared" si="4"/>
        <v>25656.208188570283</v>
      </c>
      <c r="P197" s="711">
        <v>28201.103136677</v>
      </c>
      <c r="Q197" s="711">
        <v>29025.3339947272</v>
      </c>
      <c r="R197" s="711">
        <v>18953.3528470942</v>
      </c>
      <c r="S197" s="711">
        <v>14659.2800397725</v>
      </c>
      <c r="T197" s="711">
        <v>21511.570880245399</v>
      </c>
      <c r="U197" s="711">
        <v>16265.516581866301</v>
      </c>
      <c r="V197" s="711">
        <v>25917.570983507201</v>
      </c>
      <c r="W197" s="711">
        <v>36123.562146580298</v>
      </c>
      <c r="X197" s="711">
        <v>28149.661206761099</v>
      </c>
      <c r="Y197" s="711">
        <v>15968.826879058201</v>
      </c>
      <c r="Z197" s="711">
        <v>23032.1618618184</v>
      </c>
      <c r="AA197" s="711">
        <v>20061.023943561999</v>
      </c>
      <c r="AB197" s="711">
        <v>28849.168514216599</v>
      </c>
      <c r="AC197" s="711">
        <v>28413.719059464001</v>
      </c>
      <c r="AD197" s="711">
        <v>28273.743923204001</v>
      </c>
      <c r="AE197" s="711">
        <v>13473.6703138578</v>
      </c>
      <c r="AF197" s="712">
        <f t="shared" si="5"/>
        <v>23130.7289487626</v>
      </c>
    </row>
    <row r="198" spans="1:32">
      <c r="A198" s="584"/>
      <c r="B198" s="713"/>
      <c r="C198" s="713"/>
      <c r="D198" s="713"/>
      <c r="E198" s="713"/>
      <c r="F198" s="713"/>
      <c r="G198" s="713"/>
      <c r="H198" s="713"/>
      <c r="I198" s="713"/>
      <c r="J198" s="713"/>
      <c r="K198" s="713"/>
      <c r="L198" s="713"/>
      <c r="M198" s="713"/>
      <c r="N198" s="713"/>
      <c r="O198" s="235">
        <f t="shared" si="4"/>
        <v>0</v>
      </c>
      <c r="P198" s="713"/>
      <c r="Q198" s="713"/>
      <c r="R198" s="713"/>
      <c r="S198" s="713"/>
      <c r="T198" s="713"/>
      <c r="U198" s="713"/>
      <c r="V198" s="713"/>
      <c r="W198" s="713"/>
      <c r="X198" s="713"/>
      <c r="Y198" s="713"/>
      <c r="Z198" s="713"/>
      <c r="AA198" s="713"/>
      <c r="AB198" s="713"/>
      <c r="AC198" s="713"/>
      <c r="AD198" s="713"/>
      <c r="AE198" s="713"/>
      <c r="AF198" s="712">
        <f t="shared" si="5"/>
        <v>0</v>
      </c>
    </row>
    <row r="199" spans="1:32">
      <c r="A199" s="584" t="s">
        <v>1959</v>
      </c>
      <c r="O199" s="235">
        <f t="shared" si="4"/>
        <v>0</v>
      </c>
      <c r="AF199" s="712">
        <f t="shared" si="5"/>
        <v>0</v>
      </c>
    </row>
    <row r="200" spans="1:32" ht="15.75" thickBot="1">
      <c r="A200" s="584" t="s">
        <v>1960</v>
      </c>
      <c r="B200" s="716">
        <v>16161.23977</v>
      </c>
      <c r="C200" s="716">
        <v>23562.967379999998</v>
      </c>
      <c r="D200" s="716">
        <v>30859.620859999999</v>
      </c>
      <c r="E200" s="716">
        <v>37777.302259999997</v>
      </c>
      <c r="F200" s="716">
        <v>35636.242720000002</v>
      </c>
      <c r="G200" s="716">
        <v>9796.22811</v>
      </c>
      <c r="H200" s="716">
        <v>16095.917460000001</v>
      </c>
      <c r="I200" s="716">
        <v>23439.438702708299</v>
      </c>
      <c r="J200" s="716">
        <v>30633.315876666598</v>
      </c>
      <c r="K200" s="716">
        <v>37439.5604809375</v>
      </c>
      <c r="L200" s="716">
        <v>35158.486827208297</v>
      </c>
      <c r="M200" s="716">
        <v>9156.0190016666602</v>
      </c>
      <c r="N200" s="716">
        <v>16101.169186187501</v>
      </c>
      <c r="O200" s="235">
        <f t="shared" si="4"/>
        <v>24755.192971951914</v>
      </c>
      <c r="P200" s="716">
        <v>23419.518009645799</v>
      </c>
      <c r="Q200" s="716">
        <v>30561.815876666598</v>
      </c>
      <c r="R200" s="716">
        <v>37379.260698625003</v>
      </c>
      <c r="S200" s="716">
        <v>35108.707683458299</v>
      </c>
      <c r="T200" s="716">
        <v>10309.5190016666</v>
      </c>
      <c r="U200" s="716">
        <v>18561.142765625002</v>
      </c>
      <c r="V200" s="716">
        <v>27113.496944270799</v>
      </c>
      <c r="W200" s="716">
        <v>35461.815876666602</v>
      </c>
      <c r="X200" s="716">
        <v>43512.560384812503</v>
      </c>
      <c r="Y200" s="716">
        <v>42577.291074675697</v>
      </c>
      <c r="Z200" s="716">
        <v>9290.1774976015604</v>
      </c>
      <c r="AA200" s="716">
        <v>17651.374535152299</v>
      </c>
      <c r="AB200" s="716">
        <v>26312.711445140601</v>
      </c>
      <c r="AC200" s="716">
        <v>34750.962116503899</v>
      </c>
      <c r="AD200" s="716">
        <v>42292.3095703125</v>
      </c>
      <c r="AE200" s="716">
        <v>41361.0512678632</v>
      </c>
      <c r="AF200" s="712">
        <f t="shared" si="5"/>
        <v>29561.778474134582</v>
      </c>
    </row>
    <row r="201" spans="1:32">
      <c r="A201" s="584" t="s">
        <v>1959</v>
      </c>
      <c r="B201" s="711">
        <v>16161.23977</v>
      </c>
      <c r="C201" s="711">
        <v>23562.967379999998</v>
      </c>
      <c r="D201" s="711">
        <v>30859.620859999999</v>
      </c>
      <c r="E201" s="711">
        <v>37777.302259999997</v>
      </c>
      <c r="F201" s="711">
        <v>35636.242720000002</v>
      </c>
      <c r="G201" s="711">
        <v>9796.22811</v>
      </c>
      <c r="H201" s="711">
        <v>16095.917460000001</v>
      </c>
      <c r="I201" s="711">
        <v>23439.438702708299</v>
      </c>
      <c r="J201" s="711">
        <v>30633.315876666598</v>
      </c>
      <c r="K201" s="711">
        <v>37439.5604809375</v>
      </c>
      <c r="L201" s="711">
        <v>35158.486827208297</v>
      </c>
      <c r="M201" s="711">
        <v>9156.0190016666602</v>
      </c>
      <c r="N201" s="711">
        <v>16101.169186187501</v>
      </c>
      <c r="O201" s="235">
        <f t="shared" si="4"/>
        <v>24755.192971951914</v>
      </c>
      <c r="P201" s="711">
        <v>23419.518009645799</v>
      </c>
      <c r="Q201" s="711">
        <v>30561.815876666598</v>
      </c>
      <c r="R201" s="711">
        <v>37379.260698625003</v>
      </c>
      <c r="S201" s="711">
        <v>35108.707683458299</v>
      </c>
      <c r="T201" s="711">
        <v>10309.5190016666</v>
      </c>
      <c r="U201" s="711">
        <v>18561.142765625002</v>
      </c>
      <c r="V201" s="711">
        <v>27113.496944270799</v>
      </c>
      <c r="W201" s="711">
        <v>35461.815876666602</v>
      </c>
      <c r="X201" s="711">
        <v>43512.560384812503</v>
      </c>
      <c r="Y201" s="711">
        <v>42577.291074675697</v>
      </c>
      <c r="Z201" s="711">
        <v>9290.1774976015604</v>
      </c>
      <c r="AA201" s="711">
        <v>17651.374535152299</v>
      </c>
      <c r="AB201" s="711">
        <v>26312.711445140601</v>
      </c>
      <c r="AC201" s="711">
        <v>34750.962116503899</v>
      </c>
      <c r="AD201" s="711">
        <v>42292.3095703125</v>
      </c>
      <c r="AE201" s="711">
        <v>41361.0512678632</v>
      </c>
      <c r="AF201" s="712">
        <f t="shared" si="5"/>
        <v>29561.778474134582</v>
      </c>
    </row>
    <row r="202" spans="1:32">
      <c r="A202" s="584"/>
      <c r="B202" s="713"/>
      <c r="C202" s="713"/>
      <c r="D202" s="713"/>
      <c r="E202" s="713"/>
      <c r="F202" s="713"/>
      <c r="G202" s="713"/>
      <c r="H202" s="713"/>
      <c r="I202" s="713"/>
      <c r="J202" s="713"/>
      <c r="K202" s="713"/>
      <c r="L202" s="713"/>
      <c r="M202" s="713"/>
      <c r="N202" s="713"/>
      <c r="O202" s="235">
        <f t="shared" si="4"/>
        <v>0</v>
      </c>
      <c r="P202" s="713"/>
      <c r="Q202" s="713"/>
      <c r="R202" s="713"/>
      <c r="S202" s="713"/>
      <c r="T202" s="713"/>
      <c r="U202" s="713"/>
      <c r="V202" s="713"/>
      <c r="W202" s="713"/>
      <c r="X202" s="713"/>
      <c r="Y202" s="713"/>
      <c r="Z202" s="713"/>
      <c r="AA202" s="713"/>
      <c r="AB202" s="713"/>
      <c r="AC202" s="713"/>
      <c r="AD202" s="713"/>
      <c r="AE202" s="713"/>
      <c r="AF202" s="712">
        <f t="shared" si="5"/>
        <v>0</v>
      </c>
    </row>
    <row r="203" spans="1:32">
      <c r="A203" s="584" t="s">
        <v>1961</v>
      </c>
      <c r="B203" s="711">
        <v>0</v>
      </c>
      <c r="C203" s="711">
        <v>0</v>
      </c>
      <c r="D203" s="711">
        <v>0</v>
      </c>
      <c r="E203" s="711">
        <v>0</v>
      </c>
      <c r="F203" s="711">
        <v>0</v>
      </c>
      <c r="G203" s="711">
        <v>0</v>
      </c>
      <c r="H203" s="711">
        <v>0</v>
      </c>
      <c r="I203" s="711">
        <v>0</v>
      </c>
      <c r="J203" s="711">
        <v>0</v>
      </c>
      <c r="K203" s="711">
        <v>0</v>
      </c>
      <c r="L203" s="711">
        <v>0</v>
      </c>
      <c r="M203" s="711">
        <v>0</v>
      </c>
      <c r="N203" s="711">
        <v>0</v>
      </c>
      <c r="O203" s="235">
        <f t="shared" ref="O203:O266" si="6">SUM(B203:N203)/13</f>
        <v>0</v>
      </c>
      <c r="P203" s="711">
        <v>0</v>
      </c>
      <c r="Q203" s="711">
        <v>0</v>
      </c>
      <c r="R203" s="711">
        <v>0</v>
      </c>
      <c r="S203" s="711">
        <v>0</v>
      </c>
      <c r="T203" s="711">
        <v>0</v>
      </c>
      <c r="U203" s="711">
        <v>0</v>
      </c>
      <c r="V203" s="711">
        <v>0</v>
      </c>
      <c r="W203" s="711">
        <v>0</v>
      </c>
      <c r="X203" s="711">
        <v>0</v>
      </c>
      <c r="Y203" s="711">
        <v>0</v>
      </c>
      <c r="Z203" s="711">
        <v>0</v>
      </c>
      <c r="AA203" s="711">
        <v>0</v>
      </c>
      <c r="AB203" s="711">
        <v>0</v>
      </c>
      <c r="AC203" s="711">
        <v>0</v>
      </c>
      <c r="AD203" s="711">
        <v>0</v>
      </c>
      <c r="AE203" s="711">
        <v>0</v>
      </c>
      <c r="AF203" s="712">
        <f t="shared" ref="AF203:AF266" si="7">SUM(S203:AE203)/13</f>
        <v>0</v>
      </c>
    </row>
    <row r="204" spans="1:32">
      <c r="A204" s="584"/>
      <c r="B204" s="713"/>
      <c r="C204" s="713"/>
      <c r="D204" s="713"/>
      <c r="E204" s="713"/>
      <c r="F204" s="713"/>
      <c r="G204" s="713"/>
      <c r="H204" s="713"/>
      <c r="I204" s="713"/>
      <c r="J204" s="713"/>
      <c r="K204" s="713"/>
      <c r="L204" s="713"/>
      <c r="M204" s="713"/>
      <c r="N204" s="713"/>
      <c r="O204" s="235">
        <f t="shared" si="6"/>
        <v>0</v>
      </c>
      <c r="P204" s="713"/>
      <c r="Q204" s="713"/>
      <c r="R204" s="713"/>
      <c r="S204" s="713"/>
      <c r="T204" s="713"/>
      <c r="U204" s="713"/>
      <c r="V204" s="713"/>
      <c r="W204" s="713"/>
      <c r="X204" s="713"/>
      <c r="Y204" s="713"/>
      <c r="Z204" s="713"/>
      <c r="AA204" s="713"/>
      <c r="AB204" s="713"/>
      <c r="AC204" s="713"/>
      <c r="AD204" s="713"/>
      <c r="AE204" s="713"/>
      <c r="AF204" s="712">
        <f t="shared" si="7"/>
        <v>0</v>
      </c>
    </row>
    <row r="205" spans="1:32">
      <c r="A205" s="584" t="s">
        <v>1962</v>
      </c>
      <c r="B205" s="713"/>
      <c r="C205" s="713"/>
      <c r="D205" s="713"/>
      <c r="E205" s="713"/>
      <c r="F205" s="713"/>
      <c r="G205" s="713"/>
      <c r="H205" s="713"/>
      <c r="I205" s="713"/>
      <c r="J205" s="713"/>
      <c r="K205" s="713"/>
      <c r="L205" s="713"/>
      <c r="M205" s="713"/>
      <c r="N205" s="713"/>
      <c r="O205" s="235">
        <f t="shared" si="6"/>
        <v>0</v>
      </c>
      <c r="P205" s="713"/>
      <c r="Q205" s="713"/>
      <c r="R205" s="713"/>
      <c r="S205" s="713"/>
      <c r="T205" s="713"/>
      <c r="U205" s="713"/>
      <c r="V205" s="713"/>
      <c r="W205" s="713"/>
      <c r="X205" s="713"/>
      <c r="Y205" s="713"/>
      <c r="Z205" s="713"/>
      <c r="AA205" s="713"/>
      <c r="AB205" s="713"/>
      <c r="AC205" s="713"/>
      <c r="AD205" s="713"/>
      <c r="AE205" s="713"/>
      <c r="AF205" s="712">
        <f t="shared" si="7"/>
        <v>0</v>
      </c>
    </row>
    <row r="206" spans="1:32">
      <c r="A206" s="584" t="s">
        <v>1963</v>
      </c>
      <c r="B206" s="711">
        <v>3950.0809399999998</v>
      </c>
      <c r="C206" s="711">
        <v>5948.5748899999999</v>
      </c>
      <c r="D206" s="711">
        <v>4161.2675099999997</v>
      </c>
      <c r="E206" s="711">
        <v>4025.7656299999899</v>
      </c>
      <c r="F206" s="711">
        <v>3620.0906799999998</v>
      </c>
      <c r="G206" s="711">
        <v>3616.5470099999998</v>
      </c>
      <c r="H206" s="711">
        <v>4042.39122</v>
      </c>
      <c r="I206" s="711">
        <v>4042.39122</v>
      </c>
      <c r="J206" s="711">
        <v>4042.39122</v>
      </c>
      <c r="K206" s="711">
        <v>4042.39122</v>
      </c>
      <c r="L206" s="711">
        <v>4042.39122</v>
      </c>
      <c r="M206" s="711">
        <v>4042.39122</v>
      </c>
      <c r="N206" s="711">
        <v>4042.39122</v>
      </c>
      <c r="O206" s="235">
        <f t="shared" si="6"/>
        <v>4124.5434769230751</v>
      </c>
      <c r="P206" s="711">
        <v>4042.39122</v>
      </c>
      <c r="Q206" s="711">
        <v>4042.39122</v>
      </c>
      <c r="R206" s="711">
        <v>4042.39122</v>
      </c>
      <c r="S206" s="711">
        <v>4042.39122</v>
      </c>
      <c r="T206" s="711">
        <v>4042.39122</v>
      </c>
      <c r="U206" s="711">
        <v>4042.39122</v>
      </c>
      <c r="V206" s="711">
        <v>4042.39122</v>
      </c>
      <c r="W206" s="711">
        <v>4042.39122</v>
      </c>
      <c r="X206" s="711">
        <v>4042.39122</v>
      </c>
      <c r="Y206" s="711">
        <v>4042.39122</v>
      </c>
      <c r="Z206" s="711">
        <v>4042.39122</v>
      </c>
      <c r="AA206" s="711">
        <v>4042.39122</v>
      </c>
      <c r="AB206" s="711">
        <v>4042.39122</v>
      </c>
      <c r="AC206" s="711">
        <v>4042.39122</v>
      </c>
      <c r="AD206" s="711">
        <v>4042.39122</v>
      </c>
      <c r="AE206" s="711">
        <v>4042.39122</v>
      </c>
      <c r="AF206" s="712">
        <f t="shared" si="7"/>
        <v>4042.3912199999995</v>
      </c>
    </row>
    <row r="207" spans="1:32">
      <c r="A207" s="584" t="s">
        <v>1964</v>
      </c>
      <c r="B207" s="711">
        <v>200.14672999999999</v>
      </c>
      <c r="C207" s="711">
        <v>63.395710000000001</v>
      </c>
      <c r="D207" s="711">
        <v>103.56786</v>
      </c>
      <c r="E207" s="711">
        <v>237.45435000000001</v>
      </c>
      <c r="F207" s="711">
        <v>80.38373</v>
      </c>
      <c r="G207" s="711">
        <v>873.33924000000002</v>
      </c>
      <c r="H207" s="711">
        <v>205.89973999999901</v>
      </c>
      <c r="I207" s="711">
        <v>205.89973999999901</v>
      </c>
      <c r="J207" s="711">
        <v>205.89973999999901</v>
      </c>
      <c r="K207" s="711">
        <v>205.89973999999901</v>
      </c>
      <c r="L207" s="711">
        <v>205.89973999999901</v>
      </c>
      <c r="M207" s="711">
        <v>205.89973999999901</v>
      </c>
      <c r="N207" s="711">
        <v>205.89973999999901</v>
      </c>
      <c r="O207" s="235">
        <f t="shared" si="6"/>
        <v>230.73736923076865</v>
      </c>
      <c r="P207" s="711">
        <v>205.89973999999901</v>
      </c>
      <c r="Q207" s="711">
        <v>205.89973999999901</v>
      </c>
      <c r="R207" s="711">
        <v>205.89973999999901</v>
      </c>
      <c r="S207" s="711">
        <v>205.89973999999901</v>
      </c>
      <c r="T207" s="711">
        <v>205.89973999999901</v>
      </c>
      <c r="U207" s="711">
        <v>205.89973999999901</v>
      </c>
      <c r="V207" s="711">
        <v>205.89973999999901</v>
      </c>
      <c r="W207" s="711">
        <v>205.89973999999901</v>
      </c>
      <c r="X207" s="711">
        <v>205.89973999999901</v>
      </c>
      <c r="Y207" s="711">
        <v>205.89973999999901</v>
      </c>
      <c r="Z207" s="711">
        <v>205.89973999999901</v>
      </c>
      <c r="AA207" s="711">
        <v>205.89973999999901</v>
      </c>
      <c r="AB207" s="711">
        <v>205.89973999999901</v>
      </c>
      <c r="AC207" s="711">
        <v>205.89973999999901</v>
      </c>
      <c r="AD207" s="711">
        <v>205.89973999999901</v>
      </c>
      <c r="AE207" s="711">
        <v>205.89973999999901</v>
      </c>
      <c r="AF207" s="712">
        <f t="shared" si="7"/>
        <v>205.89973999999896</v>
      </c>
    </row>
    <row r="208" spans="1:32">
      <c r="A208" s="584" t="s">
        <v>1965</v>
      </c>
      <c r="B208" s="711">
        <v>10620.044680000001</v>
      </c>
      <c r="C208" s="711">
        <v>8579.4484699999994</v>
      </c>
      <c r="D208" s="711">
        <v>10905.46754</v>
      </c>
      <c r="E208" s="711">
        <v>10998.53896</v>
      </c>
      <c r="F208" s="711">
        <v>7638.7770699999901</v>
      </c>
      <c r="G208" s="711">
        <v>9164.2798600000006</v>
      </c>
      <c r="H208" s="711">
        <v>10354.341630000001</v>
      </c>
      <c r="I208" s="711">
        <v>10317.518840999999</v>
      </c>
      <c r="J208" s="711">
        <v>10280.696051999999</v>
      </c>
      <c r="K208" s="711">
        <v>10381.427182199999</v>
      </c>
      <c r="L208" s="711">
        <v>10343.023311000001</v>
      </c>
      <c r="M208" s="711">
        <v>10304.619439800001</v>
      </c>
      <c r="N208" s="711">
        <v>10266.215568600001</v>
      </c>
      <c r="O208" s="235">
        <f t="shared" si="6"/>
        <v>10011.87681573846</v>
      </c>
      <c r="P208" s="711">
        <v>10227.8116974</v>
      </c>
      <c r="Q208" s="711">
        <v>10189.4078262</v>
      </c>
      <c r="R208" s="711">
        <v>10151.003955</v>
      </c>
      <c r="S208" s="711">
        <v>10112.6000838</v>
      </c>
      <c r="T208" s="711">
        <v>10074.1962126</v>
      </c>
      <c r="U208" s="711">
        <v>10035.7923414</v>
      </c>
      <c r="V208" s="711">
        <v>9997.3884701999996</v>
      </c>
      <c r="W208" s="711">
        <v>9958.9845989999994</v>
      </c>
      <c r="X208" s="711">
        <v>9920.5807277999993</v>
      </c>
      <c r="Y208" s="711">
        <v>9882.1768565999992</v>
      </c>
      <c r="Z208" s="711">
        <v>9843.7729853999899</v>
      </c>
      <c r="AA208" s="711">
        <v>9805.3691141999898</v>
      </c>
      <c r="AB208" s="711">
        <v>9766.9652429999896</v>
      </c>
      <c r="AC208" s="711">
        <v>9728.5613717999895</v>
      </c>
      <c r="AD208" s="711">
        <v>9690.1575005999894</v>
      </c>
      <c r="AE208" s="711">
        <v>9651.7536293999892</v>
      </c>
      <c r="AF208" s="712">
        <f t="shared" si="7"/>
        <v>9882.1768565999937</v>
      </c>
    </row>
    <row r="209" spans="1:33">
      <c r="A209" s="584" t="s">
        <v>1966</v>
      </c>
      <c r="B209" s="711">
        <v>16.036899999999999</v>
      </c>
      <c r="C209" s="711">
        <v>12.309240000000001</v>
      </c>
      <c r="D209" s="711">
        <v>10.17881</v>
      </c>
      <c r="E209" s="711">
        <v>10.27026</v>
      </c>
      <c r="F209" s="711">
        <v>9.3626100000000001</v>
      </c>
      <c r="G209" s="711">
        <v>8.48794</v>
      </c>
      <c r="H209" s="711">
        <v>8.8451699999999995</v>
      </c>
      <c r="I209" s="711">
        <v>8.8451699999999995</v>
      </c>
      <c r="J209" s="711">
        <v>8.8451699999999995</v>
      </c>
      <c r="K209" s="711">
        <v>8.8451699999999995</v>
      </c>
      <c r="L209" s="711">
        <v>8.8451699999999995</v>
      </c>
      <c r="M209" s="711">
        <v>8.8451699999999995</v>
      </c>
      <c r="N209" s="711">
        <v>8.8451699999999995</v>
      </c>
      <c r="O209" s="235">
        <f t="shared" si="6"/>
        <v>9.8893807692307671</v>
      </c>
      <c r="P209" s="711">
        <v>8.8451699999999995</v>
      </c>
      <c r="Q209" s="711">
        <v>8.8451699999999995</v>
      </c>
      <c r="R209" s="711">
        <v>8.8451699999999995</v>
      </c>
      <c r="S209" s="711">
        <v>8.8451699999999995</v>
      </c>
      <c r="T209" s="711">
        <v>8.8451699999999995</v>
      </c>
      <c r="U209" s="711">
        <v>8.8451699999999995</v>
      </c>
      <c r="V209" s="711">
        <v>8.8451699999999995</v>
      </c>
      <c r="W209" s="711">
        <v>8.8451699999999995</v>
      </c>
      <c r="X209" s="711">
        <v>8.8451699999999995</v>
      </c>
      <c r="Y209" s="711">
        <v>8.8451699999999995</v>
      </c>
      <c r="Z209" s="711">
        <v>8.8451699999999995</v>
      </c>
      <c r="AA209" s="711">
        <v>8.8451699999999995</v>
      </c>
      <c r="AB209" s="711">
        <v>8.8451699999999995</v>
      </c>
      <c r="AC209" s="711">
        <v>8.8451699999999995</v>
      </c>
      <c r="AD209" s="711">
        <v>8.8451699999999995</v>
      </c>
      <c r="AE209" s="711">
        <v>8.8451699999999995</v>
      </c>
      <c r="AF209" s="712">
        <f t="shared" si="7"/>
        <v>8.8451699999999978</v>
      </c>
    </row>
    <row r="210" spans="1:33">
      <c r="A210" s="584" t="s">
        <v>1967</v>
      </c>
      <c r="B210" s="711">
        <v>1133.58825</v>
      </c>
      <c r="C210" s="711">
        <v>1133.58825</v>
      </c>
      <c r="D210" s="711">
        <v>1133.58825</v>
      </c>
      <c r="E210" s="711">
        <v>272.436859999999</v>
      </c>
      <c r="F210" s="711">
        <v>272.436859999999</v>
      </c>
      <c r="G210" s="711">
        <v>272.436859999999</v>
      </c>
      <c r="H210" s="711">
        <v>534.97351000000003</v>
      </c>
      <c r="I210" s="711">
        <v>642.71968996079704</v>
      </c>
      <c r="J210" s="711">
        <v>757.25823678025404</v>
      </c>
      <c r="K210" s="711">
        <v>848.77502397305295</v>
      </c>
      <c r="L210" s="711">
        <v>964.79305485533996</v>
      </c>
      <c r="M210" s="711">
        <v>1066.7304572329299</v>
      </c>
      <c r="N210" s="711">
        <v>1151.8566922323</v>
      </c>
      <c r="O210" s="235">
        <f t="shared" si="6"/>
        <v>783.47553807959025</v>
      </c>
      <c r="P210" s="711">
        <v>1266.9995609124001</v>
      </c>
      <c r="Q210" s="711">
        <v>1364.76257327184</v>
      </c>
      <c r="R210" s="711">
        <v>235.97343637611101</v>
      </c>
      <c r="S210" s="711">
        <v>339.28184628091498</v>
      </c>
      <c r="T210" s="711">
        <v>452.528244326444</v>
      </c>
      <c r="U210" s="711">
        <v>543.820890029814</v>
      </c>
      <c r="V210" s="711">
        <v>652.39800671345904</v>
      </c>
      <c r="W210" s="711">
        <v>766.72260921805901</v>
      </c>
      <c r="X210" s="711">
        <v>867.94090769803097</v>
      </c>
      <c r="Y210" s="711">
        <v>985.87260679449298</v>
      </c>
      <c r="Z210" s="711">
        <v>1080.8444275127499</v>
      </c>
      <c r="AA210" s="711">
        <v>1173.7497694097201</v>
      </c>
      <c r="AB210" s="711">
        <v>1300.7808662002201</v>
      </c>
      <c r="AC210" s="711">
        <v>1408.4861832679901</v>
      </c>
      <c r="AD210" s="711">
        <v>273.83135848519697</v>
      </c>
      <c r="AE210" s="711">
        <v>388.01771487133999</v>
      </c>
      <c r="AF210" s="712">
        <f t="shared" si="7"/>
        <v>787.25195621603302</v>
      </c>
    </row>
    <row r="211" spans="1:33">
      <c r="A211" s="584" t="s">
        <v>2525</v>
      </c>
      <c r="B211" s="711">
        <v>0</v>
      </c>
      <c r="C211" s="711">
        <v>0</v>
      </c>
      <c r="D211" s="711">
        <v>0</v>
      </c>
      <c r="E211" s="711">
        <v>0</v>
      </c>
      <c r="F211" s="711">
        <v>0</v>
      </c>
      <c r="G211" s="711">
        <v>0</v>
      </c>
      <c r="H211" s="711">
        <v>0</v>
      </c>
      <c r="I211" s="711">
        <v>0</v>
      </c>
      <c r="J211" s="711">
        <v>0</v>
      </c>
      <c r="K211" s="711">
        <v>0</v>
      </c>
      <c r="L211" s="711">
        <v>0</v>
      </c>
      <c r="M211" s="711">
        <v>0</v>
      </c>
      <c r="N211" s="711">
        <v>0</v>
      </c>
      <c r="O211" s="235">
        <f t="shared" si="6"/>
        <v>0</v>
      </c>
      <c r="P211" s="711">
        <v>6701.1877000000004</v>
      </c>
      <c r="Q211" s="711">
        <v>6591.5453499999903</v>
      </c>
      <c r="R211" s="711">
        <v>6481.7377699999997</v>
      </c>
      <c r="S211" s="711">
        <v>6382.1819100000002</v>
      </c>
      <c r="T211" s="711">
        <v>6315.03989</v>
      </c>
      <c r="U211" s="711">
        <v>6242.3026399999999</v>
      </c>
      <c r="V211" s="711">
        <v>6171.2977700000001</v>
      </c>
      <c r="W211" s="711">
        <v>6103.76908</v>
      </c>
      <c r="X211" s="711">
        <v>6008.9692599999998</v>
      </c>
      <c r="Y211" s="711">
        <v>5899.4887399999998</v>
      </c>
      <c r="Z211" s="711">
        <v>5782.9779799999997</v>
      </c>
      <c r="AA211" s="711">
        <v>5666.2341200000001</v>
      </c>
      <c r="AB211" s="711">
        <v>5548.2377800000004</v>
      </c>
      <c r="AC211" s="711">
        <v>5435.6524499999996</v>
      </c>
      <c r="AD211" s="711">
        <v>5329.5918700000002</v>
      </c>
      <c r="AE211" s="711">
        <v>5228.3426099999997</v>
      </c>
      <c r="AF211" s="712">
        <f t="shared" si="7"/>
        <v>5854.9297000000015</v>
      </c>
      <c r="AG211" s="712">
        <f>AF211</f>
        <v>5854.9297000000015</v>
      </c>
    </row>
    <row r="212" spans="1:33">
      <c r="A212" s="584" t="s">
        <v>1968</v>
      </c>
      <c r="B212" s="711">
        <v>5835.5366299999996</v>
      </c>
      <c r="C212" s="711">
        <v>5835.5366299999996</v>
      </c>
      <c r="D212" s="711">
        <v>5835.5366299999996</v>
      </c>
      <c r="E212" s="711">
        <v>6461.9455399999997</v>
      </c>
      <c r="F212" s="711">
        <v>6461.9455399999997</v>
      </c>
      <c r="G212" s="711">
        <v>6461.9455399999997</v>
      </c>
      <c r="H212" s="711">
        <v>6465.6813499999998</v>
      </c>
      <c r="I212" s="711">
        <v>6465.6813499999998</v>
      </c>
      <c r="J212" s="711">
        <v>6465.6813499999998</v>
      </c>
      <c r="K212" s="711">
        <v>6465.6813499999998</v>
      </c>
      <c r="L212" s="711">
        <v>6465.6813499999998</v>
      </c>
      <c r="M212" s="711">
        <v>6465.6813499999998</v>
      </c>
      <c r="N212" s="711">
        <v>6465.6813499999998</v>
      </c>
      <c r="O212" s="235">
        <f t="shared" si="6"/>
        <v>6319.4012276923077</v>
      </c>
      <c r="P212" s="711">
        <v>6465.6813499999998</v>
      </c>
      <c r="Q212" s="711">
        <v>6465.6813499999998</v>
      </c>
      <c r="R212" s="711">
        <v>6465.6813499999998</v>
      </c>
      <c r="S212" s="711">
        <v>6465.6813499999998</v>
      </c>
      <c r="T212" s="711">
        <v>6465.6813499999998</v>
      </c>
      <c r="U212" s="711">
        <v>6465.6813499999998</v>
      </c>
      <c r="V212" s="711">
        <v>6465.6813499999998</v>
      </c>
      <c r="W212" s="711">
        <v>6465.6813499999998</v>
      </c>
      <c r="X212" s="711">
        <v>6465.6813499999998</v>
      </c>
      <c r="Y212" s="711">
        <v>6465.6813499999998</v>
      </c>
      <c r="Z212" s="711">
        <v>6465.6813499999998</v>
      </c>
      <c r="AA212" s="711">
        <v>6465.6813499999998</v>
      </c>
      <c r="AB212" s="711">
        <v>6465.6813499999998</v>
      </c>
      <c r="AC212" s="711">
        <v>6465.6813499999998</v>
      </c>
      <c r="AD212" s="711">
        <v>6465.6813499999998</v>
      </c>
      <c r="AE212" s="711">
        <v>6465.6813499999998</v>
      </c>
      <c r="AF212" s="712">
        <f t="shared" si="7"/>
        <v>6465.6813499999998</v>
      </c>
    </row>
    <row r="213" spans="1:33">
      <c r="A213" s="584" t="s">
        <v>1969</v>
      </c>
      <c r="B213" s="711">
        <v>1025.51224</v>
      </c>
      <c r="C213" s="711">
        <v>1025.51224</v>
      </c>
      <c r="D213" s="711">
        <v>1025.51224</v>
      </c>
      <c r="E213" s="711">
        <v>1219.3863999999901</v>
      </c>
      <c r="F213" s="711">
        <v>1025.51224</v>
      </c>
      <c r="G213" s="711">
        <v>1025.51224</v>
      </c>
      <c r="H213" s="711">
        <v>1944.1420800000001</v>
      </c>
      <c r="I213" s="711">
        <v>1944.1420800000001</v>
      </c>
      <c r="J213" s="711">
        <v>1944.1420800000001</v>
      </c>
      <c r="K213" s="711">
        <v>1944.1420800000001</v>
      </c>
      <c r="L213" s="711">
        <v>1944.1420800000001</v>
      </c>
      <c r="M213" s="711">
        <v>1944.1420800000001</v>
      </c>
      <c r="N213" s="711">
        <v>1944.1420800000001</v>
      </c>
      <c r="O213" s="235">
        <f t="shared" si="6"/>
        <v>1535.0724738461531</v>
      </c>
      <c r="P213" s="711">
        <v>1944.1420800000001</v>
      </c>
      <c r="Q213" s="711">
        <v>1944.1420800000001</v>
      </c>
      <c r="R213" s="711">
        <v>1944.1420800000001</v>
      </c>
      <c r="S213" s="711">
        <v>1944.1420800000001</v>
      </c>
      <c r="T213" s="711">
        <v>1944.1420800000001</v>
      </c>
      <c r="U213" s="711">
        <v>1944.1420800000001</v>
      </c>
      <c r="V213" s="711">
        <v>1944.1420800000001</v>
      </c>
      <c r="W213" s="711">
        <v>1944.1420800000001</v>
      </c>
      <c r="X213" s="711">
        <v>1944.1420800000001</v>
      </c>
      <c r="Y213" s="711">
        <v>1944.1420800000001</v>
      </c>
      <c r="Z213" s="711">
        <v>1944.1420800000001</v>
      </c>
      <c r="AA213" s="711">
        <v>1944.1420800000001</v>
      </c>
      <c r="AB213" s="711">
        <v>1944.1420800000001</v>
      </c>
      <c r="AC213" s="711">
        <v>1944.1420800000001</v>
      </c>
      <c r="AD213" s="711">
        <v>1944.1420800000001</v>
      </c>
      <c r="AE213" s="711">
        <v>1944.1420800000001</v>
      </c>
      <c r="AF213" s="712">
        <f t="shared" si="7"/>
        <v>1944.1420800000003</v>
      </c>
    </row>
    <row r="214" spans="1:33">
      <c r="A214" s="584" t="s">
        <v>1970</v>
      </c>
      <c r="B214" s="711">
        <v>22780.946370000001</v>
      </c>
      <c r="C214" s="711">
        <v>22598.365430000002</v>
      </c>
      <c r="D214" s="711">
        <v>23175.118839999999</v>
      </c>
      <c r="E214" s="711">
        <v>23225.797999999999</v>
      </c>
      <c r="F214" s="711">
        <v>19108.5087299999</v>
      </c>
      <c r="G214" s="711">
        <v>21422.54869</v>
      </c>
      <c r="H214" s="711">
        <v>23556.274700000002</v>
      </c>
      <c r="I214" s="711">
        <v>23627.198090960799</v>
      </c>
      <c r="J214" s="711">
        <v>23704.913848780201</v>
      </c>
      <c r="K214" s="711">
        <v>23897.161766173002</v>
      </c>
      <c r="L214" s="711">
        <v>23974.775925855301</v>
      </c>
      <c r="M214" s="711">
        <v>24038.309457032901</v>
      </c>
      <c r="N214" s="711">
        <v>24085.031820832301</v>
      </c>
      <c r="O214" s="235">
        <f t="shared" si="6"/>
        <v>23014.996282279568</v>
      </c>
      <c r="P214" s="711">
        <v>30862.9585183124</v>
      </c>
      <c r="Q214" s="711">
        <v>30812.675309471801</v>
      </c>
      <c r="R214" s="711">
        <v>29535.674721376101</v>
      </c>
      <c r="S214" s="711">
        <v>29501.0234000809</v>
      </c>
      <c r="T214" s="711">
        <v>29508.7239069264</v>
      </c>
      <c r="U214" s="711">
        <v>29488.875431429798</v>
      </c>
      <c r="V214" s="711">
        <v>29488.0438069134</v>
      </c>
      <c r="W214" s="711">
        <v>29496.435848218</v>
      </c>
      <c r="X214" s="711">
        <v>29464.450455498001</v>
      </c>
      <c r="Y214" s="711">
        <v>29434.4977633944</v>
      </c>
      <c r="Z214" s="711">
        <v>29374.554952912698</v>
      </c>
      <c r="AA214" s="711">
        <v>29312.312563609699</v>
      </c>
      <c r="AB214" s="711">
        <v>29282.9434492002</v>
      </c>
      <c r="AC214" s="711">
        <v>29239.659565067901</v>
      </c>
      <c r="AD214" s="711">
        <v>27960.540289085198</v>
      </c>
      <c r="AE214" s="711">
        <v>27935.073514271298</v>
      </c>
      <c r="AF214" s="712">
        <f t="shared" si="7"/>
        <v>29191.31807281599</v>
      </c>
    </row>
    <row r="215" spans="1:33">
      <c r="A215" s="584"/>
      <c r="B215" s="713"/>
      <c r="C215" s="713"/>
      <c r="D215" s="713"/>
      <c r="E215" s="713"/>
      <c r="F215" s="713"/>
      <c r="G215" s="713"/>
      <c r="H215" s="713"/>
      <c r="I215" s="713"/>
      <c r="J215" s="713"/>
      <c r="K215" s="713"/>
      <c r="L215" s="713"/>
      <c r="M215" s="713"/>
      <c r="N215" s="713"/>
      <c r="O215" s="235">
        <f t="shared" si="6"/>
        <v>0</v>
      </c>
      <c r="P215" s="713"/>
      <c r="Q215" s="713"/>
      <c r="R215" s="713"/>
      <c r="S215" s="713"/>
      <c r="T215" s="713"/>
      <c r="U215" s="713"/>
      <c r="V215" s="713"/>
      <c r="W215" s="713"/>
      <c r="X215" s="713"/>
      <c r="Y215" s="713"/>
      <c r="Z215" s="713"/>
      <c r="AA215" s="713"/>
      <c r="AB215" s="713"/>
      <c r="AC215" s="713"/>
      <c r="AD215" s="713"/>
      <c r="AE215" s="713"/>
      <c r="AF215" s="712">
        <f t="shared" si="7"/>
        <v>0</v>
      </c>
    </row>
    <row r="216" spans="1:33" ht="15.75" thickBot="1">
      <c r="A216" s="717" t="s">
        <v>1449</v>
      </c>
      <c r="B216" s="718">
        <v>345823.07208999997</v>
      </c>
      <c r="C216" s="718">
        <v>386209.11518000002</v>
      </c>
      <c r="D216" s="718">
        <v>322729.46033999999</v>
      </c>
      <c r="E216" s="718">
        <v>371967.39445999998</v>
      </c>
      <c r="F216" s="718">
        <v>383139.11213999998</v>
      </c>
      <c r="G216" s="718">
        <v>385810.35421999998</v>
      </c>
      <c r="H216" s="718">
        <v>400425.94543999998</v>
      </c>
      <c r="I216" s="718">
        <v>429267.81942411402</v>
      </c>
      <c r="J216" s="718">
        <v>457491.733475107</v>
      </c>
      <c r="K216" s="718">
        <v>484124.00128770899</v>
      </c>
      <c r="L216" s="718">
        <v>518372.12138261402</v>
      </c>
      <c r="M216" s="718">
        <v>544946.95138177695</v>
      </c>
      <c r="N216" s="718">
        <v>540743.82254275505</v>
      </c>
      <c r="O216" s="235">
        <f t="shared" si="6"/>
        <v>428542.37718185195</v>
      </c>
      <c r="P216" s="718">
        <v>552409.33112096402</v>
      </c>
      <c r="Q216" s="718">
        <v>533524.73630053597</v>
      </c>
      <c r="R216" s="718">
        <v>576912.90316422796</v>
      </c>
      <c r="S216" s="718">
        <v>592834.54245784797</v>
      </c>
      <c r="T216" s="718">
        <v>305232.75848435698</v>
      </c>
      <c r="U216" s="718">
        <v>298558.962753664</v>
      </c>
      <c r="V216" s="718">
        <v>311224.103280715</v>
      </c>
      <c r="W216" s="718">
        <v>310248.06435159798</v>
      </c>
      <c r="X216" s="718">
        <v>338991.23657118401</v>
      </c>
      <c r="Y216" s="718">
        <v>355818.63313275098</v>
      </c>
      <c r="Z216" s="718">
        <v>384784.46738188202</v>
      </c>
      <c r="AA216" s="718">
        <v>360467.68967060302</v>
      </c>
      <c r="AB216" s="718">
        <v>351589.99886751099</v>
      </c>
      <c r="AC216" s="718">
        <v>315340.00655302801</v>
      </c>
      <c r="AD216" s="718">
        <v>394523.08452695003</v>
      </c>
      <c r="AE216" s="718">
        <v>409545.66944096202</v>
      </c>
      <c r="AF216" s="712">
        <f t="shared" si="7"/>
        <v>363781.47826715786</v>
      </c>
    </row>
    <row r="217" spans="1:33">
      <c r="A217" s="584"/>
      <c r="O217" s="235">
        <f t="shared" si="6"/>
        <v>0</v>
      </c>
      <c r="AF217" s="712">
        <f t="shared" si="7"/>
        <v>0</v>
      </c>
    </row>
    <row r="218" spans="1:33">
      <c r="A218" s="717" t="s">
        <v>1450</v>
      </c>
      <c r="B218" s="713"/>
      <c r="C218" s="713"/>
      <c r="D218" s="713"/>
      <c r="E218" s="713"/>
      <c r="F218" s="713"/>
      <c r="G218" s="713"/>
      <c r="H218" s="713"/>
      <c r="I218" s="713"/>
      <c r="J218" s="713"/>
      <c r="K218" s="713"/>
      <c r="L218" s="713"/>
      <c r="M218" s="713"/>
      <c r="N218" s="713"/>
      <c r="O218" s="235">
        <f t="shared" si="6"/>
        <v>0</v>
      </c>
      <c r="P218" s="713"/>
      <c r="Q218" s="713"/>
      <c r="R218" s="713"/>
      <c r="S218" s="713"/>
      <c r="T218" s="713"/>
      <c r="U218" s="713"/>
      <c r="V218" s="713"/>
      <c r="W218" s="713"/>
      <c r="X218" s="713"/>
      <c r="Y218" s="713"/>
      <c r="Z218" s="713"/>
      <c r="AA218" s="713"/>
      <c r="AB218" s="713"/>
      <c r="AC218" s="713"/>
      <c r="AD218" s="713"/>
      <c r="AE218" s="713"/>
      <c r="AF218" s="712">
        <f t="shared" si="7"/>
        <v>0</v>
      </c>
    </row>
    <row r="219" spans="1:33">
      <c r="A219" s="584" t="s">
        <v>1971</v>
      </c>
      <c r="B219" s="713"/>
      <c r="C219" s="713"/>
      <c r="D219" s="713"/>
      <c r="E219" s="713"/>
      <c r="F219" s="713"/>
      <c r="G219" s="713"/>
      <c r="H219" s="713"/>
      <c r="I219" s="713"/>
      <c r="J219" s="713"/>
      <c r="K219" s="713"/>
      <c r="L219" s="713"/>
      <c r="M219" s="713"/>
      <c r="N219" s="713"/>
      <c r="O219" s="235">
        <f t="shared" si="6"/>
        <v>0</v>
      </c>
      <c r="P219" s="713"/>
      <c r="Q219" s="713"/>
      <c r="R219" s="713"/>
      <c r="S219" s="713"/>
      <c r="T219" s="713"/>
      <c r="U219" s="713"/>
      <c r="V219" s="713"/>
      <c r="W219" s="713"/>
      <c r="X219" s="713"/>
      <c r="Y219" s="713"/>
      <c r="Z219" s="713"/>
      <c r="AA219" s="713"/>
      <c r="AB219" s="713"/>
      <c r="AC219" s="713"/>
      <c r="AD219" s="713"/>
      <c r="AE219" s="713"/>
      <c r="AF219" s="712">
        <f t="shared" si="7"/>
        <v>0</v>
      </c>
    </row>
    <row r="220" spans="1:33">
      <c r="A220" s="584" t="s">
        <v>1972</v>
      </c>
      <c r="B220" s="711">
        <v>903591.56955000001</v>
      </c>
      <c r="C220" s="711">
        <v>903591.56955999997</v>
      </c>
      <c r="D220" s="711">
        <v>903591.56955999997</v>
      </c>
      <c r="E220" s="711">
        <v>906429.72802000004</v>
      </c>
      <c r="F220" s="711">
        <v>905986.76560999895</v>
      </c>
      <c r="G220" s="711">
        <v>905986.76560999895</v>
      </c>
      <c r="H220" s="711">
        <v>889715.73341999995</v>
      </c>
      <c r="I220" s="711">
        <v>889715.73341999995</v>
      </c>
      <c r="J220" s="711">
        <v>889715.73341999995</v>
      </c>
      <c r="K220" s="711">
        <v>889487.95638382598</v>
      </c>
      <c r="L220" s="711">
        <v>889487.95638382598</v>
      </c>
      <c r="M220" s="711">
        <v>889487.95638382598</v>
      </c>
      <c r="N220" s="711">
        <v>889249.28157310502</v>
      </c>
      <c r="O220" s="235">
        <f t="shared" si="6"/>
        <v>896618.33222266019</v>
      </c>
      <c r="P220" s="711">
        <v>889249.28157310502</v>
      </c>
      <c r="Q220" s="711">
        <v>889249.28157310502</v>
      </c>
      <c r="R220" s="711">
        <v>889012.85139839596</v>
      </c>
      <c r="S220" s="711">
        <v>888958.70338801399</v>
      </c>
      <c r="T220" s="711">
        <v>888958.70338801399</v>
      </c>
      <c r="U220" s="711">
        <v>888795.15272846096</v>
      </c>
      <c r="V220" s="711">
        <v>888795.15272846096</v>
      </c>
      <c r="W220" s="711">
        <v>888795.15272846096</v>
      </c>
      <c r="X220" s="711">
        <v>888586.81981091294</v>
      </c>
      <c r="Y220" s="711">
        <v>888586.81981091294</v>
      </c>
      <c r="Z220" s="711">
        <v>888586.81981091294</v>
      </c>
      <c r="AA220" s="711">
        <v>888378.48689336597</v>
      </c>
      <c r="AB220" s="711">
        <v>888378.48689336597</v>
      </c>
      <c r="AC220" s="711">
        <v>888378.48689336597</v>
      </c>
      <c r="AD220" s="711">
        <v>888168.937470729</v>
      </c>
      <c r="AE220" s="711">
        <v>888116.41846872994</v>
      </c>
      <c r="AF220" s="712">
        <f t="shared" si="7"/>
        <v>888575.70315490046</v>
      </c>
    </row>
    <row r="221" spans="1:33">
      <c r="A221" s="584" t="s">
        <v>1973</v>
      </c>
      <c r="B221" s="711">
        <v>140532.219779999</v>
      </c>
      <c r="C221" s="711">
        <v>140532.219779999</v>
      </c>
      <c r="D221" s="711">
        <v>140532.219779999</v>
      </c>
      <c r="E221" s="711">
        <v>140841.00343000001</v>
      </c>
      <c r="F221" s="711">
        <v>140030.74694000001</v>
      </c>
      <c r="G221" s="711">
        <v>140030.74694000001</v>
      </c>
      <c r="H221" s="711">
        <v>140228.40771</v>
      </c>
      <c r="I221" s="711">
        <v>140270.756011666</v>
      </c>
      <c r="J221" s="711">
        <v>140313.10431333299</v>
      </c>
      <c r="K221" s="711">
        <v>174473.95818805901</v>
      </c>
      <c r="L221" s="711">
        <v>174516.30648972499</v>
      </c>
      <c r="M221" s="711">
        <v>174558.65479139201</v>
      </c>
      <c r="N221" s="711">
        <v>193285.95580999201</v>
      </c>
      <c r="O221" s="235">
        <f t="shared" si="6"/>
        <v>152318.94615108953</v>
      </c>
      <c r="P221" s="711">
        <v>193328.304111659</v>
      </c>
      <c r="Q221" s="711">
        <v>193370.65241332501</v>
      </c>
      <c r="R221" s="711">
        <v>208808.961587664</v>
      </c>
      <c r="S221" s="711">
        <v>209337.926405415</v>
      </c>
      <c r="T221" s="711">
        <v>209372.949900415</v>
      </c>
      <c r="U221" s="711">
        <v>227475.583564906</v>
      </c>
      <c r="V221" s="711">
        <v>227510.607059906</v>
      </c>
      <c r="W221" s="711">
        <v>227545.63055490601</v>
      </c>
      <c r="X221" s="711">
        <v>244379.21002504701</v>
      </c>
      <c r="Y221" s="711">
        <v>244414.23352004701</v>
      </c>
      <c r="Z221" s="711">
        <v>244449.25701504701</v>
      </c>
      <c r="AA221" s="711">
        <v>262819.67810903199</v>
      </c>
      <c r="AB221" s="711">
        <v>262854.70160403202</v>
      </c>
      <c r="AC221" s="711">
        <v>262889.72509903199</v>
      </c>
      <c r="AD221" s="711">
        <v>266592.13695838401</v>
      </c>
      <c r="AE221" s="711">
        <v>267768.21683347202</v>
      </c>
      <c r="AF221" s="712">
        <f t="shared" si="7"/>
        <v>242877.68128074161</v>
      </c>
    </row>
    <row r="222" spans="1:33" ht="15.75" thickBot="1">
      <c r="A222" s="584" t="s">
        <v>1974</v>
      </c>
      <c r="B222" s="716">
        <v>9538.0331200000001</v>
      </c>
      <c r="C222" s="716">
        <v>9538.0331200000001</v>
      </c>
      <c r="D222" s="716">
        <v>9538.0331200000001</v>
      </c>
      <c r="E222" s="716">
        <v>9484.3861099999995</v>
      </c>
      <c r="F222" s="716">
        <v>9486.8066699999999</v>
      </c>
      <c r="G222" s="716">
        <v>9486.8066699999999</v>
      </c>
      <c r="H222" s="716">
        <v>8772.6852600000002</v>
      </c>
      <c r="I222" s="716">
        <v>8772.6852600000002</v>
      </c>
      <c r="J222" s="716">
        <v>8772.6852600000002</v>
      </c>
      <c r="K222" s="716">
        <v>8772.6852600000002</v>
      </c>
      <c r="L222" s="716">
        <v>8772.6852600000002</v>
      </c>
      <c r="M222" s="716">
        <v>8772.6852600000002</v>
      </c>
      <c r="N222" s="716">
        <v>8772.6852600000002</v>
      </c>
      <c r="O222" s="235">
        <f t="shared" si="6"/>
        <v>9113.9150484615366</v>
      </c>
      <c r="P222" s="716">
        <v>8772.6852600000002</v>
      </c>
      <c r="Q222" s="716">
        <v>8772.6852600000002</v>
      </c>
      <c r="R222" s="716">
        <v>8772.6852600000002</v>
      </c>
      <c r="S222" s="716">
        <v>8772.6852600000002</v>
      </c>
      <c r="T222" s="716">
        <v>8772.6852600000002</v>
      </c>
      <c r="U222" s="716">
        <v>8772.6852600000002</v>
      </c>
      <c r="V222" s="716">
        <v>8772.6852600000002</v>
      </c>
      <c r="W222" s="716">
        <v>8772.6852600000002</v>
      </c>
      <c r="X222" s="716">
        <v>8772.6852600000002</v>
      </c>
      <c r="Y222" s="716">
        <v>8772.6852600000002</v>
      </c>
      <c r="Z222" s="716">
        <v>8772.6852600000002</v>
      </c>
      <c r="AA222" s="716">
        <v>8772.6852600000002</v>
      </c>
      <c r="AB222" s="716">
        <v>8772.6852600000002</v>
      </c>
      <c r="AC222" s="716">
        <v>8772.6852600000002</v>
      </c>
      <c r="AD222" s="716">
        <v>8772.6852600000002</v>
      </c>
      <c r="AE222" s="716">
        <v>8772.6852600000002</v>
      </c>
      <c r="AF222" s="712">
        <f t="shared" si="7"/>
        <v>8772.6852600000002</v>
      </c>
    </row>
    <row r="223" spans="1:33">
      <c r="A223" s="584" t="s">
        <v>1971</v>
      </c>
      <c r="B223" s="711">
        <v>1053661.8224500001</v>
      </c>
      <c r="C223" s="711">
        <v>1053661.8224599999</v>
      </c>
      <c r="D223" s="711">
        <v>1053661.8224599999</v>
      </c>
      <c r="E223" s="711">
        <v>1056755.1175599999</v>
      </c>
      <c r="F223" s="711">
        <v>1055504.3192199999</v>
      </c>
      <c r="G223" s="711">
        <v>1055504.3192199999</v>
      </c>
      <c r="H223" s="711">
        <v>1038716.8263899999</v>
      </c>
      <c r="I223" s="711">
        <v>1038759.17469166</v>
      </c>
      <c r="J223" s="711">
        <v>1038801.52299333</v>
      </c>
      <c r="K223" s="711">
        <v>1072734.5998318801</v>
      </c>
      <c r="L223" s="711">
        <v>1072776.9481335499</v>
      </c>
      <c r="M223" s="711">
        <v>1072819.2964352099</v>
      </c>
      <c r="N223" s="711">
        <v>1091307.9226430899</v>
      </c>
      <c r="O223" s="235">
        <f t="shared" si="6"/>
        <v>1058051.1934222092</v>
      </c>
      <c r="P223" s="711">
        <v>1091350.2709447599</v>
      </c>
      <c r="Q223" s="711">
        <v>1091392.61924643</v>
      </c>
      <c r="R223" s="711">
        <v>1106594.49824606</v>
      </c>
      <c r="S223" s="711">
        <v>1107069.3150534199</v>
      </c>
      <c r="T223" s="711">
        <v>1107104.33854842</v>
      </c>
      <c r="U223" s="711">
        <v>1125043.4215533601</v>
      </c>
      <c r="V223" s="711">
        <v>1125078.4450483599</v>
      </c>
      <c r="W223" s="711">
        <v>1125113.46854336</v>
      </c>
      <c r="X223" s="711">
        <v>1141738.7150959601</v>
      </c>
      <c r="Y223" s="711">
        <v>1141773.7385909599</v>
      </c>
      <c r="Z223" s="711">
        <v>1141808.76208596</v>
      </c>
      <c r="AA223" s="711">
        <v>1159970.85026239</v>
      </c>
      <c r="AB223" s="711">
        <v>1160005.8737573901</v>
      </c>
      <c r="AC223" s="711">
        <v>1160040.8972523899</v>
      </c>
      <c r="AD223" s="711">
        <v>1163533.7596891101</v>
      </c>
      <c r="AE223" s="711">
        <v>1164657.3205621999</v>
      </c>
      <c r="AF223" s="712">
        <f t="shared" si="7"/>
        <v>1140226.0696956369</v>
      </c>
    </row>
    <row r="224" spans="1:33">
      <c r="A224" s="584"/>
      <c r="B224" s="713"/>
      <c r="C224" s="713"/>
      <c r="D224" s="713"/>
      <c r="E224" s="713"/>
      <c r="F224" s="713"/>
      <c r="G224" s="713"/>
      <c r="H224" s="713"/>
      <c r="I224" s="713"/>
      <c r="J224" s="713"/>
      <c r="K224" s="713"/>
      <c r="L224" s="713"/>
      <c r="M224" s="713"/>
      <c r="N224" s="713"/>
      <c r="O224" s="235">
        <f t="shared" si="6"/>
        <v>0</v>
      </c>
      <c r="P224" s="713"/>
      <c r="Q224" s="713"/>
      <c r="R224" s="713"/>
      <c r="S224" s="713"/>
      <c r="T224" s="713"/>
      <c r="U224" s="713"/>
      <c r="V224" s="713"/>
      <c r="W224" s="713"/>
      <c r="X224" s="713"/>
      <c r="Y224" s="713"/>
      <c r="Z224" s="713"/>
      <c r="AA224" s="713"/>
      <c r="AB224" s="713"/>
      <c r="AC224" s="713"/>
      <c r="AD224" s="713"/>
      <c r="AE224" s="713"/>
      <c r="AF224" s="712">
        <f t="shared" si="7"/>
        <v>0</v>
      </c>
    </row>
    <row r="225" spans="1:32">
      <c r="A225" s="584" t="s">
        <v>1975</v>
      </c>
      <c r="B225" s="713"/>
      <c r="C225" s="713"/>
      <c r="D225" s="713"/>
      <c r="E225" s="713"/>
      <c r="F225" s="713"/>
      <c r="G225" s="713"/>
      <c r="H225" s="713"/>
      <c r="I225" s="713"/>
      <c r="J225" s="713"/>
      <c r="K225" s="713"/>
      <c r="L225" s="713"/>
      <c r="M225" s="713"/>
      <c r="N225" s="713"/>
      <c r="O225" s="235">
        <f t="shared" si="6"/>
        <v>0</v>
      </c>
      <c r="P225" s="713"/>
      <c r="Q225" s="713"/>
      <c r="R225" s="713"/>
      <c r="S225" s="713"/>
      <c r="T225" s="713"/>
      <c r="U225" s="713"/>
      <c r="V225" s="713"/>
      <c r="W225" s="713"/>
      <c r="X225" s="713"/>
      <c r="Y225" s="713"/>
      <c r="Z225" s="713"/>
      <c r="AA225" s="713"/>
      <c r="AB225" s="713"/>
      <c r="AC225" s="713"/>
      <c r="AD225" s="713"/>
      <c r="AE225" s="713"/>
      <c r="AF225" s="712">
        <f t="shared" si="7"/>
        <v>0</v>
      </c>
    </row>
    <row r="226" spans="1:32">
      <c r="A226" s="584" t="s">
        <v>1976</v>
      </c>
      <c r="B226" s="711">
        <v>91502.098249999995</v>
      </c>
      <c r="C226" s="711">
        <v>91320.325249999994</v>
      </c>
      <c r="D226" s="711">
        <v>91138.552249999993</v>
      </c>
      <c r="E226" s="711">
        <v>90956.779249999905</v>
      </c>
      <c r="F226" s="711">
        <v>90775.006250000006</v>
      </c>
      <c r="G226" s="711">
        <v>90593.233250000005</v>
      </c>
      <c r="H226" s="711">
        <v>90411.460250000004</v>
      </c>
      <c r="I226" s="711">
        <v>90225.309916666607</v>
      </c>
      <c r="J226" s="711">
        <v>90039.159583333298</v>
      </c>
      <c r="K226" s="711">
        <v>89853.009249999901</v>
      </c>
      <c r="L226" s="711">
        <v>89666.858916666606</v>
      </c>
      <c r="M226" s="711">
        <v>89480.708583333297</v>
      </c>
      <c r="N226" s="711">
        <v>89294.5582499999</v>
      </c>
      <c r="O226" s="235">
        <f t="shared" si="6"/>
        <v>90404.389173076896</v>
      </c>
      <c r="P226" s="711">
        <v>89108.407916666605</v>
      </c>
      <c r="Q226" s="711">
        <v>88922.257583333296</v>
      </c>
      <c r="R226" s="711">
        <v>88736.107249999899</v>
      </c>
      <c r="S226" s="711">
        <v>88549.956916666604</v>
      </c>
      <c r="T226" s="711">
        <v>88391.978916666601</v>
      </c>
      <c r="U226" s="711">
        <v>88234.000916666599</v>
      </c>
      <c r="V226" s="711">
        <v>88076.022916666596</v>
      </c>
      <c r="W226" s="711">
        <v>87918.044916666593</v>
      </c>
      <c r="X226" s="711">
        <v>87760.066916666605</v>
      </c>
      <c r="Y226" s="711">
        <v>87602.088916666602</v>
      </c>
      <c r="Z226" s="711">
        <v>87444.110916666599</v>
      </c>
      <c r="AA226" s="711">
        <v>87286.132916666596</v>
      </c>
      <c r="AB226" s="711">
        <v>87128.154916666594</v>
      </c>
      <c r="AC226" s="711">
        <v>86970.176916666504</v>
      </c>
      <c r="AD226" s="711">
        <v>86812.198916666501</v>
      </c>
      <c r="AE226" s="711">
        <v>86654.220916666498</v>
      </c>
      <c r="AF226" s="712">
        <f t="shared" si="7"/>
        <v>87602.088916666573</v>
      </c>
    </row>
    <row r="227" spans="1:32" ht="15.75" thickBot="1">
      <c r="A227" s="584" t="s">
        <v>1977</v>
      </c>
      <c r="B227" s="716">
        <v>2355.7553199999902</v>
      </c>
      <c r="C227" s="716">
        <v>2351.3773200000001</v>
      </c>
      <c r="D227" s="716">
        <v>2346.9993199999999</v>
      </c>
      <c r="E227" s="716">
        <v>2342.6213199999902</v>
      </c>
      <c r="F227" s="716">
        <v>2338.24332</v>
      </c>
      <c r="G227" s="716">
        <v>2333.8653199999999</v>
      </c>
      <c r="H227" s="716">
        <v>2329.4873199999902</v>
      </c>
      <c r="I227" s="716">
        <v>2329.4873199999902</v>
      </c>
      <c r="J227" s="716">
        <v>2329.4873199999902</v>
      </c>
      <c r="K227" s="716">
        <v>2329.4873199999902</v>
      </c>
      <c r="L227" s="716">
        <v>2329.4873199999902</v>
      </c>
      <c r="M227" s="716">
        <v>2329.4873199999902</v>
      </c>
      <c r="N227" s="716">
        <v>2329.4873199999902</v>
      </c>
      <c r="O227" s="235">
        <f t="shared" si="6"/>
        <v>2336.5594738461468</v>
      </c>
      <c r="P227" s="716">
        <v>2329.4873199999902</v>
      </c>
      <c r="Q227" s="716">
        <v>2329.4873199999902</v>
      </c>
      <c r="R227" s="716">
        <v>2329.4873199999902</v>
      </c>
      <c r="S227" s="716">
        <v>2329.4873199999902</v>
      </c>
      <c r="T227" s="716">
        <v>2329.4873199999902</v>
      </c>
      <c r="U227" s="716">
        <v>2329.4873199999902</v>
      </c>
      <c r="V227" s="716">
        <v>2329.4873199999902</v>
      </c>
      <c r="W227" s="716">
        <v>2329.4873199999902</v>
      </c>
      <c r="X227" s="716">
        <v>2329.4873199999902</v>
      </c>
      <c r="Y227" s="716">
        <v>2329.4873199999902</v>
      </c>
      <c r="Z227" s="716">
        <v>2329.4873199999902</v>
      </c>
      <c r="AA227" s="716">
        <v>2329.4873199999902</v>
      </c>
      <c r="AB227" s="716">
        <v>2329.4873199999902</v>
      </c>
      <c r="AC227" s="716">
        <v>2329.4873199999902</v>
      </c>
      <c r="AD227" s="716">
        <v>2329.4873199999902</v>
      </c>
      <c r="AE227" s="716">
        <v>2329.4873199999902</v>
      </c>
      <c r="AF227" s="712">
        <f t="shared" si="7"/>
        <v>2329.4873199999897</v>
      </c>
    </row>
    <row r="228" spans="1:32">
      <c r="A228" s="584" t="s">
        <v>1975</v>
      </c>
      <c r="B228" s="711">
        <v>93857.853570000007</v>
      </c>
      <c r="C228" s="711">
        <v>93671.702569999994</v>
      </c>
      <c r="D228" s="711">
        <v>93485.551569999996</v>
      </c>
      <c r="E228" s="711">
        <v>93299.400569999998</v>
      </c>
      <c r="F228" s="711">
        <v>93113.24957</v>
      </c>
      <c r="G228" s="711">
        <v>92927.098570000002</v>
      </c>
      <c r="H228" s="711">
        <v>92740.947570000004</v>
      </c>
      <c r="I228" s="711">
        <v>92554.797236666607</v>
      </c>
      <c r="J228" s="711">
        <v>92368.646903333298</v>
      </c>
      <c r="K228" s="711">
        <v>92182.496569999901</v>
      </c>
      <c r="L228" s="711">
        <v>91996.346236666606</v>
      </c>
      <c r="M228" s="711">
        <v>91810.195903333297</v>
      </c>
      <c r="N228" s="711">
        <v>91624.0455699999</v>
      </c>
      <c r="O228" s="235">
        <f t="shared" si="6"/>
        <v>92740.948646923047</v>
      </c>
      <c r="P228" s="711">
        <v>91437.895236666605</v>
      </c>
      <c r="Q228" s="711">
        <v>91251.744903333296</v>
      </c>
      <c r="R228" s="711">
        <v>91065.594569999899</v>
      </c>
      <c r="S228" s="711">
        <v>90879.444236666604</v>
      </c>
      <c r="T228" s="711">
        <v>90721.466236666602</v>
      </c>
      <c r="U228" s="711">
        <v>90563.488236666599</v>
      </c>
      <c r="V228" s="711">
        <v>90405.510236666596</v>
      </c>
      <c r="W228" s="711">
        <v>90247.532236666593</v>
      </c>
      <c r="X228" s="711">
        <v>90089.554236666605</v>
      </c>
      <c r="Y228" s="711">
        <v>89931.576236666602</v>
      </c>
      <c r="Z228" s="711">
        <v>89773.598236666599</v>
      </c>
      <c r="AA228" s="711">
        <v>89615.620236666597</v>
      </c>
      <c r="AB228" s="711">
        <v>89457.642236666594</v>
      </c>
      <c r="AC228" s="711">
        <v>89299.664236666504</v>
      </c>
      <c r="AD228" s="711">
        <v>89141.686236666501</v>
      </c>
      <c r="AE228" s="711">
        <v>88983.708236666498</v>
      </c>
      <c r="AF228" s="712">
        <f t="shared" si="7"/>
        <v>89931.576236666573</v>
      </c>
    </row>
    <row r="229" spans="1:32">
      <c r="A229" s="584"/>
      <c r="B229" s="713"/>
      <c r="C229" s="713"/>
      <c r="D229" s="713"/>
      <c r="E229" s="713"/>
      <c r="F229" s="713"/>
      <c r="G229" s="713"/>
      <c r="H229" s="713"/>
      <c r="I229" s="713"/>
      <c r="J229" s="713"/>
      <c r="K229" s="713"/>
      <c r="L229" s="713"/>
      <c r="M229" s="713"/>
      <c r="N229" s="713"/>
      <c r="O229" s="235">
        <f t="shared" si="6"/>
        <v>0</v>
      </c>
      <c r="P229" s="713"/>
      <c r="Q229" s="713"/>
      <c r="R229" s="713"/>
      <c r="S229" s="713"/>
      <c r="T229" s="713"/>
      <c r="U229" s="713"/>
      <c r="V229" s="713"/>
      <c r="W229" s="713"/>
      <c r="X229" s="713"/>
      <c r="Y229" s="713"/>
      <c r="Z229" s="713"/>
      <c r="AA229" s="713"/>
      <c r="AB229" s="713"/>
      <c r="AC229" s="713"/>
      <c r="AD229" s="713"/>
      <c r="AE229" s="713"/>
      <c r="AF229" s="712">
        <f t="shared" si="7"/>
        <v>0</v>
      </c>
    </row>
    <row r="230" spans="1:32">
      <c r="A230" s="584" t="s">
        <v>1978</v>
      </c>
      <c r="B230" s="713"/>
      <c r="C230" s="713"/>
      <c r="D230" s="713"/>
      <c r="E230" s="713"/>
      <c r="F230" s="713"/>
      <c r="G230" s="713"/>
      <c r="H230" s="713"/>
      <c r="I230" s="713"/>
      <c r="J230" s="713"/>
      <c r="K230" s="713"/>
      <c r="L230" s="713"/>
      <c r="M230" s="713"/>
      <c r="N230" s="713"/>
      <c r="O230" s="235">
        <f t="shared" si="6"/>
        <v>0</v>
      </c>
      <c r="P230" s="713"/>
      <c r="Q230" s="713"/>
      <c r="R230" s="713"/>
      <c r="S230" s="713"/>
      <c r="T230" s="713"/>
      <c r="U230" s="713"/>
      <c r="V230" s="713"/>
      <c r="W230" s="713"/>
      <c r="X230" s="713"/>
      <c r="Y230" s="713"/>
      <c r="Z230" s="713"/>
      <c r="AA230" s="713"/>
      <c r="AB230" s="713"/>
      <c r="AC230" s="713"/>
      <c r="AD230" s="713"/>
      <c r="AE230" s="713"/>
      <c r="AF230" s="712">
        <f t="shared" si="7"/>
        <v>0</v>
      </c>
    </row>
    <row r="231" spans="1:32">
      <c r="A231" s="584" t="s">
        <v>1979</v>
      </c>
      <c r="B231" s="711">
        <v>2076.1378399999999</v>
      </c>
      <c r="C231" s="711">
        <v>6495.5975600000002</v>
      </c>
      <c r="D231" s="711">
        <v>11098.40202</v>
      </c>
      <c r="E231" s="711">
        <v>18262.887869999999</v>
      </c>
      <c r="F231" s="711">
        <v>19131.255020000001</v>
      </c>
      <c r="G231" s="711">
        <v>19678.574700000001</v>
      </c>
      <c r="H231" s="711">
        <v>19642.71128</v>
      </c>
      <c r="I231" s="711">
        <v>17647.202960382801</v>
      </c>
      <c r="J231" s="711">
        <v>15619.0423062266</v>
      </c>
      <c r="K231" s="711">
        <v>13912.0848991039</v>
      </c>
      <c r="L231" s="711">
        <v>12396.4357221797</v>
      </c>
      <c r="M231" s="711">
        <v>10773.230882072599</v>
      </c>
      <c r="N231" s="711">
        <v>8916.5900337743897</v>
      </c>
      <c r="O231" s="235">
        <f t="shared" si="6"/>
        <v>13511.55023798</v>
      </c>
      <c r="P231" s="711">
        <v>6942.7169640454904</v>
      </c>
      <c r="Q231" s="711">
        <v>5194.9309639801204</v>
      </c>
      <c r="R231" s="711">
        <v>3553.5202349814699</v>
      </c>
      <c r="S231" s="711">
        <v>3733.8676373396102</v>
      </c>
      <c r="T231" s="711">
        <v>4943.4712419977895</v>
      </c>
      <c r="U231" s="711">
        <v>4864.3499066221602</v>
      </c>
      <c r="V231" s="711">
        <v>4875.1317625331503</v>
      </c>
      <c r="W231" s="711">
        <v>4882.2969743105396</v>
      </c>
      <c r="X231" s="711">
        <v>4205.7658261699899</v>
      </c>
      <c r="Y231" s="711">
        <v>2139.8910830893101</v>
      </c>
      <c r="Z231" s="711">
        <v>2139.8910830893101</v>
      </c>
      <c r="AA231" s="711">
        <v>2139.8910830893101</v>
      </c>
      <c r="AB231" s="711">
        <v>2139.8910830893101</v>
      </c>
      <c r="AC231" s="711">
        <v>2139.8910830893101</v>
      </c>
      <c r="AD231" s="711">
        <v>2139.8910830893101</v>
      </c>
      <c r="AE231" s="711">
        <v>2139.8910830893101</v>
      </c>
      <c r="AF231" s="712">
        <f t="shared" si="7"/>
        <v>3268.0093023537233</v>
      </c>
    </row>
    <row r="232" spans="1:32">
      <c r="A232" s="584" t="s">
        <v>1980</v>
      </c>
      <c r="B232" s="711">
        <v>40306.451480000003</v>
      </c>
      <c r="C232" s="711">
        <v>40160.273789999999</v>
      </c>
      <c r="D232" s="711">
        <v>40026.398809999999</v>
      </c>
      <c r="E232" s="711">
        <v>39880.7399699999</v>
      </c>
      <c r="F232" s="711">
        <v>39739.009080000003</v>
      </c>
      <c r="G232" s="711">
        <v>39593.350229999996</v>
      </c>
      <c r="H232" s="711">
        <v>39407.992389999999</v>
      </c>
      <c r="I232" s="711">
        <v>39218.73444</v>
      </c>
      <c r="J232" s="711">
        <v>39029.476490000001</v>
      </c>
      <c r="K232" s="711">
        <v>38844.145600000003</v>
      </c>
      <c r="L232" s="711">
        <v>38646.642119999997</v>
      </c>
      <c r="M232" s="711">
        <v>38453.065699999999</v>
      </c>
      <c r="N232" s="711">
        <v>38255.56222</v>
      </c>
      <c r="O232" s="235">
        <f t="shared" si="6"/>
        <v>39350.910947692297</v>
      </c>
      <c r="P232" s="711">
        <v>38058.05874</v>
      </c>
      <c r="Q232" s="711">
        <v>37872.336430000003</v>
      </c>
      <c r="R232" s="711">
        <v>37674.832950000004</v>
      </c>
      <c r="S232" s="711">
        <v>37481.256529999999</v>
      </c>
      <c r="T232" s="711">
        <v>37280.457414445103</v>
      </c>
      <c r="U232" s="711">
        <v>37083.585328890302</v>
      </c>
      <c r="V232" s="711">
        <v>36882.786213335501</v>
      </c>
      <c r="W232" s="711">
        <v>36681.9870977807</v>
      </c>
      <c r="X232" s="711">
        <v>36485.1150422258</v>
      </c>
      <c r="Y232" s="711">
        <v>36284.315926670999</v>
      </c>
      <c r="Z232" s="711">
        <v>36087.4438711162</v>
      </c>
      <c r="AA232" s="711">
        <v>35886.6447555614</v>
      </c>
      <c r="AB232" s="711">
        <v>35685.845640006497</v>
      </c>
      <c r="AC232" s="711">
        <v>35492.9006444517</v>
      </c>
      <c r="AD232" s="711">
        <v>35292.101528896899</v>
      </c>
      <c r="AE232" s="711">
        <v>35095.2294733421</v>
      </c>
      <c r="AF232" s="712">
        <f t="shared" si="7"/>
        <v>36286.128420517169</v>
      </c>
    </row>
    <row r="233" spans="1:32">
      <c r="A233" s="584" t="s">
        <v>1981</v>
      </c>
      <c r="B233" s="711">
        <v>4089.2190000000001</v>
      </c>
      <c r="C233" s="711">
        <v>12142.97991</v>
      </c>
      <c r="D233" s="711">
        <v>13426.95527</v>
      </c>
      <c r="E233" s="711">
        <v>15570.30898</v>
      </c>
      <c r="F233" s="711">
        <v>15320.22559</v>
      </c>
      <c r="G233" s="711">
        <v>16395.29795</v>
      </c>
      <c r="H233" s="711">
        <v>17603.987829999998</v>
      </c>
      <c r="I233" s="711">
        <v>18142.138762675801</v>
      </c>
      <c r="J233" s="711">
        <v>17580.4475097307</v>
      </c>
      <c r="K233" s="711">
        <v>16064.4675629024</v>
      </c>
      <c r="L233" s="711">
        <v>13988.910952555299</v>
      </c>
      <c r="M233" s="711">
        <v>14432.460712030699</v>
      </c>
      <c r="N233" s="711">
        <v>13953.4610127426</v>
      </c>
      <c r="O233" s="235">
        <f t="shared" si="6"/>
        <v>14516.220080202886</v>
      </c>
      <c r="P233" s="711">
        <v>15906.0284571508</v>
      </c>
      <c r="Q233" s="711">
        <v>14606.362283804199</v>
      </c>
      <c r="R233" s="711">
        <v>13544.3181616976</v>
      </c>
      <c r="S233" s="711">
        <v>11561.210748215201</v>
      </c>
      <c r="T233" s="711">
        <v>7383.43045446215</v>
      </c>
      <c r="U233" s="711">
        <v>6537.68298518959</v>
      </c>
      <c r="V233" s="711">
        <v>7965.6516156034204</v>
      </c>
      <c r="W233" s="711">
        <v>7600.1264630079404</v>
      </c>
      <c r="X233" s="711">
        <v>6564.7005148860098</v>
      </c>
      <c r="Y233" s="711">
        <v>4949.0071540245799</v>
      </c>
      <c r="Z233" s="711">
        <v>4767.5146899204601</v>
      </c>
      <c r="AA233" s="711">
        <v>5830.2872307173502</v>
      </c>
      <c r="AB233" s="711">
        <v>7447.7036837079404</v>
      </c>
      <c r="AC233" s="711">
        <v>6200.7638417587996</v>
      </c>
      <c r="AD233" s="711">
        <v>4068.14428609281</v>
      </c>
      <c r="AE233" s="711">
        <v>3888.6181164305799</v>
      </c>
      <c r="AF233" s="712">
        <f t="shared" si="7"/>
        <v>6520.3724449243709</v>
      </c>
    </row>
    <row r="234" spans="1:32">
      <c r="A234" s="584" t="s">
        <v>1982</v>
      </c>
      <c r="B234" s="711">
        <v>27372.613000000001</v>
      </c>
      <c r="C234" s="711">
        <v>27372.613000000001</v>
      </c>
      <c r="D234" s="711">
        <v>27372.613000000001</v>
      </c>
      <c r="E234" s="711">
        <v>27451.411</v>
      </c>
      <c r="F234" s="711">
        <v>27451.411</v>
      </c>
      <c r="G234" s="711">
        <v>27451.411</v>
      </c>
      <c r="H234" s="711">
        <v>29028.793000000001</v>
      </c>
      <c r="I234" s="711">
        <v>29045.426083333299</v>
      </c>
      <c r="J234" s="711">
        <v>29062.059166666601</v>
      </c>
      <c r="K234" s="711">
        <v>29078.69225</v>
      </c>
      <c r="L234" s="711">
        <v>29095.325333333301</v>
      </c>
      <c r="M234" s="711">
        <v>29111.958416666599</v>
      </c>
      <c r="N234" s="711">
        <v>29128.591499999999</v>
      </c>
      <c r="O234" s="235">
        <f t="shared" si="6"/>
        <v>28309.455211538447</v>
      </c>
      <c r="P234" s="711">
        <v>29125.572250000001</v>
      </c>
      <c r="Q234" s="711">
        <v>29122.553</v>
      </c>
      <c r="R234" s="711">
        <v>29119.533749999999</v>
      </c>
      <c r="S234" s="711">
        <v>29116.514500000001</v>
      </c>
      <c r="T234" s="711">
        <v>29113.49525</v>
      </c>
      <c r="U234" s="711">
        <v>29110.475999999999</v>
      </c>
      <c r="V234" s="711">
        <v>29107.456749999899</v>
      </c>
      <c r="W234" s="711">
        <v>29104.437499999902</v>
      </c>
      <c r="X234" s="711">
        <v>29101.418249999901</v>
      </c>
      <c r="Y234" s="711">
        <v>29098.398999999899</v>
      </c>
      <c r="Z234" s="711">
        <v>29095.379749999898</v>
      </c>
      <c r="AA234" s="711">
        <v>29092.360499999901</v>
      </c>
      <c r="AB234" s="711">
        <v>29091.310666666599</v>
      </c>
      <c r="AC234" s="711">
        <v>29090.260833333301</v>
      </c>
      <c r="AD234" s="711">
        <v>29089.210999999901</v>
      </c>
      <c r="AE234" s="711">
        <v>29088.161166666599</v>
      </c>
      <c r="AF234" s="712">
        <f t="shared" si="7"/>
        <v>29099.91393589737</v>
      </c>
    </row>
    <row r="235" spans="1:32" ht="15.75" thickBot="1">
      <c r="A235" s="584" t="s">
        <v>1983</v>
      </c>
      <c r="B235" s="716">
        <v>670465.42943999998</v>
      </c>
      <c r="C235" s="716">
        <v>670465.42946999997</v>
      </c>
      <c r="D235" s="716">
        <v>670465.42946999997</v>
      </c>
      <c r="E235" s="716">
        <v>666712.92905000004</v>
      </c>
      <c r="F235" s="716">
        <v>666520.38962000003</v>
      </c>
      <c r="G235" s="716">
        <v>666520.38962000003</v>
      </c>
      <c r="H235" s="716">
        <v>661001.35722000001</v>
      </c>
      <c r="I235" s="716">
        <v>661001.35722000001</v>
      </c>
      <c r="J235" s="716">
        <v>661001.35722000001</v>
      </c>
      <c r="K235" s="716">
        <v>676703.100543026</v>
      </c>
      <c r="L235" s="716">
        <v>676703.100543026</v>
      </c>
      <c r="M235" s="716">
        <v>676703.100543026</v>
      </c>
      <c r="N235" s="716">
        <v>672748.40103962703</v>
      </c>
      <c r="O235" s="235">
        <f t="shared" si="6"/>
        <v>669000.9054614387</v>
      </c>
      <c r="P235" s="716">
        <v>672748.40103962703</v>
      </c>
      <c r="Q235" s="716">
        <v>672748.40103962703</v>
      </c>
      <c r="R235" s="716">
        <v>667086.95517681201</v>
      </c>
      <c r="S235" s="716">
        <v>665299.46646221401</v>
      </c>
      <c r="T235" s="716">
        <v>665299.46646221401</v>
      </c>
      <c r="U235" s="716">
        <v>661434.50064555404</v>
      </c>
      <c r="V235" s="716">
        <v>661434.50064555404</v>
      </c>
      <c r="W235" s="716">
        <v>661434.50064555404</v>
      </c>
      <c r="X235" s="716">
        <v>655786.54044762906</v>
      </c>
      <c r="Y235" s="716">
        <v>655786.54044762906</v>
      </c>
      <c r="Z235" s="716">
        <v>655786.54044762906</v>
      </c>
      <c r="AA235" s="716">
        <v>650138.58087069995</v>
      </c>
      <c r="AB235" s="716">
        <v>650138.58087069995</v>
      </c>
      <c r="AC235" s="716">
        <v>650138.58087069995</v>
      </c>
      <c r="AD235" s="716">
        <v>643377.39930144604</v>
      </c>
      <c r="AE235" s="716">
        <v>641212.44996447396</v>
      </c>
      <c r="AF235" s="712">
        <f t="shared" si="7"/>
        <v>655174.43446784595</v>
      </c>
    </row>
    <row r="236" spans="1:32">
      <c r="A236" s="584" t="s">
        <v>1978</v>
      </c>
      <c r="B236" s="711">
        <v>744309.85075999994</v>
      </c>
      <c r="C236" s="711">
        <v>756636.89373000001</v>
      </c>
      <c r="D236" s="711">
        <v>762389.79856999998</v>
      </c>
      <c r="E236" s="711">
        <v>767878.27686999994</v>
      </c>
      <c r="F236" s="711">
        <v>768162.29030999995</v>
      </c>
      <c r="G236" s="711">
        <v>769639.02350000001</v>
      </c>
      <c r="H236" s="711">
        <v>766684.84172000003</v>
      </c>
      <c r="I236" s="711">
        <v>765054.85946639196</v>
      </c>
      <c r="J236" s="711">
        <v>762292.382692624</v>
      </c>
      <c r="K236" s="711">
        <v>774602.490855032</v>
      </c>
      <c r="L236" s="711">
        <v>770830.41467109404</v>
      </c>
      <c r="M236" s="711">
        <v>769473.81625379599</v>
      </c>
      <c r="N236" s="711">
        <v>763002.60580614395</v>
      </c>
      <c r="O236" s="235">
        <f t="shared" si="6"/>
        <v>764689.0419388524</v>
      </c>
      <c r="P236" s="711">
        <v>762780.77745082299</v>
      </c>
      <c r="Q236" s="711">
        <v>759544.58371741103</v>
      </c>
      <c r="R236" s="711">
        <v>750979.16027349106</v>
      </c>
      <c r="S236" s="711">
        <v>747192.31587776903</v>
      </c>
      <c r="T236" s="711">
        <v>744020.32082311902</v>
      </c>
      <c r="U236" s="711">
        <v>739030.594866256</v>
      </c>
      <c r="V236" s="711">
        <v>740265.52698702598</v>
      </c>
      <c r="W236" s="711">
        <v>739703.34868065303</v>
      </c>
      <c r="X236" s="711">
        <v>732143.54008091101</v>
      </c>
      <c r="Y236" s="711">
        <v>728258.15361141402</v>
      </c>
      <c r="Z236" s="711">
        <v>727876.76984175504</v>
      </c>
      <c r="AA236" s="711">
        <v>723087.76444006804</v>
      </c>
      <c r="AB236" s="711">
        <v>724503.33194417099</v>
      </c>
      <c r="AC236" s="711">
        <v>723062.39727333304</v>
      </c>
      <c r="AD236" s="711">
        <v>713966.74719952501</v>
      </c>
      <c r="AE236" s="711">
        <v>711424.34980400198</v>
      </c>
      <c r="AF236" s="712">
        <f t="shared" si="7"/>
        <v>730348.8585715387</v>
      </c>
    </row>
    <row r="237" spans="1:32">
      <c r="A237" s="584"/>
      <c r="B237" s="713"/>
      <c r="C237" s="713"/>
      <c r="D237" s="713"/>
      <c r="E237" s="713"/>
      <c r="F237" s="713"/>
      <c r="G237" s="713"/>
      <c r="H237" s="713"/>
      <c r="I237" s="713"/>
      <c r="J237" s="713"/>
      <c r="K237" s="713"/>
      <c r="L237" s="713"/>
      <c r="M237" s="713"/>
      <c r="N237" s="713"/>
      <c r="O237" s="235">
        <f t="shared" si="6"/>
        <v>0</v>
      </c>
      <c r="P237" s="713"/>
      <c r="Q237" s="713"/>
      <c r="R237" s="713"/>
      <c r="S237" s="713"/>
      <c r="T237" s="713"/>
      <c r="U237" s="713"/>
      <c r="V237" s="713"/>
      <c r="W237" s="713"/>
      <c r="X237" s="713"/>
      <c r="Y237" s="713"/>
      <c r="Z237" s="713"/>
      <c r="AA237" s="713"/>
      <c r="AB237" s="713"/>
      <c r="AC237" s="713"/>
      <c r="AD237" s="713"/>
      <c r="AE237" s="713"/>
      <c r="AF237" s="712">
        <f t="shared" si="7"/>
        <v>0</v>
      </c>
    </row>
    <row r="238" spans="1:32">
      <c r="A238" s="584" t="s">
        <v>1984</v>
      </c>
      <c r="B238" s="713"/>
      <c r="C238" s="713"/>
      <c r="D238" s="713"/>
      <c r="E238" s="713"/>
      <c r="F238" s="713"/>
      <c r="G238" s="713"/>
      <c r="H238" s="713"/>
      <c r="I238" s="713"/>
      <c r="J238" s="713"/>
      <c r="K238" s="713"/>
      <c r="L238" s="713"/>
      <c r="M238" s="713"/>
      <c r="N238" s="713"/>
      <c r="O238" s="235">
        <f t="shared" si="6"/>
        <v>0</v>
      </c>
      <c r="P238" s="713"/>
      <c r="Q238" s="713"/>
      <c r="R238" s="713"/>
      <c r="S238" s="713"/>
      <c r="T238" s="713"/>
      <c r="U238" s="713"/>
      <c r="V238" s="713"/>
      <c r="W238" s="713"/>
      <c r="X238" s="713"/>
      <c r="Y238" s="713"/>
      <c r="Z238" s="713"/>
      <c r="AA238" s="713"/>
      <c r="AB238" s="713"/>
      <c r="AC238" s="713"/>
      <c r="AD238" s="713"/>
      <c r="AE238" s="713"/>
      <c r="AF238" s="712">
        <f t="shared" si="7"/>
        <v>0</v>
      </c>
    </row>
    <row r="239" spans="1:32">
      <c r="A239" s="584" t="s">
        <v>1985</v>
      </c>
      <c r="B239" s="711">
        <v>617.99810000000002</v>
      </c>
      <c r="C239" s="711">
        <v>647.30458999999996</v>
      </c>
      <c r="D239" s="711">
        <v>645.41030000000001</v>
      </c>
      <c r="E239" s="711">
        <v>611.15755999999999</v>
      </c>
      <c r="F239" s="711">
        <v>642.05642999999998</v>
      </c>
      <c r="G239" s="711">
        <v>637.62662</v>
      </c>
      <c r="H239" s="711">
        <v>630.69578000000001</v>
      </c>
      <c r="I239" s="711">
        <v>630.69578000000001</v>
      </c>
      <c r="J239" s="711">
        <v>630.69578000000001</v>
      </c>
      <c r="K239" s="711">
        <v>630.69578000000001</v>
      </c>
      <c r="L239" s="711">
        <v>630.69578000000001</v>
      </c>
      <c r="M239" s="711">
        <v>630.69578000000001</v>
      </c>
      <c r="N239" s="711">
        <v>630.69578000000001</v>
      </c>
      <c r="O239" s="235">
        <f t="shared" si="6"/>
        <v>632.03262000000007</v>
      </c>
      <c r="P239" s="711">
        <v>630.69578000000001</v>
      </c>
      <c r="Q239" s="711">
        <v>630.69578000000001</v>
      </c>
      <c r="R239" s="711">
        <v>630.69578000000001</v>
      </c>
      <c r="S239" s="711">
        <v>630.69578000000001</v>
      </c>
      <c r="T239" s="711">
        <v>630.69578000000001</v>
      </c>
      <c r="U239" s="711">
        <v>630.69578000000001</v>
      </c>
      <c r="V239" s="711">
        <v>630.69578000000001</v>
      </c>
      <c r="W239" s="711">
        <v>630.69578000000001</v>
      </c>
      <c r="X239" s="711">
        <v>630.69578000000001</v>
      </c>
      <c r="Y239" s="711">
        <v>630.69578000000001</v>
      </c>
      <c r="Z239" s="711">
        <v>630.69578000000001</v>
      </c>
      <c r="AA239" s="711">
        <v>630.69578000000001</v>
      </c>
      <c r="AB239" s="711">
        <v>630.69578000000001</v>
      </c>
      <c r="AC239" s="711">
        <v>630.69578000000001</v>
      </c>
      <c r="AD239" s="711">
        <v>630.69578000000001</v>
      </c>
      <c r="AE239" s="711">
        <v>630.69578000000001</v>
      </c>
      <c r="AF239" s="712">
        <f t="shared" si="7"/>
        <v>630.69578000000001</v>
      </c>
    </row>
    <row r="240" spans="1:32" ht="15.75" thickBot="1">
      <c r="A240" s="584" t="s">
        <v>1986</v>
      </c>
      <c r="B240" s="716">
        <v>224.19782000000001</v>
      </c>
      <c r="C240" s="716">
        <v>231.52020999999999</v>
      </c>
      <c r="D240" s="716">
        <v>361.32134000000002</v>
      </c>
      <c r="E240" s="716">
        <v>342.01916999999997</v>
      </c>
      <c r="F240" s="716">
        <v>384.59408999999999</v>
      </c>
      <c r="G240" s="716">
        <v>340.38344999999998</v>
      </c>
      <c r="H240" s="716">
        <v>350.28559000000001</v>
      </c>
      <c r="I240" s="716">
        <v>350.28559000000001</v>
      </c>
      <c r="J240" s="716">
        <v>350.28559000000001</v>
      </c>
      <c r="K240" s="716">
        <v>350.28559000000001</v>
      </c>
      <c r="L240" s="716">
        <v>350.28559000000001</v>
      </c>
      <c r="M240" s="716">
        <v>350.28559000000001</v>
      </c>
      <c r="N240" s="716">
        <v>350.28559000000001</v>
      </c>
      <c r="O240" s="235">
        <f t="shared" si="6"/>
        <v>333.54117000000002</v>
      </c>
      <c r="P240" s="716">
        <v>350.28559000000001</v>
      </c>
      <c r="Q240" s="716">
        <v>350.28559000000001</v>
      </c>
      <c r="R240" s="716">
        <v>350.28559000000001</v>
      </c>
      <c r="S240" s="716">
        <v>350.28559000000001</v>
      </c>
      <c r="T240" s="716">
        <v>350.28559000000001</v>
      </c>
      <c r="U240" s="716">
        <v>350.28559000000001</v>
      </c>
      <c r="V240" s="716">
        <v>350.28559000000001</v>
      </c>
      <c r="W240" s="716">
        <v>350.28559000000001</v>
      </c>
      <c r="X240" s="716">
        <v>350.28559000000001</v>
      </c>
      <c r="Y240" s="716">
        <v>350.28559000000001</v>
      </c>
      <c r="Z240" s="716">
        <v>350.28559000000001</v>
      </c>
      <c r="AA240" s="716">
        <v>350.28559000000001</v>
      </c>
      <c r="AB240" s="716">
        <v>350.28559000000001</v>
      </c>
      <c r="AC240" s="716">
        <v>350.28559000000001</v>
      </c>
      <c r="AD240" s="716">
        <v>350.28559000000001</v>
      </c>
      <c r="AE240" s="716">
        <v>350.28559000000001</v>
      </c>
      <c r="AF240" s="712">
        <f t="shared" si="7"/>
        <v>350.28559000000007</v>
      </c>
    </row>
    <row r="241" spans="1:32">
      <c r="A241" s="584" t="s">
        <v>1984</v>
      </c>
      <c r="B241" s="711">
        <v>842.19592</v>
      </c>
      <c r="C241" s="711">
        <v>878.82479999999998</v>
      </c>
      <c r="D241" s="711">
        <v>1006.73164</v>
      </c>
      <c r="E241" s="711">
        <v>953.176729999999</v>
      </c>
      <c r="F241" s="711">
        <v>1026.6505199999999</v>
      </c>
      <c r="G241" s="711">
        <v>978.01007000000004</v>
      </c>
      <c r="H241" s="711">
        <v>980.98136999999997</v>
      </c>
      <c r="I241" s="711">
        <v>980.98136999999997</v>
      </c>
      <c r="J241" s="711">
        <v>980.98136999999997</v>
      </c>
      <c r="K241" s="711">
        <v>980.98136999999997</v>
      </c>
      <c r="L241" s="711">
        <v>980.98136999999997</v>
      </c>
      <c r="M241" s="711">
        <v>980.98136999999997</v>
      </c>
      <c r="N241" s="711">
        <v>980.98136999999997</v>
      </c>
      <c r="O241" s="235">
        <f t="shared" si="6"/>
        <v>965.57378999999969</v>
      </c>
      <c r="P241" s="711">
        <v>980.98136999999997</v>
      </c>
      <c r="Q241" s="711">
        <v>980.98136999999997</v>
      </c>
      <c r="R241" s="711">
        <v>980.98136999999997</v>
      </c>
      <c r="S241" s="711">
        <v>980.98136999999997</v>
      </c>
      <c r="T241" s="711">
        <v>980.98136999999997</v>
      </c>
      <c r="U241" s="711">
        <v>980.98136999999997</v>
      </c>
      <c r="V241" s="711">
        <v>980.98136999999997</v>
      </c>
      <c r="W241" s="711">
        <v>980.98136999999997</v>
      </c>
      <c r="X241" s="711">
        <v>980.98136999999997</v>
      </c>
      <c r="Y241" s="711">
        <v>980.98136999999997</v>
      </c>
      <c r="Z241" s="711">
        <v>980.98136999999997</v>
      </c>
      <c r="AA241" s="711">
        <v>980.98136999999997</v>
      </c>
      <c r="AB241" s="711">
        <v>980.98136999999997</v>
      </c>
      <c r="AC241" s="711">
        <v>980.98136999999997</v>
      </c>
      <c r="AD241" s="711">
        <v>980.98136999999997</v>
      </c>
      <c r="AE241" s="711">
        <v>980.98136999999997</v>
      </c>
      <c r="AF241" s="712">
        <f t="shared" si="7"/>
        <v>980.98136999999963</v>
      </c>
    </row>
    <row r="242" spans="1:32">
      <c r="A242" s="584" t="s">
        <v>1987</v>
      </c>
      <c r="B242" s="713"/>
      <c r="C242" s="713"/>
      <c r="D242" s="713"/>
      <c r="E242" s="713"/>
      <c r="F242" s="713"/>
      <c r="G242" s="713"/>
      <c r="H242" s="713"/>
      <c r="I242" s="713"/>
      <c r="J242" s="713"/>
      <c r="K242" s="713"/>
      <c r="L242" s="713"/>
      <c r="M242" s="713"/>
      <c r="N242" s="713"/>
      <c r="O242" s="235">
        <f t="shared" si="6"/>
        <v>0</v>
      </c>
      <c r="P242" s="713"/>
      <c r="Q242" s="713"/>
      <c r="R242" s="713"/>
      <c r="S242" s="713"/>
      <c r="T242" s="713"/>
      <c r="U242" s="713"/>
      <c r="V242" s="713"/>
      <c r="W242" s="713"/>
      <c r="X242" s="713"/>
      <c r="Y242" s="713"/>
      <c r="Z242" s="713"/>
      <c r="AA242" s="713"/>
      <c r="AB242" s="713"/>
      <c r="AC242" s="713"/>
      <c r="AD242" s="713"/>
      <c r="AE242" s="713"/>
      <c r="AF242" s="712">
        <f t="shared" si="7"/>
        <v>0</v>
      </c>
    </row>
    <row r="243" spans="1:32">
      <c r="A243" s="584" t="s">
        <v>1988</v>
      </c>
      <c r="B243" s="713"/>
      <c r="C243" s="713"/>
      <c r="D243" s="713"/>
      <c r="E243" s="713"/>
      <c r="F243" s="713"/>
      <c r="G243" s="713"/>
      <c r="H243" s="713"/>
      <c r="I243" s="713"/>
      <c r="J243" s="713"/>
      <c r="K243" s="713"/>
      <c r="L243" s="713"/>
      <c r="M243" s="713"/>
      <c r="N243" s="713"/>
      <c r="O243" s="235">
        <f t="shared" si="6"/>
        <v>0</v>
      </c>
      <c r="P243" s="713"/>
      <c r="Q243" s="713"/>
      <c r="R243" s="713"/>
      <c r="S243" s="713"/>
      <c r="T243" s="713"/>
      <c r="U243" s="713"/>
      <c r="V243" s="713"/>
      <c r="W243" s="713"/>
      <c r="X243" s="713"/>
      <c r="Y243" s="713"/>
      <c r="Z243" s="713"/>
      <c r="AA243" s="713"/>
      <c r="AB243" s="713"/>
      <c r="AC243" s="713"/>
      <c r="AD243" s="713"/>
      <c r="AE243" s="713"/>
      <c r="AF243" s="712">
        <f t="shared" si="7"/>
        <v>0</v>
      </c>
    </row>
    <row r="244" spans="1:32">
      <c r="A244" s="584" t="s">
        <v>1989</v>
      </c>
      <c r="B244" s="711">
        <v>174523.65569000001</v>
      </c>
      <c r="C244" s="711">
        <v>173981.24835000001</v>
      </c>
      <c r="D244" s="711">
        <v>173874.69675999999</v>
      </c>
      <c r="E244" s="711">
        <v>157715.95746000001</v>
      </c>
      <c r="F244" s="711">
        <v>160775.84112999999</v>
      </c>
      <c r="G244" s="711">
        <v>159114.43192999999</v>
      </c>
      <c r="H244" s="711">
        <v>153454.93338999999</v>
      </c>
      <c r="I244" s="711">
        <v>150036.43866000001</v>
      </c>
      <c r="J244" s="711">
        <v>146832.23155</v>
      </c>
      <c r="K244" s="711">
        <v>144241.40888</v>
      </c>
      <c r="L244" s="711">
        <v>140048.86781</v>
      </c>
      <c r="M244" s="711">
        <v>136684.49356</v>
      </c>
      <c r="N244" s="711">
        <v>129249.65695999999</v>
      </c>
      <c r="O244" s="235">
        <f t="shared" si="6"/>
        <v>153887.22016384616</v>
      </c>
      <c r="P244" s="711">
        <v>128098.12959</v>
      </c>
      <c r="Q244" s="711">
        <v>126089.21670999999</v>
      </c>
      <c r="R244" s="711">
        <v>122821.73348</v>
      </c>
      <c r="S244" s="711">
        <v>119520.97527</v>
      </c>
      <c r="T244" s="711">
        <v>116778.87735</v>
      </c>
      <c r="U244" s="711">
        <v>112184.85916000001</v>
      </c>
      <c r="V244" s="711">
        <v>108076.12815</v>
      </c>
      <c r="W244" s="711">
        <v>103761.00986999999</v>
      </c>
      <c r="X244" s="711">
        <v>100603.82786999999</v>
      </c>
      <c r="Y244" s="711">
        <v>97796.583859999999</v>
      </c>
      <c r="Z244" s="711">
        <v>95287.893549999993</v>
      </c>
      <c r="AA244" s="711">
        <v>90776.330830000006</v>
      </c>
      <c r="AB244" s="711">
        <v>88701.479550000004</v>
      </c>
      <c r="AC244" s="711">
        <v>86629.364690000002</v>
      </c>
      <c r="AD244" s="711">
        <v>84059.758919999993</v>
      </c>
      <c r="AE244" s="711">
        <v>79739.473379999996</v>
      </c>
      <c r="AF244" s="712">
        <f t="shared" si="7"/>
        <v>98762.812496153856</v>
      </c>
    </row>
    <row r="245" spans="1:32" ht="15.75" thickBot="1">
      <c r="A245" s="584" t="s">
        <v>1990</v>
      </c>
      <c r="B245" s="716">
        <v>60404.897440000001</v>
      </c>
      <c r="C245" s="716">
        <v>60404.897440000001</v>
      </c>
      <c r="D245" s="716">
        <v>60404.897440000001</v>
      </c>
      <c r="E245" s="716">
        <v>71693.907370000001</v>
      </c>
      <c r="F245" s="716">
        <v>71693.907370000001</v>
      </c>
      <c r="G245" s="716">
        <v>71693.907370000001</v>
      </c>
      <c r="H245" s="716">
        <v>66932.300600000002</v>
      </c>
      <c r="I245" s="716">
        <v>66932.300600000002</v>
      </c>
      <c r="J245" s="716">
        <v>66932.300600000002</v>
      </c>
      <c r="K245" s="716">
        <v>66932.300600000002</v>
      </c>
      <c r="L245" s="716">
        <v>66932.300600000002</v>
      </c>
      <c r="M245" s="716">
        <v>66932.300600000002</v>
      </c>
      <c r="N245" s="716">
        <v>66932.300600000002</v>
      </c>
      <c r="O245" s="235">
        <f t="shared" si="6"/>
        <v>66524.809125384607</v>
      </c>
      <c r="P245" s="716">
        <v>66932.300600000002</v>
      </c>
      <c r="Q245" s="716">
        <v>66932.300600000002</v>
      </c>
      <c r="R245" s="716">
        <v>66932.300600000002</v>
      </c>
      <c r="S245" s="716">
        <v>66932.300600000002</v>
      </c>
      <c r="T245" s="716">
        <v>66932.300600000002</v>
      </c>
      <c r="U245" s="716">
        <v>66932.300600000002</v>
      </c>
      <c r="V245" s="716">
        <v>66932.300600000002</v>
      </c>
      <c r="W245" s="716">
        <v>66932.300600000002</v>
      </c>
      <c r="X245" s="716">
        <v>66932.300600000002</v>
      </c>
      <c r="Y245" s="716">
        <v>66932.300600000002</v>
      </c>
      <c r="Z245" s="716">
        <v>66932.300600000002</v>
      </c>
      <c r="AA245" s="716">
        <v>66932.300600000002</v>
      </c>
      <c r="AB245" s="716">
        <v>66932.300600000002</v>
      </c>
      <c r="AC245" s="716">
        <v>66932.300600000002</v>
      </c>
      <c r="AD245" s="716">
        <v>66932.300600000002</v>
      </c>
      <c r="AE245" s="716">
        <v>66932.300600000002</v>
      </c>
      <c r="AF245" s="712">
        <f t="shared" si="7"/>
        <v>66932.300599999988</v>
      </c>
    </row>
    <row r="246" spans="1:32">
      <c r="A246" s="584" t="s">
        <v>1988</v>
      </c>
      <c r="B246" s="711">
        <v>234928.55312999999</v>
      </c>
      <c r="C246" s="711">
        <v>234386.14579000001</v>
      </c>
      <c r="D246" s="711">
        <v>234279.59419999999</v>
      </c>
      <c r="E246" s="711">
        <v>229409.86483000001</v>
      </c>
      <c r="F246" s="711">
        <v>232469.74849999999</v>
      </c>
      <c r="G246" s="711">
        <v>230808.33929999999</v>
      </c>
      <c r="H246" s="711">
        <v>220387.23398999899</v>
      </c>
      <c r="I246" s="711">
        <v>216968.73926</v>
      </c>
      <c r="J246" s="711">
        <v>213764.532149999</v>
      </c>
      <c r="K246" s="711">
        <v>211173.70947999999</v>
      </c>
      <c r="L246" s="711">
        <v>206981.16841000001</v>
      </c>
      <c r="M246" s="711">
        <v>203616.79415999999</v>
      </c>
      <c r="N246" s="711">
        <v>196181.95756000001</v>
      </c>
      <c r="O246" s="235">
        <f t="shared" si="6"/>
        <v>220412.02928923065</v>
      </c>
      <c r="P246" s="711">
        <v>195030.43019000001</v>
      </c>
      <c r="Q246" s="711">
        <v>193021.51731</v>
      </c>
      <c r="R246" s="711">
        <v>189754.03408000001</v>
      </c>
      <c r="S246" s="711">
        <v>186453.27587000001</v>
      </c>
      <c r="T246" s="711">
        <v>183711.17795000001</v>
      </c>
      <c r="U246" s="711">
        <v>179117.15976000001</v>
      </c>
      <c r="V246" s="711">
        <v>175008.42874999999</v>
      </c>
      <c r="W246" s="711">
        <v>170693.31047</v>
      </c>
      <c r="X246" s="711">
        <v>167536.12847</v>
      </c>
      <c r="Y246" s="711">
        <v>164728.88446</v>
      </c>
      <c r="Z246" s="711">
        <v>162220.19415</v>
      </c>
      <c r="AA246" s="711">
        <v>157708.63143000001</v>
      </c>
      <c r="AB246" s="711">
        <v>155633.78015000001</v>
      </c>
      <c r="AC246" s="711">
        <v>153561.66529</v>
      </c>
      <c r="AD246" s="711">
        <v>150992.05952000001</v>
      </c>
      <c r="AE246" s="711">
        <v>146671.77398</v>
      </c>
      <c r="AF246" s="712">
        <f t="shared" si="7"/>
        <v>165695.11309615386</v>
      </c>
    </row>
    <row r="247" spans="1:32">
      <c r="A247" s="584"/>
      <c r="B247" s="713"/>
      <c r="C247" s="713"/>
      <c r="D247" s="713"/>
      <c r="E247" s="713"/>
      <c r="F247" s="713"/>
      <c r="G247" s="713"/>
      <c r="H247" s="713"/>
      <c r="I247" s="713"/>
      <c r="J247" s="713"/>
      <c r="K247" s="713"/>
      <c r="L247" s="713"/>
      <c r="M247" s="713"/>
      <c r="N247" s="713"/>
      <c r="O247" s="235">
        <f t="shared" si="6"/>
        <v>0</v>
      </c>
      <c r="P247" s="713"/>
      <c r="Q247" s="713"/>
      <c r="R247" s="713"/>
      <c r="S247" s="713"/>
      <c r="T247" s="713"/>
      <c r="U247" s="713"/>
      <c r="V247" s="713"/>
      <c r="W247" s="713"/>
      <c r="X247" s="713"/>
      <c r="Y247" s="713"/>
      <c r="Z247" s="713"/>
      <c r="AA247" s="713"/>
      <c r="AB247" s="713"/>
      <c r="AC247" s="713"/>
      <c r="AD247" s="713"/>
      <c r="AE247" s="713"/>
      <c r="AF247" s="712">
        <f t="shared" si="7"/>
        <v>0</v>
      </c>
    </row>
    <row r="248" spans="1:32">
      <c r="A248" s="584" t="s">
        <v>1991</v>
      </c>
      <c r="B248" s="713"/>
      <c r="C248" s="713"/>
      <c r="D248" s="713"/>
      <c r="E248" s="713"/>
      <c r="F248" s="713"/>
      <c r="G248" s="713"/>
      <c r="H248" s="713"/>
      <c r="I248" s="713"/>
      <c r="J248" s="713"/>
      <c r="K248" s="713"/>
      <c r="L248" s="713"/>
      <c r="M248" s="713"/>
      <c r="N248" s="713"/>
      <c r="O248" s="235">
        <f t="shared" si="6"/>
        <v>0</v>
      </c>
      <c r="P248" s="713"/>
      <c r="Q248" s="713"/>
      <c r="R248" s="713"/>
      <c r="S248" s="713"/>
      <c r="T248" s="713"/>
      <c r="U248" s="713"/>
      <c r="V248" s="713"/>
      <c r="W248" s="713"/>
      <c r="X248" s="713"/>
      <c r="Y248" s="713"/>
      <c r="Z248" s="713"/>
      <c r="AA248" s="713"/>
      <c r="AB248" s="713"/>
      <c r="AC248" s="713"/>
      <c r="AD248" s="713"/>
      <c r="AE248" s="713"/>
      <c r="AF248" s="712">
        <f t="shared" si="7"/>
        <v>0</v>
      </c>
    </row>
    <row r="249" spans="1:32">
      <c r="A249" s="584" t="s">
        <v>1992</v>
      </c>
      <c r="B249" s="711">
        <v>0</v>
      </c>
      <c r="C249" s="711">
        <v>2592.8223199999902</v>
      </c>
      <c r="D249" s="711">
        <v>3424.8079200000002</v>
      </c>
      <c r="E249" s="711">
        <v>481.53505000000001</v>
      </c>
      <c r="F249" s="711">
        <v>753.32533000000001</v>
      </c>
      <c r="G249" s="711">
        <v>1462.6456599999999</v>
      </c>
      <c r="H249" s="711">
        <v>371.63267000000002</v>
      </c>
      <c r="I249" s="711">
        <v>371.63267000000002</v>
      </c>
      <c r="J249" s="711">
        <v>371.63267000000002</v>
      </c>
      <c r="K249" s="711">
        <v>371.63267000000002</v>
      </c>
      <c r="L249" s="711">
        <v>371.63267000000002</v>
      </c>
      <c r="M249" s="711">
        <v>371.63267000000002</v>
      </c>
      <c r="N249" s="711">
        <v>371.63267000000002</v>
      </c>
      <c r="O249" s="235">
        <f t="shared" si="6"/>
        <v>870.50499769230737</v>
      </c>
      <c r="P249" s="711">
        <v>371.63267000000002</v>
      </c>
      <c r="Q249" s="711">
        <v>371.63267000000002</v>
      </c>
      <c r="R249" s="711">
        <v>371.63267000000002</v>
      </c>
      <c r="S249" s="711">
        <v>371.63267000000002</v>
      </c>
      <c r="T249" s="711">
        <v>371.63267000000002</v>
      </c>
      <c r="U249" s="711">
        <v>371.63267000000002</v>
      </c>
      <c r="V249" s="711">
        <v>371.63267000000002</v>
      </c>
      <c r="W249" s="711">
        <v>371.63267000000002</v>
      </c>
      <c r="X249" s="711">
        <v>371.63267000000002</v>
      </c>
      <c r="Y249" s="711">
        <v>371.63267000000002</v>
      </c>
      <c r="Z249" s="711">
        <v>371.63267000000002</v>
      </c>
      <c r="AA249" s="711">
        <v>371.63267000000002</v>
      </c>
      <c r="AB249" s="711">
        <v>371.63267000000002</v>
      </c>
      <c r="AC249" s="711">
        <v>371.63267000000002</v>
      </c>
      <c r="AD249" s="711">
        <v>371.63267000000002</v>
      </c>
      <c r="AE249" s="711">
        <v>371.63267000000002</v>
      </c>
      <c r="AF249" s="712">
        <f t="shared" si="7"/>
        <v>371.63267000000002</v>
      </c>
    </row>
    <row r="250" spans="1:32">
      <c r="A250" s="584" t="s">
        <v>1993</v>
      </c>
      <c r="B250" s="711">
        <v>1381.94138</v>
      </c>
      <c r="C250" s="711">
        <v>1378.75332999999</v>
      </c>
      <c r="D250" s="711">
        <v>1374.0822900000001</v>
      </c>
      <c r="E250" s="711">
        <v>1377.0017700000001</v>
      </c>
      <c r="F250" s="711">
        <v>1373.7919300000001</v>
      </c>
      <c r="G250" s="711">
        <v>1371.4704300000001</v>
      </c>
      <c r="H250" s="711">
        <v>1368.3264200000001</v>
      </c>
      <c r="I250" s="711">
        <v>1368.3264200000001</v>
      </c>
      <c r="J250" s="711">
        <v>1368.3264200000001</v>
      </c>
      <c r="K250" s="711">
        <v>1368.3264200000001</v>
      </c>
      <c r="L250" s="711">
        <v>1368.3264200000001</v>
      </c>
      <c r="M250" s="711">
        <v>1368.3264200000001</v>
      </c>
      <c r="N250" s="711">
        <v>1368.3264200000001</v>
      </c>
      <c r="O250" s="235">
        <f t="shared" si="6"/>
        <v>1371.9481592307684</v>
      </c>
      <c r="P250" s="711">
        <v>1368.3264200000001</v>
      </c>
      <c r="Q250" s="711">
        <v>1368.3264200000001</v>
      </c>
      <c r="R250" s="711">
        <v>1368.3264200000001</v>
      </c>
      <c r="S250" s="711">
        <v>1368.3264200000001</v>
      </c>
      <c r="T250" s="711">
        <v>1368.3264200000001</v>
      </c>
      <c r="U250" s="711">
        <v>1368.3264200000001</v>
      </c>
      <c r="V250" s="711">
        <v>1368.3264200000001</v>
      </c>
      <c r="W250" s="711">
        <v>1368.3264200000001</v>
      </c>
      <c r="X250" s="711">
        <v>1368.3264200000001</v>
      </c>
      <c r="Y250" s="711">
        <v>1368.3264200000001</v>
      </c>
      <c r="Z250" s="711">
        <v>1368.3264200000001</v>
      </c>
      <c r="AA250" s="711">
        <v>1368.3264200000001</v>
      </c>
      <c r="AB250" s="711">
        <v>1368.3264200000001</v>
      </c>
      <c r="AC250" s="711">
        <v>1368.3264200000001</v>
      </c>
      <c r="AD250" s="711">
        <v>1368.3264200000001</v>
      </c>
      <c r="AE250" s="711">
        <v>1368.3264200000001</v>
      </c>
      <c r="AF250" s="712">
        <f t="shared" si="7"/>
        <v>1368.3264199999999</v>
      </c>
    </row>
    <row r="251" spans="1:32">
      <c r="A251" s="584" t="s">
        <v>1994</v>
      </c>
      <c r="B251" s="711">
        <v>0</v>
      </c>
      <c r="C251" s="711">
        <v>0</v>
      </c>
      <c r="D251" s="711">
        <v>0</v>
      </c>
      <c r="E251" s="711">
        <v>0</v>
      </c>
      <c r="F251" s="711">
        <v>0</v>
      </c>
      <c r="G251" s="711">
        <v>0</v>
      </c>
      <c r="H251" s="711">
        <v>0</v>
      </c>
      <c r="I251" s="711">
        <v>0</v>
      </c>
      <c r="J251" s="711">
        <v>0</v>
      </c>
      <c r="K251" s="711">
        <v>0</v>
      </c>
      <c r="L251" s="711">
        <v>0</v>
      </c>
      <c r="M251" s="711">
        <v>0</v>
      </c>
      <c r="N251" s="711">
        <v>0</v>
      </c>
      <c r="O251" s="235">
        <f t="shared" si="6"/>
        <v>0</v>
      </c>
      <c r="P251" s="711">
        <v>0</v>
      </c>
      <c r="Q251" s="711">
        <v>0</v>
      </c>
      <c r="R251" s="711">
        <v>0</v>
      </c>
      <c r="S251" s="711">
        <v>0</v>
      </c>
      <c r="T251" s="711">
        <v>0</v>
      </c>
      <c r="U251" s="711">
        <v>0</v>
      </c>
      <c r="V251" s="711">
        <v>0</v>
      </c>
      <c r="W251" s="711">
        <v>0</v>
      </c>
      <c r="X251" s="711">
        <v>0</v>
      </c>
      <c r="Y251" s="711">
        <v>0</v>
      </c>
      <c r="Z251" s="711">
        <v>0</v>
      </c>
      <c r="AA251" s="711">
        <v>0</v>
      </c>
      <c r="AB251" s="711">
        <v>0</v>
      </c>
      <c r="AC251" s="711">
        <v>0</v>
      </c>
      <c r="AD251" s="711">
        <v>0</v>
      </c>
      <c r="AE251" s="711">
        <v>0</v>
      </c>
      <c r="AF251" s="712">
        <f t="shared" si="7"/>
        <v>0</v>
      </c>
    </row>
    <row r="252" spans="1:32" ht="15.75" thickBot="1">
      <c r="A252" s="584" t="s">
        <v>2526</v>
      </c>
      <c r="B252" s="716">
        <v>0</v>
      </c>
      <c r="C252" s="716">
        <v>0</v>
      </c>
      <c r="D252" s="716">
        <v>0</v>
      </c>
      <c r="E252" s="716">
        <v>0</v>
      </c>
      <c r="F252" s="716">
        <v>0</v>
      </c>
      <c r="G252" s="716">
        <v>0</v>
      </c>
      <c r="H252" s="716">
        <v>19216.094000000001</v>
      </c>
      <c r="I252" s="716">
        <v>19216.094000000001</v>
      </c>
      <c r="J252" s="716">
        <v>19216.094000000001</v>
      </c>
      <c r="K252" s="716">
        <v>0</v>
      </c>
      <c r="L252" s="716">
        <v>0</v>
      </c>
      <c r="M252" s="716">
        <v>0</v>
      </c>
      <c r="N252" s="716">
        <v>0</v>
      </c>
      <c r="O252" s="235">
        <f t="shared" si="6"/>
        <v>4434.4832307692313</v>
      </c>
      <c r="P252" s="716">
        <v>0</v>
      </c>
      <c r="Q252" s="716">
        <v>0</v>
      </c>
      <c r="R252" s="716">
        <v>0</v>
      </c>
      <c r="S252" s="716">
        <v>0</v>
      </c>
      <c r="T252" s="716">
        <v>0</v>
      </c>
      <c r="U252" s="716">
        <v>0</v>
      </c>
      <c r="V252" s="716">
        <v>0</v>
      </c>
      <c r="W252" s="716">
        <v>0</v>
      </c>
      <c r="X252" s="716">
        <v>0</v>
      </c>
      <c r="Y252" s="716">
        <v>0</v>
      </c>
      <c r="Z252" s="716">
        <v>0</v>
      </c>
      <c r="AA252" s="716">
        <v>0</v>
      </c>
      <c r="AB252" s="716">
        <v>0</v>
      </c>
      <c r="AC252" s="716">
        <v>0</v>
      </c>
      <c r="AD252" s="716">
        <v>0</v>
      </c>
      <c r="AE252" s="716">
        <v>0</v>
      </c>
      <c r="AF252" s="712">
        <f t="shared" si="7"/>
        <v>0</v>
      </c>
    </row>
    <row r="253" spans="1:32">
      <c r="A253" s="584" t="s">
        <v>1991</v>
      </c>
      <c r="B253" s="711">
        <v>1381.94138</v>
      </c>
      <c r="C253" s="711">
        <v>3971.5756499999902</v>
      </c>
      <c r="D253" s="711">
        <v>4798.8902099999996</v>
      </c>
      <c r="E253" s="711">
        <v>1858.53682</v>
      </c>
      <c r="F253" s="711">
        <v>2127.11726</v>
      </c>
      <c r="G253" s="711">
        <v>2834.11609</v>
      </c>
      <c r="H253" s="711">
        <v>20956.053090000001</v>
      </c>
      <c r="I253" s="711">
        <v>20956.053090000001</v>
      </c>
      <c r="J253" s="711">
        <v>20956.053090000001</v>
      </c>
      <c r="K253" s="711">
        <v>1739.9590900000001</v>
      </c>
      <c r="L253" s="711">
        <v>1739.9590900000001</v>
      </c>
      <c r="M253" s="711">
        <v>1739.9590900000001</v>
      </c>
      <c r="N253" s="711">
        <v>1739.9590900000001</v>
      </c>
      <c r="O253" s="235">
        <f t="shared" si="6"/>
        <v>6676.936387692308</v>
      </c>
      <c r="P253" s="711">
        <v>1739.9590900000001</v>
      </c>
      <c r="Q253" s="711">
        <v>1739.9590900000001</v>
      </c>
      <c r="R253" s="711">
        <v>1739.9590900000001</v>
      </c>
      <c r="S253" s="711">
        <v>1739.9590900000001</v>
      </c>
      <c r="T253" s="711">
        <v>1739.9590900000001</v>
      </c>
      <c r="U253" s="711">
        <v>1739.9590900000001</v>
      </c>
      <c r="V253" s="711">
        <v>1739.9590900000001</v>
      </c>
      <c r="W253" s="711">
        <v>1739.9590900000001</v>
      </c>
      <c r="X253" s="711">
        <v>1739.9590900000001</v>
      </c>
      <c r="Y253" s="711">
        <v>1739.9590900000001</v>
      </c>
      <c r="Z253" s="711">
        <v>1739.9590900000001</v>
      </c>
      <c r="AA253" s="711">
        <v>1739.9590900000001</v>
      </c>
      <c r="AB253" s="711">
        <v>1739.9590900000001</v>
      </c>
      <c r="AC253" s="711">
        <v>1739.9590900000001</v>
      </c>
      <c r="AD253" s="711">
        <v>1739.9590900000001</v>
      </c>
      <c r="AE253" s="711">
        <v>1739.9590900000001</v>
      </c>
      <c r="AF253" s="712">
        <f t="shared" si="7"/>
        <v>1739.9590900000001</v>
      </c>
    </row>
    <row r="254" spans="1:32">
      <c r="A254" s="584"/>
      <c r="B254" s="713"/>
      <c r="C254" s="713"/>
      <c r="D254" s="713"/>
      <c r="E254" s="713"/>
      <c r="F254" s="713"/>
      <c r="G254" s="713"/>
      <c r="H254" s="713"/>
      <c r="I254" s="713"/>
      <c r="J254" s="713"/>
      <c r="K254" s="713"/>
      <c r="L254" s="713"/>
      <c r="M254" s="713"/>
      <c r="N254" s="713"/>
      <c r="O254" s="235">
        <f t="shared" si="6"/>
        <v>0</v>
      </c>
      <c r="P254" s="713"/>
      <c r="Q254" s="713"/>
      <c r="R254" s="713"/>
      <c r="S254" s="713"/>
      <c r="T254" s="713"/>
      <c r="U254" s="713"/>
      <c r="V254" s="713"/>
      <c r="W254" s="713"/>
      <c r="X254" s="713"/>
      <c r="Y254" s="713"/>
      <c r="Z254" s="713"/>
      <c r="AA254" s="713"/>
      <c r="AB254" s="713"/>
      <c r="AC254" s="713"/>
      <c r="AD254" s="713"/>
      <c r="AE254" s="713"/>
      <c r="AF254" s="712">
        <f t="shared" si="7"/>
        <v>0</v>
      </c>
    </row>
    <row r="255" spans="1:32">
      <c r="A255" s="584" t="s">
        <v>1995</v>
      </c>
      <c r="B255" s="713"/>
      <c r="C255" s="713"/>
      <c r="D255" s="713"/>
      <c r="E255" s="713"/>
      <c r="F255" s="713"/>
      <c r="G255" s="713"/>
      <c r="H255" s="713"/>
      <c r="I255" s="713"/>
      <c r="J255" s="713"/>
      <c r="K255" s="713"/>
      <c r="L255" s="713"/>
      <c r="M255" s="713"/>
      <c r="N255" s="713"/>
      <c r="O255" s="235">
        <f t="shared" si="6"/>
        <v>0</v>
      </c>
      <c r="P255" s="713"/>
      <c r="Q255" s="713"/>
      <c r="R255" s="713"/>
      <c r="S255" s="713"/>
      <c r="T255" s="713"/>
      <c r="U255" s="713"/>
      <c r="V255" s="713"/>
      <c r="W255" s="713"/>
      <c r="X255" s="713"/>
      <c r="Y255" s="713"/>
      <c r="Z255" s="713"/>
      <c r="AA255" s="713"/>
      <c r="AB255" s="713"/>
      <c r="AC255" s="713"/>
      <c r="AD255" s="713"/>
      <c r="AE255" s="713"/>
      <c r="AF255" s="712">
        <f t="shared" si="7"/>
        <v>0</v>
      </c>
    </row>
    <row r="256" spans="1:32">
      <c r="A256" s="584" t="s">
        <v>1996</v>
      </c>
      <c r="B256" s="711">
        <v>587.39135999999996</v>
      </c>
      <c r="C256" s="711">
        <v>587.39135999999996</v>
      </c>
      <c r="D256" s="711">
        <v>587.39135999999996</v>
      </c>
      <c r="E256" s="711">
        <v>661.98959000000002</v>
      </c>
      <c r="F256" s="711">
        <v>661.98959000000002</v>
      </c>
      <c r="G256" s="711">
        <v>661.98959000000002</v>
      </c>
      <c r="H256" s="711">
        <v>641.42958999999996</v>
      </c>
      <c r="I256" s="711">
        <v>641.42958999999996</v>
      </c>
      <c r="J256" s="711">
        <v>641.42958999999996</v>
      </c>
      <c r="K256" s="711">
        <v>641.42958999999996</v>
      </c>
      <c r="L256" s="711">
        <v>641.42958999999996</v>
      </c>
      <c r="M256" s="711">
        <v>641.42958999999996</v>
      </c>
      <c r="N256" s="711">
        <v>641.42958999999996</v>
      </c>
      <c r="O256" s="235">
        <f t="shared" si="6"/>
        <v>633.70384461538447</v>
      </c>
      <c r="P256" s="711">
        <v>641.42958999999996</v>
      </c>
      <c r="Q256" s="711">
        <v>641.42958999999996</v>
      </c>
      <c r="R256" s="711">
        <v>641.42958999999996</v>
      </c>
      <c r="S256" s="711">
        <v>641.42958999999996</v>
      </c>
      <c r="T256" s="711">
        <v>641.42958999999996</v>
      </c>
      <c r="U256" s="711">
        <v>641.42958999999996</v>
      </c>
      <c r="V256" s="711">
        <v>641.42958999999996</v>
      </c>
      <c r="W256" s="711">
        <v>641.42958999999996</v>
      </c>
      <c r="X256" s="711">
        <v>641.42958999999996</v>
      </c>
      <c r="Y256" s="711">
        <v>641.42958999999996</v>
      </c>
      <c r="Z256" s="711">
        <v>641.42958999999996</v>
      </c>
      <c r="AA256" s="711">
        <v>641.42958999999996</v>
      </c>
      <c r="AB256" s="711">
        <v>641.42958999999996</v>
      </c>
      <c r="AC256" s="711">
        <v>641.42958999999996</v>
      </c>
      <c r="AD256" s="711">
        <v>641.42958999999996</v>
      </c>
      <c r="AE256" s="711">
        <v>641.42958999999996</v>
      </c>
      <c r="AF256" s="712">
        <f t="shared" si="7"/>
        <v>641.42958999999985</v>
      </c>
    </row>
    <row r="257" spans="1:33">
      <c r="A257" s="584" t="s">
        <v>1997</v>
      </c>
      <c r="B257" s="711">
        <v>2834.0052999999998</v>
      </c>
      <c r="C257" s="711">
        <v>2834.0052999999998</v>
      </c>
      <c r="D257" s="711">
        <v>2834.0052999999998</v>
      </c>
      <c r="E257" s="711">
        <v>2532.9334899999999</v>
      </c>
      <c r="F257" s="711">
        <v>2532.9334899999999</v>
      </c>
      <c r="G257" s="711">
        <v>2532.9334899999999</v>
      </c>
      <c r="H257" s="711">
        <v>2556.9034900000001</v>
      </c>
      <c r="I257" s="711">
        <v>2556.9034900000001</v>
      </c>
      <c r="J257" s="711">
        <v>2556.9034900000001</v>
      </c>
      <c r="K257" s="711">
        <v>2556.9034900000001</v>
      </c>
      <c r="L257" s="711">
        <v>2556.9034900000001</v>
      </c>
      <c r="M257" s="711">
        <v>2556.9034900000001</v>
      </c>
      <c r="N257" s="711">
        <v>2556.9034900000001</v>
      </c>
      <c r="O257" s="235">
        <f t="shared" si="6"/>
        <v>2615.3185230769232</v>
      </c>
      <c r="P257" s="711">
        <v>2556.9034900000001</v>
      </c>
      <c r="Q257" s="711">
        <v>2556.9034900000001</v>
      </c>
      <c r="R257" s="711">
        <v>2556.9034900000001</v>
      </c>
      <c r="S257" s="711">
        <v>2556.9034900000001</v>
      </c>
      <c r="T257" s="711">
        <v>2556.9034900000001</v>
      </c>
      <c r="U257" s="711">
        <v>2556.9034900000001</v>
      </c>
      <c r="V257" s="711">
        <v>2556.9034900000001</v>
      </c>
      <c r="W257" s="711">
        <v>2556.9034900000001</v>
      </c>
      <c r="X257" s="711">
        <v>2556.9034900000001</v>
      </c>
      <c r="Y257" s="711">
        <v>2556.9034900000001</v>
      </c>
      <c r="Z257" s="711">
        <v>2556.9034900000001</v>
      </c>
      <c r="AA257" s="711">
        <v>2556.9034900000001</v>
      </c>
      <c r="AB257" s="711">
        <v>2556.9034900000001</v>
      </c>
      <c r="AC257" s="711">
        <v>2556.9034900000001</v>
      </c>
      <c r="AD257" s="711">
        <v>2556.9034900000001</v>
      </c>
      <c r="AE257" s="711">
        <v>2556.9034900000001</v>
      </c>
      <c r="AF257" s="712">
        <f t="shared" si="7"/>
        <v>2556.9034900000001</v>
      </c>
    </row>
    <row r="258" spans="1:33" ht="15.75" thickBot="1">
      <c r="A258" s="584" t="s">
        <v>2527</v>
      </c>
      <c r="B258" s="716">
        <v>0</v>
      </c>
      <c r="C258" s="716">
        <v>0</v>
      </c>
      <c r="D258" s="716">
        <v>0</v>
      </c>
      <c r="E258" s="716">
        <v>0</v>
      </c>
      <c r="F258" s="716">
        <v>0</v>
      </c>
      <c r="G258" s="716">
        <v>0</v>
      </c>
      <c r="H258" s="716">
        <v>0</v>
      </c>
      <c r="I258" s="716">
        <v>0</v>
      </c>
      <c r="J258" s="716">
        <v>0</v>
      </c>
      <c r="K258" s="716">
        <v>0</v>
      </c>
      <c r="L258" s="716">
        <v>0</v>
      </c>
      <c r="M258" s="716">
        <v>0</v>
      </c>
      <c r="N258" s="716">
        <v>0</v>
      </c>
      <c r="O258" s="235">
        <f t="shared" si="6"/>
        <v>0</v>
      </c>
      <c r="P258" s="716">
        <v>23216.908510000001</v>
      </c>
      <c r="Q258" s="716">
        <v>22723.137879999998</v>
      </c>
      <c r="R258" s="716">
        <v>22240.988120000002</v>
      </c>
      <c r="S258" s="716">
        <v>21647.568569999999</v>
      </c>
      <c r="T258" s="716">
        <v>21166.284949999899</v>
      </c>
      <c r="U258" s="716">
        <v>20669.297279999999</v>
      </c>
      <c r="V258" s="716">
        <v>20192.523939999999</v>
      </c>
      <c r="W258" s="716">
        <v>19716.191049999899</v>
      </c>
      <c r="X258" s="716">
        <v>19282.845469999898</v>
      </c>
      <c r="Y258" s="716">
        <v>18862.1557499999</v>
      </c>
      <c r="Z258" s="716">
        <v>18446.928969999899</v>
      </c>
      <c r="AA258" s="716">
        <v>18053.17167</v>
      </c>
      <c r="AB258" s="716">
        <v>17668.6707299999</v>
      </c>
      <c r="AC258" s="716">
        <v>17287.485429999899</v>
      </c>
      <c r="AD258" s="716">
        <v>16911.3962499999</v>
      </c>
      <c r="AE258" s="716">
        <v>16419.22596</v>
      </c>
      <c r="AF258" s="712">
        <f t="shared" si="7"/>
        <v>18947.980463076863</v>
      </c>
      <c r="AG258" s="712">
        <f>AF258</f>
        <v>18947.980463076863</v>
      </c>
    </row>
    <row r="259" spans="1:33">
      <c r="A259" s="584" t="s">
        <v>1995</v>
      </c>
      <c r="B259" s="711">
        <v>3421.3966599999999</v>
      </c>
      <c r="C259" s="711">
        <v>3421.3966599999999</v>
      </c>
      <c r="D259" s="711">
        <v>3421.3966599999999</v>
      </c>
      <c r="E259" s="711">
        <v>3194.92308</v>
      </c>
      <c r="F259" s="711">
        <v>3194.92308</v>
      </c>
      <c r="G259" s="711">
        <v>3194.92308</v>
      </c>
      <c r="H259" s="711">
        <v>3198.3330799999999</v>
      </c>
      <c r="I259" s="711">
        <v>3198.3330799999999</v>
      </c>
      <c r="J259" s="711">
        <v>3198.3330799999999</v>
      </c>
      <c r="K259" s="711">
        <v>3198.3330799999999</v>
      </c>
      <c r="L259" s="711">
        <v>3198.3330799999999</v>
      </c>
      <c r="M259" s="711">
        <v>3198.3330799999999</v>
      </c>
      <c r="N259" s="711">
        <v>3198.3330799999999</v>
      </c>
      <c r="O259" s="235">
        <f t="shared" si="6"/>
        <v>3249.0223676923074</v>
      </c>
      <c r="P259" s="711">
        <v>26415.241590000001</v>
      </c>
      <c r="Q259" s="711">
        <v>25921.470959999999</v>
      </c>
      <c r="R259" s="711">
        <v>25439.321199999998</v>
      </c>
      <c r="S259" s="711">
        <v>24845.90165</v>
      </c>
      <c r="T259" s="711">
        <v>24364.6180299999</v>
      </c>
      <c r="U259" s="711">
        <v>23867.630359999999</v>
      </c>
      <c r="V259" s="711">
        <v>23390.857019999999</v>
      </c>
      <c r="W259" s="711">
        <v>22914.5241299999</v>
      </c>
      <c r="X259" s="711">
        <v>22481.178549999899</v>
      </c>
      <c r="Y259" s="711">
        <v>22060.488829999998</v>
      </c>
      <c r="Z259" s="711">
        <v>21645.262049999899</v>
      </c>
      <c r="AA259" s="711">
        <v>21251.50475</v>
      </c>
      <c r="AB259" s="711">
        <v>20867.003809999998</v>
      </c>
      <c r="AC259" s="711">
        <v>20485.818509999899</v>
      </c>
      <c r="AD259" s="711">
        <v>20109.729329999998</v>
      </c>
      <c r="AE259" s="711">
        <v>19617.55904</v>
      </c>
      <c r="AF259" s="712">
        <f t="shared" si="7"/>
        <v>22146.313543076882</v>
      </c>
    </row>
    <row r="260" spans="1:33">
      <c r="A260" s="584"/>
      <c r="B260" s="713"/>
      <c r="C260" s="713"/>
      <c r="D260" s="713"/>
      <c r="E260" s="713"/>
      <c r="F260" s="713"/>
      <c r="G260" s="713"/>
      <c r="H260" s="713"/>
      <c r="I260" s="713"/>
      <c r="J260" s="713"/>
      <c r="K260" s="713"/>
      <c r="L260" s="713"/>
      <c r="M260" s="713"/>
      <c r="N260" s="713"/>
      <c r="O260" s="235">
        <f t="shared" si="6"/>
        <v>0</v>
      </c>
      <c r="P260" s="713"/>
      <c r="Q260" s="713"/>
      <c r="R260" s="713"/>
      <c r="S260" s="713"/>
      <c r="T260" s="713"/>
      <c r="U260" s="713"/>
      <c r="V260" s="713"/>
      <c r="W260" s="713"/>
      <c r="X260" s="713"/>
      <c r="Y260" s="713"/>
      <c r="Z260" s="713"/>
      <c r="AA260" s="713"/>
      <c r="AB260" s="713"/>
      <c r="AC260" s="713"/>
      <c r="AD260" s="713"/>
      <c r="AE260" s="713"/>
      <c r="AF260" s="712">
        <f t="shared" si="7"/>
        <v>0</v>
      </c>
    </row>
    <row r="261" spans="1:33">
      <c r="A261" s="584" t="s">
        <v>1998</v>
      </c>
      <c r="O261" s="235">
        <f t="shared" si="6"/>
        <v>0</v>
      </c>
      <c r="AF261" s="712">
        <f t="shared" si="7"/>
        <v>0</v>
      </c>
    </row>
    <row r="262" spans="1:33">
      <c r="A262" s="584"/>
      <c r="B262" s="713"/>
      <c r="C262" s="713"/>
      <c r="D262" s="713"/>
      <c r="E262" s="713"/>
      <c r="F262" s="713"/>
      <c r="G262" s="713"/>
      <c r="H262" s="713"/>
      <c r="I262" s="713"/>
      <c r="J262" s="713"/>
      <c r="K262" s="713"/>
      <c r="L262" s="713"/>
      <c r="M262" s="713"/>
      <c r="N262" s="713"/>
      <c r="O262" s="235">
        <f t="shared" si="6"/>
        <v>0</v>
      </c>
      <c r="P262" s="713"/>
      <c r="Q262" s="713"/>
      <c r="R262" s="713"/>
      <c r="S262" s="713"/>
      <c r="T262" s="713"/>
      <c r="U262" s="713"/>
      <c r="V262" s="713"/>
      <c r="W262" s="713"/>
      <c r="X262" s="713"/>
      <c r="Y262" s="713"/>
      <c r="Z262" s="713"/>
      <c r="AA262" s="713"/>
      <c r="AB262" s="713"/>
      <c r="AC262" s="713"/>
      <c r="AD262" s="713"/>
      <c r="AE262" s="713"/>
      <c r="AF262" s="712">
        <f t="shared" si="7"/>
        <v>0</v>
      </c>
    </row>
    <row r="263" spans="1:33">
      <c r="A263" s="584" t="s">
        <v>1999</v>
      </c>
      <c r="B263" s="713"/>
      <c r="C263" s="713"/>
      <c r="D263" s="713"/>
      <c r="E263" s="713"/>
      <c r="F263" s="713"/>
      <c r="G263" s="713"/>
      <c r="H263" s="713"/>
      <c r="I263" s="713"/>
      <c r="J263" s="713"/>
      <c r="K263" s="713"/>
      <c r="L263" s="713"/>
      <c r="M263" s="713"/>
      <c r="N263" s="713"/>
      <c r="O263" s="235">
        <f t="shared" si="6"/>
        <v>0</v>
      </c>
      <c r="P263" s="713"/>
      <c r="Q263" s="713"/>
      <c r="R263" s="713"/>
      <c r="S263" s="713"/>
      <c r="T263" s="713"/>
      <c r="U263" s="713"/>
      <c r="V263" s="713"/>
      <c r="W263" s="713"/>
      <c r="X263" s="713"/>
      <c r="Y263" s="713"/>
      <c r="Z263" s="713"/>
      <c r="AA263" s="713"/>
      <c r="AB263" s="713"/>
      <c r="AC263" s="713"/>
      <c r="AD263" s="713"/>
      <c r="AE263" s="713"/>
      <c r="AF263" s="712">
        <f t="shared" si="7"/>
        <v>0</v>
      </c>
    </row>
    <row r="264" spans="1:33">
      <c r="A264" s="584" t="s">
        <v>2000</v>
      </c>
      <c r="B264" s="711">
        <v>6891.4170000000004</v>
      </c>
      <c r="C264" s="711">
        <v>6891.4170000000004</v>
      </c>
      <c r="D264" s="711">
        <v>6891.4170000000004</v>
      </c>
      <c r="E264" s="711">
        <v>6921.6469999999999</v>
      </c>
      <c r="F264" s="711">
        <v>6921.6469999999999</v>
      </c>
      <c r="G264" s="711">
        <v>6921.6469999999999</v>
      </c>
      <c r="H264" s="711">
        <v>6921.6469999999999</v>
      </c>
      <c r="I264" s="711">
        <v>6921.6469999999999</v>
      </c>
      <c r="J264" s="711">
        <v>6921.6469999999999</v>
      </c>
      <c r="K264" s="711">
        <v>6921.6469999999999</v>
      </c>
      <c r="L264" s="711">
        <v>6921.6469999999999</v>
      </c>
      <c r="M264" s="711">
        <v>6921.6469999999999</v>
      </c>
      <c r="N264" s="711">
        <v>6921.6469999999999</v>
      </c>
      <c r="O264" s="235">
        <f t="shared" si="6"/>
        <v>6914.6708461538446</v>
      </c>
      <c r="P264" s="711">
        <v>6921.6469999999999</v>
      </c>
      <c r="Q264" s="711">
        <v>6921.6469999999999</v>
      </c>
      <c r="R264" s="711">
        <v>6921.6469999999999</v>
      </c>
      <c r="S264" s="711">
        <v>6921.6469999999999</v>
      </c>
      <c r="T264" s="711">
        <v>6921.6469999999999</v>
      </c>
      <c r="U264" s="711">
        <v>6921.6469999999999</v>
      </c>
      <c r="V264" s="711">
        <v>6921.6469999999999</v>
      </c>
      <c r="W264" s="711">
        <v>6921.6469999999999</v>
      </c>
      <c r="X264" s="711">
        <v>6921.6469999999999</v>
      </c>
      <c r="Y264" s="711">
        <v>6921.6469999999999</v>
      </c>
      <c r="Z264" s="711">
        <v>6921.6469999999999</v>
      </c>
      <c r="AA264" s="711">
        <v>6921.6469999999999</v>
      </c>
      <c r="AB264" s="711">
        <v>6921.6469999999999</v>
      </c>
      <c r="AC264" s="711">
        <v>6921.6469999999999</v>
      </c>
      <c r="AD264" s="711">
        <v>6921.6469999999999</v>
      </c>
      <c r="AE264" s="711">
        <v>6921.6469999999999</v>
      </c>
      <c r="AF264" s="712">
        <f t="shared" si="7"/>
        <v>6921.6469999999981</v>
      </c>
    </row>
    <row r="265" spans="1:33">
      <c r="A265" s="584" t="s">
        <v>2001</v>
      </c>
      <c r="B265" s="711">
        <v>36241.336880000003</v>
      </c>
      <c r="C265" s="711">
        <v>-9758.6631199999993</v>
      </c>
      <c r="D265" s="711">
        <v>0</v>
      </c>
      <c r="E265" s="711">
        <v>0</v>
      </c>
      <c r="F265" s="711">
        <v>0</v>
      </c>
      <c r="G265" s="711">
        <v>0</v>
      </c>
      <c r="H265" s="711">
        <v>0</v>
      </c>
      <c r="I265" s="711">
        <v>0</v>
      </c>
      <c r="J265" s="711">
        <v>0</v>
      </c>
      <c r="K265" s="711">
        <v>0</v>
      </c>
      <c r="L265" s="711">
        <v>0</v>
      </c>
      <c r="M265" s="711">
        <v>0</v>
      </c>
      <c r="N265" s="711">
        <v>0</v>
      </c>
      <c r="O265" s="235">
        <f t="shared" si="6"/>
        <v>2037.1287507692311</v>
      </c>
      <c r="P265" s="711">
        <v>0</v>
      </c>
      <c r="Q265" s="711">
        <v>0</v>
      </c>
      <c r="R265" s="711">
        <v>0</v>
      </c>
      <c r="S265" s="711">
        <v>0</v>
      </c>
      <c r="T265" s="711">
        <v>0</v>
      </c>
      <c r="U265" s="711">
        <v>0</v>
      </c>
      <c r="V265" s="711">
        <v>0</v>
      </c>
      <c r="W265" s="711">
        <v>0</v>
      </c>
      <c r="X265" s="711">
        <v>0</v>
      </c>
      <c r="Y265" s="711">
        <v>0</v>
      </c>
      <c r="Z265" s="711">
        <v>0</v>
      </c>
      <c r="AA265" s="711">
        <v>0</v>
      </c>
      <c r="AB265" s="711">
        <v>0</v>
      </c>
      <c r="AC265" s="711">
        <v>0</v>
      </c>
      <c r="AD265" s="711">
        <v>0</v>
      </c>
      <c r="AE265" s="711">
        <v>0</v>
      </c>
      <c r="AF265" s="712">
        <f t="shared" si="7"/>
        <v>0</v>
      </c>
    </row>
    <row r="266" spans="1:33" ht="15.75" thickBot="1">
      <c r="A266" s="584" t="s">
        <v>2002</v>
      </c>
      <c r="B266" s="716">
        <v>31651.386789999899</v>
      </c>
      <c r="C266" s="716">
        <v>31622.48575</v>
      </c>
      <c r="D266" s="716">
        <v>30681.017879999999</v>
      </c>
      <c r="E266" s="716">
        <v>30881.091609999999</v>
      </c>
      <c r="F266" s="716">
        <v>30251.185580000001</v>
      </c>
      <c r="G266" s="716">
        <v>30220.86361</v>
      </c>
      <c r="H266" s="716">
        <v>24464.284680000001</v>
      </c>
      <c r="I266" s="716">
        <v>24518.239679999999</v>
      </c>
      <c r="J266" s="716">
        <v>24572.194680000001</v>
      </c>
      <c r="K266" s="716">
        <v>23280.09218</v>
      </c>
      <c r="L266" s="716">
        <v>23334.047180000001</v>
      </c>
      <c r="M266" s="716">
        <v>23388.002179999999</v>
      </c>
      <c r="N266" s="716">
        <v>22095.899679999999</v>
      </c>
      <c r="O266" s="235">
        <f t="shared" si="6"/>
        <v>26996.983959999987</v>
      </c>
      <c r="P266" s="716">
        <v>22146.975596666602</v>
      </c>
      <c r="Q266" s="716">
        <v>22198.051513333299</v>
      </c>
      <c r="R266" s="716">
        <v>20959.36118</v>
      </c>
      <c r="S266" s="716">
        <v>21010.437096666599</v>
      </c>
      <c r="T266" s="716">
        <v>21061.5130133333</v>
      </c>
      <c r="U266" s="716">
        <v>19822.822680000001</v>
      </c>
      <c r="V266" s="716">
        <v>19873.8985966666</v>
      </c>
      <c r="W266" s="716">
        <v>19924.974513333302</v>
      </c>
      <c r="X266" s="716">
        <v>18686.284179999999</v>
      </c>
      <c r="Y266" s="716">
        <v>18737.360096666602</v>
      </c>
      <c r="Z266" s="716">
        <v>18788.436013333299</v>
      </c>
      <c r="AA266" s="716">
        <v>17549.74568</v>
      </c>
      <c r="AB266" s="716">
        <v>17596.67468</v>
      </c>
      <c r="AC266" s="716">
        <v>17643.60368</v>
      </c>
      <c r="AD266" s="716">
        <v>16377.75568</v>
      </c>
      <c r="AE266" s="716">
        <v>16424.684679999998</v>
      </c>
      <c r="AF266" s="712">
        <f t="shared" si="7"/>
        <v>18730.630045384594</v>
      </c>
    </row>
    <row r="267" spans="1:33">
      <c r="A267" s="584" t="s">
        <v>1999</v>
      </c>
      <c r="B267" s="711">
        <v>74784.140669999993</v>
      </c>
      <c r="C267" s="711">
        <v>28755.23963</v>
      </c>
      <c r="D267" s="711">
        <v>37572.434880000001</v>
      </c>
      <c r="E267" s="711">
        <v>37802.73861</v>
      </c>
      <c r="F267" s="711">
        <v>37172.832580000002</v>
      </c>
      <c r="G267" s="711">
        <v>37142.510609999998</v>
      </c>
      <c r="H267" s="711">
        <v>31385.931680000002</v>
      </c>
      <c r="I267" s="711">
        <v>31439.88668</v>
      </c>
      <c r="J267" s="711">
        <v>31493.841680000001</v>
      </c>
      <c r="K267" s="711">
        <v>30201.73918</v>
      </c>
      <c r="L267" s="711">
        <v>30255.694179999999</v>
      </c>
      <c r="M267" s="711">
        <v>30309.64918</v>
      </c>
      <c r="N267" s="711">
        <v>29017.546679999999</v>
      </c>
      <c r="O267" s="235">
        <f t="shared" ref="O267:O274" si="8">SUM(B267:N267)/13</f>
        <v>35948.783556923074</v>
      </c>
      <c r="P267" s="711">
        <v>29068.622596666599</v>
      </c>
      <c r="Q267" s="711">
        <v>29119.6985133333</v>
      </c>
      <c r="R267" s="711">
        <v>27881.008180000001</v>
      </c>
      <c r="S267" s="711">
        <v>27932.0840966666</v>
      </c>
      <c r="T267" s="711">
        <v>27983.160013333301</v>
      </c>
      <c r="U267" s="711">
        <v>26744.469679999998</v>
      </c>
      <c r="V267" s="711">
        <v>26795.545596666601</v>
      </c>
      <c r="W267" s="711">
        <v>26846.621513333299</v>
      </c>
      <c r="X267" s="711">
        <v>25607.93118</v>
      </c>
      <c r="Y267" s="711">
        <v>25659.007096666599</v>
      </c>
      <c r="Z267" s="711">
        <v>25710.0830133333</v>
      </c>
      <c r="AA267" s="711">
        <v>24471.392680000001</v>
      </c>
      <c r="AB267" s="711">
        <v>24518.321680000001</v>
      </c>
      <c r="AC267" s="711">
        <v>24565.250680000001</v>
      </c>
      <c r="AD267" s="711">
        <v>23299.402679999999</v>
      </c>
      <c r="AE267" s="711">
        <v>23346.331679999999</v>
      </c>
      <c r="AF267" s="712">
        <f t="shared" ref="AF267:AF274" si="9">SUM(S267:AE267)/13</f>
        <v>25652.277045384591</v>
      </c>
    </row>
    <row r="268" spans="1:33">
      <c r="A268" s="584"/>
      <c r="B268" s="713"/>
      <c r="C268" s="713"/>
      <c r="D268" s="713"/>
      <c r="E268" s="713"/>
      <c r="F268" s="713"/>
      <c r="G268" s="713"/>
      <c r="H268" s="713"/>
      <c r="I268" s="713"/>
      <c r="J268" s="713"/>
      <c r="K268" s="713"/>
      <c r="L268" s="713"/>
      <c r="M268" s="713"/>
      <c r="N268" s="713"/>
      <c r="O268" s="235">
        <f t="shared" si="8"/>
        <v>0</v>
      </c>
      <c r="P268" s="713"/>
      <c r="Q268" s="713"/>
      <c r="R268" s="713"/>
      <c r="S268" s="713"/>
      <c r="T268" s="713"/>
      <c r="U268" s="713"/>
      <c r="V268" s="713"/>
      <c r="W268" s="713"/>
      <c r="X268" s="713"/>
      <c r="Y268" s="713"/>
      <c r="Z268" s="713"/>
      <c r="AA268" s="713"/>
      <c r="AB268" s="713"/>
      <c r="AC268" s="713"/>
      <c r="AD268" s="713"/>
      <c r="AE268" s="713"/>
      <c r="AF268" s="712">
        <f t="shared" si="9"/>
        <v>0</v>
      </c>
    </row>
    <row r="269" spans="1:33">
      <c r="A269" s="584" t="s">
        <v>1987</v>
      </c>
      <c r="B269" s="713"/>
      <c r="C269" s="713"/>
      <c r="D269" s="713"/>
      <c r="E269" s="713"/>
      <c r="F269" s="713"/>
      <c r="G269" s="713"/>
      <c r="H269" s="713"/>
      <c r="I269" s="713"/>
      <c r="J269" s="713"/>
      <c r="K269" s="713"/>
      <c r="L269" s="713"/>
      <c r="M269" s="713"/>
      <c r="N269" s="713"/>
      <c r="O269" s="235">
        <f t="shared" si="8"/>
        <v>0</v>
      </c>
      <c r="P269" s="713"/>
      <c r="Q269" s="713"/>
      <c r="R269" s="713"/>
      <c r="S269" s="713"/>
      <c r="T269" s="713"/>
      <c r="U269" s="713"/>
      <c r="V269" s="713"/>
      <c r="W269" s="713"/>
      <c r="X269" s="713"/>
      <c r="Y269" s="713"/>
      <c r="Z269" s="713"/>
      <c r="AA269" s="713"/>
      <c r="AB269" s="713"/>
      <c r="AC269" s="713"/>
      <c r="AD269" s="713"/>
      <c r="AE269" s="713"/>
      <c r="AF269" s="712">
        <f t="shared" si="9"/>
        <v>0</v>
      </c>
    </row>
    <row r="270" spans="1:33" ht="15.75" thickBot="1">
      <c r="A270" s="717" t="s">
        <v>1451</v>
      </c>
      <c r="B270" s="718">
        <v>2207187.7545400001</v>
      </c>
      <c r="C270" s="718">
        <v>2175383.6012900001</v>
      </c>
      <c r="D270" s="718">
        <v>2190616.2201899998</v>
      </c>
      <c r="E270" s="718">
        <v>2191152.0350700002</v>
      </c>
      <c r="F270" s="718">
        <v>2192771.1310399999</v>
      </c>
      <c r="G270" s="718">
        <v>2193028.3404399999</v>
      </c>
      <c r="H270" s="718">
        <v>2175051.1488899998</v>
      </c>
      <c r="I270" s="718">
        <v>2169912.8248747201</v>
      </c>
      <c r="J270" s="718">
        <v>2163856.2939592898</v>
      </c>
      <c r="K270" s="718">
        <v>2186814.30945691</v>
      </c>
      <c r="L270" s="718">
        <v>2178759.84517131</v>
      </c>
      <c r="M270" s="718">
        <v>2173949.0254723402</v>
      </c>
      <c r="N270" s="718">
        <v>2177053.3517992399</v>
      </c>
      <c r="O270" s="235">
        <f t="shared" si="8"/>
        <v>2182733.5293995235</v>
      </c>
      <c r="P270" s="718">
        <v>2198804.1784689198</v>
      </c>
      <c r="Q270" s="718">
        <v>2192972.5751105002</v>
      </c>
      <c r="R270" s="718">
        <v>2194434.5570095498</v>
      </c>
      <c r="S270" s="718">
        <v>2187093.2772445302</v>
      </c>
      <c r="T270" s="718">
        <v>2180626.0220615398</v>
      </c>
      <c r="U270" s="718">
        <v>2187087.70491629</v>
      </c>
      <c r="V270" s="718">
        <v>2183665.2540987199</v>
      </c>
      <c r="W270" s="718">
        <v>2178239.7460340201</v>
      </c>
      <c r="X270" s="718">
        <v>2182317.9880735301</v>
      </c>
      <c r="Y270" s="718">
        <v>2175132.7892856998</v>
      </c>
      <c r="Z270" s="718">
        <v>2171755.6098377099</v>
      </c>
      <c r="AA270" s="718">
        <v>2178826.7042591302</v>
      </c>
      <c r="AB270" s="718">
        <v>2177706.8940382302</v>
      </c>
      <c r="AC270" s="718">
        <v>2173736.6337023899</v>
      </c>
      <c r="AD270" s="718">
        <v>2163764.3251152998</v>
      </c>
      <c r="AE270" s="718">
        <v>2157421.9837628701</v>
      </c>
      <c r="AF270" s="712">
        <f t="shared" si="9"/>
        <v>2176721.148648459</v>
      </c>
    </row>
    <row r="271" spans="1:33">
      <c r="A271" s="584"/>
      <c r="O271" s="235">
        <f t="shared" si="8"/>
        <v>0</v>
      </c>
      <c r="AF271" s="712">
        <f t="shared" si="9"/>
        <v>0</v>
      </c>
    </row>
    <row r="272" spans="1:33" ht="15.75" thickBot="1">
      <c r="A272" s="717" t="s">
        <v>2229</v>
      </c>
      <c r="B272" s="718">
        <v>7644717.1195599996</v>
      </c>
      <c r="C272" s="718">
        <v>7695286.5709100002</v>
      </c>
      <c r="D272" s="718">
        <v>7669947.7298400002</v>
      </c>
      <c r="E272" s="718">
        <v>7663744.5751</v>
      </c>
      <c r="F272" s="718">
        <v>7687644.2165200002</v>
      </c>
      <c r="G272" s="718">
        <v>7713110.8547599996</v>
      </c>
      <c r="H272" s="718">
        <v>7724823.0525000002</v>
      </c>
      <c r="I272" s="718">
        <v>7762016.2373041902</v>
      </c>
      <c r="J272" s="718">
        <v>7807776.94143527</v>
      </c>
      <c r="K272" s="718">
        <v>7816934.6839625901</v>
      </c>
      <c r="L272" s="718">
        <v>7851616.5672826096</v>
      </c>
      <c r="M272" s="718">
        <v>7892770.2264603302</v>
      </c>
      <c r="N272" s="718">
        <v>7944311.7584966701</v>
      </c>
      <c r="O272" s="235">
        <f t="shared" si="8"/>
        <v>7759592.3487793598</v>
      </c>
      <c r="P272" s="718">
        <v>8010609.0030683</v>
      </c>
      <c r="Q272" s="718">
        <v>8009468.9766504103</v>
      </c>
      <c r="R272" s="718">
        <v>8023583.1161364699</v>
      </c>
      <c r="S272" s="718">
        <v>8043412.0267819203</v>
      </c>
      <c r="T272" s="718">
        <v>8062013.84780447</v>
      </c>
      <c r="U272" s="718">
        <v>8087229.5063692397</v>
      </c>
      <c r="V272" s="718">
        <v>8117561.0355020603</v>
      </c>
      <c r="W272" s="718">
        <v>8133918.9717638297</v>
      </c>
      <c r="X272" s="718">
        <v>8127344.9148290204</v>
      </c>
      <c r="Y272" s="718">
        <v>8142013.72887298</v>
      </c>
      <c r="Z272" s="718">
        <v>8180912.7462681998</v>
      </c>
      <c r="AA272" s="718">
        <v>8205864.44762896</v>
      </c>
      <c r="AB272" s="718">
        <v>8226353.6510666702</v>
      </c>
      <c r="AC272" s="718">
        <v>8208510.2552338801</v>
      </c>
      <c r="AD272" s="718">
        <v>8223819.4311133297</v>
      </c>
      <c r="AE272" s="718">
        <v>8238440.2753086602</v>
      </c>
      <c r="AF272" s="712">
        <f t="shared" si="9"/>
        <v>8153645.7568110172</v>
      </c>
    </row>
    <row r="273" spans="1:32">
      <c r="O273" s="235">
        <f t="shared" si="8"/>
        <v>0</v>
      </c>
      <c r="AF273" s="712">
        <f t="shared" si="9"/>
        <v>0</v>
      </c>
    </row>
    <row r="274" spans="1:32">
      <c r="A274" s="710"/>
      <c r="O274" s="235">
        <f t="shared" si="8"/>
        <v>0</v>
      </c>
      <c r="AF274" s="712">
        <f t="shared" si="9"/>
        <v>0</v>
      </c>
    </row>
  </sheetData>
  <pageMargins left="0.75" right="0.7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388"/>
  <sheetViews>
    <sheetView view="pageBreakPreview" zoomScale="55" zoomScaleNormal="75" zoomScaleSheetLayoutView="55" workbookViewId="0">
      <selection activeCell="J38" sqref="J38"/>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106"/>
      <c r="D2" s="107"/>
      <c r="E2" s="107"/>
      <c r="G2" s="108" t="s">
        <v>229</v>
      </c>
      <c r="H2" s="107"/>
      <c r="I2" s="107"/>
      <c r="J2" s="107"/>
      <c r="K2" s="107"/>
      <c r="L2" s="107"/>
      <c r="M2" s="107"/>
      <c r="N2" s="103" t="s">
        <v>229</v>
      </c>
      <c r="O2" s="107"/>
      <c r="P2" s="107"/>
      <c r="Q2" s="107"/>
      <c r="R2" s="107"/>
      <c r="S2" s="107"/>
      <c r="T2" s="107"/>
    </row>
    <row r="3" spans="1:20" ht="15">
      <c r="A3" s="105"/>
      <c r="B3" s="105"/>
      <c r="C3" s="109"/>
      <c r="D3" s="107"/>
      <c r="E3" s="107"/>
      <c r="G3" s="108" t="s">
        <v>230</v>
      </c>
      <c r="H3" s="107"/>
      <c r="I3" s="107"/>
      <c r="J3" s="110"/>
      <c r="K3" s="107"/>
      <c r="L3" s="107"/>
      <c r="M3" s="107"/>
      <c r="N3" s="103" t="s">
        <v>230</v>
      </c>
      <c r="O3" s="107"/>
      <c r="P3" s="107"/>
      <c r="Q3" s="111"/>
      <c r="S3" s="107"/>
      <c r="T3" s="107"/>
    </row>
    <row r="4" spans="1:20" ht="15">
      <c r="A4" s="105"/>
      <c r="B4" s="105"/>
      <c r="C4" s="107"/>
      <c r="D4" s="107"/>
      <c r="E4" s="107"/>
      <c r="G4" s="108" t="s">
        <v>231</v>
      </c>
      <c r="H4" s="107"/>
      <c r="I4" s="107"/>
      <c r="J4" s="107"/>
      <c r="K4" s="107"/>
      <c r="L4" s="107"/>
      <c r="M4" s="107"/>
      <c r="N4" s="103" t="s">
        <v>231</v>
      </c>
      <c r="O4" s="107"/>
      <c r="P4" s="107"/>
      <c r="Q4" s="107"/>
      <c r="R4" s="107"/>
      <c r="S4" s="107"/>
      <c r="T4" s="107"/>
    </row>
    <row r="5" spans="1:20" ht="15">
      <c r="A5" s="105"/>
      <c r="B5" s="105"/>
      <c r="C5" s="110" t="s">
        <v>232</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2495</v>
      </c>
      <c r="H6" s="107"/>
      <c r="I6" s="107"/>
      <c r="J6" s="107"/>
      <c r="K6" s="107"/>
      <c r="L6" s="107"/>
      <c r="M6" s="107"/>
      <c r="N6" s="103" t="s">
        <v>2495</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118">
        <v>-3</v>
      </c>
      <c r="J11" s="118">
        <v>-4</v>
      </c>
      <c r="K11" s="107"/>
      <c r="L11" s="107"/>
      <c r="M11" s="118">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9783411621.9599781</v>
      </c>
      <c r="F17" s="120" t="s">
        <v>251</v>
      </c>
      <c r="G17" s="120">
        <v>8709294106.8244934</v>
      </c>
      <c r="H17" s="120" t="s">
        <v>251</v>
      </c>
      <c r="I17" s="120">
        <v>478281686.22484577</v>
      </c>
      <c r="J17" s="120">
        <v>595835828.91063929</v>
      </c>
      <c r="K17" s="120" t="s">
        <v>251</v>
      </c>
      <c r="L17" s="120" t="s">
        <v>251</v>
      </c>
      <c r="M17" s="120">
        <v>712146.94177049596</v>
      </c>
      <c r="N17" s="120" t="s">
        <v>251</v>
      </c>
      <c r="O17" s="120">
        <v>595123681.96886873</v>
      </c>
      <c r="P17" s="120">
        <v>186182655.26291806</v>
      </c>
      <c r="Q17" s="120">
        <v>408941026.70595062</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3457985896.0317569</v>
      </c>
      <c r="F19" s="120" t="s">
        <v>251</v>
      </c>
      <c r="G19" s="120">
        <v>3054968318.7710867</v>
      </c>
      <c r="H19" s="120" t="s">
        <v>251</v>
      </c>
      <c r="I19" s="120">
        <v>185237253.73725373</v>
      </c>
      <c r="J19" s="120">
        <v>217780323.52341664</v>
      </c>
      <c r="K19" s="120" t="s">
        <v>251</v>
      </c>
      <c r="L19" s="120" t="s">
        <v>251</v>
      </c>
      <c r="M19" s="120">
        <v>168280.7736865172</v>
      </c>
      <c r="N19" s="120" t="s">
        <v>251</v>
      </c>
      <c r="O19" s="120">
        <v>217612042.74973011</v>
      </c>
      <c r="P19" s="120">
        <v>68061199.710139662</v>
      </c>
      <c r="Q19" s="120">
        <v>149550843.03959045</v>
      </c>
      <c r="R19" s="120"/>
      <c r="S19" s="120"/>
      <c r="T19" s="107"/>
    </row>
    <row r="20" spans="1:20" ht="15">
      <c r="A20" s="105">
        <v>3</v>
      </c>
      <c r="B20" s="105"/>
      <c r="C20" s="107" t="s">
        <v>256</v>
      </c>
      <c r="D20" s="107" t="s">
        <v>251</v>
      </c>
      <c r="E20" s="120">
        <v>6325425725.9282207</v>
      </c>
      <c r="F20" s="120" t="s">
        <v>251</v>
      </c>
      <c r="G20" s="120">
        <v>5654325788.0534067</v>
      </c>
      <c r="H20" s="120" t="s">
        <v>251</v>
      </c>
      <c r="I20" s="120">
        <v>293044432.48759204</v>
      </c>
      <c r="J20" s="120">
        <v>378055505.38722253</v>
      </c>
      <c r="K20" s="120" t="s">
        <v>251</v>
      </c>
      <c r="L20" s="120" t="s">
        <v>251</v>
      </c>
      <c r="M20" s="120">
        <v>543866.16808397882</v>
      </c>
      <c r="N20" s="120" t="s">
        <v>251</v>
      </c>
      <c r="O20" s="120">
        <v>377511639.21913856</v>
      </c>
      <c r="P20" s="120">
        <v>118121455.55277839</v>
      </c>
      <c r="Q20" s="120">
        <v>259390183.66636017</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321301919.96124214</v>
      </c>
      <c r="F22" s="120" t="s">
        <v>251</v>
      </c>
      <c r="G22" s="120">
        <v>283770605.89183235</v>
      </c>
      <c r="H22" s="120" t="s">
        <v>251</v>
      </c>
      <c r="I22" s="120">
        <v>13331776.793139344</v>
      </c>
      <c r="J22" s="120">
        <v>24199537.276270427</v>
      </c>
      <c r="K22" s="120" t="s">
        <v>251</v>
      </c>
      <c r="L22" s="120" t="s">
        <v>251</v>
      </c>
      <c r="M22" s="120">
        <v>2213.7426825901812</v>
      </c>
      <c r="N22" s="120" t="s">
        <v>251</v>
      </c>
      <c r="O22" s="120">
        <v>24197323.533587836</v>
      </c>
      <c r="P22" s="120">
        <v>7473954.7764216084</v>
      </c>
      <c r="Q22" s="120">
        <v>16723368.757166229</v>
      </c>
      <c r="R22" s="120"/>
      <c r="S22" s="120"/>
      <c r="T22" s="107"/>
    </row>
    <row r="23" spans="1:20" ht="15">
      <c r="A23" s="105">
        <v>5</v>
      </c>
      <c r="B23" s="105"/>
      <c r="C23" s="107" t="s">
        <v>258</v>
      </c>
      <c r="D23" s="107" t="s">
        <v>251</v>
      </c>
      <c r="E23" s="120">
        <v>6646727645.8894634</v>
      </c>
      <c r="F23" s="120" t="s">
        <v>251</v>
      </c>
      <c r="G23" s="120">
        <v>5938096393.9452391</v>
      </c>
      <c r="H23" s="120" t="s">
        <v>251</v>
      </c>
      <c r="I23" s="120">
        <v>306376209.28073138</v>
      </c>
      <c r="J23" s="120">
        <v>402255042.66349298</v>
      </c>
      <c r="K23" s="120" t="s">
        <v>251</v>
      </c>
      <c r="L23" s="120" t="s">
        <v>251</v>
      </c>
      <c r="M23" s="120">
        <v>546079.91076656897</v>
      </c>
      <c r="N23" s="120" t="s">
        <v>251</v>
      </c>
      <c r="O23" s="120">
        <v>401708962.75272644</v>
      </c>
      <c r="P23" s="120">
        <v>125595410.3292</v>
      </c>
      <c r="Q23" s="120">
        <v>276113552.42352641</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62047004</v>
      </c>
      <c r="F26" s="120" t="s">
        <v>251</v>
      </c>
      <c r="G26" s="120">
        <v>55114641.232325159</v>
      </c>
      <c r="H26" s="120" t="s">
        <v>251</v>
      </c>
      <c r="I26" s="120">
        <v>3307411.6612323532</v>
      </c>
      <c r="J26" s="120">
        <v>3624951.1064424911</v>
      </c>
      <c r="K26" s="120" t="s">
        <v>251</v>
      </c>
      <c r="L26" s="120" t="s">
        <v>251</v>
      </c>
      <c r="M26" s="120">
        <v>3236.6062287881059</v>
      </c>
      <c r="N26" s="120" t="s">
        <v>251</v>
      </c>
      <c r="O26" s="120">
        <v>3621714.5002137031</v>
      </c>
      <c r="P26" s="120">
        <v>1128628.3706977714</v>
      </c>
      <c r="Q26" s="120">
        <v>2493086.1295159315</v>
      </c>
      <c r="R26" s="120"/>
      <c r="S26" s="121"/>
    </row>
    <row r="27" spans="1:20" ht="15">
      <c r="A27" s="105">
        <v>7</v>
      </c>
      <c r="B27" s="105"/>
      <c r="C27" s="107" t="s">
        <v>261</v>
      </c>
      <c r="D27" s="107" t="s">
        <v>251</v>
      </c>
      <c r="E27" s="120">
        <v>61292297</v>
      </c>
      <c r="F27" s="120" t="s">
        <v>251</v>
      </c>
      <c r="G27" s="120">
        <v>53953416.041710377</v>
      </c>
      <c r="H27" s="120" t="s">
        <v>251</v>
      </c>
      <c r="I27" s="120">
        <v>2201053.2959116343</v>
      </c>
      <c r="J27" s="120">
        <v>5137827.6623779899</v>
      </c>
      <c r="K27" s="120" t="s">
        <v>251</v>
      </c>
      <c r="L27" s="120" t="s">
        <v>251</v>
      </c>
      <c r="M27" s="120">
        <v>241.46600568449119</v>
      </c>
      <c r="N27" s="120" t="s">
        <v>251</v>
      </c>
      <c r="O27" s="120">
        <v>5137586.196372305</v>
      </c>
      <c r="P27" s="120">
        <v>1643878.5826842112</v>
      </c>
      <c r="Q27" s="120">
        <v>3493707.6136880941</v>
      </c>
      <c r="R27" s="120"/>
      <c r="S27" s="121"/>
    </row>
    <row r="28" spans="1:20" ht="15">
      <c r="A28" s="105">
        <v>8</v>
      </c>
      <c r="B28" s="105"/>
      <c r="C28" s="107" t="s">
        <v>262</v>
      </c>
      <c r="D28" s="107" t="s">
        <v>251</v>
      </c>
      <c r="E28" s="120">
        <v>16286225.567701049</v>
      </c>
      <c r="F28" s="120" t="s">
        <v>251</v>
      </c>
      <c r="G28" s="120">
        <v>15330015.95195738</v>
      </c>
      <c r="H28" s="120" t="s">
        <v>251</v>
      </c>
      <c r="I28" s="120">
        <v>0</v>
      </c>
      <c r="J28" s="120">
        <v>956209.61574366875</v>
      </c>
      <c r="K28" s="120" t="s">
        <v>251</v>
      </c>
      <c r="L28" s="120" t="s">
        <v>251</v>
      </c>
      <c r="M28" s="120">
        <v>1241.9391597020592</v>
      </c>
      <c r="N28" s="120" t="s">
        <v>251</v>
      </c>
      <c r="O28" s="120">
        <v>954967.67658396671</v>
      </c>
      <c r="P28" s="120">
        <v>300773.99343757716</v>
      </c>
      <c r="Q28" s="120">
        <v>654193.68314638955</v>
      </c>
      <c r="R28" s="120"/>
      <c r="S28" s="121"/>
    </row>
    <row r="29" spans="1:20" ht="15">
      <c r="A29" s="105">
        <v>9</v>
      </c>
      <c r="B29" s="105"/>
      <c r="C29" s="107" t="s">
        <v>263</v>
      </c>
      <c r="D29" s="107" t="s">
        <v>251</v>
      </c>
      <c r="E29" s="120">
        <v>68863047.242275745</v>
      </c>
      <c r="F29" s="120" t="s">
        <v>251</v>
      </c>
      <c r="G29" s="120">
        <v>55728923.152422652</v>
      </c>
      <c r="H29" s="120" t="s">
        <v>251</v>
      </c>
      <c r="I29" s="120">
        <v>5454597.227255486</v>
      </c>
      <c r="J29" s="120">
        <v>7679526.862599954</v>
      </c>
      <c r="K29" s="120" t="s">
        <v>251</v>
      </c>
      <c r="L29" s="120" t="s">
        <v>251</v>
      </c>
      <c r="M29" s="120">
        <v>3199.9999291018712</v>
      </c>
      <c r="N29" s="120" t="s">
        <v>251</v>
      </c>
      <c r="O29" s="120">
        <v>7676326.8626708519</v>
      </c>
      <c r="P29" s="120">
        <v>2447348.4699103204</v>
      </c>
      <c r="Q29" s="120">
        <v>5228978.392760531</v>
      </c>
      <c r="R29" s="120"/>
      <c r="S29" s="121"/>
    </row>
    <row r="30" spans="1:20" ht="15">
      <c r="A30" s="105">
        <v>10</v>
      </c>
      <c r="B30" s="105"/>
      <c r="C30" s="107" t="s">
        <v>264</v>
      </c>
      <c r="D30" s="107" t="s">
        <v>251</v>
      </c>
      <c r="E30" s="120">
        <v>130006</v>
      </c>
      <c r="F30" s="120" t="s">
        <v>251</v>
      </c>
      <c r="G30" s="120">
        <v>113980.8500567061</v>
      </c>
      <c r="H30" s="120" t="s">
        <v>251</v>
      </c>
      <c r="I30" s="120">
        <v>5219.3233958366754</v>
      </c>
      <c r="J30" s="120">
        <v>10805.826547457233</v>
      </c>
      <c r="K30" s="120" t="s">
        <v>251</v>
      </c>
      <c r="L30" s="120" t="s">
        <v>251</v>
      </c>
      <c r="M30" s="120">
        <v>0.36586265024300602</v>
      </c>
      <c r="N30" s="120" t="s">
        <v>251</v>
      </c>
      <c r="O30" s="120">
        <v>10805.460684806989</v>
      </c>
      <c r="P30" s="120">
        <v>3333.3014338339794</v>
      </c>
      <c r="Q30" s="120">
        <v>7472.159250973009</v>
      </c>
      <c r="R30" s="120"/>
      <c r="S30" s="121"/>
    </row>
    <row r="31" spans="1:20" ht="15">
      <c r="A31" s="105">
        <v>11</v>
      </c>
      <c r="B31" s="105"/>
      <c r="C31" s="107" t="s">
        <v>2496</v>
      </c>
      <c r="D31" s="107" t="s">
        <v>251</v>
      </c>
      <c r="E31" s="120">
        <v>69633622.427637115</v>
      </c>
      <c r="F31" s="120" t="s">
        <v>251</v>
      </c>
      <c r="G31" s="120">
        <v>62293698</v>
      </c>
      <c r="H31" s="120" t="s">
        <v>251</v>
      </c>
      <c r="I31" s="120">
        <v>2379186.7071387768</v>
      </c>
      <c r="J31" s="120">
        <v>4960737.7204983374</v>
      </c>
      <c r="K31" s="120" t="s">
        <v>251</v>
      </c>
      <c r="L31" s="120" t="s">
        <v>251</v>
      </c>
      <c r="M31" s="120">
        <v>213.1170847158082</v>
      </c>
      <c r="N31" s="120" t="s">
        <v>251</v>
      </c>
      <c r="O31" s="120">
        <v>4960524.6034136219</v>
      </c>
      <c r="P31" s="120">
        <v>1530237.7432529349</v>
      </c>
      <c r="Q31" s="120">
        <v>3430286.860160687</v>
      </c>
      <c r="R31" s="120"/>
      <c r="S31" s="121"/>
    </row>
    <row r="32" spans="1:20" ht="15">
      <c r="A32" s="105">
        <v>12</v>
      </c>
      <c r="B32" s="105"/>
      <c r="C32" s="107" t="s">
        <v>265</v>
      </c>
      <c r="D32" s="107" t="s">
        <v>251</v>
      </c>
      <c r="E32" s="120">
        <v>278252202.23761392</v>
      </c>
      <c r="F32" s="120" t="s">
        <v>251</v>
      </c>
      <c r="G32" s="120">
        <v>242534675.22847229</v>
      </c>
      <c r="H32" s="120" t="s">
        <v>251</v>
      </c>
      <c r="I32" s="120">
        <v>13347468.214934088</v>
      </c>
      <c r="J32" s="120">
        <v>22370058.794209898</v>
      </c>
      <c r="K32" s="120" t="s">
        <v>251</v>
      </c>
      <c r="L32" s="120" t="s">
        <v>251</v>
      </c>
      <c r="M32" s="120">
        <v>8133.4942706425791</v>
      </c>
      <c r="N32" s="120" t="s">
        <v>251</v>
      </c>
      <c r="O32" s="120">
        <v>22361925.299939256</v>
      </c>
      <c r="P32" s="120">
        <v>7054200.4614166496</v>
      </c>
      <c r="Q32" s="120">
        <v>15307724.838522606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1380626004.0000002</v>
      </c>
      <c r="F35" s="120" t="s">
        <v>251</v>
      </c>
      <c r="G35" s="120">
        <v>1235513890.8331704</v>
      </c>
      <c r="H35" s="120" t="s">
        <v>251</v>
      </c>
      <c r="I35" s="120">
        <v>65292071.333260223</v>
      </c>
      <c r="J35" s="120">
        <v>79820041.833569437</v>
      </c>
      <c r="K35" s="120" t="s">
        <v>251</v>
      </c>
      <c r="L35" s="120" t="s">
        <v>251</v>
      </c>
      <c r="M35" s="120">
        <v>100948.92069344014</v>
      </c>
      <c r="N35" s="120" t="s">
        <v>251</v>
      </c>
      <c r="O35" s="120">
        <v>79719092.912875995</v>
      </c>
      <c r="P35" s="120">
        <v>24960255.05899021</v>
      </c>
      <c r="Q35" s="120">
        <v>54758837.853885785</v>
      </c>
      <c r="R35" s="120"/>
      <c r="S35" s="121"/>
    </row>
    <row r="36" spans="1:19" ht="15">
      <c r="A36" s="105">
        <v>14</v>
      </c>
      <c r="B36" s="105"/>
      <c r="C36" s="107" t="s">
        <v>268</v>
      </c>
      <c r="D36" s="107" t="s">
        <v>251</v>
      </c>
      <c r="E36" s="120">
        <v>91624046.000000015</v>
      </c>
      <c r="F36" s="120" t="s">
        <v>251</v>
      </c>
      <c r="G36" s="120">
        <v>79747725.782731548</v>
      </c>
      <c r="H36" s="120" t="s">
        <v>251</v>
      </c>
      <c r="I36" s="120">
        <v>3729913.4765931028</v>
      </c>
      <c r="J36" s="120">
        <v>8146406.74067536</v>
      </c>
      <c r="K36" s="120" t="s">
        <v>251</v>
      </c>
      <c r="L36" s="120" t="s">
        <v>251</v>
      </c>
      <c r="M36" s="120">
        <v>255.97909027005051</v>
      </c>
      <c r="N36" s="120" t="s">
        <v>251</v>
      </c>
      <c r="O36" s="120">
        <v>8146150.7615850903</v>
      </c>
      <c r="P36" s="120">
        <v>2512949.4064050987</v>
      </c>
      <c r="Q36" s="120">
        <v>5633201.3551799916</v>
      </c>
      <c r="R36" s="120"/>
      <c r="S36" s="121"/>
    </row>
    <row r="37" spans="1:19" ht="15">
      <c r="A37" s="105">
        <v>15</v>
      </c>
      <c r="B37" s="105"/>
      <c r="C37" s="107" t="s">
        <v>269</v>
      </c>
      <c r="D37" s="107" t="s">
        <v>251</v>
      </c>
      <c r="E37" s="120">
        <v>980981.37</v>
      </c>
      <c r="F37" s="120" t="s">
        <v>251</v>
      </c>
      <c r="G37" s="120">
        <v>951646.55364259379</v>
      </c>
      <c r="H37" s="120" t="s">
        <v>251</v>
      </c>
      <c r="I37" s="120">
        <v>29334.816357406242</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234962</v>
      </c>
      <c r="F39" s="120" t="s">
        <v>251</v>
      </c>
      <c r="G39" s="120">
        <v>0</v>
      </c>
      <c r="H39" s="120" t="s">
        <v>251</v>
      </c>
      <c r="I39" s="120">
        <v>234962</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22095899.68</v>
      </c>
      <c r="F40" s="120" t="s">
        <v>251</v>
      </c>
      <c r="G40" s="120">
        <v>0</v>
      </c>
      <c r="H40" s="120" t="s">
        <v>251</v>
      </c>
      <c r="I40" s="120">
        <v>1017744.901778532</v>
      </c>
      <c r="J40" s="120">
        <v>1.2044233615074355E-12</v>
      </c>
      <c r="K40" s="120" t="s">
        <v>251</v>
      </c>
      <c r="L40" s="120" t="s">
        <v>251</v>
      </c>
      <c r="M40" s="120">
        <v>0</v>
      </c>
      <c r="N40" s="120" t="s">
        <v>251</v>
      </c>
      <c r="O40" s="120">
        <v>1.2044233615074355E-12</v>
      </c>
      <c r="P40" s="120">
        <v>0</v>
      </c>
      <c r="Q40" s="120">
        <v>0</v>
      </c>
      <c r="R40" s="120"/>
      <c r="S40" s="121"/>
    </row>
    <row r="41" spans="1:19" ht="15">
      <c r="A41" s="105">
        <v>19</v>
      </c>
      <c r="B41" s="105"/>
      <c r="C41" s="107" t="s">
        <v>273</v>
      </c>
      <c r="D41" s="107" t="s">
        <v>251</v>
      </c>
      <c r="E41" s="120">
        <v>6914670.8461538451</v>
      </c>
      <c r="F41" s="120" t="s">
        <v>251</v>
      </c>
      <c r="G41" s="120">
        <v>0</v>
      </c>
      <c r="H41" s="120" t="s">
        <v>251</v>
      </c>
      <c r="I41" s="120">
        <v>0</v>
      </c>
      <c r="J41" s="120">
        <v>337667.61028723395</v>
      </c>
      <c r="K41" s="120" t="s">
        <v>251</v>
      </c>
      <c r="L41" s="120" t="s">
        <v>251</v>
      </c>
      <c r="M41" s="120">
        <v>0</v>
      </c>
      <c r="N41" s="120" t="s">
        <v>251</v>
      </c>
      <c r="O41" s="120">
        <v>337667.61028723395</v>
      </c>
      <c r="P41" s="120">
        <v>107599.73560110827</v>
      </c>
      <c r="Q41" s="120">
        <v>230067.8746861257</v>
      </c>
      <c r="R41" s="120"/>
      <c r="S41" s="121"/>
    </row>
    <row r="42" spans="1:19" ht="15">
      <c r="A42" s="105">
        <v>20</v>
      </c>
      <c r="B42" s="105"/>
      <c r="C42" s="107" t="s">
        <v>274</v>
      </c>
      <c r="D42" s="107" t="s">
        <v>251</v>
      </c>
      <c r="E42" s="120">
        <v>6319401.2276923079</v>
      </c>
      <c r="F42" s="120" t="s">
        <v>251</v>
      </c>
      <c r="G42" s="120">
        <v>0</v>
      </c>
      <c r="H42" s="120" t="s">
        <v>251</v>
      </c>
      <c r="I42" s="120">
        <v>0</v>
      </c>
      <c r="J42" s="120">
        <v>308598.5086604653</v>
      </c>
      <c r="K42" s="120" t="s">
        <v>251</v>
      </c>
      <c r="L42" s="120" t="s">
        <v>251</v>
      </c>
      <c r="M42" s="120">
        <v>0</v>
      </c>
      <c r="N42" s="120" t="s">
        <v>251</v>
      </c>
      <c r="O42" s="120">
        <v>308598.5086604653</v>
      </c>
      <c r="P42" s="120">
        <v>98336.698360013703</v>
      </c>
      <c r="Q42" s="120">
        <v>210261.81030045159</v>
      </c>
      <c r="R42" s="120"/>
      <c r="S42" s="121"/>
    </row>
    <row r="43" spans="1:19" ht="15">
      <c r="A43" s="105">
        <v>21</v>
      </c>
      <c r="B43" s="105"/>
      <c r="C43" s="107" t="s">
        <v>275</v>
      </c>
      <c r="D43" s="107" t="s">
        <v>251</v>
      </c>
      <c r="E43" s="120">
        <v>1535072.4738461531</v>
      </c>
      <c r="F43" s="120" t="s">
        <v>251</v>
      </c>
      <c r="G43" s="120">
        <v>0</v>
      </c>
      <c r="H43" s="120" t="s">
        <v>251</v>
      </c>
      <c r="I43" s="120">
        <v>0</v>
      </c>
      <c r="J43" s="120">
        <v>74962.968649427785</v>
      </c>
      <c r="K43" s="120" t="s">
        <v>251</v>
      </c>
      <c r="L43" s="120" t="s">
        <v>251</v>
      </c>
      <c r="M43" s="120">
        <v>0</v>
      </c>
      <c r="N43" s="120" t="s">
        <v>251</v>
      </c>
      <c r="O43" s="120">
        <v>74962.968649427785</v>
      </c>
      <c r="P43" s="120">
        <v>23887.383215971859</v>
      </c>
      <c r="Q43" s="120">
        <v>51075.585433455934</v>
      </c>
      <c r="R43" s="120"/>
      <c r="S43" s="121"/>
    </row>
    <row r="44" spans="1:19" ht="15">
      <c r="A44" s="105">
        <v>22</v>
      </c>
      <c r="B44" s="105"/>
      <c r="C44" s="107" t="s">
        <v>276</v>
      </c>
      <c r="D44" s="107" t="s">
        <v>251</v>
      </c>
      <c r="E44" s="120">
        <v>1541229430.9676924</v>
      </c>
      <c r="F44" s="120" t="s">
        <v>251</v>
      </c>
      <c r="G44" s="120">
        <v>1316213263.1695445</v>
      </c>
      <c r="H44" s="120" t="s">
        <v>251</v>
      </c>
      <c r="I44" s="120">
        <v>72014568.970163181</v>
      </c>
      <c r="J44" s="120">
        <v>88687677.671944559</v>
      </c>
      <c r="K44" s="120" t="s">
        <v>251</v>
      </c>
      <c r="L44" s="120" t="s">
        <v>251</v>
      </c>
      <c r="M44" s="120">
        <v>101204.89978371019</v>
      </c>
      <c r="N44" s="120" t="s">
        <v>251</v>
      </c>
      <c r="O44" s="120">
        <v>88586472.772160843</v>
      </c>
      <c r="P44" s="120">
        <v>27703028.292675029</v>
      </c>
      <c r="Q44" s="120">
        <v>60883444.479485817</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5383750417.1593847</v>
      </c>
      <c r="F46" s="120" t="s">
        <v>251</v>
      </c>
      <c r="G46" s="120">
        <v>4864417806.0041676</v>
      </c>
      <c r="H46" s="120" t="s">
        <v>251</v>
      </c>
      <c r="I46" s="120">
        <v>247709108.52550232</v>
      </c>
      <c r="J46" s="120">
        <v>335937423.78575832</v>
      </c>
      <c r="K46" s="120" t="s">
        <v>251</v>
      </c>
      <c r="L46" s="120" t="s">
        <v>251</v>
      </c>
      <c r="M46" s="120">
        <v>453008.50525350129</v>
      </c>
      <c r="N46" s="120" t="s">
        <v>251</v>
      </c>
      <c r="O46" s="120">
        <v>335484415.28050482</v>
      </c>
      <c r="P46" s="120">
        <v>104946582.49794161</v>
      </c>
      <c r="Q46" s="120">
        <v>230537832.78256321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1744297193.4697351</v>
      </c>
      <c r="F49" s="120" t="s">
        <v>251</v>
      </c>
      <c r="G49" s="120">
        <v>1556696071.462594</v>
      </c>
      <c r="H49" s="120" t="s">
        <v>251</v>
      </c>
      <c r="I49" s="120">
        <v>73708569.305934459</v>
      </c>
      <c r="J49" s="120">
        <v>113892552.7012068</v>
      </c>
      <c r="K49" s="120" t="s">
        <v>251</v>
      </c>
      <c r="L49" s="120" t="s">
        <v>251</v>
      </c>
      <c r="M49" s="120">
        <v>3917.408649507498</v>
      </c>
      <c r="N49" s="120" t="s">
        <v>251</v>
      </c>
      <c r="O49" s="120">
        <v>113888635.2925573</v>
      </c>
      <c r="P49" s="120">
        <v>35306947.054222703</v>
      </c>
      <c r="Q49" s="120">
        <v>78581688.238334596</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973853620.35696399</v>
      </c>
      <c r="F52" s="120" t="s">
        <v>251</v>
      </c>
      <c r="G52" s="120">
        <v>867592007.7181499</v>
      </c>
      <c r="H52" s="120" t="s">
        <v>251</v>
      </c>
      <c r="I52" s="120">
        <v>40750045.948559485</v>
      </c>
      <c r="J52" s="120">
        <v>65511566.690254554</v>
      </c>
      <c r="K52" s="120" t="s">
        <v>251</v>
      </c>
      <c r="L52" s="120" t="s">
        <v>251</v>
      </c>
      <c r="M52" s="120">
        <v>25781.102833392397</v>
      </c>
      <c r="N52" s="120" t="s">
        <v>251</v>
      </c>
      <c r="O52" s="120">
        <v>65485785.587421164</v>
      </c>
      <c r="P52" s="120">
        <v>20873606.813739479</v>
      </c>
      <c r="Q52" s="120">
        <v>44612178.773681685</v>
      </c>
      <c r="R52" s="120"/>
      <c r="S52" s="121"/>
    </row>
    <row r="53" spans="1:19" ht="15">
      <c r="A53" s="105">
        <v>26</v>
      </c>
      <c r="B53" s="105"/>
      <c r="C53" s="107" t="s">
        <v>282</v>
      </c>
      <c r="D53" s="107" t="s">
        <v>251</v>
      </c>
      <c r="E53" s="120">
        <v>275782392.61278754</v>
      </c>
      <c r="F53" s="120" t="s">
        <v>251</v>
      </c>
      <c r="G53" s="120">
        <v>244979450.36804852</v>
      </c>
      <c r="H53" s="120" t="s">
        <v>251</v>
      </c>
      <c r="I53" s="120">
        <v>13225547.290444216</v>
      </c>
      <c r="J53" s="120">
        <v>17577394.954294819</v>
      </c>
      <c r="K53" s="120" t="s">
        <v>251</v>
      </c>
      <c r="L53" s="120" t="s">
        <v>251</v>
      </c>
      <c r="M53" s="120">
        <v>7078.3550142780641</v>
      </c>
      <c r="N53" s="120" t="s">
        <v>251</v>
      </c>
      <c r="O53" s="120">
        <v>17570316.59928054</v>
      </c>
      <c r="P53" s="120">
        <v>5488679.7391467765</v>
      </c>
      <c r="Q53" s="120">
        <v>12081636.860133763</v>
      </c>
      <c r="R53" s="120"/>
      <c r="S53" s="121"/>
    </row>
    <row r="54" spans="1:19" ht="15">
      <c r="A54" s="105">
        <v>27</v>
      </c>
      <c r="B54" s="105"/>
      <c r="C54" s="107" t="s">
        <v>2234</v>
      </c>
      <c r="D54" s="107" t="s">
        <v>251</v>
      </c>
      <c r="E54" s="120">
        <v>5423562.4027104005</v>
      </c>
      <c r="F54" s="120" t="s">
        <v>251</v>
      </c>
      <c r="G54" s="120">
        <v>3560896.0459811301</v>
      </c>
      <c r="H54" s="120" t="s">
        <v>251</v>
      </c>
      <c r="I54" s="120">
        <v>661098.55000000005</v>
      </c>
      <c r="J54" s="120">
        <v>1201567.8067292699</v>
      </c>
      <c r="K54" s="120" t="s">
        <v>251</v>
      </c>
      <c r="L54" s="120" t="s">
        <v>251</v>
      </c>
      <c r="M54" s="120">
        <v>0</v>
      </c>
      <c r="N54" s="120" t="s">
        <v>251</v>
      </c>
      <c r="O54" s="120">
        <v>1201567.8067292699</v>
      </c>
      <c r="P54" s="120">
        <v>372303.38733766816</v>
      </c>
      <c r="Q54" s="120">
        <v>829264.4193916017</v>
      </c>
      <c r="R54" s="120"/>
      <c r="S54" s="121"/>
    </row>
    <row r="55" spans="1:19" ht="15">
      <c r="A55" s="105">
        <v>28</v>
      </c>
      <c r="B55" s="105"/>
      <c r="C55" s="107" t="s">
        <v>283</v>
      </c>
      <c r="D55" s="107" t="s">
        <v>251</v>
      </c>
      <c r="E55" s="120">
        <v>44773917.366147906</v>
      </c>
      <c r="F55" s="120" t="s">
        <v>251</v>
      </c>
      <c r="G55" s="120">
        <v>40503939.709468067</v>
      </c>
      <c r="H55" s="120" t="s">
        <v>251</v>
      </c>
      <c r="I55" s="120">
        <v>1914052.427337985</v>
      </c>
      <c r="J55" s="120">
        <v>2355925.2293418548</v>
      </c>
      <c r="K55" s="120" t="s">
        <v>251</v>
      </c>
      <c r="L55" s="120" t="s">
        <v>251</v>
      </c>
      <c r="M55" s="120">
        <v>3410.9401547468419</v>
      </c>
      <c r="N55" s="120" t="s">
        <v>251</v>
      </c>
      <c r="O55" s="120">
        <v>2352514.2891871082</v>
      </c>
      <c r="P55" s="120">
        <v>739121.72683020728</v>
      </c>
      <c r="Q55" s="120">
        <v>1613392.5623569011</v>
      </c>
      <c r="R55" s="120"/>
      <c r="S55" s="121"/>
    </row>
    <row r="56" spans="1:19" ht="15">
      <c r="A56" s="105">
        <v>29</v>
      </c>
      <c r="B56" s="105"/>
      <c r="C56" s="107" t="s">
        <v>284</v>
      </c>
      <c r="D56" s="107" t="s">
        <v>251</v>
      </c>
      <c r="E56" s="120">
        <v>73583036.049999997</v>
      </c>
      <c r="F56" s="120" t="s">
        <v>251</v>
      </c>
      <c r="G56" s="120">
        <v>66229293.735770352</v>
      </c>
      <c r="H56" s="120" t="s">
        <v>251</v>
      </c>
      <c r="I56" s="120">
        <v>2688309.9435527939</v>
      </c>
      <c r="J56" s="120">
        <v>4705311.2466908982</v>
      </c>
      <c r="K56" s="120" t="s">
        <v>251</v>
      </c>
      <c r="L56" s="120" t="s">
        <v>251</v>
      </c>
      <c r="M56" s="120">
        <v>-10985.80354991103</v>
      </c>
      <c r="N56" s="120" t="s">
        <v>251</v>
      </c>
      <c r="O56" s="120">
        <v>4716297.0502408082</v>
      </c>
      <c r="P56" s="120">
        <v>1300070.8469754653</v>
      </c>
      <c r="Q56" s="120">
        <v>3416226.2032653429</v>
      </c>
      <c r="R56" s="120"/>
      <c r="S56" s="121"/>
    </row>
    <row r="57" spans="1:19" ht="15">
      <c r="A57" s="105">
        <v>30</v>
      </c>
      <c r="B57" s="105"/>
      <c r="C57" s="107" t="s">
        <v>285</v>
      </c>
      <c r="D57" s="107" t="s">
        <v>251</v>
      </c>
      <c r="E57" s="120">
        <v>-27812.7</v>
      </c>
      <c r="F57" s="120" t="s">
        <v>251</v>
      </c>
      <c r="G57" s="120">
        <v>-24384.376016277321</v>
      </c>
      <c r="H57" s="120" t="s">
        <v>251</v>
      </c>
      <c r="I57" s="120">
        <v>-1116.5905866758974</v>
      </c>
      <c r="J57" s="120">
        <v>-2311.7333970467803</v>
      </c>
      <c r="K57" s="120"/>
      <c r="L57" s="120"/>
      <c r="M57" s="120">
        <v>-7.827045007471696E-2</v>
      </c>
      <c r="N57" s="120" t="s">
        <v>251</v>
      </c>
      <c r="O57" s="120">
        <v>-2311.6551265967055</v>
      </c>
      <c r="P57" s="120">
        <v>-713.10641654073129</v>
      </c>
      <c r="Q57" s="120">
        <v>-1598.5487100559744</v>
      </c>
      <c r="R57" s="120"/>
      <c r="S57" s="121"/>
    </row>
    <row r="58" spans="1:19" ht="15">
      <c r="A58" s="105">
        <v>31</v>
      </c>
      <c r="B58" s="105"/>
      <c r="C58" s="107" t="s">
        <v>286</v>
      </c>
      <c r="D58" s="107" t="s">
        <v>251</v>
      </c>
      <c r="E58" s="120">
        <v>-1626.6950039999956</v>
      </c>
      <c r="F58" s="120" t="s">
        <v>251</v>
      </c>
      <c r="G58" s="120">
        <v>0</v>
      </c>
      <c r="H58" s="120" t="s">
        <v>251</v>
      </c>
      <c r="I58" s="120">
        <v>-79.524245687496105</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1074652.0602440001</v>
      </c>
      <c r="F59" s="120" t="s">
        <v>251</v>
      </c>
      <c r="G59" s="120">
        <v>0</v>
      </c>
      <c r="H59" s="120" t="s">
        <v>251</v>
      </c>
      <c r="I59" s="120">
        <v>24749.425715602425</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417808.04084700003</v>
      </c>
      <c r="F60" s="120" t="s">
        <v>251</v>
      </c>
      <c r="G60" s="120">
        <v>0</v>
      </c>
      <c r="H60" s="120" t="s">
        <v>251</v>
      </c>
      <c r="I60" s="120">
        <v>27971.937610000001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1374879549.4946971</v>
      </c>
      <c r="F62" s="120" t="s">
        <v>251</v>
      </c>
      <c r="G62" s="120">
        <v>1222841203.2014017</v>
      </c>
      <c r="H62" s="120" t="s">
        <v>251</v>
      </c>
      <c r="I62" s="120">
        <v>59290579.408387713</v>
      </c>
      <c r="J62" s="120">
        <v>91349454.193914354</v>
      </c>
      <c r="K62" s="120" t="s">
        <v>251</v>
      </c>
      <c r="L62" s="120" t="s">
        <v>251</v>
      </c>
      <c r="M62" s="120">
        <v>25284.516182056203</v>
      </c>
      <c r="N62" s="120" t="s">
        <v>251</v>
      </c>
      <c r="O62" s="120">
        <v>91324169.677732289</v>
      </c>
      <c r="P62" s="120">
        <v>28773069.407613054</v>
      </c>
      <c r="Q62" s="120">
        <v>62551100.270119242</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369417643.97503805</v>
      </c>
      <c r="F64" s="120" t="s">
        <v>251</v>
      </c>
      <c r="G64" s="120">
        <v>333854868.26119232</v>
      </c>
      <c r="H64" s="120" t="s">
        <v>251</v>
      </c>
      <c r="I64" s="120">
        <v>14417989.897546746</v>
      </c>
      <c r="J64" s="120">
        <v>22543098.507292446</v>
      </c>
      <c r="K64" s="120" t="s">
        <v>251</v>
      </c>
      <c r="L64" s="120" t="s">
        <v>251</v>
      </c>
      <c r="M64" s="120">
        <v>-21367.107532548704</v>
      </c>
      <c r="N64" s="120" t="s">
        <v>251</v>
      </c>
      <c r="O64" s="120">
        <v>22564465.614825003</v>
      </c>
      <c r="P64" s="120">
        <v>6533877.6466096491</v>
      </c>
      <c r="Q64" s="120">
        <v>16030587.968215354</v>
      </c>
      <c r="R64" s="122"/>
      <c r="S64" s="121"/>
    </row>
    <row r="65" spans="1:19" ht="15">
      <c r="A65" s="105">
        <v>37</v>
      </c>
      <c r="B65" s="105"/>
      <c r="C65" s="107" t="s">
        <v>292</v>
      </c>
      <c r="D65" s="107" t="s">
        <v>251</v>
      </c>
      <c r="E65" s="122">
        <v>6.8617156322404893E-2</v>
      </c>
      <c r="F65" s="120" t="s">
        <v>251</v>
      </c>
      <c r="G65" s="122">
        <v>6.8632029890424731E-2</v>
      </c>
      <c r="H65" s="122" t="s">
        <v>251</v>
      </c>
      <c r="I65" s="122">
        <v>5.8205327948456828E-2</v>
      </c>
      <c r="J65" s="122">
        <v>6.7105052641200064E-2</v>
      </c>
      <c r="K65" s="122" t="s">
        <v>251</v>
      </c>
      <c r="L65" s="122" t="s">
        <v>251</v>
      </c>
      <c r="M65" s="122">
        <v>-4.716712221681528E-2</v>
      </c>
      <c r="N65" s="122" t="s">
        <v>251</v>
      </c>
      <c r="O65" s="122">
        <v>6.7259355687084382E-2</v>
      </c>
      <c r="P65" s="122">
        <v>6.2259079725038233E-2</v>
      </c>
      <c r="Q65" s="122">
        <v>6.9535606259190239E-2</v>
      </c>
      <c r="R65" s="120"/>
      <c r="S65" s="121"/>
    </row>
    <row r="66" spans="1:19" ht="15">
      <c r="A66" s="105" t="s">
        <v>251</v>
      </c>
      <c r="B66" s="105"/>
      <c r="C66" s="107" t="s">
        <v>251</v>
      </c>
      <c r="D66" s="107" t="s">
        <v>251</v>
      </c>
      <c r="E66" s="120" t="s">
        <v>251</v>
      </c>
      <c r="F66" s="120" t="s">
        <v>251</v>
      </c>
      <c r="G66" s="120"/>
      <c r="H66" s="120"/>
      <c r="I66" s="120"/>
      <c r="J66" s="120"/>
      <c r="K66" s="120"/>
      <c r="L66" s="120"/>
      <c r="M66" s="120"/>
      <c r="N66" s="120"/>
      <c r="O66" s="120"/>
      <c r="P66" s="120"/>
      <c r="Q66" s="120"/>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111" si="1">MID(C72,2,3)</f>
        <v>301</v>
      </c>
      <c r="C72" s="107" t="s">
        <v>295</v>
      </c>
      <c r="D72" s="107" t="s">
        <v>296</v>
      </c>
      <c r="E72" s="120">
        <v>44455.58</v>
      </c>
      <c r="F72" s="120" t="s">
        <v>251</v>
      </c>
      <c r="G72" s="120">
        <v>39574.788728327236</v>
      </c>
      <c r="H72" s="120" t="s">
        <v>251</v>
      </c>
      <c r="I72" s="120">
        <v>2173.3125534525038</v>
      </c>
      <c r="J72" s="120">
        <v>2707.4787182202608</v>
      </c>
      <c r="K72" s="120" t="s">
        <v>251</v>
      </c>
      <c r="L72" s="120" t="s">
        <v>251</v>
      </c>
      <c r="M72" s="120">
        <v>3.2359965539743207</v>
      </c>
      <c r="N72" s="120" t="s">
        <v>251</v>
      </c>
      <c r="O72" s="120">
        <v>2704.2427216662863</v>
      </c>
      <c r="P72" s="120">
        <v>846.01420788626422</v>
      </c>
      <c r="Q72" s="120">
        <v>1858.2285137800222</v>
      </c>
      <c r="R72" s="120"/>
      <c r="S72" s="121"/>
    </row>
    <row r="73" spans="1:19" ht="15">
      <c r="A73" s="105">
        <v>2</v>
      </c>
      <c r="B73" s="129" t="str">
        <f t="shared" si="1"/>
        <v>302</v>
      </c>
      <c r="C73" s="107" t="s">
        <v>297</v>
      </c>
      <c r="D73" s="107" t="s">
        <v>298</v>
      </c>
      <c r="E73" s="120">
        <v>55918.83</v>
      </c>
      <c r="F73" s="120" t="s">
        <v>251</v>
      </c>
      <c r="G73" s="120">
        <v>55918.83</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131748885.55000003</v>
      </c>
      <c r="F74" s="120" t="s">
        <v>251</v>
      </c>
      <c r="G74" s="120">
        <v>117284136.45337246</v>
      </c>
      <c r="H74" s="120" t="s">
        <v>251</v>
      </c>
      <c r="I74" s="120">
        <v>6440845.1508042915</v>
      </c>
      <c r="J74" s="120">
        <v>8023903.9458232652</v>
      </c>
      <c r="K74" s="120" t="s">
        <v>251</v>
      </c>
      <c r="L74" s="120" t="s">
        <v>251</v>
      </c>
      <c r="M74" s="120">
        <v>9590.2233112189115</v>
      </c>
      <c r="N74" s="120" t="s">
        <v>251</v>
      </c>
      <c r="O74" s="120">
        <v>8014313.7225120459</v>
      </c>
      <c r="P74" s="120">
        <v>2507253.9611108736</v>
      </c>
      <c r="Q74" s="120">
        <v>5507059.7614011727</v>
      </c>
      <c r="R74" s="120"/>
      <c r="S74" s="121"/>
    </row>
    <row r="75" spans="1:19" ht="15">
      <c r="A75" s="105">
        <v>4</v>
      </c>
      <c r="B75" s="129"/>
      <c r="C75" s="107" t="s">
        <v>300</v>
      </c>
      <c r="D75" s="107" t="s">
        <v>251</v>
      </c>
      <c r="E75" s="120">
        <v>131849259.96000002</v>
      </c>
      <c r="F75" s="120" t="s">
        <v>251</v>
      </c>
      <c r="G75" s="120">
        <v>117379630.07210079</v>
      </c>
      <c r="H75" s="120" t="s">
        <v>251</v>
      </c>
      <c r="I75" s="120">
        <v>6443018.4633577438</v>
      </c>
      <c r="J75" s="120">
        <v>8026611.4245414855</v>
      </c>
      <c r="K75" s="120" t="s">
        <v>251</v>
      </c>
      <c r="L75" s="120" t="s">
        <v>251</v>
      </c>
      <c r="M75" s="120">
        <v>9593.4593077728859</v>
      </c>
      <c r="N75" s="120" t="s">
        <v>251</v>
      </c>
      <c r="O75" s="120">
        <v>8017017.9652337125</v>
      </c>
      <c r="P75" s="120">
        <v>2508099.9753187597</v>
      </c>
      <c r="Q75" s="120">
        <v>5508917.9899149528</v>
      </c>
      <c r="R75" s="120"/>
      <c r="S75" s="121"/>
    </row>
    <row r="76" spans="1:19" ht="15">
      <c r="A76" s="105" t="s">
        <v>251</v>
      </c>
      <c r="B76" s="129" t="str">
        <f t="shared" si="1"/>
        <v/>
      </c>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29"/>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si="1"/>
        <v>310</v>
      </c>
      <c r="C79" s="107" t="s">
        <v>303</v>
      </c>
      <c r="D79" s="107" t="s">
        <v>304</v>
      </c>
      <c r="E79" s="120">
        <v>24447347.8899999</v>
      </c>
      <c r="F79" s="120" t="s">
        <v>251</v>
      </c>
      <c r="G79" s="120">
        <v>21433853.007816628</v>
      </c>
      <c r="H79" s="120" t="s">
        <v>251</v>
      </c>
      <c r="I79" s="120">
        <v>981482.50702609774</v>
      </c>
      <c r="J79" s="120">
        <v>2032012.3751571733</v>
      </c>
      <c r="K79" s="120" t="s">
        <v>251</v>
      </c>
      <c r="L79" s="120" t="s">
        <v>251</v>
      </c>
      <c r="M79" s="120">
        <v>68.79968224888178</v>
      </c>
      <c r="N79" s="120" t="s">
        <v>251</v>
      </c>
      <c r="O79" s="120">
        <v>2031943.5754749244</v>
      </c>
      <c r="P79" s="120">
        <v>626820.14503311215</v>
      </c>
      <c r="Q79" s="120">
        <v>1405123.4304418121</v>
      </c>
      <c r="R79" s="120"/>
      <c r="S79" s="121"/>
    </row>
    <row r="80" spans="1:19" ht="15">
      <c r="A80" s="105">
        <v>6</v>
      </c>
      <c r="B80" s="129" t="str">
        <f t="shared" si="1"/>
        <v>311</v>
      </c>
      <c r="C80" s="107" t="s">
        <v>305</v>
      </c>
      <c r="D80" s="107" t="s">
        <v>304</v>
      </c>
      <c r="E80" s="120">
        <v>353878761.27999997</v>
      </c>
      <c r="F80" s="120" t="s">
        <v>251</v>
      </c>
      <c r="G80" s="120">
        <v>310258003.68989563</v>
      </c>
      <c r="H80" s="120" t="s">
        <v>251</v>
      </c>
      <c r="I80" s="120">
        <v>14207095.811257988</v>
      </c>
      <c r="J80" s="120">
        <v>29413661.778846394</v>
      </c>
      <c r="K80" s="120" t="s">
        <v>251</v>
      </c>
      <c r="L80" s="120" t="s">
        <v>251</v>
      </c>
      <c r="M80" s="120">
        <v>995.88497043684799</v>
      </c>
      <c r="N80" s="120" t="s">
        <v>251</v>
      </c>
      <c r="O80" s="120">
        <v>29412665.893875957</v>
      </c>
      <c r="P80" s="120">
        <v>9073308.7886560354</v>
      </c>
      <c r="Q80" s="120">
        <v>20339357.105219923</v>
      </c>
      <c r="R80" s="120"/>
      <c r="S80" s="121"/>
    </row>
    <row r="81" spans="1:19" ht="15">
      <c r="A81" s="105">
        <v>7</v>
      </c>
      <c r="B81" s="129" t="str">
        <f t="shared" si="1"/>
        <v>312</v>
      </c>
      <c r="C81" s="107" t="s">
        <v>306</v>
      </c>
      <c r="D81" s="107" t="s">
        <v>304</v>
      </c>
      <c r="E81" s="120">
        <v>4069785787.3299794</v>
      </c>
      <c r="F81" s="120" t="s">
        <v>251</v>
      </c>
      <c r="G81" s="120">
        <v>3568124883.3790126</v>
      </c>
      <c r="H81" s="120" t="s">
        <v>251</v>
      </c>
      <c r="I81" s="120">
        <v>163388829.56059676</v>
      </c>
      <c r="J81" s="120">
        <v>338272074.39036977</v>
      </c>
      <c r="K81" s="120" t="s">
        <v>251</v>
      </c>
      <c r="L81" s="120" t="s">
        <v>251</v>
      </c>
      <c r="M81" s="120">
        <v>11453.183807469386</v>
      </c>
      <c r="N81" s="120" t="s">
        <v>251</v>
      </c>
      <c r="O81" s="120">
        <v>338260621.20656228</v>
      </c>
      <c r="P81" s="120">
        <v>104347667.03309208</v>
      </c>
      <c r="Q81" s="120">
        <v>233912954.17347023</v>
      </c>
      <c r="R81" s="120"/>
      <c r="S81" s="121"/>
    </row>
    <row r="82" spans="1:19" ht="15">
      <c r="A82" s="105">
        <v>8</v>
      </c>
      <c r="B82" s="129" t="str">
        <f t="shared" si="1"/>
        <v>314</v>
      </c>
      <c r="C82" s="107" t="s">
        <v>307</v>
      </c>
      <c r="D82" s="107" t="s">
        <v>304</v>
      </c>
      <c r="E82" s="120">
        <v>350679496.56000006</v>
      </c>
      <c r="F82" s="120" t="s">
        <v>251</v>
      </c>
      <c r="G82" s="120">
        <v>307453095.3599568</v>
      </c>
      <c r="H82" s="120" t="s">
        <v>251</v>
      </c>
      <c r="I82" s="120">
        <v>14078655.606939949</v>
      </c>
      <c r="J82" s="120">
        <v>29147745.593103278</v>
      </c>
      <c r="K82" s="120" t="s">
        <v>251</v>
      </c>
      <c r="L82" s="120" t="s">
        <v>251</v>
      </c>
      <c r="M82" s="120">
        <v>986.88160544378502</v>
      </c>
      <c r="N82" s="120" t="s">
        <v>251</v>
      </c>
      <c r="O82" s="120">
        <v>29146758.711497836</v>
      </c>
      <c r="P82" s="120">
        <v>8991280.9308772366</v>
      </c>
      <c r="Q82" s="120">
        <v>20155477.780620597</v>
      </c>
      <c r="R82" s="120"/>
      <c r="S82" s="121"/>
    </row>
    <row r="83" spans="1:19" ht="15">
      <c r="A83" s="105">
        <v>9</v>
      </c>
      <c r="B83" s="129" t="str">
        <f t="shared" si="1"/>
        <v>315</v>
      </c>
      <c r="C83" s="107" t="s">
        <v>308</v>
      </c>
      <c r="D83" s="107" t="s">
        <v>304</v>
      </c>
      <c r="E83" s="120">
        <v>250674231.48999998</v>
      </c>
      <c r="F83" s="120" t="s">
        <v>251</v>
      </c>
      <c r="G83" s="120">
        <v>219774948.79114595</v>
      </c>
      <c r="H83" s="120" t="s">
        <v>251</v>
      </c>
      <c r="I83" s="120">
        <v>10063765.373514574</v>
      </c>
      <c r="J83" s="120">
        <v>20835517.325339455</v>
      </c>
      <c r="K83" s="120" t="s">
        <v>251</v>
      </c>
      <c r="L83" s="120" t="s">
        <v>251</v>
      </c>
      <c r="M83" s="120">
        <v>705.44696922111427</v>
      </c>
      <c r="N83" s="120" t="s">
        <v>251</v>
      </c>
      <c r="O83" s="120">
        <v>20834811.878370233</v>
      </c>
      <c r="P83" s="120">
        <v>6427186.247179728</v>
      </c>
      <c r="Q83" s="120">
        <v>14407625.631190505</v>
      </c>
      <c r="R83" s="120"/>
      <c r="S83" s="121"/>
    </row>
    <row r="84" spans="1:19" ht="15">
      <c r="A84" s="105">
        <v>10</v>
      </c>
      <c r="B84" s="129" t="str">
        <f t="shared" si="1"/>
        <v>316</v>
      </c>
      <c r="C84" s="107" t="s">
        <v>309</v>
      </c>
      <c r="D84" s="107" t="s">
        <v>304</v>
      </c>
      <c r="E84" s="120">
        <v>38014387.510000005</v>
      </c>
      <c r="F84" s="120" t="s">
        <v>251</v>
      </c>
      <c r="G84" s="120">
        <v>33328555.626469791</v>
      </c>
      <c r="H84" s="120" t="s">
        <v>251</v>
      </c>
      <c r="I84" s="120">
        <v>1526155.5782759606</v>
      </c>
      <c r="J84" s="120">
        <v>3159676.3052542545</v>
      </c>
      <c r="K84" s="120" t="s">
        <v>251</v>
      </c>
      <c r="L84" s="120" t="s">
        <v>251</v>
      </c>
      <c r="M84" s="120">
        <v>106.98002062807277</v>
      </c>
      <c r="N84" s="120" t="s">
        <v>251</v>
      </c>
      <c r="O84" s="120">
        <v>3159569.3252336266</v>
      </c>
      <c r="P84" s="120">
        <v>974673.57193824544</v>
      </c>
      <c r="Q84" s="120">
        <v>2184895.7532953811</v>
      </c>
      <c r="R84" s="120"/>
      <c r="S84" s="121"/>
    </row>
    <row r="85" spans="1:19" ht="15">
      <c r="A85" s="105">
        <v>11</v>
      </c>
      <c r="B85" s="129" t="str">
        <f t="shared" si="1"/>
        <v>317</v>
      </c>
      <c r="C85" s="107" t="s">
        <v>310</v>
      </c>
      <c r="D85" s="107" t="s">
        <v>304</v>
      </c>
      <c r="E85" s="120">
        <v>197376730.74999991</v>
      </c>
      <c r="F85" s="120" t="s">
        <v>251</v>
      </c>
      <c r="G85" s="120">
        <v>173047148.22622487</v>
      </c>
      <c r="H85" s="120" t="s">
        <v>251</v>
      </c>
      <c r="I85" s="120">
        <v>7924041.8795842556</v>
      </c>
      <c r="J85" s="120">
        <v>16405540.644190786</v>
      </c>
      <c r="K85" s="120" t="s">
        <v>251</v>
      </c>
      <c r="L85" s="120" t="s">
        <v>251</v>
      </c>
      <c r="M85" s="120">
        <v>555.45723896201082</v>
      </c>
      <c r="N85" s="120" t="s">
        <v>251</v>
      </c>
      <c r="O85" s="120">
        <v>16404985.186951824</v>
      </c>
      <c r="P85" s="120">
        <v>5060659.8127350891</v>
      </c>
      <c r="Q85" s="120">
        <v>11344325.374216734</v>
      </c>
      <c r="R85" s="120"/>
      <c r="S85" s="121"/>
    </row>
    <row r="86" spans="1:19" ht="15">
      <c r="A86" s="105">
        <v>12</v>
      </c>
      <c r="B86" s="129"/>
      <c r="C86" s="107" t="s">
        <v>311</v>
      </c>
      <c r="D86" s="107" t="s">
        <v>312</v>
      </c>
      <c r="E86" s="120">
        <v>16782672.029999997</v>
      </c>
      <c r="F86" s="120" t="s">
        <v>251</v>
      </c>
      <c r="G86" s="120">
        <v>0</v>
      </c>
      <c r="H86" s="120" t="s">
        <v>251</v>
      </c>
      <c r="I86" s="120">
        <v>5466169.9234149307</v>
      </c>
      <c r="J86" s="120">
        <v>11316502.106585067</v>
      </c>
      <c r="K86" s="120" t="s">
        <v>251</v>
      </c>
      <c r="L86" s="120" t="s">
        <v>251</v>
      </c>
      <c r="M86" s="120">
        <v>0</v>
      </c>
      <c r="N86" s="120" t="s">
        <v>251</v>
      </c>
      <c r="O86" s="120">
        <v>11316502.106585067</v>
      </c>
      <c r="P86" s="120">
        <v>3490949.0486512324</v>
      </c>
      <c r="Q86" s="120">
        <v>7825553.0579338344</v>
      </c>
      <c r="R86" s="120"/>
      <c r="S86" s="121"/>
    </row>
    <row r="87" spans="1:19" ht="15">
      <c r="A87" s="105">
        <v>13</v>
      </c>
      <c r="B87" s="129"/>
      <c r="C87" s="107" t="s">
        <v>313</v>
      </c>
      <c r="D87" s="107" t="s">
        <v>314</v>
      </c>
      <c r="E87" s="120">
        <v>24580305.350000001</v>
      </c>
      <c r="F87" s="120" t="s">
        <v>251</v>
      </c>
      <c r="G87" s="120">
        <v>0</v>
      </c>
      <c r="H87" s="120" t="s">
        <v>251</v>
      </c>
      <c r="I87" s="120">
        <v>0</v>
      </c>
      <c r="J87" s="120">
        <v>24580305.350000001</v>
      </c>
      <c r="K87" s="120" t="s">
        <v>251</v>
      </c>
      <c r="L87" s="120" t="s">
        <v>251</v>
      </c>
      <c r="M87" s="120">
        <v>0</v>
      </c>
      <c r="N87" s="120" t="s">
        <v>251</v>
      </c>
      <c r="O87" s="120">
        <v>24580305.350000001</v>
      </c>
      <c r="P87" s="120">
        <v>7582607.4849760626</v>
      </c>
      <c r="Q87" s="120">
        <v>16997697.865023941</v>
      </c>
      <c r="R87" s="120"/>
      <c r="S87" s="121"/>
    </row>
    <row r="88" spans="1:19" ht="15">
      <c r="A88" s="105">
        <v>14</v>
      </c>
      <c r="B88" s="129"/>
      <c r="C88" s="107" t="s">
        <v>315</v>
      </c>
      <c r="D88" s="107" t="s">
        <v>251</v>
      </c>
      <c r="E88" s="120">
        <v>5326219720.1899786</v>
      </c>
      <c r="F88" s="120" t="s">
        <v>251</v>
      </c>
      <c r="G88" s="120">
        <v>4633420488.0805225</v>
      </c>
      <c r="H88" s="120" t="s">
        <v>251</v>
      </c>
      <c r="I88" s="120">
        <v>217636196.24061048</v>
      </c>
      <c r="J88" s="120">
        <v>475163035.86884606</v>
      </c>
      <c r="K88" s="120" t="s">
        <v>251</v>
      </c>
      <c r="L88" s="120" t="s">
        <v>251</v>
      </c>
      <c r="M88" s="120">
        <v>14872.6342944101</v>
      </c>
      <c r="N88" s="120" t="s">
        <v>251</v>
      </c>
      <c r="O88" s="120">
        <v>475148163.23455167</v>
      </c>
      <c r="P88" s="120">
        <v>146575153.06313881</v>
      </c>
      <c r="Q88" s="120">
        <v>328573010.17141283</v>
      </c>
      <c r="R88" s="120"/>
      <c r="S88" s="121"/>
    </row>
    <row r="89" spans="1:19" ht="15">
      <c r="A89" s="105" t="s">
        <v>251</v>
      </c>
      <c r="B89" s="129" t="str">
        <f t="shared" si="1"/>
        <v/>
      </c>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si="1"/>
        <v>330</v>
      </c>
      <c r="C91" s="107" t="s">
        <v>317</v>
      </c>
      <c r="D91" s="107" t="s">
        <v>304</v>
      </c>
      <c r="E91" s="120">
        <v>855636.47000000009</v>
      </c>
      <c r="F91" s="120" t="s">
        <v>251</v>
      </c>
      <c r="G91" s="120">
        <v>750166.70146085031</v>
      </c>
      <c r="H91" s="120" t="s">
        <v>251</v>
      </c>
      <c r="I91" s="120">
        <v>34351.056460487256</v>
      </c>
      <c r="J91" s="120">
        <v>71118.712078662473</v>
      </c>
      <c r="K91" s="120" t="s">
        <v>251</v>
      </c>
      <c r="L91" s="120" t="s">
        <v>251</v>
      </c>
      <c r="M91" s="120">
        <v>2.4079306075009641</v>
      </c>
      <c r="N91" s="120" t="s">
        <v>251</v>
      </c>
      <c r="O91" s="120">
        <v>71116.304148054973</v>
      </c>
      <c r="P91" s="120">
        <v>21938.174178819783</v>
      </c>
      <c r="Q91" s="120">
        <v>49178.129969235189</v>
      </c>
      <c r="R91" s="120"/>
      <c r="S91" s="121"/>
    </row>
    <row r="92" spans="1:19" ht="15">
      <c r="A92" s="105">
        <v>16</v>
      </c>
      <c r="B92" s="129" t="str">
        <f t="shared" si="1"/>
        <v>331</v>
      </c>
      <c r="C92" s="107" t="s">
        <v>318</v>
      </c>
      <c r="D92" s="107" t="s">
        <v>304</v>
      </c>
      <c r="E92" s="120">
        <v>4409838.34</v>
      </c>
      <c r="F92" s="120" t="s">
        <v>251</v>
      </c>
      <c r="G92" s="120">
        <v>3866260.9618467893</v>
      </c>
      <c r="H92" s="120" t="s">
        <v>251</v>
      </c>
      <c r="I92" s="120">
        <v>177040.84749795831</v>
      </c>
      <c r="J92" s="120">
        <v>366536.53065525228</v>
      </c>
      <c r="K92" s="120" t="s">
        <v>251</v>
      </c>
      <c r="L92" s="120" t="s">
        <v>251</v>
      </c>
      <c r="M92" s="120">
        <v>12.410159086623834</v>
      </c>
      <c r="N92" s="120" t="s">
        <v>251</v>
      </c>
      <c r="O92" s="120">
        <v>366524.12049616565</v>
      </c>
      <c r="P92" s="120">
        <v>113066.47740641244</v>
      </c>
      <c r="Q92" s="120">
        <v>253457.6430897532</v>
      </c>
      <c r="R92" s="120"/>
      <c r="S92" s="121"/>
    </row>
    <row r="93" spans="1:19" ht="15">
      <c r="A93" s="105">
        <v>17</v>
      </c>
      <c r="B93" s="129" t="str">
        <f t="shared" si="1"/>
        <v>332</v>
      </c>
      <c r="C93" s="107" t="s">
        <v>319</v>
      </c>
      <c r="D93" s="107" t="s">
        <v>304</v>
      </c>
      <c r="E93" s="120">
        <v>21842694.049999997</v>
      </c>
      <c r="F93" s="120" t="s">
        <v>251</v>
      </c>
      <c r="G93" s="120">
        <v>19150261.029087551</v>
      </c>
      <c r="H93" s="120" t="s">
        <v>251</v>
      </c>
      <c r="I93" s="120">
        <v>876914.01999344281</v>
      </c>
      <c r="J93" s="120">
        <v>1815519.0009190044</v>
      </c>
      <c r="K93" s="120" t="s">
        <v>251</v>
      </c>
      <c r="L93" s="120" t="s">
        <v>251</v>
      </c>
      <c r="M93" s="120">
        <v>61.469670119687841</v>
      </c>
      <c r="N93" s="120" t="s">
        <v>251</v>
      </c>
      <c r="O93" s="120">
        <v>1815457.5312488847</v>
      </c>
      <c r="P93" s="120">
        <v>560037.87052645197</v>
      </c>
      <c r="Q93" s="120">
        <v>1255419.6607224327</v>
      </c>
      <c r="R93" s="120"/>
      <c r="S93" s="121"/>
    </row>
    <row r="94" spans="1:19" ht="15">
      <c r="A94" s="105">
        <v>18</v>
      </c>
      <c r="B94" s="129" t="str">
        <f t="shared" si="1"/>
        <v>333</v>
      </c>
      <c r="C94" s="107" t="s">
        <v>320</v>
      </c>
      <c r="D94" s="107" t="s">
        <v>304</v>
      </c>
      <c r="E94" s="120">
        <v>13988241.58</v>
      </c>
      <c r="F94" s="120" t="s">
        <v>251</v>
      </c>
      <c r="G94" s="120">
        <v>12263985.247503666</v>
      </c>
      <c r="H94" s="120" t="s">
        <v>251</v>
      </c>
      <c r="I94" s="120">
        <v>561582.97728650516</v>
      </c>
      <c r="J94" s="120">
        <v>1162673.3552098295</v>
      </c>
      <c r="K94" s="120" t="s">
        <v>251</v>
      </c>
      <c r="L94" s="120" t="s">
        <v>251</v>
      </c>
      <c r="M94" s="120">
        <v>39.365684173793625</v>
      </c>
      <c r="N94" s="120" t="s">
        <v>251</v>
      </c>
      <c r="O94" s="120">
        <v>1162633.9895256558</v>
      </c>
      <c r="P94" s="120">
        <v>358652.87537059898</v>
      </c>
      <c r="Q94" s="120">
        <v>803981.11415505665</v>
      </c>
      <c r="R94" s="120"/>
      <c r="S94" s="121"/>
    </row>
    <row r="95" spans="1:19" ht="15">
      <c r="A95" s="105">
        <v>19</v>
      </c>
      <c r="B95" s="129" t="str">
        <f t="shared" si="1"/>
        <v>334</v>
      </c>
      <c r="C95" s="107" t="s">
        <v>321</v>
      </c>
      <c r="D95" s="107" t="s">
        <v>304</v>
      </c>
      <c r="E95" s="120">
        <v>1377986.23</v>
      </c>
      <c r="F95" s="120" t="s">
        <v>251</v>
      </c>
      <c r="G95" s="120">
        <v>1208129.1775905397</v>
      </c>
      <c r="H95" s="120" t="s">
        <v>251</v>
      </c>
      <c r="I95" s="120">
        <v>55321.7218388365</v>
      </c>
      <c r="J95" s="120">
        <v>114535.3305706237</v>
      </c>
      <c r="K95" s="120" t="s">
        <v>251</v>
      </c>
      <c r="L95" s="120" t="s">
        <v>251</v>
      </c>
      <c r="M95" s="120">
        <v>3.8779263580616927</v>
      </c>
      <c r="N95" s="120" t="s">
        <v>251</v>
      </c>
      <c r="O95" s="120">
        <v>114531.45264426564</v>
      </c>
      <c r="P95" s="120">
        <v>35331.011463028473</v>
      </c>
      <c r="Q95" s="120">
        <v>79200.441181237169</v>
      </c>
      <c r="R95" s="120"/>
      <c r="S95" s="121"/>
    </row>
    <row r="96" spans="1:19" ht="15">
      <c r="A96" s="105">
        <v>20</v>
      </c>
      <c r="B96" s="129" t="str">
        <f t="shared" si="1"/>
        <v>335</v>
      </c>
      <c r="C96" s="107" t="s">
        <v>322</v>
      </c>
      <c r="D96" s="107" t="s">
        <v>304</v>
      </c>
      <c r="E96" s="120">
        <v>328554.18000000005</v>
      </c>
      <c r="F96" s="120" t="s">
        <v>251</v>
      </c>
      <c r="G96" s="120">
        <v>288055.04919837567</v>
      </c>
      <c r="H96" s="120" t="s">
        <v>251</v>
      </c>
      <c r="I96" s="120">
        <v>13190.39520079023</v>
      </c>
      <c r="J96" s="120">
        <v>27308.73560083413</v>
      </c>
      <c r="K96" s="120" t="s">
        <v>251</v>
      </c>
      <c r="L96" s="120" t="s">
        <v>251</v>
      </c>
      <c r="M96" s="120">
        <v>0.92461657956723275</v>
      </c>
      <c r="N96" s="120" t="s">
        <v>251</v>
      </c>
      <c r="O96" s="120">
        <v>27307.810984254564</v>
      </c>
      <c r="P96" s="120">
        <v>8423.9967331211446</v>
      </c>
      <c r="Q96" s="120">
        <v>18883.814251133419</v>
      </c>
      <c r="R96" s="120"/>
      <c r="S96" s="121"/>
    </row>
    <row r="97" spans="1:19" ht="15">
      <c r="A97" s="105">
        <v>21</v>
      </c>
      <c r="B97" s="129" t="str">
        <f t="shared" si="1"/>
        <v>336</v>
      </c>
      <c r="C97" s="107" t="s">
        <v>323</v>
      </c>
      <c r="D97" s="107" t="s">
        <v>304</v>
      </c>
      <c r="E97" s="120">
        <v>234509.13</v>
      </c>
      <c r="F97" s="120" t="s">
        <v>251</v>
      </c>
      <c r="G97" s="120">
        <v>205602.43360659198</v>
      </c>
      <c r="H97" s="120" t="s">
        <v>251</v>
      </c>
      <c r="I97" s="120">
        <v>9414.7884616579577</v>
      </c>
      <c r="J97" s="120">
        <v>19491.907931750065</v>
      </c>
      <c r="K97" s="120" t="s">
        <v>251</v>
      </c>
      <c r="L97" s="120" t="s">
        <v>251</v>
      </c>
      <c r="M97" s="120">
        <v>0.6599551698227899</v>
      </c>
      <c r="N97" s="120" t="s">
        <v>251</v>
      </c>
      <c r="O97" s="120">
        <v>19491.247976580242</v>
      </c>
      <c r="P97" s="120">
        <v>6012.7195612214746</v>
      </c>
      <c r="Q97" s="120">
        <v>13478.528415358767</v>
      </c>
      <c r="R97" s="120"/>
      <c r="S97" s="121"/>
    </row>
    <row r="98" spans="1:19" ht="15">
      <c r="A98" s="105">
        <v>22</v>
      </c>
      <c r="B98" s="129" t="str">
        <f t="shared" si="1"/>
        <v>337</v>
      </c>
      <c r="C98" s="107" t="s">
        <v>324</v>
      </c>
      <c r="D98" s="107" t="s">
        <v>304</v>
      </c>
      <c r="E98" s="120">
        <v>645787.99</v>
      </c>
      <c r="F98" s="120" t="s">
        <v>251</v>
      </c>
      <c r="G98" s="120">
        <v>566185.13035253459</v>
      </c>
      <c r="H98" s="120" t="s">
        <v>251</v>
      </c>
      <c r="I98" s="120">
        <v>25926.313900568752</v>
      </c>
      <c r="J98" s="120">
        <v>53676.545746896649</v>
      </c>
      <c r="K98" s="120" t="s">
        <v>251</v>
      </c>
      <c r="L98" s="120" t="s">
        <v>251</v>
      </c>
      <c r="M98" s="120">
        <v>1.8173753943395217</v>
      </c>
      <c r="N98" s="120" t="s">
        <v>251</v>
      </c>
      <c r="O98" s="120">
        <v>53674.728371502308</v>
      </c>
      <c r="P98" s="120">
        <v>16557.743742748517</v>
      </c>
      <c r="Q98" s="120">
        <v>37116.984628753788</v>
      </c>
      <c r="R98" s="120"/>
      <c r="S98" s="121"/>
    </row>
    <row r="99" spans="1:19" ht="15">
      <c r="A99" s="105">
        <v>23</v>
      </c>
      <c r="B99" s="129"/>
      <c r="C99" s="107" t="s">
        <v>311</v>
      </c>
      <c r="D99" s="107" t="s">
        <v>312</v>
      </c>
      <c r="E99" s="120">
        <v>820</v>
      </c>
      <c r="F99" s="120" t="s">
        <v>251</v>
      </c>
      <c r="G99" s="120">
        <v>0</v>
      </c>
      <c r="H99" s="120" t="s">
        <v>251</v>
      </c>
      <c r="I99" s="120">
        <v>267.07662100456622</v>
      </c>
      <c r="J99" s="120">
        <v>552.92337899543384</v>
      </c>
      <c r="K99" s="120" t="s">
        <v>251</v>
      </c>
      <c r="L99" s="120" t="s">
        <v>251</v>
      </c>
      <c r="M99" s="120">
        <v>0</v>
      </c>
      <c r="N99" s="120" t="s">
        <v>251</v>
      </c>
      <c r="O99" s="120">
        <v>552.92337899543384</v>
      </c>
      <c r="P99" s="120">
        <v>170.56748858447489</v>
      </c>
      <c r="Q99" s="120">
        <v>382.35589041095892</v>
      </c>
      <c r="R99" s="120"/>
      <c r="S99" s="121"/>
    </row>
    <row r="100" spans="1:19" ht="15">
      <c r="A100" s="105">
        <v>24</v>
      </c>
      <c r="B100" s="129"/>
      <c r="C100" s="107" t="s">
        <v>313</v>
      </c>
      <c r="D100" s="107" t="s">
        <v>314</v>
      </c>
      <c r="E100" s="120">
        <v>105336.76000000001</v>
      </c>
      <c r="F100" s="120" t="s">
        <v>251</v>
      </c>
      <c r="G100" s="120">
        <v>0</v>
      </c>
      <c r="H100" s="120" t="s">
        <v>251</v>
      </c>
      <c r="I100" s="120">
        <v>0</v>
      </c>
      <c r="J100" s="120">
        <v>105336.76000000001</v>
      </c>
      <c r="K100" s="120" t="s">
        <v>251</v>
      </c>
      <c r="L100" s="120" t="s">
        <v>251</v>
      </c>
      <c r="M100" s="120">
        <v>0</v>
      </c>
      <c r="N100" s="120" t="s">
        <v>251</v>
      </c>
      <c r="O100" s="120">
        <v>105336.76000000001</v>
      </c>
      <c r="P100" s="120">
        <v>32494.604661985089</v>
      </c>
      <c r="Q100" s="120">
        <v>72842.155338014913</v>
      </c>
      <c r="R100" s="120"/>
      <c r="S100" s="121"/>
    </row>
    <row r="101" spans="1:19" ht="15">
      <c r="A101" s="105">
        <v>25</v>
      </c>
      <c r="B101" s="129"/>
      <c r="C101" s="107" t="s">
        <v>325</v>
      </c>
      <c r="D101" s="107" t="s">
        <v>251</v>
      </c>
      <c r="E101" s="120">
        <v>43789404.730000004</v>
      </c>
      <c r="F101" s="120" t="s">
        <v>251</v>
      </c>
      <c r="G101" s="120">
        <v>38298645.730646901</v>
      </c>
      <c r="H101" s="120" t="s">
        <v>251</v>
      </c>
      <c r="I101" s="120">
        <v>1754009.1972612515</v>
      </c>
      <c r="J101" s="120">
        <v>3736749.8020918486</v>
      </c>
      <c r="K101" s="120" t="s">
        <v>251</v>
      </c>
      <c r="L101" s="120" t="s">
        <v>251</v>
      </c>
      <c r="M101" s="120">
        <v>122.93331748939751</v>
      </c>
      <c r="N101" s="120" t="s">
        <v>251</v>
      </c>
      <c r="O101" s="120">
        <v>3736626.8687743591</v>
      </c>
      <c r="P101" s="120">
        <v>1152686.0411329723</v>
      </c>
      <c r="Q101" s="120">
        <v>2583940.8276413865</v>
      </c>
      <c r="R101" s="120"/>
      <c r="S101" s="121"/>
    </row>
    <row r="102" spans="1:19" ht="15">
      <c r="A102" s="105" t="s">
        <v>251</v>
      </c>
      <c r="B102" s="129" t="str">
        <f t="shared" si="1"/>
        <v/>
      </c>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1"/>
        <v>340</v>
      </c>
      <c r="C104" s="107" t="s">
        <v>327</v>
      </c>
      <c r="D104" s="107" t="s">
        <v>304</v>
      </c>
      <c r="E104" s="120">
        <v>903501.17</v>
      </c>
      <c r="F104" s="120" t="s">
        <v>251</v>
      </c>
      <c r="G104" s="120">
        <v>792131.37381219736</v>
      </c>
      <c r="H104" s="120" t="s">
        <v>251</v>
      </c>
      <c r="I104" s="120">
        <v>36272.67045172384</v>
      </c>
      <c r="J104" s="120">
        <v>75097.125736078873</v>
      </c>
      <c r="K104" s="120" t="s">
        <v>251</v>
      </c>
      <c r="L104" s="120" t="s">
        <v>251</v>
      </c>
      <c r="M104" s="120">
        <v>2.542631359736141</v>
      </c>
      <c r="N104" s="120" t="s">
        <v>251</v>
      </c>
      <c r="O104" s="120">
        <v>75094.583104719131</v>
      </c>
      <c r="P104" s="120">
        <v>23165.405792284033</v>
      </c>
      <c r="Q104" s="120">
        <v>51929.177312435095</v>
      </c>
      <c r="R104" s="120"/>
      <c r="S104" s="121"/>
    </row>
    <row r="105" spans="1:19" ht="15">
      <c r="A105" s="105">
        <v>27</v>
      </c>
      <c r="B105" s="129" t="str">
        <f t="shared" si="1"/>
        <v>341</v>
      </c>
      <c r="C105" s="107" t="s">
        <v>328</v>
      </c>
      <c r="D105" s="107" t="s">
        <v>304</v>
      </c>
      <c r="E105" s="120">
        <v>86594098.539999992</v>
      </c>
      <c r="F105" s="120" t="s">
        <v>251</v>
      </c>
      <c r="G105" s="120">
        <v>75920103.391254023</v>
      </c>
      <c r="H105" s="120" t="s">
        <v>251</v>
      </c>
      <c r="I105" s="120">
        <v>3476474.9661647035</v>
      </c>
      <c r="J105" s="120">
        <v>7197520.1825812608</v>
      </c>
      <c r="K105" s="120" t="s">
        <v>251</v>
      </c>
      <c r="L105" s="120" t="s">
        <v>251</v>
      </c>
      <c r="M105" s="120">
        <v>243.69295561165188</v>
      </c>
      <c r="N105" s="120" t="s">
        <v>251</v>
      </c>
      <c r="O105" s="120">
        <v>7197276.4896256495</v>
      </c>
      <c r="P105" s="120">
        <v>2220237.7799866381</v>
      </c>
      <c r="Q105" s="120">
        <v>4977038.709639011</v>
      </c>
      <c r="R105" s="120"/>
      <c r="S105" s="121"/>
    </row>
    <row r="106" spans="1:19" ht="15">
      <c r="A106" s="105">
        <v>28</v>
      </c>
      <c r="B106" s="129" t="str">
        <f t="shared" si="1"/>
        <v>342</v>
      </c>
      <c r="C106" s="107" t="s">
        <v>329</v>
      </c>
      <c r="D106" s="107" t="s">
        <v>304</v>
      </c>
      <c r="E106" s="120">
        <v>62984819.779999986</v>
      </c>
      <c r="F106" s="120" t="s">
        <v>251</v>
      </c>
      <c r="G106" s="120">
        <v>55221015.177705914</v>
      </c>
      <c r="H106" s="120" t="s">
        <v>251</v>
      </c>
      <c r="I106" s="120">
        <v>2528638.2433142359</v>
      </c>
      <c r="J106" s="120">
        <v>5235166.3589798398</v>
      </c>
      <c r="K106" s="120" t="s">
        <v>251</v>
      </c>
      <c r="L106" s="120" t="s">
        <v>251</v>
      </c>
      <c r="M106" s="120">
        <v>177.25176599379185</v>
      </c>
      <c r="N106" s="120" t="s">
        <v>251</v>
      </c>
      <c r="O106" s="120">
        <v>5234989.1072138464</v>
      </c>
      <c r="P106" s="120">
        <v>1614905.3896162387</v>
      </c>
      <c r="Q106" s="120">
        <v>3620083.717597608</v>
      </c>
      <c r="R106" s="120"/>
      <c r="S106" s="121"/>
    </row>
    <row r="107" spans="1:19" ht="15">
      <c r="A107" s="105">
        <v>29</v>
      </c>
      <c r="B107" s="129" t="str">
        <f t="shared" si="1"/>
        <v>343</v>
      </c>
      <c r="C107" s="107" t="s">
        <v>330</v>
      </c>
      <c r="D107" s="107" t="s">
        <v>304</v>
      </c>
      <c r="E107" s="120">
        <v>662187044.20000005</v>
      </c>
      <c r="F107" s="120" t="s">
        <v>251</v>
      </c>
      <c r="G107" s="120">
        <v>580562760.1376369</v>
      </c>
      <c r="H107" s="120" t="s">
        <v>251</v>
      </c>
      <c r="I107" s="120">
        <v>26584683.262410928</v>
      </c>
      <c r="J107" s="120">
        <v>55039600.799952269</v>
      </c>
      <c r="K107" s="120" t="s">
        <v>251</v>
      </c>
      <c r="L107" s="120" t="s">
        <v>251</v>
      </c>
      <c r="M107" s="120">
        <v>1863.5255830315107</v>
      </c>
      <c r="N107" s="120" t="s">
        <v>251</v>
      </c>
      <c r="O107" s="120">
        <v>55037737.27436924</v>
      </c>
      <c r="P107" s="120">
        <v>16978208.881883487</v>
      </c>
      <c r="Q107" s="120">
        <v>38059528.392485753</v>
      </c>
      <c r="R107" s="120"/>
      <c r="S107" s="121"/>
    </row>
    <row r="108" spans="1:19" ht="15">
      <c r="A108" s="105">
        <v>30</v>
      </c>
      <c r="B108" s="129" t="str">
        <f t="shared" si="1"/>
        <v>344</v>
      </c>
      <c r="C108" s="107" t="s">
        <v>331</v>
      </c>
      <c r="D108" s="107" t="s">
        <v>304</v>
      </c>
      <c r="E108" s="120">
        <v>131664271.71000001</v>
      </c>
      <c r="F108" s="120" t="s">
        <v>251</v>
      </c>
      <c r="G108" s="120">
        <v>115434715.41008046</v>
      </c>
      <c r="H108" s="120" t="s">
        <v>251</v>
      </c>
      <c r="I108" s="120">
        <v>5285897.6795824803</v>
      </c>
      <c r="J108" s="120">
        <v>10943658.620337062</v>
      </c>
      <c r="K108" s="120" t="s">
        <v>251</v>
      </c>
      <c r="L108" s="120" t="s">
        <v>251</v>
      </c>
      <c r="M108" s="120">
        <v>370.5293554923299</v>
      </c>
      <c r="N108" s="120" t="s">
        <v>251</v>
      </c>
      <c r="O108" s="120">
        <v>10943288.090981569</v>
      </c>
      <c r="P108" s="120">
        <v>3375818.8520195195</v>
      </c>
      <c r="Q108" s="120">
        <v>7567469.2389620505</v>
      </c>
      <c r="R108" s="120"/>
      <c r="S108" s="121"/>
    </row>
    <row r="109" spans="1:19" ht="15">
      <c r="A109" s="105">
        <v>31</v>
      </c>
      <c r="B109" s="129" t="str">
        <f t="shared" si="1"/>
        <v>345</v>
      </c>
      <c r="C109" s="107" t="s">
        <v>332</v>
      </c>
      <c r="D109" s="107" t="s">
        <v>304</v>
      </c>
      <c r="E109" s="120">
        <v>78492269.99999997</v>
      </c>
      <c r="F109" s="120" t="s">
        <v>251</v>
      </c>
      <c r="G109" s="120">
        <v>68816944.275498733</v>
      </c>
      <c r="H109" s="120" t="s">
        <v>251</v>
      </c>
      <c r="I109" s="120">
        <v>3151212.5686762854</v>
      </c>
      <c r="J109" s="120">
        <v>6524113.1558249667</v>
      </c>
      <c r="K109" s="120" t="s">
        <v>251</v>
      </c>
      <c r="L109" s="120" t="s">
        <v>251</v>
      </c>
      <c r="M109" s="120">
        <v>220.89280437664098</v>
      </c>
      <c r="N109" s="120" t="s">
        <v>251</v>
      </c>
      <c r="O109" s="120">
        <v>6523892.2630205899</v>
      </c>
      <c r="P109" s="120">
        <v>2012510.1621147008</v>
      </c>
      <c r="Q109" s="120">
        <v>4511382.1009058896</v>
      </c>
      <c r="R109" s="120"/>
      <c r="S109" s="121"/>
    </row>
    <row r="110" spans="1:19" ht="15">
      <c r="A110" s="105">
        <v>32</v>
      </c>
      <c r="B110" s="129" t="str">
        <f t="shared" si="1"/>
        <v>346</v>
      </c>
      <c r="C110" s="107" t="s">
        <v>333</v>
      </c>
      <c r="D110" s="107" t="s">
        <v>304</v>
      </c>
      <c r="E110" s="120">
        <v>9730867.6399999987</v>
      </c>
      <c r="F110" s="120" t="s">
        <v>251</v>
      </c>
      <c r="G110" s="120">
        <v>8531395.2078865077</v>
      </c>
      <c r="H110" s="120" t="s">
        <v>251</v>
      </c>
      <c r="I110" s="120">
        <v>390663.08582097758</v>
      </c>
      <c r="J110" s="120">
        <v>808809.34629251331</v>
      </c>
      <c r="K110" s="120" t="s">
        <v>251</v>
      </c>
      <c r="L110" s="120" t="s">
        <v>251</v>
      </c>
      <c r="M110" s="120">
        <v>27.384590126104218</v>
      </c>
      <c r="N110" s="120" t="s">
        <v>251</v>
      </c>
      <c r="O110" s="120">
        <v>808781.9617023872</v>
      </c>
      <c r="P110" s="120">
        <v>249495.52372091031</v>
      </c>
      <c r="Q110" s="120">
        <v>559286.43798147689</v>
      </c>
      <c r="R110" s="120"/>
      <c r="S110" s="121"/>
    </row>
    <row r="111" spans="1:19" ht="15">
      <c r="A111" s="105">
        <v>33</v>
      </c>
      <c r="B111" s="129" t="str">
        <f t="shared" si="1"/>
        <v>347</v>
      </c>
      <c r="C111" s="107" t="s">
        <v>334</v>
      </c>
      <c r="D111" s="107" t="s">
        <v>304</v>
      </c>
      <c r="E111" s="120">
        <v>406991.12</v>
      </c>
      <c r="F111" s="120" t="s">
        <v>251</v>
      </c>
      <c r="G111" s="120">
        <v>356823.48370945093</v>
      </c>
      <c r="H111" s="120" t="s">
        <v>251</v>
      </c>
      <c r="I111" s="120">
        <v>16339.386447654508</v>
      </c>
      <c r="J111" s="120">
        <v>33828.249842894569</v>
      </c>
      <c r="K111" s="120" t="s">
        <v>251</v>
      </c>
      <c r="L111" s="120" t="s">
        <v>251</v>
      </c>
      <c r="M111" s="120">
        <v>1.1453536743578703</v>
      </c>
      <c r="N111" s="120" t="s">
        <v>251</v>
      </c>
      <c r="O111" s="120">
        <v>33827.104489220212</v>
      </c>
      <c r="P111" s="120">
        <v>10435.088256339684</v>
      </c>
      <c r="Q111" s="120">
        <v>23392.016232880527</v>
      </c>
      <c r="R111" s="120"/>
      <c r="S111" s="121"/>
    </row>
    <row r="112" spans="1:19" ht="15">
      <c r="A112" s="105">
        <v>34</v>
      </c>
      <c r="B112" s="105"/>
      <c r="C112" s="107" t="s">
        <v>311</v>
      </c>
      <c r="D112" s="107" t="s">
        <v>312</v>
      </c>
      <c r="E112" s="120">
        <v>1934.2600000000002</v>
      </c>
      <c r="F112" s="120" t="s">
        <v>251</v>
      </c>
      <c r="G112" s="120">
        <v>0</v>
      </c>
      <c r="H112" s="120" t="s">
        <v>251</v>
      </c>
      <c r="I112" s="120">
        <v>629.99466456621019</v>
      </c>
      <c r="J112" s="120">
        <v>1304.2653354337901</v>
      </c>
      <c r="K112" s="120" t="s">
        <v>251</v>
      </c>
      <c r="L112" s="120" t="s">
        <v>251</v>
      </c>
      <c r="M112" s="120">
        <v>0</v>
      </c>
      <c r="N112" s="120" t="s">
        <v>251</v>
      </c>
      <c r="O112" s="120">
        <v>1304.2653354337901</v>
      </c>
      <c r="P112" s="120">
        <v>402.34374447488591</v>
      </c>
      <c r="Q112" s="120">
        <v>901.92159095890429</v>
      </c>
      <c r="R112" s="120"/>
      <c r="S112" s="121"/>
    </row>
    <row r="113" spans="1:19" ht="15">
      <c r="A113" s="105">
        <v>35</v>
      </c>
      <c r="B113" s="105"/>
      <c r="C113" s="107" t="s">
        <v>313</v>
      </c>
      <c r="D113" s="107" t="s">
        <v>314</v>
      </c>
      <c r="E113" s="120">
        <v>4982273.58</v>
      </c>
      <c r="F113" s="120" t="s">
        <v>251</v>
      </c>
      <c r="G113" s="120">
        <v>0</v>
      </c>
      <c r="H113" s="120" t="s">
        <v>251</v>
      </c>
      <c r="I113" s="120">
        <v>0</v>
      </c>
      <c r="J113" s="120">
        <v>4982273.58</v>
      </c>
      <c r="K113" s="120" t="s">
        <v>251</v>
      </c>
      <c r="L113" s="120" t="s">
        <v>251</v>
      </c>
      <c r="M113" s="120">
        <v>0</v>
      </c>
      <c r="N113" s="120" t="s">
        <v>251</v>
      </c>
      <c r="O113" s="120">
        <v>4982273.58</v>
      </c>
      <c r="P113" s="120">
        <v>1536946.933814493</v>
      </c>
      <c r="Q113" s="120">
        <v>3445326.6461855066</v>
      </c>
      <c r="R113" s="120"/>
      <c r="S113" s="121"/>
    </row>
    <row r="114" spans="1:19" ht="15">
      <c r="A114" s="105">
        <v>36</v>
      </c>
      <c r="B114" s="105"/>
      <c r="C114" s="107" t="s">
        <v>335</v>
      </c>
      <c r="D114" s="107" t="s">
        <v>251</v>
      </c>
      <c r="E114" s="120">
        <v>1037948072</v>
      </c>
      <c r="F114" s="120" t="s">
        <v>251</v>
      </c>
      <c r="G114" s="120">
        <v>905635888.45758414</v>
      </c>
      <c r="H114" s="120" t="s">
        <v>251</v>
      </c>
      <c r="I114" s="120">
        <v>41470811.857533559</v>
      </c>
      <c r="J114" s="120">
        <v>90841371.684882328</v>
      </c>
      <c r="K114" s="120" t="s">
        <v>251</v>
      </c>
      <c r="L114" s="120" t="s">
        <v>251</v>
      </c>
      <c r="M114" s="120">
        <v>2906.9650396661236</v>
      </c>
      <c r="N114" s="120" t="s">
        <v>251</v>
      </c>
      <c r="O114" s="120">
        <v>90838464.719842657</v>
      </c>
      <c r="P114" s="120">
        <v>28022126.360949084</v>
      </c>
      <c r="Q114" s="120">
        <v>62816338.358893573</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6407957196.9199791</v>
      </c>
      <c r="F116" s="120" t="s">
        <v>251</v>
      </c>
      <c r="G116" s="120">
        <v>5577355022.2687531</v>
      </c>
      <c r="H116" s="120" t="s">
        <v>251</v>
      </c>
      <c r="I116" s="120">
        <v>260861017.2954053</v>
      </c>
      <c r="J116" s="120">
        <v>569741157.35582018</v>
      </c>
      <c r="K116" s="120" t="s">
        <v>251</v>
      </c>
      <c r="L116" s="120" t="s">
        <v>251</v>
      </c>
      <c r="M116" s="120">
        <v>17902.53265156562</v>
      </c>
      <c r="N116" s="120" t="s">
        <v>251</v>
      </c>
      <c r="O116" s="120">
        <v>569723254.82316864</v>
      </c>
      <c r="P116" s="120">
        <v>175749965.46522087</v>
      </c>
      <c r="Q116" s="120">
        <v>393973289.35794777</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ref="B122:B130" si="2">MID(C122,2,3)</f>
        <v>350</v>
      </c>
      <c r="C122" s="107" t="s">
        <v>340</v>
      </c>
      <c r="D122" s="107" t="s">
        <v>341</v>
      </c>
      <c r="E122" s="120">
        <v>29679524.520000003</v>
      </c>
      <c r="F122" s="120" t="s">
        <v>251</v>
      </c>
      <c r="G122" s="120">
        <v>28379883.627231847</v>
      </c>
      <c r="H122" s="120" t="s">
        <v>251</v>
      </c>
      <c r="I122" s="120">
        <v>1299549.7972952561</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2"/>
        <v>352</v>
      </c>
      <c r="C123" s="107" t="s">
        <v>342</v>
      </c>
      <c r="D123" s="107" t="s">
        <v>341</v>
      </c>
      <c r="E123" s="120">
        <v>27771698.27</v>
      </c>
      <c r="F123" s="120" t="s">
        <v>251</v>
      </c>
      <c r="G123" s="120">
        <v>26555599.450458981</v>
      </c>
      <c r="H123" s="120" t="s">
        <v>251</v>
      </c>
      <c r="I123" s="120">
        <v>1216013.5797661864</v>
      </c>
      <c r="J123" s="120">
        <v>85.239774829745727</v>
      </c>
      <c r="K123" s="120" t="s">
        <v>251</v>
      </c>
      <c r="L123" s="120" t="s">
        <v>251</v>
      </c>
      <c r="M123" s="120">
        <v>85.239774829745727</v>
      </c>
      <c r="N123" s="120" t="s">
        <v>251</v>
      </c>
      <c r="O123" s="120">
        <v>0</v>
      </c>
      <c r="P123" s="120">
        <v>0</v>
      </c>
      <c r="Q123" s="120">
        <v>0</v>
      </c>
      <c r="R123" s="120"/>
      <c r="S123" s="121"/>
    </row>
    <row r="124" spans="1:19" ht="15">
      <c r="A124" s="105">
        <v>3</v>
      </c>
      <c r="B124" s="129" t="str">
        <f t="shared" si="2"/>
        <v>353</v>
      </c>
      <c r="C124" s="107" t="s">
        <v>343</v>
      </c>
      <c r="D124" s="107" t="s">
        <v>341</v>
      </c>
      <c r="E124" s="120">
        <v>327560667.45999992</v>
      </c>
      <c r="F124" s="120" t="s">
        <v>251</v>
      </c>
      <c r="G124" s="120">
        <v>313217067.10998172</v>
      </c>
      <c r="H124" s="120" t="s">
        <v>251</v>
      </c>
      <c r="I124" s="120">
        <v>14342594.96686646</v>
      </c>
      <c r="J124" s="120">
        <v>1005.3831517942535</v>
      </c>
      <c r="K124" s="120" t="s">
        <v>251</v>
      </c>
      <c r="L124" s="120" t="s">
        <v>251</v>
      </c>
      <c r="M124" s="120">
        <v>1005.3831517942535</v>
      </c>
      <c r="N124" s="120" t="s">
        <v>251</v>
      </c>
      <c r="O124" s="120">
        <v>0</v>
      </c>
      <c r="P124" s="120">
        <v>0</v>
      </c>
      <c r="Q124" s="120">
        <v>0</v>
      </c>
      <c r="R124" s="120"/>
      <c r="S124" s="121"/>
    </row>
    <row r="125" spans="1:19" ht="15">
      <c r="A125" s="105">
        <v>4</v>
      </c>
      <c r="B125" s="129" t="str">
        <f t="shared" si="2"/>
        <v>354</v>
      </c>
      <c r="C125" s="107" t="s">
        <v>344</v>
      </c>
      <c r="D125" s="107" t="s">
        <v>341</v>
      </c>
      <c r="E125" s="120">
        <v>69889664.11999999</v>
      </c>
      <c r="F125" s="120" t="s">
        <v>251</v>
      </c>
      <c r="G125" s="120">
        <v>66829255.742804624</v>
      </c>
      <c r="H125" s="120" t="s">
        <v>251</v>
      </c>
      <c r="I125" s="120">
        <v>3060193.8645942803</v>
      </c>
      <c r="J125" s="120">
        <v>214.51260108751563</v>
      </c>
      <c r="K125" s="120" t="s">
        <v>251</v>
      </c>
      <c r="L125" s="120" t="s">
        <v>251</v>
      </c>
      <c r="M125" s="120">
        <v>214.51260108751563</v>
      </c>
      <c r="N125" s="120" t="s">
        <v>251</v>
      </c>
      <c r="O125" s="120">
        <v>0</v>
      </c>
      <c r="P125" s="120">
        <v>0</v>
      </c>
      <c r="Q125" s="120">
        <v>0</v>
      </c>
      <c r="R125" s="120"/>
      <c r="S125" s="121"/>
    </row>
    <row r="126" spans="1:19" ht="15">
      <c r="A126" s="105">
        <v>5</v>
      </c>
      <c r="B126" s="129" t="str">
        <f t="shared" si="2"/>
        <v>355</v>
      </c>
      <c r="C126" s="107" t="s">
        <v>345</v>
      </c>
      <c r="D126" s="107" t="s">
        <v>341</v>
      </c>
      <c r="E126" s="120">
        <v>379324288.77999985</v>
      </c>
      <c r="F126" s="120" t="s">
        <v>251</v>
      </c>
      <c r="G126" s="120">
        <v>362714003.90207064</v>
      </c>
      <c r="H126" s="120" t="s">
        <v>251</v>
      </c>
      <c r="I126" s="120">
        <v>16609120.616505615</v>
      </c>
      <c r="J126" s="120">
        <v>1164.2614235798635</v>
      </c>
      <c r="K126" s="120" t="s">
        <v>251</v>
      </c>
      <c r="L126" s="120" t="s">
        <v>251</v>
      </c>
      <c r="M126" s="120">
        <v>1164.2614235798635</v>
      </c>
      <c r="N126" s="120" t="s">
        <v>251</v>
      </c>
      <c r="O126" s="120">
        <v>0</v>
      </c>
      <c r="P126" s="120">
        <v>0</v>
      </c>
      <c r="Q126" s="120">
        <v>0</v>
      </c>
      <c r="R126" s="120"/>
      <c r="S126" s="121"/>
    </row>
    <row r="127" spans="1:19" ht="15">
      <c r="A127" s="105">
        <v>6</v>
      </c>
      <c r="B127" s="129" t="str">
        <f t="shared" si="2"/>
        <v>356</v>
      </c>
      <c r="C127" s="107" t="s">
        <v>346</v>
      </c>
      <c r="D127" s="107" t="s">
        <v>341</v>
      </c>
      <c r="E127" s="120">
        <v>169754873.07000005</v>
      </c>
      <c r="F127" s="120" t="s">
        <v>251</v>
      </c>
      <c r="G127" s="120">
        <v>162321452.94766042</v>
      </c>
      <c r="H127" s="120" t="s">
        <v>251</v>
      </c>
      <c r="I127" s="120">
        <v>7432899.0930883158</v>
      </c>
      <c r="J127" s="120">
        <v>521.02925129248388</v>
      </c>
      <c r="K127" s="120" t="s">
        <v>251</v>
      </c>
      <c r="L127" s="120" t="s">
        <v>251</v>
      </c>
      <c r="M127" s="120">
        <v>521.02925129248388</v>
      </c>
      <c r="N127" s="120" t="s">
        <v>251</v>
      </c>
      <c r="O127" s="120">
        <v>0</v>
      </c>
      <c r="P127" s="120">
        <v>0</v>
      </c>
      <c r="Q127" s="120">
        <v>0</v>
      </c>
      <c r="R127" s="120"/>
      <c r="S127" s="121"/>
    </row>
    <row r="128" spans="1:19" ht="15">
      <c r="A128" s="105">
        <v>7</v>
      </c>
      <c r="B128" s="129" t="str">
        <f t="shared" si="2"/>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2"/>
        <v>358</v>
      </c>
      <c r="C129" s="107" t="s">
        <v>348</v>
      </c>
      <c r="D129" s="107" t="s">
        <v>341</v>
      </c>
      <c r="E129" s="120">
        <v>1296253.5499999998</v>
      </c>
      <c r="F129" s="120" t="s">
        <v>251</v>
      </c>
      <c r="G129" s="120">
        <v>1239491.7201451901</v>
      </c>
      <c r="H129" s="120" t="s">
        <v>251</v>
      </c>
      <c r="I129" s="120">
        <v>56757.85125905904</v>
      </c>
      <c r="J129" s="120">
        <v>3.9785957506104839</v>
      </c>
      <c r="K129" s="120" t="s">
        <v>251</v>
      </c>
      <c r="L129" s="120" t="s">
        <v>251</v>
      </c>
      <c r="M129" s="120">
        <v>3.9785957506104839</v>
      </c>
      <c r="N129" s="120" t="s">
        <v>251</v>
      </c>
      <c r="O129" s="120">
        <v>0</v>
      </c>
      <c r="P129" s="120">
        <v>0</v>
      </c>
      <c r="Q129" s="120">
        <v>0</v>
      </c>
      <c r="R129" s="120"/>
      <c r="S129" s="121"/>
    </row>
    <row r="130" spans="1:19" ht="15">
      <c r="A130" s="105">
        <v>9</v>
      </c>
      <c r="B130" s="129" t="str">
        <f t="shared" si="2"/>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0</v>
      </c>
      <c r="H131" s="120" t="s">
        <v>251</v>
      </c>
      <c r="I131" s="120">
        <v>915501.09019698645</v>
      </c>
      <c r="J131" s="120">
        <v>1895343.5698030139</v>
      </c>
      <c r="K131" s="120" t="s">
        <v>251</v>
      </c>
      <c r="L131" s="120" t="s">
        <v>251</v>
      </c>
      <c r="M131" s="120">
        <v>0</v>
      </c>
      <c r="N131" s="120" t="s">
        <v>251</v>
      </c>
      <c r="O131" s="120">
        <v>1895343.5698030139</v>
      </c>
      <c r="P131" s="120">
        <v>584681.35909424664</v>
      </c>
      <c r="Q131" s="120">
        <v>1310662.2107087672</v>
      </c>
      <c r="R131" s="120"/>
      <c r="S131" s="121"/>
    </row>
    <row r="132" spans="1:19" ht="15">
      <c r="A132" s="105">
        <v>11</v>
      </c>
      <c r="B132" s="105"/>
      <c r="C132" s="107" t="s">
        <v>313</v>
      </c>
      <c r="D132" s="107" t="s">
        <v>314</v>
      </c>
      <c r="E132" s="120">
        <v>1420230.45</v>
      </c>
      <c r="F132" s="120" t="s">
        <v>251</v>
      </c>
      <c r="G132" s="120">
        <v>0</v>
      </c>
      <c r="H132" s="120" t="s">
        <v>251</v>
      </c>
      <c r="I132" s="120">
        <v>0</v>
      </c>
      <c r="J132" s="120">
        <v>1420230.45</v>
      </c>
      <c r="K132" s="120" t="s">
        <v>251</v>
      </c>
      <c r="L132" s="120" t="s">
        <v>251</v>
      </c>
      <c r="M132" s="120">
        <v>0</v>
      </c>
      <c r="N132" s="120" t="s">
        <v>251</v>
      </c>
      <c r="O132" s="120">
        <v>1420230.45</v>
      </c>
      <c r="P132" s="120">
        <v>438117.01633563795</v>
      </c>
      <c r="Q132" s="120">
        <v>982113.43366436195</v>
      </c>
      <c r="R132" s="120"/>
      <c r="S132" s="121"/>
    </row>
    <row r="133" spans="1:19" ht="15">
      <c r="A133" s="105">
        <v>12</v>
      </c>
      <c r="B133" s="105"/>
      <c r="C133" s="107" t="s">
        <v>350</v>
      </c>
      <c r="D133" s="107" t="s">
        <v>251</v>
      </c>
      <c r="E133" s="120">
        <v>1010506732.02</v>
      </c>
      <c r="F133" s="120" t="s">
        <v>251</v>
      </c>
      <c r="G133" s="120">
        <v>962211709.98807085</v>
      </c>
      <c r="H133" s="120" t="s">
        <v>251</v>
      </c>
      <c r="I133" s="120">
        <v>44976359.446580812</v>
      </c>
      <c r="J133" s="120">
        <v>3318662.5853483309</v>
      </c>
      <c r="K133" s="120" t="s">
        <v>251</v>
      </c>
      <c r="L133" s="120" t="s">
        <v>251</v>
      </c>
      <c r="M133" s="120">
        <v>3088.5655453170402</v>
      </c>
      <c r="N133" s="120" t="s">
        <v>251</v>
      </c>
      <c r="O133" s="120">
        <v>3315574.0198030137</v>
      </c>
      <c r="P133" s="120">
        <v>1022798.3754298845</v>
      </c>
      <c r="Q133" s="120">
        <v>2292775.6443731291</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ref="B136:B141" si="3">MID(C136,2,3)</f>
        <v>350</v>
      </c>
      <c r="C136" s="107" t="s">
        <v>340</v>
      </c>
      <c r="D136" s="107" t="s">
        <v>352</v>
      </c>
      <c r="E136" s="120">
        <v>1984805.35</v>
      </c>
      <c r="F136" s="120" t="s">
        <v>251</v>
      </c>
      <c r="G136" s="120">
        <v>0</v>
      </c>
      <c r="H136" s="120" t="s">
        <v>251</v>
      </c>
      <c r="I136" s="120">
        <v>1984805.35</v>
      </c>
      <c r="J136" s="120">
        <v>0</v>
      </c>
      <c r="K136" s="120" t="s">
        <v>251</v>
      </c>
      <c r="L136" s="120" t="s">
        <v>251</v>
      </c>
      <c r="M136" s="120">
        <v>0</v>
      </c>
      <c r="N136" s="120" t="s">
        <v>251</v>
      </c>
      <c r="O136" s="120">
        <v>0</v>
      </c>
      <c r="P136" s="120">
        <v>0</v>
      </c>
      <c r="Q136" s="120">
        <v>0</v>
      </c>
      <c r="R136" s="120"/>
      <c r="S136" s="121"/>
    </row>
    <row r="137" spans="1:19" ht="15">
      <c r="A137" s="105">
        <v>14</v>
      </c>
      <c r="B137" s="129" t="str">
        <f t="shared" si="3"/>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3"/>
        <v>353</v>
      </c>
      <c r="C138" s="107" t="s">
        <v>343</v>
      </c>
      <c r="D138" s="107" t="s">
        <v>352</v>
      </c>
      <c r="E138" s="120">
        <v>22950562.109999999</v>
      </c>
      <c r="F138" s="120" t="s">
        <v>251</v>
      </c>
      <c r="G138" s="120">
        <v>0</v>
      </c>
      <c r="H138" s="120" t="s">
        <v>251</v>
      </c>
      <c r="I138" s="120">
        <v>22950562.109999999</v>
      </c>
      <c r="J138" s="120">
        <v>0</v>
      </c>
      <c r="K138" s="120" t="s">
        <v>251</v>
      </c>
      <c r="L138" s="120" t="s">
        <v>251</v>
      </c>
      <c r="M138" s="120">
        <v>0</v>
      </c>
      <c r="N138" s="120" t="s">
        <v>251</v>
      </c>
      <c r="O138" s="120">
        <v>0</v>
      </c>
      <c r="P138" s="120">
        <v>0</v>
      </c>
      <c r="Q138" s="120">
        <v>0</v>
      </c>
      <c r="R138" s="120"/>
      <c r="S138" s="121"/>
    </row>
    <row r="139" spans="1:19" ht="15">
      <c r="A139" s="105">
        <v>16</v>
      </c>
      <c r="B139" s="129" t="str">
        <f t="shared" si="3"/>
        <v>354</v>
      </c>
      <c r="C139" s="107" t="s">
        <v>344</v>
      </c>
      <c r="D139" s="107" t="s">
        <v>352</v>
      </c>
      <c r="E139" s="120">
        <v>2411758.4300000006</v>
      </c>
      <c r="F139" s="120" t="s">
        <v>251</v>
      </c>
      <c r="G139" s="120">
        <v>0</v>
      </c>
      <c r="H139" s="120" t="s">
        <v>251</v>
      </c>
      <c r="I139" s="120">
        <v>2411758.4300000006</v>
      </c>
      <c r="J139" s="120">
        <v>0</v>
      </c>
      <c r="K139" s="120" t="s">
        <v>251</v>
      </c>
      <c r="L139" s="120" t="s">
        <v>251</v>
      </c>
      <c r="M139" s="120">
        <v>0</v>
      </c>
      <c r="N139" s="120" t="s">
        <v>251</v>
      </c>
      <c r="O139" s="120">
        <v>0</v>
      </c>
      <c r="P139" s="120">
        <v>0</v>
      </c>
      <c r="Q139" s="120">
        <v>0</v>
      </c>
      <c r="R139" s="120"/>
      <c r="S139" s="121"/>
    </row>
    <row r="140" spans="1:19" ht="15">
      <c r="A140" s="105">
        <v>17</v>
      </c>
      <c r="B140" s="129" t="str">
        <f t="shared" si="3"/>
        <v>355</v>
      </c>
      <c r="C140" s="107" t="s">
        <v>345</v>
      </c>
      <c r="D140" s="107" t="s">
        <v>352</v>
      </c>
      <c r="E140" s="120">
        <v>14195492.880000001</v>
      </c>
      <c r="F140" s="120" t="s">
        <v>251</v>
      </c>
      <c r="G140" s="120">
        <v>0</v>
      </c>
      <c r="H140" s="120" t="s">
        <v>251</v>
      </c>
      <c r="I140" s="120">
        <v>14195492.880000001</v>
      </c>
      <c r="J140" s="120">
        <v>0</v>
      </c>
      <c r="K140" s="120" t="s">
        <v>251</v>
      </c>
      <c r="L140" s="120" t="s">
        <v>251</v>
      </c>
      <c r="M140" s="120">
        <v>0</v>
      </c>
      <c r="N140" s="120" t="s">
        <v>251</v>
      </c>
      <c r="O140" s="120">
        <v>0</v>
      </c>
      <c r="P140" s="120">
        <v>0</v>
      </c>
      <c r="Q140" s="120">
        <v>0</v>
      </c>
      <c r="R140" s="120"/>
      <c r="S140" s="121"/>
    </row>
    <row r="141" spans="1:19" ht="15">
      <c r="A141" s="105">
        <v>18</v>
      </c>
      <c r="B141" s="129" t="str">
        <f t="shared" si="3"/>
        <v>356</v>
      </c>
      <c r="C141" s="107" t="s">
        <v>346</v>
      </c>
      <c r="D141" s="107" t="s">
        <v>352</v>
      </c>
      <c r="E141" s="120">
        <v>15564837.119999999</v>
      </c>
      <c r="F141" s="120" t="s">
        <v>251</v>
      </c>
      <c r="G141" s="120">
        <v>0</v>
      </c>
      <c r="H141" s="120" t="s">
        <v>251</v>
      </c>
      <c r="I141" s="120">
        <v>15564837.119999999</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58854942.149999999</v>
      </c>
      <c r="F144" s="120" t="s">
        <v>251</v>
      </c>
      <c r="G144" s="120">
        <v>0</v>
      </c>
      <c r="H144" s="120" t="s">
        <v>251</v>
      </c>
      <c r="I144" s="120">
        <v>58854942.149999999</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ref="B147:B150" si="4">MID(C147,2,3)</f>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4"/>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4"/>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4"/>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1077592103.5799999</v>
      </c>
      <c r="F155" s="120" t="s">
        <v>251</v>
      </c>
      <c r="G155" s="120">
        <v>970442112.97962379</v>
      </c>
      <c r="H155" s="120" t="s">
        <v>251</v>
      </c>
      <c r="I155" s="120">
        <v>103831301.5965808</v>
      </c>
      <c r="J155" s="120">
        <v>3318689.0037953728</v>
      </c>
      <c r="K155" s="120" t="s">
        <v>251</v>
      </c>
      <c r="L155" s="120" t="s">
        <v>251</v>
      </c>
      <c r="M155" s="120">
        <v>3114.9839923593236</v>
      </c>
      <c r="N155" s="120" t="s">
        <v>251</v>
      </c>
      <c r="O155" s="120">
        <v>3315574.0198030137</v>
      </c>
      <c r="P155" s="120">
        <v>1022798.3754298845</v>
      </c>
      <c r="Q155" s="120">
        <v>2292775.6443731291</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ref="B161:B167" si="5">MID(C161,2,3)</f>
        <v>360</v>
      </c>
      <c r="C161" s="107" t="s">
        <v>360</v>
      </c>
      <c r="D161" s="107" t="s">
        <v>361</v>
      </c>
      <c r="E161" s="120">
        <v>9179469.3999999892</v>
      </c>
      <c r="F161" s="120" t="s">
        <v>251</v>
      </c>
      <c r="G161" s="120">
        <v>9170312.3999999892</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5"/>
        <v>361</v>
      </c>
      <c r="C162" s="107" t="s">
        <v>362</v>
      </c>
      <c r="D162" s="107" t="s">
        <v>363</v>
      </c>
      <c r="E162" s="120">
        <v>20214504.779999994</v>
      </c>
      <c r="F162" s="120" t="s">
        <v>251</v>
      </c>
      <c r="G162" s="120">
        <v>19859092.779999994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5"/>
        <v>362</v>
      </c>
      <c r="C163" s="107" t="s">
        <v>364</v>
      </c>
      <c r="D163" s="107" t="s">
        <v>365</v>
      </c>
      <c r="E163" s="120">
        <v>231792542.68000001</v>
      </c>
      <c r="F163" s="120" t="s">
        <v>251</v>
      </c>
      <c r="G163" s="120">
        <v>228539459.68000001</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5"/>
        <v>364</v>
      </c>
      <c r="C164" s="107" t="s">
        <v>366</v>
      </c>
      <c r="D164" s="107" t="s">
        <v>367</v>
      </c>
      <c r="E164" s="120">
        <v>382536730.18000007</v>
      </c>
      <c r="F164" s="120" t="s">
        <v>251</v>
      </c>
      <c r="G164" s="120">
        <v>382536730.18000007</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5"/>
        <v>365</v>
      </c>
      <c r="C165" s="107" t="s">
        <v>368</v>
      </c>
      <c r="D165" s="107" t="s">
        <v>369</v>
      </c>
      <c r="E165" s="120">
        <v>381324827.44</v>
      </c>
      <c r="F165" s="120" t="s">
        <v>251</v>
      </c>
      <c r="G165" s="120">
        <v>381324827.44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5"/>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5"/>
        <v>367</v>
      </c>
      <c r="C167" s="107" t="s">
        <v>372</v>
      </c>
      <c r="D167" s="107" t="s">
        <v>373</v>
      </c>
      <c r="E167" s="120">
        <v>203455536.06999999</v>
      </c>
      <c r="F167" s="120" t="s">
        <v>251</v>
      </c>
      <c r="G167" s="120">
        <v>203455536.06999999</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304547920.18000001</v>
      </c>
      <c r="F170" s="120" t="s">
        <v>251</v>
      </c>
      <c r="G170" s="120">
        <v>304547920.18000001</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310480032.19999999</v>
      </c>
      <c r="F171" s="120" t="s">
        <v>251</v>
      </c>
      <c r="G171" s="120">
        <v>310480032.19999999</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6">MID(C172,2,3)</f>
        <v>369</v>
      </c>
      <c r="C172" s="107" t="s">
        <v>380</v>
      </c>
      <c r="D172" s="107" t="s">
        <v>381</v>
      </c>
      <c r="E172" s="120">
        <v>108650549.77</v>
      </c>
      <c r="F172" s="120" t="s">
        <v>251</v>
      </c>
      <c r="G172" s="120">
        <v>108650549.77</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6"/>
        <v>370</v>
      </c>
      <c r="C173" s="107" t="s">
        <v>382</v>
      </c>
      <c r="D173" s="107" t="s">
        <v>383</v>
      </c>
      <c r="E173" s="120">
        <v>77244039.800000012</v>
      </c>
      <c r="F173" s="120" t="s">
        <v>251</v>
      </c>
      <c r="G173" s="120">
        <v>76902708.800000012</v>
      </c>
      <c r="H173" s="120" t="s">
        <v>251</v>
      </c>
      <c r="I173" s="120">
        <v>0</v>
      </c>
      <c r="J173" s="120">
        <v>341331</v>
      </c>
      <c r="K173" s="120" t="s">
        <v>251</v>
      </c>
      <c r="L173" s="120" t="s">
        <v>251</v>
      </c>
      <c r="M173" s="120">
        <v>0</v>
      </c>
      <c r="N173" s="120" t="s">
        <v>251</v>
      </c>
      <c r="O173" s="120">
        <v>341331</v>
      </c>
      <c r="P173" s="120">
        <v>63157.000000000007</v>
      </c>
      <c r="Q173" s="120">
        <v>278174</v>
      </c>
      <c r="R173" s="120"/>
      <c r="S173" s="121"/>
    </row>
    <row r="174" spans="1:19" ht="15">
      <c r="A174" s="105">
        <v>13</v>
      </c>
      <c r="B174" s="129" t="str">
        <f t="shared" si="6"/>
        <v>371</v>
      </c>
      <c r="C174" s="107" t="s">
        <v>384</v>
      </c>
      <c r="D174" s="107" t="s">
        <v>385</v>
      </c>
      <c r="E174" s="120">
        <v>148818.36999999994</v>
      </c>
      <c r="F174" s="120" t="s">
        <v>251</v>
      </c>
      <c r="G174" s="120">
        <v>148818.36999999994</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6"/>
        <v>373</v>
      </c>
      <c r="C175" s="107" t="s">
        <v>386</v>
      </c>
      <c r="D175" s="107" t="s">
        <v>387</v>
      </c>
      <c r="E175" s="120">
        <v>123933924.20999999</v>
      </c>
      <c r="F175" s="120" t="s">
        <v>251</v>
      </c>
      <c r="G175" s="120">
        <v>123933924.20999999</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6"/>
        <v>374</v>
      </c>
      <c r="C176" s="107" t="s">
        <v>388</v>
      </c>
      <c r="D176" s="107" t="s">
        <v>389</v>
      </c>
      <c r="E176" s="120">
        <v>658287.18999999901</v>
      </c>
      <c r="F176" s="120" t="s">
        <v>251</v>
      </c>
      <c r="G176" s="120">
        <v>658287.18999999901</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1852009368.1299999</v>
      </c>
      <c r="F177" s="120" t="s">
        <v>251</v>
      </c>
      <c r="G177" s="120">
        <v>1848050385.1299999</v>
      </c>
      <c r="H177" s="120" t="s">
        <v>251</v>
      </c>
      <c r="I177" s="120">
        <v>0</v>
      </c>
      <c r="J177" s="120">
        <v>3958983</v>
      </c>
      <c r="K177" s="120" t="s">
        <v>251</v>
      </c>
      <c r="L177" s="120" t="s">
        <v>251</v>
      </c>
      <c r="M177" s="120">
        <v>0</v>
      </c>
      <c r="N177" s="120" t="s">
        <v>251</v>
      </c>
      <c r="O177" s="120">
        <v>3958983</v>
      </c>
      <c r="P177" s="120">
        <v>3680809</v>
      </c>
      <c r="Q177" s="120">
        <v>278174</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ref="B180:B185" si="7">MID(C180,2,3)</f>
        <v>360</v>
      </c>
      <c r="C180" s="107" t="s">
        <v>360</v>
      </c>
      <c r="D180" s="107" t="s">
        <v>392</v>
      </c>
      <c r="E180" s="120">
        <v>318250.44</v>
      </c>
      <c r="F180" s="120" t="s">
        <v>251</v>
      </c>
      <c r="G180" s="120">
        <v>0</v>
      </c>
      <c r="H180" s="120" t="s">
        <v>251</v>
      </c>
      <c r="I180" s="120">
        <v>318250.44</v>
      </c>
      <c r="J180" s="120">
        <v>0</v>
      </c>
      <c r="K180" s="120" t="s">
        <v>251</v>
      </c>
      <c r="L180" s="120" t="s">
        <v>251</v>
      </c>
      <c r="M180" s="120">
        <v>0</v>
      </c>
      <c r="N180" s="120" t="s">
        <v>251</v>
      </c>
      <c r="O180" s="120">
        <v>0</v>
      </c>
      <c r="P180" s="120">
        <v>0</v>
      </c>
      <c r="Q180" s="120">
        <v>0</v>
      </c>
      <c r="R180" s="120"/>
      <c r="S180" s="121"/>
    </row>
    <row r="181" spans="1:19" ht="15">
      <c r="A181" s="105">
        <v>18</v>
      </c>
      <c r="B181" s="129" t="str">
        <f t="shared" si="7"/>
        <v>361</v>
      </c>
      <c r="C181" s="107" t="s">
        <v>362</v>
      </c>
      <c r="D181" s="107" t="s">
        <v>393</v>
      </c>
      <c r="E181" s="120">
        <v>774879.03</v>
      </c>
      <c r="F181" s="120" t="s">
        <v>251</v>
      </c>
      <c r="G181" s="120">
        <v>0</v>
      </c>
      <c r="H181" s="120" t="s">
        <v>251</v>
      </c>
      <c r="I181" s="120">
        <v>774879.03</v>
      </c>
      <c r="J181" s="120">
        <v>0</v>
      </c>
      <c r="K181" s="120" t="s">
        <v>251</v>
      </c>
      <c r="L181" s="120" t="s">
        <v>251</v>
      </c>
      <c r="M181" s="120">
        <v>0</v>
      </c>
      <c r="N181" s="120" t="s">
        <v>251</v>
      </c>
      <c r="O181" s="120">
        <v>0</v>
      </c>
      <c r="P181" s="120">
        <v>0</v>
      </c>
      <c r="Q181" s="120">
        <v>0</v>
      </c>
      <c r="R181" s="120"/>
      <c r="S181" s="121"/>
    </row>
    <row r="182" spans="1:19" ht="15">
      <c r="A182" s="105">
        <v>19</v>
      </c>
      <c r="B182" s="129" t="str">
        <f t="shared" si="7"/>
        <v>362</v>
      </c>
      <c r="C182" s="107" t="s">
        <v>364</v>
      </c>
      <c r="D182" s="107" t="s">
        <v>394</v>
      </c>
      <c r="E182" s="120">
        <v>8513231.9300000016</v>
      </c>
      <c r="F182" s="120" t="s">
        <v>251</v>
      </c>
      <c r="G182" s="120">
        <v>0</v>
      </c>
      <c r="H182" s="120" t="s">
        <v>251</v>
      </c>
      <c r="I182" s="120">
        <v>8513231.9300000016</v>
      </c>
      <c r="J182" s="120">
        <v>0</v>
      </c>
      <c r="K182" s="120" t="s">
        <v>251</v>
      </c>
      <c r="L182" s="120" t="s">
        <v>251</v>
      </c>
      <c r="M182" s="120">
        <v>0</v>
      </c>
      <c r="N182" s="120" t="s">
        <v>251</v>
      </c>
      <c r="O182" s="120">
        <v>0</v>
      </c>
      <c r="P182" s="120">
        <v>0</v>
      </c>
      <c r="Q182" s="120">
        <v>0</v>
      </c>
      <c r="R182" s="120"/>
      <c r="S182" s="121"/>
    </row>
    <row r="183" spans="1:19" ht="15">
      <c r="A183" s="105">
        <v>20</v>
      </c>
      <c r="B183" s="129" t="str">
        <f t="shared" si="7"/>
        <v>364</v>
      </c>
      <c r="C183" s="107" t="s">
        <v>366</v>
      </c>
      <c r="D183" s="107" t="s">
        <v>395</v>
      </c>
      <c r="E183" s="120">
        <v>30418586.679999996</v>
      </c>
      <c r="F183" s="120" t="s">
        <v>251</v>
      </c>
      <c r="G183" s="120">
        <v>0</v>
      </c>
      <c r="H183" s="120" t="s">
        <v>251</v>
      </c>
      <c r="I183" s="120">
        <v>30418586.679999996</v>
      </c>
      <c r="J183" s="120">
        <v>0</v>
      </c>
      <c r="K183" s="120" t="s">
        <v>251</v>
      </c>
      <c r="L183" s="120" t="s">
        <v>251</v>
      </c>
      <c r="M183" s="120">
        <v>0</v>
      </c>
      <c r="N183" s="120" t="s">
        <v>251</v>
      </c>
      <c r="O183" s="120">
        <v>0</v>
      </c>
      <c r="P183" s="120">
        <v>0</v>
      </c>
      <c r="Q183" s="120">
        <v>0</v>
      </c>
      <c r="R183" s="120"/>
      <c r="S183" s="121"/>
    </row>
    <row r="184" spans="1:19" ht="15">
      <c r="A184" s="105">
        <v>21</v>
      </c>
      <c r="B184" s="129" t="str">
        <f t="shared" si="7"/>
        <v>365</v>
      </c>
      <c r="C184" s="107" t="s">
        <v>368</v>
      </c>
      <c r="D184" s="107" t="s">
        <v>396</v>
      </c>
      <c r="E184" s="120">
        <v>27993390</v>
      </c>
      <c r="F184" s="120" t="s">
        <v>251</v>
      </c>
      <c r="G184" s="120">
        <v>0</v>
      </c>
      <c r="H184" s="120" t="s">
        <v>251</v>
      </c>
      <c r="I184" s="120">
        <v>27993390</v>
      </c>
      <c r="J184" s="120">
        <v>0</v>
      </c>
      <c r="K184" s="120" t="s">
        <v>251</v>
      </c>
      <c r="L184" s="120" t="s">
        <v>251</v>
      </c>
      <c r="M184" s="120">
        <v>0</v>
      </c>
      <c r="N184" s="120" t="s">
        <v>251</v>
      </c>
      <c r="O184" s="120">
        <v>0</v>
      </c>
      <c r="P184" s="120">
        <v>0</v>
      </c>
      <c r="Q184" s="120">
        <v>0</v>
      </c>
      <c r="R184" s="120"/>
      <c r="S184" s="121"/>
    </row>
    <row r="185" spans="1:19" ht="15">
      <c r="A185" s="105">
        <v>22</v>
      </c>
      <c r="B185" s="129" t="str">
        <f t="shared" si="7"/>
        <v>367</v>
      </c>
      <c r="C185" s="107" t="s">
        <v>372</v>
      </c>
      <c r="D185" s="107" t="s">
        <v>397</v>
      </c>
      <c r="E185" s="120">
        <v>4691720.29</v>
      </c>
      <c r="F185" s="120" t="s">
        <v>251</v>
      </c>
      <c r="G185" s="120">
        <v>0</v>
      </c>
      <c r="H185" s="120" t="s">
        <v>251</v>
      </c>
      <c r="I185" s="120">
        <v>4691720.29</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10998179.889999999</v>
      </c>
      <c r="F188" s="120" t="s">
        <v>251</v>
      </c>
      <c r="G188" s="120">
        <v>0</v>
      </c>
      <c r="H188" s="120" t="s">
        <v>251</v>
      </c>
      <c r="I188" s="120">
        <v>10998179.889999999</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11126207.449999999</v>
      </c>
      <c r="F189" s="120" t="s">
        <v>251</v>
      </c>
      <c r="G189" s="120">
        <v>0</v>
      </c>
      <c r="H189" s="120" t="s">
        <v>251</v>
      </c>
      <c r="I189" s="120">
        <v>11126207.449999999</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8">MID(C190,2,3)</f>
        <v>369</v>
      </c>
      <c r="C190" s="107" t="s">
        <v>380</v>
      </c>
      <c r="D190" s="107" t="s">
        <v>400</v>
      </c>
      <c r="E190" s="120">
        <v>5852947.5300000003</v>
      </c>
      <c r="F190" s="120" t="s">
        <v>251</v>
      </c>
      <c r="G190" s="120">
        <v>0</v>
      </c>
      <c r="H190" s="120" t="s">
        <v>251</v>
      </c>
      <c r="I190" s="120">
        <v>5852947.5300000003</v>
      </c>
      <c r="J190" s="120">
        <v>0</v>
      </c>
      <c r="K190" s="120" t="s">
        <v>251</v>
      </c>
      <c r="L190" s="120" t="s">
        <v>251</v>
      </c>
      <c r="M190" s="120">
        <v>0</v>
      </c>
      <c r="N190" s="120" t="s">
        <v>251</v>
      </c>
      <c r="O190" s="120">
        <v>0</v>
      </c>
      <c r="P190" s="120">
        <v>0</v>
      </c>
      <c r="Q190" s="120">
        <v>0</v>
      </c>
      <c r="R190" s="120"/>
      <c r="S190" s="121"/>
    </row>
    <row r="191" spans="1:19" ht="15">
      <c r="A191" s="105">
        <v>27</v>
      </c>
      <c r="B191" s="129" t="str">
        <f t="shared" si="8"/>
        <v>370</v>
      </c>
      <c r="C191" s="107" t="s">
        <v>382</v>
      </c>
      <c r="D191" s="107" t="s">
        <v>401</v>
      </c>
      <c r="E191" s="120">
        <v>3783545.2000000011</v>
      </c>
      <c r="F191" s="120" t="s">
        <v>251</v>
      </c>
      <c r="G191" s="120">
        <v>0</v>
      </c>
      <c r="H191" s="120" t="s">
        <v>251</v>
      </c>
      <c r="I191" s="120">
        <v>3783545.2000000011</v>
      </c>
      <c r="J191" s="120">
        <v>0</v>
      </c>
      <c r="K191" s="120" t="s">
        <v>251</v>
      </c>
      <c r="L191" s="120" t="s">
        <v>251</v>
      </c>
      <c r="M191" s="120">
        <v>0</v>
      </c>
      <c r="N191" s="120" t="s">
        <v>251</v>
      </c>
      <c r="O191" s="120">
        <v>0</v>
      </c>
      <c r="P191" s="120">
        <v>0</v>
      </c>
      <c r="Q191" s="120">
        <v>0</v>
      </c>
      <c r="R191" s="120"/>
      <c r="S191" s="121"/>
    </row>
    <row r="192" spans="1:19" ht="15">
      <c r="A192" s="105">
        <v>28</v>
      </c>
      <c r="B192" s="129" t="str">
        <f t="shared" si="8"/>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8"/>
        <v>373</v>
      </c>
      <c r="C193" s="107" t="s">
        <v>386</v>
      </c>
      <c r="D193" s="107" t="s">
        <v>403</v>
      </c>
      <c r="E193" s="120">
        <v>3826550.46</v>
      </c>
      <c r="F193" s="120" t="s">
        <v>251</v>
      </c>
      <c r="G193" s="120">
        <v>0</v>
      </c>
      <c r="H193" s="120" t="s">
        <v>251</v>
      </c>
      <c r="I193" s="120">
        <v>3826550.46</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97299309.010000005</v>
      </c>
      <c r="F194" s="120" t="s">
        <v>251</v>
      </c>
      <c r="G194" s="120">
        <v>0</v>
      </c>
      <c r="H194" s="120" t="s">
        <v>251</v>
      </c>
      <c r="I194" s="120">
        <v>97299309.010000005</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ref="B197:B205" si="9">MID(C197,2,3)</f>
        <v>360</v>
      </c>
      <c r="C197" s="107" t="s">
        <v>360</v>
      </c>
      <c r="D197" s="107" t="s">
        <v>406</v>
      </c>
      <c r="E197" s="120">
        <v>495040.23</v>
      </c>
      <c r="F197" s="120" t="s">
        <v>251</v>
      </c>
      <c r="G197" s="120">
        <v>0</v>
      </c>
      <c r="H197" s="120" t="s">
        <v>251</v>
      </c>
      <c r="I197" s="120">
        <v>0</v>
      </c>
      <c r="J197" s="120">
        <v>495040.23</v>
      </c>
      <c r="K197" s="120" t="s">
        <v>251</v>
      </c>
      <c r="L197" s="120" t="s">
        <v>251</v>
      </c>
      <c r="M197" s="120">
        <v>495040.23</v>
      </c>
      <c r="N197" s="120" t="s">
        <v>251</v>
      </c>
      <c r="O197" s="120">
        <v>0</v>
      </c>
      <c r="P197" s="120">
        <v>0</v>
      </c>
      <c r="Q197" s="120">
        <v>0</v>
      </c>
      <c r="R197" s="120"/>
      <c r="S197" s="121"/>
    </row>
    <row r="198" spans="1:19" ht="15">
      <c r="A198" s="105">
        <v>32</v>
      </c>
      <c r="B198" s="129" t="str">
        <f t="shared" si="9"/>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9"/>
        <v>362</v>
      </c>
      <c r="C199" s="107" t="s">
        <v>364</v>
      </c>
      <c r="D199" s="107" t="s">
        <v>408</v>
      </c>
      <c r="E199" s="120">
        <v>66880.149999999994</v>
      </c>
      <c r="F199" s="120" t="s">
        <v>251</v>
      </c>
      <c r="G199" s="120">
        <v>0</v>
      </c>
      <c r="H199" s="120" t="s">
        <v>251</v>
      </c>
      <c r="I199" s="120">
        <v>0</v>
      </c>
      <c r="J199" s="120">
        <v>66880.149999999994</v>
      </c>
      <c r="K199" s="120" t="s">
        <v>251</v>
      </c>
      <c r="L199" s="120" t="s">
        <v>251</v>
      </c>
      <c r="M199" s="120">
        <v>66880.149999999994</v>
      </c>
      <c r="N199" s="120" t="s">
        <v>251</v>
      </c>
      <c r="O199" s="120">
        <v>0</v>
      </c>
      <c r="P199" s="120">
        <v>0</v>
      </c>
      <c r="Q199" s="120">
        <v>0</v>
      </c>
      <c r="R199" s="120"/>
      <c r="S199" s="121"/>
    </row>
    <row r="200" spans="1:19" ht="15">
      <c r="A200" s="105">
        <v>34</v>
      </c>
      <c r="B200" s="129" t="str">
        <f t="shared" si="9"/>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9"/>
        <v>365</v>
      </c>
      <c r="C201" s="107" t="s">
        <v>368</v>
      </c>
      <c r="D201" s="107" t="s">
        <v>410</v>
      </c>
      <c r="E201" s="120">
        <v>46763.219999999994</v>
      </c>
      <c r="F201" s="120" t="s">
        <v>251</v>
      </c>
      <c r="G201" s="120">
        <v>0</v>
      </c>
      <c r="H201" s="120" t="s">
        <v>251</v>
      </c>
      <c r="I201" s="120">
        <v>0</v>
      </c>
      <c r="J201" s="120">
        <v>46763.219999999994</v>
      </c>
      <c r="K201" s="120" t="s">
        <v>251</v>
      </c>
      <c r="L201" s="120" t="s">
        <v>251</v>
      </c>
      <c r="M201" s="120">
        <v>46763.219999999994</v>
      </c>
      <c r="N201" s="120" t="s">
        <v>251</v>
      </c>
      <c r="O201" s="120">
        <v>0</v>
      </c>
      <c r="P201" s="120">
        <v>0</v>
      </c>
      <c r="Q201" s="120">
        <v>0</v>
      </c>
      <c r="R201" s="120"/>
      <c r="S201" s="121"/>
    </row>
    <row r="202" spans="1:19" ht="15">
      <c r="A202" s="105">
        <v>36</v>
      </c>
      <c r="B202" s="129" t="str">
        <f t="shared" si="9"/>
        <v>368</v>
      </c>
      <c r="C202" s="107" t="s">
        <v>374</v>
      </c>
      <c r="D202" s="107" t="s">
        <v>411</v>
      </c>
      <c r="E202" s="120">
        <v>3118.2799999999997</v>
      </c>
      <c r="F202" s="120" t="s">
        <v>251</v>
      </c>
      <c r="G202" s="120">
        <v>0</v>
      </c>
      <c r="H202" s="120" t="s">
        <v>251</v>
      </c>
      <c r="I202" s="120">
        <v>0</v>
      </c>
      <c r="J202" s="120">
        <v>3118.2799999999997</v>
      </c>
      <c r="K202" s="120" t="s">
        <v>251</v>
      </c>
      <c r="L202" s="120" t="s">
        <v>251</v>
      </c>
      <c r="M202" s="120">
        <v>3118.2799999999997</v>
      </c>
      <c r="N202" s="120" t="s">
        <v>251</v>
      </c>
      <c r="O202" s="120">
        <v>0</v>
      </c>
      <c r="P202" s="120">
        <v>0</v>
      </c>
      <c r="Q202" s="120">
        <v>0</v>
      </c>
      <c r="R202" s="120"/>
      <c r="S202" s="121"/>
    </row>
    <row r="203" spans="1:19" ht="15">
      <c r="A203" s="105">
        <v>37</v>
      </c>
      <c r="B203" s="129" t="str">
        <f t="shared" si="9"/>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9"/>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9"/>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666586.4</v>
      </c>
      <c r="F206" s="120" t="s">
        <v>251</v>
      </c>
      <c r="G206" s="120">
        <v>0</v>
      </c>
      <c r="H206" s="120" t="s">
        <v>251</v>
      </c>
      <c r="I206" s="120">
        <v>0</v>
      </c>
      <c r="J206" s="120">
        <v>666586.4</v>
      </c>
      <c r="K206" s="120" t="s">
        <v>251</v>
      </c>
      <c r="L206" s="120" t="s">
        <v>251</v>
      </c>
      <c r="M206" s="120">
        <v>666586.4</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1949975263.54</v>
      </c>
      <c r="F208" s="120" t="s">
        <v>251</v>
      </c>
      <c r="G208" s="120">
        <v>1848050385.1299999</v>
      </c>
      <c r="H208" s="120" t="s">
        <v>251</v>
      </c>
      <c r="I208" s="120">
        <v>97299309.010000005</v>
      </c>
      <c r="J208" s="120">
        <v>4625569.4000000004</v>
      </c>
      <c r="K208" s="120" t="s">
        <v>251</v>
      </c>
      <c r="L208" s="120" t="s">
        <v>251</v>
      </c>
      <c r="M208" s="120">
        <v>666586.4</v>
      </c>
      <c r="N208" s="120" t="s">
        <v>251</v>
      </c>
      <c r="O208" s="120">
        <v>3958983</v>
      </c>
      <c r="P208" s="120">
        <v>3680809</v>
      </c>
      <c r="Q208" s="120">
        <v>278174</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ref="B213:B220" si="10">MID(C213,2,3)</f>
        <v>389</v>
      </c>
      <c r="C213" s="107" t="s">
        <v>418</v>
      </c>
      <c r="D213" s="107" t="s">
        <v>419</v>
      </c>
      <c r="E213" s="120">
        <v>4121174.3899999997</v>
      </c>
      <c r="F213" s="120" t="s">
        <v>251</v>
      </c>
      <c r="G213" s="120">
        <v>3729801.8970115366</v>
      </c>
      <c r="H213" s="120" t="s">
        <v>251</v>
      </c>
      <c r="I213" s="120">
        <v>189822.74021452069</v>
      </c>
      <c r="J213" s="120">
        <v>201549.75277394243</v>
      </c>
      <c r="K213" s="120" t="s">
        <v>251</v>
      </c>
      <c r="L213" s="120" t="s">
        <v>251</v>
      </c>
      <c r="M213" s="120">
        <v>298.36441287631806</v>
      </c>
      <c r="N213" s="120" t="s">
        <v>251</v>
      </c>
      <c r="O213" s="120">
        <v>201251.38836106611</v>
      </c>
      <c r="P213" s="120">
        <v>64129.918053396897</v>
      </c>
      <c r="Q213" s="120">
        <v>137121.47030766922</v>
      </c>
      <c r="R213" s="120"/>
      <c r="S213" s="121"/>
    </row>
    <row r="214" spans="1:19" ht="15">
      <c r="A214" s="105">
        <v>2</v>
      </c>
      <c r="B214" s="129" t="str">
        <f t="shared" si="10"/>
        <v>390</v>
      </c>
      <c r="C214" s="107" t="s">
        <v>420</v>
      </c>
      <c r="D214" s="107" t="s">
        <v>419</v>
      </c>
      <c r="E214" s="120">
        <v>69620713.87999998</v>
      </c>
      <c r="F214" s="120" t="s">
        <v>251</v>
      </c>
      <c r="G214" s="120">
        <v>63009095.49739325</v>
      </c>
      <c r="H214" s="120" t="s">
        <v>251</v>
      </c>
      <c r="I214" s="120">
        <v>3206754.5397885269</v>
      </c>
      <c r="J214" s="120">
        <v>3404863.8428182071</v>
      </c>
      <c r="K214" s="120" t="s">
        <v>251</v>
      </c>
      <c r="L214" s="120" t="s">
        <v>251</v>
      </c>
      <c r="M214" s="120">
        <v>5040.3941826000528</v>
      </c>
      <c r="N214" s="120" t="s">
        <v>251</v>
      </c>
      <c r="O214" s="120">
        <v>3399823.448635607</v>
      </c>
      <c r="P214" s="120">
        <v>1083373.3915209037</v>
      </c>
      <c r="Q214" s="120">
        <v>2316450.0571147031</v>
      </c>
      <c r="R214" s="120"/>
      <c r="S214" s="121"/>
    </row>
    <row r="215" spans="1:19" ht="15">
      <c r="A215" s="105">
        <v>3</v>
      </c>
      <c r="B215" s="129" t="str">
        <f t="shared" si="10"/>
        <v>391</v>
      </c>
      <c r="C215" s="107" t="s">
        <v>421</v>
      </c>
      <c r="D215" s="107" t="s">
        <v>419</v>
      </c>
      <c r="E215" s="120">
        <v>46306302.540000007</v>
      </c>
      <c r="F215" s="120" t="s">
        <v>251</v>
      </c>
      <c r="G215" s="120">
        <v>41908766.461416878</v>
      </c>
      <c r="H215" s="120" t="s">
        <v>251</v>
      </c>
      <c r="I215" s="120">
        <v>2132884.5628746664</v>
      </c>
      <c r="J215" s="120">
        <v>2264651.5157084591</v>
      </c>
      <c r="K215" s="120" t="s">
        <v>251</v>
      </c>
      <c r="L215" s="120" t="s">
        <v>251</v>
      </c>
      <c r="M215" s="120">
        <v>3352.4795270360437</v>
      </c>
      <c r="N215" s="120" t="s">
        <v>251</v>
      </c>
      <c r="O215" s="120">
        <v>2261299.0361814229</v>
      </c>
      <c r="P215" s="120">
        <v>720576.00727883901</v>
      </c>
      <c r="Q215" s="120">
        <v>1540723.0289025838</v>
      </c>
      <c r="R215" s="120"/>
      <c r="S215" s="121"/>
    </row>
    <row r="216" spans="1:19" ht="15">
      <c r="A216" s="105">
        <v>4</v>
      </c>
      <c r="B216" s="129" t="str">
        <f t="shared" si="10"/>
        <v>392</v>
      </c>
      <c r="C216" s="107" t="s">
        <v>422</v>
      </c>
      <c r="D216" s="107" t="s">
        <v>419</v>
      </c>
      <c r="E216" s="120">
        <v>7538271.7000000002</v>
      </c>
      <c r="F216" s="120" t="s">
        <v>251</v>
      </c>
      <c r="G216" s="120">
        <v>6822390.2766823666</v>
      </c>
      <c r="H216" s="120" t="s">
        <v>251</v>
      </c>
      <c r="I216" s="120">
        <v>347215.44277469255</v>
      </c>
      <c r="J216" s="120">
        <v>368665.98054294102</v>
      </c>
      <c r="K216" s="120" t="s">
        <v>251</v>
      </c>
      <c r="L216" s="120" t="s">
        <v>251</v>
      </c>
      <c r="M216" s="120">
        <v>545.75511663136979</v>
      </c>
      <c r="N216" s="120" t="s">
        <v>251</v>
      </c>
      <c r="O216" s="120">
        <v>368120.22542630963</v>
      </c>
      <c r="P216" s="120">
        <v>117303.63741905155</v>
      </c>
      <c r="Q216" s="120">
        <v>250816.58800725811</v>
      </c>
      <c r="R216" s="120"/>
      <c r="S216" s="121"/>
    </row>
    <row r="217" spans="1:19" ht="15">
      <c r="A217" s="105">
        <v>5</v>
      </c>
      <c r="B217" s="129" t="str">
        <f t="shared" si="10"/>
        <v>393</v>
      </c>
      <c r="C217" s="107" t="s">
        <v>423</v>
      </c>
      <c r="D217" s="107" t="s">
        <v>419</v>
      </c>
      <c r="E217" s="120">
        <v>951537.17999999993</v>
      </c>
      <c r="F217" s="120" t="s">
        <v>251</v>
      </c>
      <c r="G217" s="120">
        <v>861173.25868391804</v>
      </c>
      <c r="H217" s="120" t="s">
        <v>251</v>
      </c>
      <c r="I217" s="120">
        <v>43828.136795637423</v>
      </c>
      <c r="J217" s="120">
        <v>46535.784520444518</v>
      </c>
      <c r="K217" s="120" t="s">
        <v>251</v>
      </c>
      <c r="L217" s="120" t="s">
        <v>251</v>
      </c>
      <c r="M217" s="120">
        <v>68.889303187358536</v>
      </c>
      <c r="N217" s="120" t="s">
        <v>251</v>
      </c>
      <c r="O217" s="120">
        <v>46466.895217257159</v>
      </c>
      <c r="P217" s="120">
        <v>14806.944720958623</v>
      </c>
      <c r="Q217" s="120">
        <v>31659.950496298534</v>
      </c>
      <c r="R217" s="120"/>
      <c r="S217" s="121"/>
    </row>
    <row r="218" spans="1:19" ht="15">
      <c r="A218" s="105">
        <v>6</v>
      </c>
      <c r="B218" s="129" t="str">
        <f t="shared" si="10"/>
        <v>394</v>
      </c>
      <c r="C218" s="107" t="s">
        <v>424</v>
      </c>
      <c r="D218" s="107" t="s">
        <v>419</v>
      </c>
      <c r="E218" s="120">
        <v>15400127.300000001</v>
      </c>
      <c r="F218" s="120" t="s">
        <v>251</v>
      </c>
      <c r="G218" s="120">
        <v>13937634.902598519</v>
      </c>
      <c r="H218" s="120" t="s">
        <v>251</v>
      </c>
      <c r="I218" s="120">
        <v>709335.27366175072</v>
      </c>
      <c r="J218" s="120">
        <v>753157.12373973138</v>
      </c>
      <c r="K218" s="120" t="s">
        <v>251</v>
      </c>
      <c r="L218" s="120" t="s">
        <v>251</v>
      </c>
      <c r="M218" s="120">
        <v>1114.9370313555351</v>
      </c>
      <c r="N218" s="120" t="s">
        <v>251</v>
      </c>
      <c r="O218" s="120">
        <v>752042.18670837581</v>
      </c>
      <c r="P218" s="120">
        <v>239642.58929622255</v>
      </c>
      <c r="Q218" s="120">
        <v>512399.59741215326</v>
      </c>
      <c r="R218" s="120"/>
      <c r="S218" s="121"/>
    </row>
    <row r="219" spans="1:19" ht="15">
      <c r="A219" s="105">
        <v>7</v>
      </c>
      <c r="B219" s="129" t="str">
        <f t="shared" si="10"/>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0"/>
        <v>396</v>
      </c>
      <c r="C220" s="107" t="s">
        <v>426</v>
      </c>
      <c r="D220" s="107" t="s">
        <v>419</v>
      </c>
      <c r="E220" s="120">
        <v>4137907.3999999994</v>
      </c>
      <c r="F220" s="120" t="s">
        <v>251</v>
      </c>
      <c r="G220" s="120">
        <v>3744945.835737389</v>
      </c>
      <c r="H220" s="120" t="s">
        <v>251</v>
      </c>
      <c r="I220" s="120">
        <v>190593.46853359989</v>
      </c>
      <c r="J220" s="120">
        <v>202368.09572901059</v>
      </c>
      <c r="K220" s="120" t="s">
        <v>251</v>
      </c>
      <c r="L220" s="120" t="s">
        <v>251</v>
      </c>
      <c r="M220" s="120">
        <v>299.57584782952404</v>
      </c>
      <c r="N220" s="120" t="s">
        <v>251</v>
      </c>
      <c r="O220" s="120">
        <v>202068.51988118107</v>
      </c>
      <c r="P220" s="120">
        <v>64390.301734973313</v>
      </c>
      <c r="Q220" s="120">
        <v>137678.21814620777</v>
      </c>
      <c r="R220" s="120"/>
      <c r="S220" s="121"/>
    </row>
    <row r="221" spans="1:19" ht="15">
      <c r="A221" s="105" t="s">
        <v>251</v>
      </c>
      <c r="B221" s="129"/>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7777190.3599999994</v>
      </c>
      <c r="F222" s="120" t="s">
        <v>251</v>
      </c>
      <c r="G222" s="120">
        <v>7777190.3599999994</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58271653.460000008</v>
      </c>
      <c r="F223" s="120" t="s">
        <v>251</v>
      </c>
      <c r="G223" s="120">
        <v>52737812.829392768</v>
      </c>
      <c r="H223" s="120" t="s">
        <v>251</v>
      </c>
      <c r="I223" s="120">
        <v>2684012.8298012055</v>
      </c>
      <c r="J223" s="120">
        <v>2849827.8008060339</v>
      </c>
      <c r="K223" s="120" t="s">
        <v>251</v>
      </c>
      <c r="L223" s="120" t="s">
        <v>251</v>
      </c>
      <c r="M223" s="120">
        <v>4218.7459269165183</v>
      </c>
      <c r="N223" s="120" t="s">
        <v>251</v>
      </c>
      <c r="O223" s="120">
        <v>2845609.0548791173</v>
      </c>
      <c r="P223" s="120">
        <v>906769.77181393723</v>
      </c>
      <c r="Q223" s="120">
        <v>1938839.2830651801</v>
      </c>
      <c r="R223" s="120"/>
      <c r="S223" s="121"/>
    </row>
    <row r="224" spans="1:19" ht="15">
      <c r="A224" s="105">
        <v>11</v>
      </c>
      <c r="B224" s="129">
        <v>397</v>
      </c>
      <c r="C224" s="107" t="s">
        <v>430</v>
      </c>
      <c r="D224" s="107" t="s">
        <v>251</v>
      </c>
      <c r="E224" s="120">
        <v>66048843.820000008</v>
      </c>
      <c r="F224" s="120" t="s">
        <v>251</v>
      </c>
      <c r="G224" s="120">
        <v>60515003.189392768</v>
      </c>
      <c r="H224" s="120" t="s">
        <v>251</v>
      </c>
      <c r="I224" s="120">
        <v>2684012.8298012055</v>
      </c>
      <c r="J224" s="120">
        <v>2849827.8008060339</v>
      </c>
      <c r="K224" s="120" t="s">
        <v>251</v>
      </c>
      <c r="L224" s="120" t="s">
        <v>251</v>
      </c>
      <c r="M224" s="120">
        <v>4218.7459269165183</v>
      </c>
      <c r="N224" s="120" t="s">
        <v>251</v>
      </c>
      <c r="O224" s="120">
        <v>2845609.0548791173</v>
      </c>
      <c r="P224" s="120">
        <v>906769.77181393723</v>
      </c>
      <c r="Q224" s="120">
        <v>1938839.2830651801</v>
      </c>
      <c r="R224" s="120"/>
      <c r="S224" s="121"/>
    </row>
    <row r="225" spans="1:19" ht="15">
      <c r="A225" s="105">
        <v>12</v>
      </c>
      <c r="B225" s="129" t="str">
        <f t="shared" ref="B225" si="11">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214124878.21000001</v>
      </c>
      <c r="F226" s="120" t="s">
        <v>251</v>
      </c>
      <c r="G226" s="120">
        <v>194528811.31891662</v>
      </c>
      <c r="H226" s="120" t="s">
        <v>251</v>
      </c>
      <c r="I226" s="120">
        <v>9504446.9944445994</v>
      </c>
      <c r="J226" s="120">
        <v>10091619.89663877</v>
      </c>
      <c r="K226" s="120" t="s">
        <v>251</v>
      </c>
      <c r="L226" s="120" t="s">
        <v>251</v>
      </c>
      <c r="M226" s="120">
        <v>14939.14134843272</v>
      </c>
      <c r="N226" s="120" t="s">
        <v>251</v>
      </c>
      <c r="O226" s="120">
        <v>10076680.755290337</v>
      </c>
      <c r="P226" s="120">
        <v>3210992.5618382823</v>
      </c>
      <c r="Q226" s="120">
        <v>6865688.1934520537</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309540.84999999998</v>
      </c>
      <c r="F229" s="120" t="s">
        <v>251</v>
      </c>
      <c r="G229" s="120">
        <v>271385.39152250934</v>
      </c>
      <c r="H229" s="120" t="s">
        <v>251</v>
      </c>
      <c r="I229" s="120">
        <v>12427.071061121571</v>
      </c>
      <c r="J229" s="120">
        <v>25728.387416369063</v>
      </c>
      <c r="K229" s="120" t="s">
        <v>251</v>
      </c>
      <c r="L229" s="120" t="s">
        <v>251</v>
      </c>
      <c r="M229" s="120">
        <v>0.87110930064360703</v>
      </c>
      <c r="N229" s="120" t="s">
        <v>251</v>
      </c>
      <c r="O229" s="120">
        <v>25727.516307068421</v>
      </c>
      <c r="P229" s="120">
        <v>7936.5026163037755</v>
      </c>
      <c r="Q229" s="120">
        <v>17791.013690764645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1471422.5899999999</v>
      </c>
      <c r="F231" s="120" t="s">
        <v>251</v>
      </c>
      <c r="G231" s="120">
        <v>1147334.75</v>
      </c>
      <c r="H231" s="120" t="s">
        <v>251</v>
      </c>
      <c r="I231" s="120">
        <v>324087.83999999997</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131956.31</v>
      </c>
      <c r="F232" s="120" t="s">
        <v>251</v>
      </c>
      <c r="G232" s="120">
        <v>119424.91357679295</v>
      </c>
      <c r="H232" s="120" t="s">
        <v>251</v>
      </c>
      <c r="I232" s="120">
        <v>6077.9539962143563</v>
      </c>
      <c r="J232" s="120">
        <v>6453.4424269926876</v>
      </c>
      <c r="K232" s="120" t="s">
        <v>251</v>
      </c>
      <c r="L232" s="120" t="s">
        <v>251</v>
      </c>
      <c r="M232" s="120">
        <v>9.5533610647511136</v>
      </c>
      <c r="N232" s="120" t="s">
        <v>251</v>
      </c>
      <c r="O232" s="120">
        <v>6443.8890659279368</v>
      </c>
      <c r="P232" s="120">
        <v>2053.3824939469832</v>
      </c>
      <c r="Q232" s="120">
        <v>4390.5065719809536</v>
      </c>
      <c r="R232" s="120"/>
      <c r="S232" s="121"/>
    </row>
    <row r="233" spans="1:19" ht="15">
      <c r="A233" s="105">
        <v>18</v>
      </c>
      <c r="B233" s="105"/>
      <c r="C233" s="107" t="s">
        <v>438</v>
      </c>
      <c r="D233" s="107" t="s">
        <v>251</v>
      </c>
      <c r="E233" s="120">
        <v>1912919.75</v>
      </c>
      <c r="F233" s="120" t="s">
        <v>251</v>
      </c>
      <c r="G233" s="120">
        <v>1538145.0550993022</v>
      </c>
      <c r="H233" s="120" t="s">
        <v>251</v>
      </c>
      <c r="I233" s="120">
        <v>342592.86505733593</v>
      </c>
      <c r="J233" s="120">
        <v>32181.829843361749</v>
      </c>
      <c r="K233" s="120" t="s">
        <v>251</v>
      </c>
      <c r="L233" s="120" t="s">
        <v>251</v>
      </c>
      <c r="M233" s="120">
        <v>10.42447036539472</v>
      </c>
      <c r="N233" s="120" t="s">
        <v>251</v>
      </c>
      <c r="O233" s="120">
        <v>32171.405372996356</v>
      </c>
      <c r="P233" s="120">
        <v>9989.8851102507579</v>
      </c>
      <c r="Q233" s="120">
        <v>22181.520262745598</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9783411621.9599781</v>
      </c>
      <c r="F235" s="120" t="s">
        <v>251</v>
      </c>
      <c r="G235" s="120">
        <v>8709294106.8244934</v>
      </c>
      <c r="H235" s="120" t="s">
        <v>251</v>
      </c>
      <c r="I235" s="120">
        <v>478281686.22484577</v>
      </c>
      <c r="J235" s="120">
        <v>595835828.91063929</v>
      </c>
      <c r="K235" s="120" t="s">
        <v>251</v>
      </c>
      <c r="L235" s="120" t="s">
        <v>251</v>
      </c>
      <c r="M235" s="120">
        <v>712146.94177049596</v>
      </c>
      <c r="N235" s="120" t="s">
        <v>251</v>
      </c>
      <c r="O235" s="120">
        <v>595123681.96886873</v>
      </c>
      <c r="P235" s="120">
        <v>186182655.26291806</v>
      </c>
      <c r="Q235" s="120">
        <v>408941026.70595062</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1875566471.0802448</v>
      </c>
      <c r="F243" s="120" t="s">
        <v>251</v>
      </c>
      <c r="G243" s="120">
        <v>1644375341.9963908</v>
      </c>
      <c r="H243" s="120" t="s">
        <v>251</v>
      </c>
      <c r="I243" s="120">
        <v>75297970.577942178</v>
      </c>
      <c r="J243" s="120">
        <v>155893158.50591192</v>
      </c>
      <c r="K243" s="120" t="s">
        <v>251</v>
      </c>
      <c r="L243" s="120" t="s">
        <v>251</v>
      </c>
      <c r="M243" s="120">
        <v>5278.2157732438554</v>
      </c>
      <c r="N243" s="120" t="s">
        <v>251</v>
      </c>
      <c r="O243" s="120">
        <v>155887880.29013866</v>
      </c>
      <c r="P243" s="120">
        <v>48088768.266870126</v>
      </c>
      <c r="Q243" s="120">
        <v>107799112.02326852</v>
      </c>
      <c r="R243" s="120"/>
      <c r="S243" s="121"/>
    </row>
    <row r="244" spans="1:19" ht="15">
      <c r="A244" s="105">
        <v>2</v>
      </c>
      <c r="B244" s="105"/>
      <c r="C244" s="107" t="s">
        <v>445</v>
      </c>
      <c r="D244" s="107" t="s">
        <v>312</v>
      </c>
      <c r="E244" s="120">
        <v>17686323.153333403</v>
      </c>
      <c r="F244" s="120" t="s">
        <v>251</v>
      </c>
      <c r="G244" s="120">
        <v>0</v>
      </c>
      <c r="H244" s="120" t="s">
        <v>251</v>
      </c>
      <c r="I244" s="120">
        <v>5760491.9826672059</v>
      </c>
      <c r="J244" s="120">
        <v>11925831.170666195</v>
      </c>
      <c r="K244" s="120" t="s">
        <v>251</v>
      </c>
      <c r="L244" s="120" t="s">
        <v>251</v>
      </c>
      <c r="M244" s="120">
        <v>0</v>
      </c>
      <c r="N244" s="120" t="s">
        <v>251</v>
      </c>
      <c r="O244" s="120">
        <v>11925831.170666195</v>
      </c>
      <c r="P244" s="120">
        <v>3678916.7348262547</v>
      </c>
      <c r="Q244" s="120">
        <v>8246914.4358399399</v>
      </c>
      <c r="R244" s="120"/>
      <c r="S244" s="121"/>
    </row>
    <row r="245" spans="1:19" ht="15">
      <c r="A245" s="105">
        <v>3</v>
      </c>
      <c r="B245" s="105"/>
      <c r="C245" s="107" t="s">
        <v>446</v>
      </c>
      <c r="D245" s="107" t="s">
        <v>314</v>
      </c>
      <c r="E245" s="120">
        <v>6835395.0066666696</v>
      </c>
      <c r="F245" s="120" t="s">
        <v>251</v>
      </c>
      <c r="G245" s="120">
        <v>0</v>
      </c>
      <c r="H245" s="120" t="s">
        <v>251</v>
      </c>
      <c r="I245" s="120">
        <v>0</v>
      </c>
      <c r="J245" s="120">
        <v>6835395.0066666696</v>
      </c>
      <c r="K245" s="120" t="s">
        <v>251</v>
      </c>
      <c r="L245" s="120" t="s">
        <v>251</v>
      </c>
      <c r="M245" s="120">
        <v>0</v>
      </c>
      <c r="N245" s="120" t="s">
        <v>251</v>
      </c>
      <c r="O245" s="120">
        <v>6835395.0066666696</v>
      </c>
      <c r="P245" s="120">
        <v>2108603.477552759</v>
      </c>
      <c r="Q245" s="120">
        <v>4726791.5291139111</v>
      </c>
      <c r="R245" s="120"/>
      <c r="S245" s="121"/>
    </row>
    <row r="246" spans="1:19" ht="15">
      <c r="A246" s="105">
        <v>4</v>
      </c>
      <c r="B246" s="105"/>
      <c r="C246" s="107" t="s">
        <v>447</v>
      </c>
      <c r="D246" s="107" t="s">
        <v>251</v>
      </c>
      <c r="E246" s="120">
        <v>1900088189.2402449</v>
      </c>
      <c r="F246" s="120" t="s">
        <v>251</v>
      </c>
      <c r="G246" s="120">
        <v>1644375341.9963908</v>
      </c>
      <c r="H246" s="120" t="s">
        <v>251</v>
      </c>
      <c r="I246" s="120">
        <v>81058462.560609385</v>
      </c>
      <c r="J246" s="120">
        <v>174654384.68324474</v>
      </c>
      <c r="K246" s="120" t="s">
        <v>251</v>
      </c>
      <c r="L246" s="120" t="s">
        <v>251</v>
      </c>
      <c r="M246" s="120">
        <v>5278.2157732438554</v>
      </c>
      <c r="N246" s="120" t="s">
        <v>251</v>
      </c>
      <c r="O246" s="120">
        <v>174649106.46747148</v>
      </c>
      <c r="P246" s="120">
        <v>53876288.479249135</v>
      </c>
      <c r="Q246" s="120">
        <v>120772817.98822236</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14170772.502715094</v>
      </c>
      <c r="F249" s="120" t="s">
        <v>251</v>
      </c>
      <c r="G249" s="120">
        <v>12424016.551695021</v>
      </c>
      <c r="H249" s="120" t="s">
        <v>251</v>
      </c>
      <c r="I249" s="120">
        <v>568911.00764964626</v>
      </c>
      <c r="J249" s="120">
        <v>1177844.9433704268</v>
      </c>
      <c r="K249" s="120" t="s">
        <v>251</v>
      </c>
      <c r="L249" s="120" t="s">
        <v>251</v>
      </c>
      <c r="M249" s="120">
        <v>39.879362366614302</v>
      </c>
      <c r="N249" s="120" t="s">
        <v>251</v>
      </c>
      <c r="O249" s="120">
        <v>1177805.0640080601</v>
      </c>
      <c r="P249" s="120">
        <v>363332.89464974962</v>
      </c>
      <c r="Q249" s="120">
        <v>814472.16935831052</v>
      </c>
      <c r="R249" s="120"/>
      <c r="S249" s="121"/>
    </row>
    <row r="250" spans="1:19" ht="15">
      <c r="A250" s="105">
        <v>6</v>
      </c>
      <c r="B250" s="105"/>
      <c r="C250" s="107" t="s">
        <v>445</v>
      </c>
      <c r="D250" s="107" t="s">
        <v>312</v>
      </c>
      <c r="E250" s="120">
        <v>3393.50000000001</v>
      </c>
      <c r="F250" s="120" t="s">
        <v>251</v>
      </c>
      <c r="G250" s="120">
        <v>0</v>
      </c>
      <c r="H250" s="120" t="s">
        <v>251</v>
      </c>
      <c r="I250" s="120">
        <v>1105.2737968036563</v>
      </c>
      <c r="J250" s="120">
        <v>2288.2262031963537</v>
      </c>
      <c r="K250" s="120" t="s">
        <v>251</v>
      </c>
      <c r="L250" s="120" t="s">
        <v>251</v>
      </c>
      <c r="M250" s="120">
        <v>0</v>
      </c>
      <c r="N250" s="120" t="s">
        <v>251</v>
      </c>
      <c r="O250" s="120">
        <v>2288.2262031963537</v>
      </c>
      <c r="P250" s="120">
        <v>705.87899086758205</v>
      </c>
      <c r="Q250" s="120">
        <v>1582.3472123287718</v>
      </c>
      <c r="R250" s="120"/>
      <c r="S250" s="121"/>
    </row>
    <row r="251" spans="1:19" ht="15">
      <c r="A251" s="105">
        <v>7</v>
      </c>
      <c r="B251" s="105"/>
      <c r="C251" s="107" t="s">
        <v>446</v>
      </c>
      <c r="D251" s="107" t="s">
        <v>314</v>
      </c>
      <c r="E251" s="120">
        <v>18771</v>
      </c>
      <c r="F251" s="120" t="s">
        <v>251</v>
      </c>
      <c r="G251" s="120">
        <v>0</v>
      </c>
      <c r="H251" s="120" t="s">
        <v>251</v>
      </c>
      <c r="I251" s="120">
        <v>0</v>
      </c>
      <c r="J251" s="120">
        <v>18771</v>
      </c>
      <c r="K251" s="120" t="s">
        <v>251</v>
      </c>
      <c r="L251" s="120" t="s">
        <v>251</v>
      </c>
      <c r="M251" s="120">
        <v>0</v>
      </c>
      <c r="N251" s="120" t="s">
        <v>251</v>
      </c>
      <c r="O251" s="120">
        <v>18771</v>
      </c>
      <c r="P251" s="120">
        <v>5790.5352709739891</v>
      </c>
      <c r="Q251" s="120">
        <v>12980.464729026009</v>
      </c>
      <c r="R251" s="120"/>
      <c r="S251" s="121"/>
    </row>
    <row r="252" spans="1:19" ht="15">
      <c r="A252" s="105">
        <v>8</v>
      </c>
      <c r="B252" s="105"/>
      <c r="C252" s="107" t="s">
        <v>450</v>
      </c>
      <c r="D252" s="107" t="s">
        <v>251</v>
      </c>
      <c r="E252" s="120">
        <v>14192937.002715094</v>
      </c>
      <c r="F252" s="120" t="s">
        <v>251</v>
      </c>
      <c r="G252" s="120">
        <v>12424016.551695021</v>
      </c>
      <c r="H252" s="120" t="s">
        <v>251</v>
      </c>
      <c r="I252" s="120">
        <v>570016.28144644992</v>
      </c>
      <c r="J252" s="120">
        <v>1198904.1695736232</v>
      </c>
      <c r="K252" s="120" t="s">
        <v>251</v>
      </c>
      <c r="L252" s="120" t="s">
        <v>251</v>
      </c>
      <c r="M252" s="120">
        <v>39.879362366614302</v>
      </c>
      <c r="N252" s="120" t="s">
        <v>251</v>
      </c>
      <c r="O252" s="120">
        <v>1198864.2902112566</v>
      </c>
      <c r="P252" s="120">
        <v>369829.30891159119</v>
      </c>
      <c r="Q252" s="120">
        <v>829034.98129966529</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346005881.55913758</v>
      </c>
      <c r="F255" s="120" t="s">
        <v>251</v>
      </c>
      <c r="G255" s="120">
        <v>303355572.08690733</v>
      </c>
      <c r="H255" s="120" t="s">
        <v>251</v>
      </c>
      <c r="I255" s="120">
        <v>13891024.973606613</v>
      </c>
      <c r="J255" s="120">
        <v>28759284.498623695</v>
      </c>
      <c r="K255" s="120" t="s">
        <v>251</v>
      </c>
      <c r="L255" s="120" t="s">
        <v>251</v>
      </c>
      <c r="M255" s="120">
        <v>973.72912655488017</v>
      </c>
      <c r="N255" s="120" t="s">
        <v>251</v>
      </c>
      <c r="O255" s="120">
        <v>28758310.769497141</v>
      </c>
      <c r="P255" s="120">
        <v>8871451.3262162022</v>
      </c>
      <c r="Q255" s="120">
        <v>19886859.443280939</v>
      </c>
      <c r="R255" s="120"/>
      <c r="S255" s="121"/>
    </row>
    <row r="256" spans="1:19" ht="15">
      <c r="A256" s="105">
        <v>10</v>
      </c>
      <c r="B256" s="105"/>
      <c r="C256" s="107" t="s">
        <v>445</v>
      </c>
      <c r="D256" s="107" t="s">
        <v>312</v>
      </c>
      <c r="E256" s="120">
        <v>1763.8233333333301</v>
      </c>
      <c r="F256" s="120" t="s">
        <v>251</v>
      </c>
      <c r="G256" s="120">
        <v>0</v>
      </c>
      <c r="H256" s="120" t="s">
        <v>251</v>
      </c>
      <c r="I256" s="120">
        <v>574.48289745814202</v>
      </c>
      <c r="J256" s="120">
        <v>1189.3404358751879</v>
      </c>
      <c r="K256" s="120" t="s">
        <v>251</v>
      </c>
      <c r="L256" s="120" t="s">
        <v>251</v>
      </c>
      <c r="M256" s="120">
        <v>0</v>
      </c>
      <c r="N256" s="120" t="s">
        <v>251</v>
      </c>
      <c r="O256" s="120">
        <v>1189.3404358751879</v>
      </c>
      <c r="P256" s="120">
        <v>366.89136130897953</v>
      </c>
      <c r="Q256" s="120">
        <v>822.44907456620842</v>
      </c>
      <c r="R256" s="120"/>
      <c r="S256" s="121"/>
    </row>
    <row r="257" spans="1:19" ht="15">
      <c r="A257" s="105">
        <v>11</v>
      </c>
      <c r="B257" s="105"/>
      <c r="C257" s="107" t="s">
        <v>446</v>
      </c>
      <c r="D257" s="107" t="s">
        <v>314</v>
      </c>
      <c r="E257" s="120">
        <v>1715044.3499999996</v>
      </c>
      <c r="F257" s="120" t="s">
        <v>251</v>
      </c>
      <c r="G257" s="120">
        <v>0</v>
      </c>
      <c r="H257" s="120" t="s">
        <v>251</v>
      </c>
      <c r="I257" s="120">
        <v>0</v>
      </c>
      <c r="J257" s="120">
        <v>1715044.3499999996</v>
      </c>
      <c r="K257" s="120" t="s">
        <v>251</v>
      </c>
      <c r="L257" s="120" t="s">
        <v>251</v>
      </c>
      <c r="M257" s="120">
        <v>0</v>
      </c>
      <c r="N257" s="120" t="s">
        <v>251</v>
      </c>
      <c r="O257" s="120">
        <v>1715044.3499999996</v>
      </c>
      <c r="P257" s="120">
        <v>529062.10643863713</v>
      </c>
      <c r="Q257" s="120">
        <v>1185982.2435613626</v>
      </c>
      <c r="R257" s="120"/>
      <c r="S257" s="121"/>
    </row>
    <row r="258" spans="1:19" ht="15">
      <c r="A258" s="105">
        <v>12</v>
      </c>
      <c r="B258" s="105"/>
      <c r="C258" s="107" t="s">
        <v>453</v>
      </c>
      <c r="D258" s="107" t="s">
        <v>251</v>
      </c>
      <c r="E258" s="120">
        <v>347722689.73247093</v>
      </c>
      <c r="F258" s="120" t="s">
        <v>251</v>
      </c>
      <c r="G258" s="120">
        <v>303355572.08690733</v>
      </c>
      <c r="H258" s="120" t="s">
        <v>251</v>
      </c>
      <c r="I258" s="120">
        <v>13891599.456504071</v>
      </c>
      <c r="J258" s="120">
        <v>30475518.189059567</v>
      </c>
      <c r="K258" s="120" t="s">
        <v>251</v>
      </c>
      <c r="L258" s="120" t="s">
        <v>251</v>
      </c>
      <c r="M258" s="120">
        <v>973.72912655488017</v>
      </c>
      <c r="N258" s="120" t="s">
        <v>251</v>
      </c>
      <c r="O258" s="120">
        <v>30474544.459933013</v>
      </c>
      <c r="P258" s="120">
        <v>9400880.3240161482</v>
      </c>
      <c r="Q258" s="120">
        <v>21073664.135916866</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2262003815.975431</v>
      </c>
      <c r="F260" s="120" t="s">
        <v>251</v>
      </c>
      <c r="G260" s="120">
        <v>1960154930.6349933</v>
      </c>
      <c r="H260" s="120" t="s">
        <v>251</v>
      </c>
      <c r="I260" s="120">
        <v>95520078.298559919</v>
      </c>
      <c r="J260" s="120">
        <v>206328807.04187793</v>
      </c>
      <c r="K260" s="120" t="s">
        <v>251</v>
      </c>
      <c r="L260" s="120" t="s">
        <v>251</v>
      </c>
      <c r="M260" s="120">
        <v>6291.8242621653499</v>
      </c>
      <c r="N260" s="120" t="s">
        <v>251</v>
      </c>
      <c r="O260" s="120">
        <v>206322515.21761575</v>
      </c>
      <c r="P260" s="120">
        <v>63646998.112176873</v>
      </c>
      <c r="Q260" s="120">
        <v>142675517.10543889</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315827905.93303967</v>
      </c>
      <c r="F263" s="120" t="s">
        <v>251</v>
      </c>
      <c r="G263" s="120">
        <v>301723567.58290988</v>
      </c>
      <c r="H263" s="120" t="s">
        <v>251</v>
      </c>
      <c r="I263" s="120">
        <v>14103369.859510349</v>
      </c>
      <c r="J263" s="120">
        <v>968.49061944825655</v>
      </c>
      <c r="K263" s="120" t="s">
        <v>251</v>
      </c>
      <c r="L263" s="120" t="s">
        <v>251</v>
      </c>
      <c r="M263" s="120">
        <v>968.49061944825655</v>
      </c>
      <c r="N263" s="120" t="s">
        <v>251</v>
      </c>
      <c r="O263" s="120">
        <v>0</v>
      </c>
      <c r="P263" s="120">
        <v>0</v>
      </c>
      <c r="Q263" s="120">
        <v>0</v>
      </c>
      <c r="R263" s="120"/>
      <c r="S263" s="121"/>
    </row>
    <row r="264" spans="1:19" ht="15">
      <c r="A264" s="105">
        <v>15</v>
      </c>
      <c r="B264" s="105"/>
      <c r="C264" s="107" t="s">
        <v>458</v>
      </c>
      <c r="D264" s="107" t="s">
        <v>459</v>
      </c>
      <c r="E264" s="120">
        <v>31463048.512699965</v>
      </c>
      <c r="F264" s="120" t="s">
        <v>251</v>
      </c>
      <c r="G264" s="120">
        <v>3860060.1380093419</v>
      </c>
      <c r="H264" s="120" t="s">
        <v>251</v>
      </c>
      <c r="I264" s="120">
        <v>27602975.984435316</v>
      </c>
      <c r="J264" s="120">
        <v>12.390255305929712</v>
      </c>
      <c r="K264" s="120" t="s">
        <v>251</v>
      </c>
      <c r="L264" s="120" t="s">
        <v>251</v>
      </c>
      <c r="M264" s="120">
        <v>12.390255305929712</v>
      </c>
      <c r="N264" s="120" t="s">
        <v>251</v>
      </c>
      <c r="O264" s="120">
        <v>0</v>
      </c>
      <c r="P264" s="120">
        <v>0</v>
      </c>
      <c r="Q264" s="120">
        <v>0</v>
      </c>
      <c r="R264" s="120"/>
      <c r="S264" s="121"/>
    </row>
    <row r="265" spans="1:19" ht="15">
      <c r="A265" s="105">
        <v>16</v>
      </c>
      <c r="B265" s="105"/>
      <c r="C265" s="107" t="s">
        <v>460</v>
      </c>
      <c r="D265" s="107" t="s">
        <v>312</v>
      </c>
      <c r="E265" s="120">
        <v>2650953.6800000006</v>
      </c>
      <c r="F265" s="120" t="s">
        <v>251</v>
      </c>
      <c r="G265" s="120">
        <v>0</v>
      </c>
      <c r="H265" s="120" t="s">
        <v>251</v>
      </c>
      <c r="I265" s="120">
        <v>863424.0869439271</v>
      </c>
      <c r="J265" s="120">
        <v>1787529.5930560734</v>
      </c>
      <c r="K265" s="120" t="s">
        <v>251</v>
      </c>
      <c r="L265" s="120" t="s">
        <v>251</v>
      </c>
      <c r="M265" s="120">
        <v>0</v>
      </c>
      <c r="N265" s="120" t="s">
        <v>251</v>
      </c>
      <c r="O265" s="120">
        <v>1787529.5930560734</v>
      </c>
      <c r="P265" s="120">
        <v>551422.57506264851</v>
      </c>
      <c r="Q265" s="120">
        <v>1236107.0179934248</v>
      </c>
      <c r="R265" s="120"/>
      <c r="S265" s="121"/>
    </row>
    <row r="266" spans="1:19" ht="15">
      <c r="A266" s="105">
        <v>17</v>
      </c>
      <c r="B266" s="105"/>
      <c r="C266" s="107" t="s">
        <v>461</v>
      </c>
      <c r="D266" s="107" t="s">
        <v>314</v>
      </c>
      <c r="E266" s="120">
        <v>328401.563333333</v>
      </c>
      <c r="F266" s="120" t="s">
        <v>251</v>
      </c>
      <c r="G266" s="120">
        <v>0</v>
      </c>
      <c r="H266" s="120" t="s">
        <v>251</v>
      </c>
      <c r="I266" s="120">
        <v>0</v>
      </c>
      <c r="J266" s="120">
        <v>328401.563333333</v>
      </c>
      <c r="K266" s="120" t="s">
        <v>251</v>
      </c>
      <c r="L266" s="120" t="s">
        <v>251</v>
      </c>
      <c r="M266" s="120">
        <v>0</v>
      </c>
      <c r="N266" s="120" t="s">
        <v>251</v>
      </c>
      <c r="O266" s="120">
        <v>328401.563333333</v>
      </c>
      <c r="P266" s="120">
        <v>101306.31482204801</v>
      </c>
      <c r="Q266" s="120">
        <v>227095.24851128497</v>
      </c>
      <c r="R266" s="120"/>
      <c r="S266" s="121"/>
    </row>
    <row r="267" spans="1:19" ht="15">
      <c r="A267" s="105">
        <v>18</v>
      </c>
      <c r="B267" s="105"/>
      <c r="C267" s="107" t="s">
        <v>462</v>
      </c>
      <c r="D267" s="107" t="s">
        <v>251</v>
      </c>
      <c r="E267" s="120">
        <v>350270309.68907303</v>
      </c>
      <c r="F267" s="120" t="s">
        <v>251</v>
      </c>
      <c r="G267" s="120">
        <v>305583627.72091925</v>
      </c>
      <c r="H267" s="120" t="s">
        <v>251</v>
      </c>
      <c r="I267" s="120">
        <v>42569769.930889592</v>
      </c>
      <c r="J267" s="120">
        <v>2116912.0372641608</v>
      </c>
      <c r="K267" s="120" t="s">
        <v>251</v>
      </c>
      <c r="L267" s="120" t="s">
        <v>251</v>
      </c>
      <c r="M267" s="120">
        <v>980.88087475418627</v>
      </c>
      <c r="N267" s="120" t="s">
        <v>251</v>
      </c>
      <c r="O267" s="120">
        <v>2115931.1563894064</v>
      </c>
      <c r="P267" s="120">
        <v>652728.88988469657</v>
      </c>
      <c r="Q267" s="120">
        <v>1463202.2665047098</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40577184.076627642</v>
      </c>
      <c r="F269" s="120" t="s">
        <v>251</v>
      </c>
      <c r="G269" s="120">
        <v>0</v>
      </c>
      <c r="H269" s="120" t="s">
        <v>251</v>
      </c>
      <c r="I269" s="120">
        <v>40426454.113584265</v>
      </c>
      <c r="J269" s="120">
        <v>150729.96304337587</v>
      </c>
      <c r="K269" s="120" t="s">
        <v>251</v>
      </c>
      <c r="L269" s="120" t="s">
        <v>251</v>
      </c>
      <c r="M269" s="120">
        <v>150729.96304337587</v>
      </c>
      <c r="N269" s="120" t="s">
        <v>251</v>
      </c>
      <c r="O269" s="120">
        <v>0</v>
      </c>
      <c r="P269" s="120">
        <v>0</v>
      </c>
      <c r="Q269" s="120">
        <v>0</v>
      </c>
      <c r="R269" s="120"/>
      <c r="S269" s="121"/>
    </row>
    <row r="270" spans="1:19" ht="15">
      <c r="A270" s="105">
        <v>20</v>
      </c>
      <c r="B270" s="105"/>
      <c r="C270" s="107" t="s">
        <v>465</v>
      </c>
      <c r="D270" s="107" t="s">
        <v>466</v>
      </c>
      <c r="E270" s="120">
        <v>660805209.1984638</v>
      </c>
      <c r="F270" s="120" t="s">
        <v>251</v>
      </c>
      <c r="G270" s="120">
        <v>659392626.39270306</v>
      </c>
      <c r="H270" s="120" t="s">
        <v>251</v>
      </c>
      <c r="I270" s="120">
        <v>0</v>
      </c>
      <c r="J270" s="120">
        <v>1412582.8057606921</v>
      </c>
      <c r="K270" s="120" t="s">
        <v>251</v>
      </c>
      <c r="L270" s="120" t="s">
        <v>251</v>
      </c>
      <c r="M270" s="120">
        <v>0</v>
      </c>
      <c r="N270" s="120" t="s">
        <v>251</v>
      </c>
      <c r="O270" s="120">
        <v>1412582.8057606921</v>
      </c>
      <c r="P270" s="120">
        <v>1313329.0809001219</v>
      </c>
      <c r="Q270" s="120">
        <v>99253.72486057019</v>
      </c>
      <c r="R270" s="120"/>
      <c r="S270" s="121"/>
    </row>
    <row r="271" spans="1:19" ht="15">
      <c r="A271" s="105">
        <v>21</v>
      </c>
      <c r="B271" s="105"/>
      <c r="C271" s="107" t="s">
        <v>467</v>
      </c>
      <c r="D271" s="107" t="s">
        <v>251</v>
      </c>
      <c r="E271" s="120">
        <v>701382393.27509141</v>
      </c>
      <c r="F271" s="120" t="s">
        <v>251</v>
      </c>
      <c r="G271" s="120">
        <v>659392626.39270306</v>
      </c>
      <c r="H271" s="120" t="s">
        <v>251</v>
      </c>
      <c r="I271" s="120">
        <v>40426454.113584265</v>
      </c>
      <c r="J271" s="120">
        <v>1563312.768804068</v>
      </c>
      <c r="K271" s="120" t="s">
        <v>251</v>
      </c>
      <c r="L271" s="120" t="s">
        <v>251</v>
      </c>
      <c r="M271" s="120">
        <v>150729.96304337587</v>
      </c>
      <c r="N271" s="120" t="s">
        <v>251</v>
      </c>
      <c r="O271" s="120">
        <v>1412582.8057606921</v>
      </c>
      <c r="P271" s="120">
        <v>1313329.0809001219</v>
      </c>
      <c r="Q271" s="120">
        <v>99253.72486057019</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73653147.470796719</v>
      </c>
      <c r="F273" s="120" t="s">
        <v>251</v>
      </c>
      <c r="G273" s="120">
        <v>66912632.232016049</v>
      </c>
      <c r="H273" s="120" t="s">
        <v>251</v>
      </c>
      <c r="I273" s="120">
        <v>3269271.8471678561</v>
      </c>
      <c r="J273" s="120">
        <v>3471243.3916128171</v>
      </c>
      <c r="K273" s="120" t="s">
        <v>251</v>
      </c>
      <c r="L273" s="120" t="s">
        <v>251</v>
      </c>
      <c r="M273" s="120">
        <v>5138.6592255014557</v>
      </c>
      <c r="N273" s="120" t="s">
        <v>251</v>
      </c>
      <c r="O273" s="120">
        <v>3466104.7323873155</v>
      </c>
      <c r="P273" s="120">
        <v>1104494.3056675675</v>
      </c>
      <c r="Q273" s="120">
        <v>2361610.4267197479</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71375.296764800005</v>
      </c>
      <c r="F275" s="120" t="s">
        <v>251</v>
      </c>
      <c r="G275" s="120">
        <v>71375.296764800005</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70604854.324599907</v>
      </c>
      <c r="F276" s="120" t="s">
        <v>251</v>
      </c>
      <c r="G276" s="120">
        <v>62853126.49369017</v>
      </c>
      <c r="H276" s="120" t="s">
        <v>251</v>
      </c>
      <c r="I276" s="120">
        <v>3451679.5470520975</v>
      </c>
      <c r="J276" s="120">
        <v>4300048.2838576389</v>
      </c>
      <c r="K276" s="120" t="s">
        <v>251</v>
      </c>
      <c r="L276" s="120" t="s">
        <v>251</v>
      </c>
      <c r="M276" s="120">
        <v>5139.4462807203099</v>
      </c>
      <c r="N276" s="120" t="s">
        <v>251</v>
      </c>
      <c r="O276" s="120">
        <v>4294908.8375769183</v>
      </c>
      <c r="P276" s="120">
        <v>1343649.3215104032</v>
      </c>
      <c r="Q276" s="120">
        <v>2951259.5160665149</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3457985896.0317569</v>
      </c>
      <c r="F278" s="120" t="s">
        <v>251</v>
      </c>
      <c r="G278" s="120">
        <v>3054968318.7710867</v>
      </c>
      <c r="H278" s="120" t="s">
        <v>251</v>
      </c>
      <c r="I278" s="120">
        <v>185237253.73725373</v>
      </c>
      <c r="J278" s="120">
        <v>217780323.52341664</v>
      </c>
      <c r="K278" s="120" t="s">
        <v>251</v>
      </c>
      <c r="L278" s="120" t="s">
        <v>251</v>
      </c>
      <c r="M278" s="120">
        <v>168280.7736865172</v>
      </c>
      <c r="N278" s="120" t="s">
        <v>251</v>
      </c>
      <c r="O278" s="120">
        <v>217612042.74973011</v>
      </c>
      <c r="P278" s="120">
        <v>68061199.710139662</v>
      </c>
      <c r="Q278" s="120">
        <v>149550843.03959045</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6325425725.9282207</v>
      </c>
      <c r="F280" s="120" t="s">
        <v>251</v>
      </c>
      <c r="G280" s="120">
        <v>5654325788.0534067</v>
      </c>
      <c r="H280" s="120" t="s">
        <v>251</v>
      </c>
      <c r="I280" s="120">
        <v>293044432.48759204</v>
      </c>
      <c r="J280" s="120">
        <v>378055505.38722253</v>
      </c>
      <c r="K280" s="120" t="s">
        <v>251</v>
      </c>
      <c r="L280" s="120" t="s">
        <v>251</v>
      </c>
      <c r="M280" s="120">
        <v>543866.16808397882</v>
      </c>
      <c r="N280" s="120" t="s">
        <v>251</v>
      </c>
      <c r="O280" s="120">
        <v>377511639.21913856</v>
      </c>
      <c r="P280" s="120">
        <v>118121455.55277839</v>
      </c>
      <c r="Q280" s="120">
        <v>259390183.66636017</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268608149.42999887</v>
      </c>
      <c r="F288" s="120" t="s">
        <v>251</v>
      </c>
      <c r="G288" s="120">
        <v>235498247.80540901</v>
      </c>
      <c r="H288" s="120" t="s">
        <v>251</v>
      </c>
      <c r="I288" s="120">
        <v>10783754.585422112</v>
      </c>
      <c r="J288" s="120">
        <v>22326147.039167739</v>
      </c>
      <c r="K288" s="120" t="s">
        <v>251</v>
      </c>
      <c r="L288" s="120" t="s">
        <v>251</v>
      </c>
      <c r="M288" s="120">
        <v>755.91656867628262</v>
      </c>
      <c r="N288" s="120" t="s">
        <v>251</v>
      </c>
      <c r="O288" s="120">
        <v>22325391.122599062</v>
      </c>
      <c r="P288" s="120">
        <v>6887004.6738958759</v>
      </c>
      <c r="Q288" s="120">
        <v>15438386.448703185</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938978.68124335003</v>
      </c>
      <c r="F290" s="120" t="s">
        <v>251</v>
      </c>
      <c r="G290" s="120">
        <v>0</v>
      </c>
      <c r="H290" s="120" t="s">
        <v>251</v>
      </c>
      <c r="I290" s="120">
        <v>0</v>
      </c>
      <c r="J290" s="120">
        <v>938978.68124335003</v>
      </c>
      <c r="K290" s="120" t="s">
        <v>251</v>
      </c>
      <c r="L290" s="120" t="s">
        <v>251</v>
      </c>
      <c r="M290" s="120">
        <v>0</v>
      </c>
      <c r="N290" s="120" t="s">
        <v>251</v>
      </c>
      <c r="O290" s="120">
        <v>938978.68124335003</v>
      </c>
      <c r="P290" s="120">
        <v>289659.00444474252</v>
      </c>
      <c r="Q290" s="120">
        <v>649319.67679860757</v>
      </c>
      <c r="R290" s="120"/>
      <c r="S290" s="121"/>
    </row>
    <row r="291" spans="1:19" ht="15">
      <c r="A291" s="105">
        <v>4</v>
      </c>
      <c r="B291" s="105"/>
      <c r="C291" s="107" t="s">
        <v>481</v>
      </c>
      <c r="D291" s="107" t="s">
        <v>251</v>
      </c>
      <c r="E291" s="120">
        <v>269547128.11124218</v>
      </c>
      <c r="F291" s="120" t="s">
        <v>251</v>
      </c>
      <c r="G291" s="120">
        <v>235498247.80540901</v>
      </c>
      <c r="H291" s="120" t="s">
        <v>251</v>
      </c>
      <c r="I291" s="120">
        <v>10783754.585422112</v>
      </c>
      <c r="J291" s="120">
        <v>23265125.720411088</v>
      </c>
      <c r="K291" s="120" t="s">
        <v>251</v>
      </c>
      <c r="L291" s="120" t="s">
        <v>251</v>
      </c>
      <c r="M291" s="120">
        <v>755.91656867628262</v>
      </c>
      <c r="N291" s="120" t="s">
        <v>251</v>
      </c>
      <c r="O291" s="120">
        <v>23264369.80384241</v>
      </c>
      <c r="P291" s="120">
        <v>7176663.6783406185</v>
      </c>
      <c r="Q291" s="120">
        <v>16087706.125501793</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24353200.089999899</v>
      </c>
      <c r="F294" s="120" t="s">
        <v>251</v>
      </c>
      <c r="G294" s="120">
        <v>23265627.498961683</v>
      </c>
      <c r="H294" s="120" t="s">
        <v>251</v>
      </c>
      <c r="I294" s="120">
        <v>1087497.9116150318</v>
      </c>
      <c r="J294" s="120">
        <v>74.679423184700781</v>
      </c>
      <c r="K294" s="120" t="s">
        <v>251</v>
      </c>
      <c r="L294" s="120" t="s">
        <v>251</v>
      </c>
      <c r="M294" s="120">
        <v>74.679423184700781</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580551.06999999995</v>
      </c>
      <c r="F296" s="120" t="s">
        <v>251</v>
      </c>
      <c r="G296" s="120">
        <v>0</v>
      </c>
      <c r="H296" s="120" t="s">
        <v>251</v>
      </c>
      <c r="I296" s="120">
        <v>580551.06999999995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24933751.1599999</v>
      </c>
      <c r="F299" s="120" t="s">
        <v>251</v>
      </c>
      <c r="G299" s="120">
        <v>23265627.498961683</v>
      </c>
      <c r="H299" s="120" t="s">
        <v>251</v>
      </c>
      <c r="I299" s="120">
        <v>1668048.9816150316</v>
      </c>
      <c r="J299" s="120">
        <v>74.679423184700781</v>
      </c>
      <c r="K299" s="120" t="s">
        <v>251</v>
      </c>
      <c r="L299" s="120" t="s">
        <v>251</v>
      </c>
      <c r="M299" s="120">
        <v>74.679423184700781</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2.2737367544323201E-10</v>
      </c>
      <c r="F301" s="120" t="s">
        <v>251</v>
      </c>
      <c r="G301" s="120">
        <v>0</v>
      </c>
      <c r="H301" s="120" t="s">
        <v>251</v>
      </c>
      <c r="I301" s="120">
        <v>2.2737367544323201E-10</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6996198.7000000002</v>
      </c>
      <c r="F302" s="120" t="s">
        <v>251</v>
      </c>
      <c r="G302" s="120">
        <v>6996198.7000000002</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6996198.7000000002</v>
      </c>
      <c r="F303" s="120" t="s">
        <v>251</v>
      </c>
      <c r="G303" s="120">
        <v>6996198.7000000002</v>
      </c>
      <c r="H303" s="120" t="s">
        <v>251</v>
      </c>
      <c r="I303" s="120">
        <v>2.2737367544323201E-10</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19824841.989999987</v>
      </c>
      <c r="F305" s="120" t="s">
        <v>251</v>
      </c>
      <c r="G305" s="120">
        <v>18010531.887461632</v>
      </c>
      <c r="H305" s="120" t="s">
        <v>251</v>
      </c>
      <c r="I305" s="120">
        <v>879973.22610220069</v>
      </c>
      <c r="J305" s="120">
        <v>934336.87643615564</v>
      </c>
      <c r="K305" s="120" t="s">
        <v>251</v>
      </c>
      <c r="L305" s="120" t="s">
        <v>251</v>
      </c>
      <c r="M305" s="120">
        <v>1383.1466907291979</v>
      </c>
      <c r="N305" s="120" t="s">
        <v>251</v>
      </c>
      <c r="O305" s="120">
        <v>932953.72974542645</v>
      </c>
      <c r="P305" s="120">
        <v>297291.09808099031</v>
      </c>
      <c r="Q305" s="120">
        <v>635662.63166443608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321301919.96124214</v>
      </c>
      <c r="F307" s="120" t="s">
        <v>251</v>
      </c>
      <c r="G307" s="120">
        <v>283770605.89183235</v>
      </c>
      <c r="H307" s="120" t="s">
        <v>251</v>
      </c>
      <c r="I307" s="120">
        <v>13331776.793139344</v>
      </c>
      <c r="J307" s="120">
        <v>24199537.276270427</v>
      </c>
      <c r="K307" s="120" t="s">
        <v>251</v>
      </c>
      <c r="L307" s="120" t="s">
        <v>251</v>
      </c>
      <c r="M307" s="120">
        <v>2213.7426825901812</v>
      </c>
      <c r="N307" s="120" t="s">
        <v>251</v>
      </c>
      <c r="O307" s="120">
        <v>24197323.533587836</v>
      </c>
      <c r="P307" s="120">
        <v>7473954.7764216084</v>
      </c>
      <c r="Q307" s="120">
        <v>16723368.757166229</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61292297</v>
      </c>
      <c r="F311" s="120" t="s">
        <v>251</v>
      </c>
      <c r="G311" s="120">
        <v>53953416.041710377</v>
      </c>
      <c r="H311" s="120" t="s">
        <v>251</v>
      </c>
      <c r="I311" s="120">
        <v>2201053.2959116343</v>
      </c>
      <c r="J311" s="120">
        <v>5137827.6623779899</v>
      </c>
      <c r="K311" s="120" t="s">
        <v>251</v>
      </c>
      <c r="L311" s="120" t="s">
        <v>251</v>
      </c>
      <c r="M311" s="120">
        <v>241.46600568449119</v>
      </c>
      <c r="N311" s="120" t="s">
        <v>251</v>
      </c>
      <c r="O311" s="120">
        <v>5137586.196372305</v>
      </c>
      <c r="P311" s="120">
        <v>1643878.5826842112</v>
      </c>
      <c r="Q311" s="120">
        <v>3493707.6136880941</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32752130.594000001</v>
      </c>
      <c r="F313" s="120" t="s">
        <v>251</v>
      </c>
      <c r="G313" s="120">
        <v>28506795.360363416</v>
      </c>
      <c r="H313" s="120" t="s">
        <v>251</v>
      </c>
      <c r="I313" s="120">
        <v>1333302.9769248334</v>
      </c>
      <c r="J313" s="120">
        <v>2912032.2567117512</v>
      </c>
      <c r="K313" s="120" t="s">
        <v>251</v>
      </c>
      <c r="L313" s="120" t="s">
        <v>251</v>
      </c>
      <c r="M313" s="120">
        <v>91.502841883428829</v>
      </c>
      <c r="N313" s="120" t="s">
        <v>251</v>
      </c>
      <c r="O313" s="120">
        <v>2911940.7538698679</v>
      </c>
      <c r="P313" s="120">
        <v>898284.35577593429</v>
      </c>
      <c r="Q313" s="120">
        <v>2013656.3980939335</v>
      </c>
      <c r="R313" s="120"/>
      <c r="S313" s="121"/>
    </row>
    <row r="314" spans="1:19" ht="15">
      <c r="A314" s="105">
        <v>18</v>
      </c>
      <c r="B314" s="105"/>
      <c r="C314" s="107" t="s">
        <v>499</v>
      </c>
      <c r="D314" s="107" t="s">
        <v>500</v>
      </c>
      <c r="E314" s="120">
        <v>10090885.30625</v>
      </c>
      <c r="F314" s="120" t="s">
        <v>251</v>
      </c>
      <c r="G314" s="120">
        <v>9115548.7334730607</v>
      </c>
      <c r="H314" s="120" t="s">
        <v>251</v>
      </c>
      <c r="I314" s="120">
        <v>975307.31313537364</v>
      </c>
      <c r="J314" s="120">
        <v>29.259641566004561</v>
      </c>
      <c r="K314" s="120" t="s">
        <v>251</v>
      </c>
      <c r="L314" s="120" t="s">
        <v>251</v>
      </c>
      <c r="M314" s="120">
        <v>29.259641566004561</v>
      </c>
      <c r="N314" s="120" t="s">
        <v>251</v>
      </c>
      <c r="O314" s="120">
        <v>0</v>
      </c>
      <c r="P314" s="120">
        <v>0</v>
      </c>
      <c r="Q314" s="120">
        <v>0</v>
      </c>
      <c r="R314" s="120"/>
      <c r="S314" s="121"/>
    </row>
    <row r="315" spans="1:19" ht="15">
      <c r="A315" s="105">
        <v>19</v>
      </c>
      <c r="B315" s="105"/>
      <c r="C315" s="107" t="s">
        <v>501</v>
      </c>
      <c r="D315" s="107" t="s">
        <v>502</v>
      </c>
      <c r="E315" s="120">
        <v>7298029.099750001</v>
      </c>
      <c r="F315" s="120" t="s">
        <v>251</v>
      </c>
      <c r="G315" s="120">
        <v>6916562.3485901589</v>
      </c>
      <c r="H315" s="120" t="s">
        <v>251</v>
      </c>
      <c r="I315" s="120">
        <v>364154.97253613302</v>
      </c>
      <c r="J315" s="120">
        <v>17311.778623709029</v>
      </c>
      <c r="K315" s="120" t="s">
        <v>251</v>
      </c>
      <c r="L315" s="120" t="s">
        <v>251</v>
      </c>
      <c r="M315" s="120">
        <v>2494.7839265745656</v>
      </c>
      <c r="N315" s="120" t="s">
        <v>251</v>
      </c>
      <c r="O315" s="120">
        <v>14816.994697134465</v>
      </c>
      <c r="P315" s="120">
        <v>13775.89331254133</v>
      </c>
      <c r="Q315" s="120">
        <v>1041.1013845931348</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11905959</v>
      </c>
      <c r="F317" s="120" t="s">
        <v>251</v>
      </c>
      <c r="G317" s="120">
        <v>10575734.789898522</v>
      </c>
      <c r="H317" s="120" t="s">
        <v>251</v>
      </c>
      <c r="I317" s="120">
        <v>634646.39863601292</v>
      </c>
      <c r="J317" s="120">
        <v>695577.81146546465</v>
      </c>
      <c r="K317" s="120" t="s">
        <v>251</v>
      </c>
      <c r="L317" s="120" t="s">
        <v>251</v>
      </c>
      <c r="M317" s="120">
        <v>621.05981876410681</v>
      </c>
      <c r="N317" s="120" t="s">
        <v>251</v>
      </c>
      <c r="O317" s="120">
        <v>694956.75164670055</v>
      </c>
      <c r="P317" s="120">
        <v>216568.12160929589</v>
      </c>
      <c r="Q317" s="120">
        <v>478388.63003740466</v>
      </c>
      <c r="R317" s="120"/>
      <c r="S317" s="121"/>
    </row>
    <row r="318" spans="1:19" ht="15">
      <c r="A318" s="105">
        <v>22</v>
      </c>
      <c r="B318" s="105"/>
      <c r="C318" s="107" t="s">
        <v>506</v>
      </c>
      <c r="D318" s="107" t="s">
        <v>251</v>
      </c>
      <c r="E318" s="120">
        <v>62047004</v>
      </c>
      <c r="F318" s="120" t="s">
        <v>251</v>
      </c>
      <c r="G318" s="120">
        <v>55114641.232325159</v>
      </c>
      <c r="H318" s="120" t="s">
        <v>251</v>
      </c>
      <c r="I318" s="120">
        <v>3307411.6612323532</v>
      </c>
      <c r="J318" s="120">
        <v>3624951.1064424911</v>
      </c>
      <c r="K318" s="120" t="s">
        <v>251</v>
      </c>
      <c r="L318" s="120" t="s">
        <v>251</v>
      </c>
      <c r="M318" s="120">
        <v>3236.6062287881059</v>
      </c>
      <c r="N318" s="120" t="s">
        <v>251</v>
      </c>
      <c r="O318" s="120">
        <v>3621714.5002137031</v>
      </c>
      <c r="P318" s="120">
        <v>1128628.3706977714</v>
      </c>
      <c r="Q318" s="120">
        <v>2493086.1295159315</v>
      </c>
      <c r="R318" s="120"/>
      <c r="S318" s="121"/>
    </row>
    <row r="319" spans="1:19" ht="15">
      <c r="A319" s="105">
        <v>23</v>
      </c>
      <c r="B319" s="105"/>
      <c r="C319" s="107" t="s">
        <v>507</v>
      </c>
      <c r="D319" s="107" t="s">
        <v>251</v>
      </c>
      <c r="E319" s="120">
        <v>123339301.00000001</v>
      </c>
      <c r="F319" s="120" t="s">
        <v>251</v>
      </c>
      <c r="G319" s="120">
        <v>109068057.27403554</v>
      </c>
      <c r="H319" s="120" t="s">
        <v>251</v>
      </c>
      <c r="I319" s="120">
        <v>5508464.9571439875</v>
      </c>
      <c r="J319" s="120">
        <v>8762778.7688204814</v>
      </c>
      <c r="K319" s="120" t="s">
        <v>251</v>
      </c>
      <c r="L319" s="120" t="s">
        <v>251</v>
      </c>
      <c r="M319" s="120">
        <v>3478.0722344725973</v>
      </c>
      <c r="N319" s="120" t="s">
        <v>251</v>
      </c>
      <c r="O319" s="120">
        <v>8759300.6965860091</v>
      </c>
      <c r="P319" s="120">
        <v>2772506.9533819826</v>
      </c>
      <c r="Q319" s="120">
        <v>5986793.7432040256</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16286225.567701049</v>
      </c>
      <c r="F322" s="120" t="s">
        <v>251</v>
      </c>
      <c r="G322" s="120">
        <v>15330015.95195738</v>
      </c>
      <c r="H322" s="120" t="s">
        <v>251</v>
      </c>
      <c r="I322" s="120">
        <v>0</v>
      </c>
      <c r="J322" s="120">
        <v>956209.61574366875</v>
      </c>
      <c r="K322" s="120" t="s">
        <v>251</v>
      </c>
      <c r="L322" s="120" t="s">
        <v>251</v>
      </c>
      <c r="M322" s="120">
        <v>1241.9391597020592</v>
      </c>
      <c r="N322" s="120" t="s">
        <v>251</v>
      </c>
      <c r="O322" s="120">
        <v>954967.67658396671</v>
      </c>
      <c r="P322" s="120">
        <v>300773.99343757716</v>
      </c>
      <c r="Q322" s="120">
        <v>654193.68314638955</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16286225.567701049</v>
      </c>
      <c r="F324" s="120" t="s">
        <v>251</v>
      </c>
      <c r="G324" s="120">
        <v>15330015.95195738</v>
      </c>
      <c r="H324" s="120" t="s">
        <v>251</v>
      </c>
      <c r="I324" s="120">
        <v>0</v>
      </c>
      <c r="J324" s="120">
        <v>956209.61574366875</v>
      </c>
      <c r="K324" s="120" t="s">
        <v>251</v>
      </c>
      <c r="L324" s="120" t="s">
        <v>251</v>
      </c>
      <c r="M324" s="120">
        <v>1241.9391597020592</v>
      </c>
      <c r="N324" s="120" t="s">
        <v>251</v>
      </c>
      <c r="O324" s="120">
        <v>954967.67658396671</v>
      </c>
      <c r="P324" s="120">
        <v>300773.99343757716</v>
      </c>
      <c r="Q324" s="120">
        <v>654193.68314638955</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68863047.242278099</v>
      </c>
      <c r="F326" s="120" t="s">
        <v>251</v>
      </c>
      <c r="G326" s="120">
        <v>55728923.152422182</v>
      </c>
      <c r="H326" s="120" t="s">
        <v>251</v>
      </c>
      <c r="I326" s="120">
        <v>5454597.2272554636</v>
      </c>
      <c r="J326" s="120">
        <v>7679526.862599954</v>
      </c>
      <c r="K326" s="120" t="s">
        <v>251</v>
      </c>
      <c r="L326" s="120" t="s">
        <v>251</v>
      </c>
      <c r="M326" s="120">
        <v>3199.9999291018712</v>
      </c>
      <c r="N326" s="120" t="s">
        <v>251</v>
      </c>
      <c r="O326" s="120">
        <v>7676326.8626708519</v>
      </c>
      <c r="P326" s="120">
        <v>2447348.4699103204</v>
      </c>
      <c r="Q326" s="120">
        <v>5228978.392760531</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208488573.80997917</v>
      </c>
      <c r="F328" s="120" t="s">
        <v>251</v>
      </c>
      <c r="G328" s="120">
        <v>180126996.37841511</v>
      </c>
      <c r="H328" s="120" t="s">
        <v>251</v>
      </c>
      <c r="I328" s="120">
        <v>10963062.184399452</v>
      </c>
      <c r="J328" s="120">
        <v>17398515.247164104</v>
      </c>
      <c r="K328" s="120" t="s">
        <v>251</v>
      </c>
      <c r="L328" s="120" t="s">
        <v>251</v>
      </c>
      <c r="M328" s="120">
        <v>7920.0113232765279</v>
      </c>
      <c r="N328" s="120" t="s">
        <v>251</v>
      </c>
      <c r="O328" s="120">
        <v>17390595.235840827</v>
      </c>
      <c r="P328" s="120">
        <v>5520629.4167298805</v>
      </c>
      <c r="Q328" s="120">
        <v>11869965.819110945</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130006</v>
      </c>
      <c r="F330" s="120" t="s">
        <v>251</v>
      </c>
      <c r="G330" s="120">
        <v>113980.8500567061</v>
      </c>
      <c r="H330" s="120" t="s">
        <v>251</v>
      </c>
      <c r="I330" s="120">
        <v>5219.3233958366754</v>
      </c>
      <c r="J330" s="120">
        <v>10805.826547457233</v>
      </c>
      <c r="K330" s="120" t="s">
        <v>251</v>
      </c>
      <c r="L330" s="120" t="s">
        <v>251</v>
      </c>
      <c r="M330" s="120">
        <v>0.36586265024300602</v>
      </c>
      <c r="N330" s="120" t="s">
        <v>251</v>
      </c>
      <c r="O330" s="120">
        <v>10805.460684806989</v>
      </c>
      <c r="P330" s="120">
        <v>3333.3014338339794</v>
      </c>
      <c r="Q330" s="120">
        <v>7472.159250973009</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69633622.427637115</v>
      </c>
      <c r="F332" s="120" t="s">
        <v>251</v>
      </c>
      <c r="G332" s="120">
        <v>62293698</v>
      </c>
      <c r="H332" s="120" t="s">
        <v>251</v>
      </c>
      <c r="I332" s="120">
        <v>2379186.7071387768</v>
      </c>
      <c r="J332" s="120">
        <v>4960737.7204983374</v>
      </c>
      <c r="K332" s="120" t="s">
        <v>251</v>
      </c>
      <c r="L332" s="120" t="s">
        <v>251</v>
      </c>
      <c r="M332" s="120">
        <v>213.1170847158082</v>
      </c>
      <c r="N332" s="120" t="s">
        <v>251</v>
      </c>
      <c r="O332" s="120">
        <v>4960524.6034136219</v>
      </c>
      <c r="P332" s="120">
        <v>1530237.7432529349</v>
      </c>
      <c r="Q332" s="120">
        <v>3430286.860160687</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599554122.19885838</v>
      </c>
      <c r="F334" s="120" t="s">
        <v>251</v>
      </c>
      <c r="G334" s="120">
        <v>526305281.12030417</v>
      </c>
      <c r="H334" s="120" t="s">
        <v>251</v>
      </c>
      <c r="I334" s="120">
        <v>26679245.008073412</v>
      </c>
      <c r="J334" s="120">
        <v>46569596.070480324</v>
      </c>
      <c r="K334" s="120" t="s">
        <v>251</v>
      </c>
      <c r="L334" s="120" t="s">
        <v>251</v>
      </c>
      <c r="M334" s="120">
        <v>10347.236953232761</v>
      </c>
      <c r="N334" s="120" t="s">
        <v>251</v>
      </c>
      <c r="O334" s="120">
        <v>46559248.833527088</v>
      </c>
      <c r="P334" s="120">
        <v>14528155.237838257</v>
      </c>
      <c r="Q334" s="120">
        <v>32031093.595688835</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906415035</v>
      </c>
      <c r="F342" s="120" t="s">
        <v>251</v>
      </c>
      <c r="G342" s="120">
        <v>794686062.13158631</v>
      </c>
      <c r="H342" s="120" t="s">
        <v>251</v>
      </c>
      <c r="I342" s="120">
        <v>36389652.773822904</v>
      </c>
      <c r="J342" s="120">
        <v>75339320.094590828</v>
      </c>
      <c r="K342" s="120" t="s">
        <v>251</v>
      </c>
      <c r="L342" s="120" t="s">
        <v>251</v>
      </c>
      <c r="M342" s="120">
        <v>2550.8315533529772</v>
      </c>
      <c r="N342" s="120" t="s">
        <v>251</v>
      </c>
      <c r="O342" s="120">
        <v>75336769.263037473</v>
      </c>
      <c r="P342" s="120">
        <v>23240116.116288304</v>
      </c>
      <c r="Q342" s="120">
        <v>52096653.146749169</v>
      </c>
      <c r="R342" s="120"/>
      <c r="S342" s="121"/>
    </row>
    <row r="343" spans="1:19" ht="15">
      <c r="A343" s="105">
        <v>2</v>
      </c>
      <c r="B343" s="105"/>
      <c r="C343" s="107" t="s">
        <v>479</v>
      </c>
      <c r="D343" s="107" t="s">
        <v>312</v>
      </c>
      <c r="E343" s="120">
        <v>19105</v>
      </c>
      <c r="F343" s="120" t="s">
        <v>251</v>
      </c>
      <c r="G343" s="120">
        <v>0</v>
      </c>
      <c r="H343" s="120" t="s">
        <v>251</v>
      </c>
      <c r="I343" s="120">
        <v>6222.5595662100459</v>
      </c>
      <c r="J343" s="120">
        <v>12882.440433789956</v>
      </c>
      <c r="K343" s="120" t="s">
        <v>251</v>
      </c>
      <c r="L343" s="120" t="s">
        <v>251</v>
      </c>
      <c r="M343" s="120">
        <v>0</v>
      </c>
      <c r="N343" s="120" t="s">
        <v>251</v>
      </c>
      <c r="O343" s="120">
        <v>12882.440433789956</v>
      </c>
      <c r="P343" s="120">
        <v>3974.0144748858452</v>
      </c>
      <c r="Q343" s="120">
        <v>8908.4259589041103</v>
      </c>
      <c r="R343" s="120"/>
      <c r="S343" s="121"/>
    </row>
    <row r="344" spans="1:19" ht="15">
      <c r="A344" s="105">
        <v>3</v>
      </c>
      <c r="B344" s="105"/>
      <c r="C344" s="107" t="s">
        <v>480</v>
      </c>
      <c r="D344" s="107" t="s">
        <v>314</v>
      </c>
      <c r="E344" s="120">
        <v>1973812</v>
      </c>
      <c r="F344" s="120" t="s">
        <v>251</v>
      </c>
      <c r="G344" s="120">
        <v>0</v>
      </c>
      <c r="H344" s="120" t="s">
        <v>251</v>
      </c>
      <c r="I344" s="120">
        <v>0</v>
      </c>
      <c r="J344" s="120">
        <v>1973812</v>
      </c>
      <c r="K344" s="120" t="s">
        <v>251</v>
      </c>
      <c r="L344" s="120" t="s">
        <v>251</v>
      </c>
      <c r="M344" s="120">
        <v>0</v>
      </c>
      <c r="N344" s="120" t="s">
        <v>251</v>
      </c>
      <c r="O344" s="120">
        <v>1973812</v>
      </c>
      <c r="P344" s="120">
        <v>608887.53951689904</v>
      </c>
      <c r="Q344" s="120">
        <v>1364924.460483101</v>
      </c>
      <c r="R344" s="120"/>
      <c r="S344" s="121"/>
    </row>
    <row r="345" spans="1:19" ht="15">
      <c r="A345" s="105">
        <v>4</v>
      </c>
      <c r="B345" s="105"/>
      <c r="C345" s="107" t="s">
        <v>481</v>
      </c>
      <c r="D345" s="107" t="s">
        <v>251</v>
      </c>
      <c r="E345" s="120">
        <v>908407952.00000012</v>
      </c>
      <c r="F345" s="120" t="s">
        <v>251</v>
      </c>
      <c r="G345" s="120">
        <v>794686062.13158631</v>
      </c>
      <c r="H345" s="120" t="s">
        <v>251</v>
      </c>
      <c r="I345" s="120">
        <v>36395875.333389111</v>
      </c>
      <c r="J345" s="120">
        <v>77326014.535024628</v>
      </c>
      <c r="K345" s="120" t="s">
        <v>251</v>
      </c>
      <c r="L345" s="120" t="s">
        <v>251</v>
      </c>
      <c r="M345" s="120">
        <v>2550.8315533529772</v>
      </c>
      <c r="N345" s="120" t="s">
        <v>251</v>
      </c>
      <c r="O345" s="120">
        <v>77323463.703471273</v>
      </c>
      <c r="P345" s="120">
        <v>23852977.670280091</v>
      </c>
      <c r="Q345" s="120">
        <v>53470486.033191174</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153768549</v>
      </c>
      <c r="F348" s="120" t="s">
        <v>251</v>
      </c>
      <c r="G348" s="120">
        <v>146901506.53173777</v>
      </c>
      <c r="H348" s="120" t="s">
        <v>251</v>
      </c>
      <c r="I348" s="120">
        <v>6866570.9348908141</v>
      </c>
      <c r="J348" s="120">
        <v>471.5333714185586</v>
      </c>
      <c r="K348" s="120" t="s">
        <v>251</v>
      </c>
      <c r="L348" s="120" t="s">
        <v>251</v>
      </c>
      <c r="M348" s="120">
        <v>471.5333714185586</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7945660</v>
      </c>
      <c r="F350" s="120" t="s">
        <v>251</v>
      </c>
      <c r="G350" s="120">
        <v>0</v>
      </c>
      <c r="H350" s="120" t="s">
        <v>251</v>
      </c>
      <c r="I350" s="120">
        <v>7945660</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3372.0000000000005</v>
      </c>
      <c r="F351" s="120" t="s">
        <v>251</v>
      </c>
      <c r="G351" s="120">
        <v>0</v>
      </c>
      <c r="H351" s="120" t="s">
        <v>251</v>
      </c>
      <c r="I351" s="120">
        <v>1098.2711780821919</v>
      </c>
      <c r="J351" s="120">
        <v>2273.7288219178085</v>
      </c>
      <c r="K351" s="120" t="s">
        <v>251</v>
      </c>
      <c r="L351" s="120" t="s">
        <v>251</v>
      </c>
      <c r="M351" s="120">
        <v>0</v>
      </c>
      <c r="N351" s="120" t="s">
        <v>251</v>
      </c>
      <c r="O351" s="120">
        <v>2273.7288219178085</v>
      </c>
      <c r="P351" s="120">
        <v>701.40679452054803</v>
      </c>
      <c r="Q351" s="120">
        <v>1572.3220273972604</v>
      </c>
      <c r="R351" s="120"/>
      <c r="S351" s="121"/>
    </row>
    <row r="352" spans="1:19" ht="15">
      <c r="A352" s="105">
        <v>9</v>
      </c>
      <c r="B352" s="105"/>
      <c r="C352" s="107" t="s">
        <v>461</v>
      </c>
      <c r="D352" s="107" t="s">
        <v>314</v>
      </c>
      <c r="E352" s="120">
        <v>348320</v>
      </c>
      <c r="F352" s="120" t="s">
        <v>251</v>
      </c>
      <c r="G352" s="120">
        <v>0</v>
      </c>
      <c r="H352" s="120" t="s">
        <v>251</v>
      </c>
      <c r="I352" s="120">
        <v>0</v>
      </c>
      <c r="J352" s="120">
        <v>348320</v>
      </c>
      <c r="K352" s="120" t="s">
        <v>251</v>
      </c>
      <c r="L352" s="120" t="s">
        <v>251</v>
      </c>
      <c r="M352" s="120">
        <v>0</v>
      </c>
      <c r="N352" s="120" t="s">
        <v>251</v>
      </c>
      <c r="O352" s="120">
        <v>348320</v>
      </c>
      <c r="P352" s="120">
        <v>107450.81485193437</v>
      </c>
      <c r="Q352" s="120">
        <v>240869.18514806562</v>
      </c>
      <c r="R352" s="120"/>
      <c r="S352" s="121"/>
    </row>
    <row r="353" spans="1:19" ht="15">
      <c r="A353" s="105">
        <v>10</v>
      </c>
      <c r="B353" s="105"/>
      <c r="C353" s="107" t="s">
        <v>462</v>
      </c>
      <c r="D353" s="107" t="s">
        <v>251</v>
      </c>
      <c r="E353" s="120">
        <v>162065901</v>
      </c>
      <c r="F353" s="120" t="s">
        <v>251</v>
      </c>
      <c r="G353" s="120">
        <v>146901506.53173777</v>
      </c>
      <c r="H353" s="120" t="s">
        <v>251</v>
      </c>
      <c r="I353" s="120">
        <v>14813329.206068896</v>
      </c>
      <c r="J353" s="120">
        <v>351065.26219333633</v>
      </c>
      <c r="K353" s="120" t="s">
        <v>251</v>
      </c>
      <c r="L353" s="120" t="s">
        <v>251</v>
      </c>
      <c r="M353" s="120">
        <v>471.5333714185586</v>
      </c>
      <c r="N353" s="120" t="s">
        <v>251</v>
      </c>
      <c r="O353" s="120">
        <v>350593.72882191779</v>
      </c>
      <c r="P353" s="120">
        <v>108152.22164645491</v>
      </c>
      <c r="Q353" s="120">
        <v>242441.50717546287</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12690279</v>
      </c>
      <c r="F355" s="120" t="s">
        <v>251</v>
      </c>
      <c r="G355" s="120">
        <v>0</v>
      </c>
      <c r="H355" s="120" t="s">
        <v>251</v>
      </c>
      <c r="I355" s="120">
        <v>12690279</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266088379.99999997</v>
      </c>
      <c r="F356" s="120" t="s">
        <v>251</v>
      </c>
      <c r="G356" s="120">
        <v>265424038.09756738</v>
      </c>
      <c r="H356" s="120" t="s">
        <v>251</v>
      </c>
      <c r="I356" s="120">
        <v>0</v>
      </c>
      <c r="J356" s="120">
        <v>664341.90243258851</v>
      </c>
      <c r="K356" s="120" t="s">
        <v>251</v>
      </c>
      <c r="L356" s="120" t="s">
        <v>251</v>
      </c>
      <c r="M356" s="120">
        <v>95737.678719443807</v>
      </c>
      <c r="N356" s="120" t="s">
        <v>251</v>
      </c>
      <c r="O356" s="120">
        <v>568604.22371314466</v>
      </c>
      <c r="P356" s="120">
        <v>528651.81388284732</v>
      </c>
      <c r="Q356" s="120">
        <v>39952.409830297402</v>
      </c>
      <c r="R356" s="120"/>
      <c r="S356" s="121"/>
    </row>
    <row r="357" spans="1:19" ht="15">
      <c r="A357" s="105">
        <v>13</v>
      </c>
      <c r="B357" s="105"/>
      <c r="C357" s="107" t="s">
        <v>467</v>
      </c>
      <c r="D357" s="107" t="s">
        <v>251</v>
      </c>
      <c r="E357" s="120">
        <v>278778658.99999994</v>
      </c>
      <c r="F357" s="120" t="s">
        <v>251</v>
      </c>
      <c r="G357" s="120">
        <v>265424038.09756738</v>
      </c>
      <c r="H357" s="120" t="s">
        <v>251</v>
      </c>
      <c r="I357" s="120">
        <v>12690279</v>
      </c>
      <c r="J357" s="120">
        <v>664341.90243258851</v>
      </c>
      <c r="K357" s="120" t="s">
        <v>251</v>
      </c>
      <c r="L357" s="120" t="s">
        <v>251</v>
      </c>
      <c r="M357" s="120">
        <v>95737.678719443807</v>
      </c>
      <c r="N357" s="120" t="s">
        <v>251</v>
      </c>
      <c r="O357" s="120">
        <v>568604.22371314466</v>
      </c>
      <c r="P357" s="120">
        <v>528651.81388284732</v>
      </c>
      <c r="Q357" s="120">
        <v>39952.409830297402</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31373491.999999996</v>
      </c>
      <c r="F359" s="120" t="s">
        <v>251</v>
      </c>
      <c r="G359" s="120">
        <v>28502284.072278887</v>
      </c>
      <c r="H359" s="120" t="s">
        <v>251</v>
      </c>
      <c r="I359" s="120">
        <v>1392587.7938022141</v>
      </c>
      <c r="J359" s="120">
        <v>1478620.1339188947</v>
      </c>
      <c r="K359" s="120" t="s">
        <v>251</v>
      </c>
      <c r="L359" s="120" t="s">
        <v>251</v>
      </c>
      <c r="M359" s="120">
        <v>2188.8770492247936</v>
      </c>
      <c r="N359" s="120" t="s">
        <v>251</v>
      </c>
      <c r="O359" s="120">
        <v>1476431.25686967</v>
      </c>
      <c r="P359" s="120">
        <v>470473.35318081744</v>
      </c>
      <c r="Q359" s="120">
        <v>1005957.9036888526</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1380626004.0000002</v>
      </c>
      <c r="F361" s="120" t="s">
        <v>251</v>
      </c>
      <c r="G361" s="120">
        <v>1235513890.8331704</v>
      </c>
      <c r="H361" s="120" t="s">
        <v>251</v>
      </c>
      <c r="I361" s="120">
        <v>65292071.333260223</v>
      </c>
      <c r="J361" s="120">
        <v>79820041.833569437</v>
      </c>
      <c r="K361" s="120" t="s">
        <v>251</v>
      </c>
      <c r="L361" s="120" t="s">
        <v>251</v>
      </c>
      <c r="M361" s="120">
        <v>100948.92069344014</v>
      </c>
      <c r="N361" s="120" t="s">
        <v>251</v>
      </c>
      <c r="O361" s="120">
        <v>79719092.912875995</v>
      </c>
      <c r="P361" s="120">
        <v>24960255.05899021</v>
      </c>
      <c r="Q361" s="120">
        <v>54758837.853885785</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91624046.000000015</v>
      </c>
      <c r="F364" s="120" t="s">
        <v>251</v>
      </c>
      <c r="G364" s="120">
        <v>79747725.782731548</v>
      </c>
      <c r="H364" s="120" t="s">
        <v>251</v>
      </c>
      <c r="I364" s="120">
        <v>3729913.4765931028</v>
      </c>
      <c r="J364" s="120">
        <v>8146406.74067536</v>
      </c>
      <c r="K364" s="120" t="s">
        <v>251</v>
      </c>
      <c r="L364" s="120" t="s">
        <v>251</v>
      </c>
      <c r="M364" s="120">
        <v>255.97909027005051</v>
      </c>
      <c r="N364" s="120" t="s">
        <v>251</v>
      </c>
      <c r="O364" s="120">
        <v>8146150.7615850903</v>
      </c>
      <c r="P364" s="120">
        <v>2512949.4064050987</v>
      </c>
      <c r="Q364" s="120">
        <v>5633201.3551799916</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91624046.000000015</v>
      </c>
      <c r="F370" s="120" t="s">
        <v>251</v>
      </c>
      <c r="G370" s="120">
        <v>79747725.782731548</v>
      </c>
      <c r="H370" s="120" t="s">
        <v>251</v>
      </c>
      <c r="I370" s="120">
        <v>3729913.4765931028</v>
      </c>
      <c r="J370" s="120">
        <v>8146406.74067536</v>
      </c>
      <c r="K370" s="120" t="s">
        <v>251</v>
      </c>
      <c r="L370" s="120" t="s">
        <v>251</v>
      </c>
      <c r="M370" s="120">
        <v>255.97909027005051</v>
      </c>
      <c r="N370" s="120" t="s">
        <v>251</v>
      </c>
      <c r="O370" s="120">
        <v>8146150.7615850903</v>
      </c>
      <c r="P370" s="120">
        <v>2512949.4064050987</v>
      </c>
      <c r="Q370" s="120">
        <v>5633201.3551799916</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980981.37</v>
      </c>
      <c r="F372" s="120" t="s">
        <v>251</v>
      </c>
      <c r="G372" s="120">
        <v>951646.55364259379</v>
      </c>
      <c r="H372" s="120" t="s">
        <v>251</v>
      </c>
      <c r="I372" s="120">
        <v>29334.816357406242</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234962</v>
      </c>
      <c r="F374" s="120" t="s">
        <v>251</v>
      </c>
      <c r="G374" s="120">
        <v>0</v>
      </c>
      <c r="H374" s="120" t="s">
        <v>251</v>
      </c>
      <c r="I374" s="120">
        <v>234962</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22095899.68</v>
      </c>
      <c r="F375" s="120" t="s">
        <v>251</v>
      </c>
      <c r="G375" s="120">
        <v>0</v>
      </c>
      <c r="H375" s="120" t="s">
        <v>251</v>
      </c>
      <c r="I375" s="120">
        <v>1017744.901778532</v>
      </c>
      <c r="J375" s="120">
        <v>1.2044233615074355E-12</v>
      </c>
      <c r="K375" s="120" t="s">
        <v>251</v>
      </c>
      <c r="L375" s="120" t="s">
        <v>251</v>
      </c>
      <c r="M375" s="120">
        <v>0</v>
      </c>
      <c r="N375" s="120" t="s">
        <v>251</v>
      </c>
      <c r="O375" s="120">
        <v>1.2044233615074355E-12</v>
      </c>
      <c r="P375" s="120">
        <v>0</v>
      </c>
      <c r="Q375" s="120">
        <v>0</v>
      </c>
      <c r="R375" s="120"/>
      <c r="S375" s="121"/>
    </row>
    <row r="376" spans="1:19" ht="15">
      <c r="A376" s="105">
        <v>27</v>
      </c>
      <c r="B376" s="105"/>
      <c r="C376" s="107" t="s">
        <v>543</v>
      </c>
      <c r="D376" s="107" t="s">
        <v>419</v>
      </c>
      <c r="E376" s="120">
        <v>6914670.8461538451</v>
      </c>
      <c r="F376" s="120" t="s">
        <v>251</v>
      </c>
      <c r="G376" s="120">
        <v>0</v>
      </c>
      <c r="H376" s="120" t="s">
        <v>251</v>
      </c>
      <c r="I376" s="120">
        <v>0</v>
      </c>
      <c r="J376" s="120">
        <v>337667.61028723395</v>
      </c>
      <c r="K376" s="120" t="s">
        <v>251</v>
      </c>
      <c r="L376" s="120" t="s">
        <v>251</v>
      </c>
      <c r="M376" s="120">
        <v>0</v>
      </c>
      <c r="N376" s="120" t="s">
        <v>251</v>
      </c>
      <c r="O376" s="120">
        <v>337667.61028723395</v>
      </c>
      <c r="P376" s="120">
        <v>107599.73560110827</v>
      </c>
      <c r="Q376" s="120">
        <v>230067.8746861257</v>
      </c>
      <c r="R376" s="120"/>
      <c r="S376" s="121"/>
    </row>
    <row r="377" spans="1:19" ht="15">
      <c r="A377" s="105">
        <v>28</v>
      </c>
      <c r="B377" s="105"/>
      <c r="C377" s="107" t="s">
        <v>544</v>
      </c>
      <c r="D377" s="107" t="s">
        <v>419</v>
      </c>
      <c r="E377" s="120">
        <v>6319401.2276923079</v>
      </c>
      <c r="F377" s="120" t="s">
        <v>251</v>
      </c>
      <c r="G377" s="120">
        <v>0</v>
      </c>
      <c r="H377" s="120" t="s">
        <v>251</v>
      </c>
      <c r="I377" s="120">
        <v>0</v>
      </c>
      <c r="J377" s="120">
        <v>308598.5086604653</v>
      </c>
      <c r="K377" s="120" t="s">
        <v>251</v>
      </c>
      <c r="L377" s="120" t="s">
        <v>251</v>
      </c>
      <c r="M377" s="120">
        <v>0</v>
      </c>
      <c r="N377" s="120" t="s">
        <v>251</v>
      </c>
      <c r="O377" s="120">
        <v>308598.5086604653</v>
      </c>
      <c r="P377" s="120">
        <v>98336.698360013703</v>
      </c>
      <c r="Q377" s="120">
        <v>210261.81030045159</v>
      </c>
      <c r="R377" s="120"/>
      <c r="S377" s="121"/>
    </row>
    <row r="378" spans="1:19" ht="15">
      <c r="A378" s="105">
        <v>29</v>
      </c>
      <c r="B378" s="105"/>
      <c r="C378" s="107" t="s">
        <v>545</v>
      </c>
      <c r="D378" s="107" t="s">
        <v>419</v>
      </c>
      <c r="E378" s="120">
        <v>1535072.4738461531</v>
      </c>
      <c r="F378" s="120" t="s">
        <v>251</v>
      </c>
      <c r="G378" s="120">
        <v>0</v>
      </c>
      <c r="H378" s="120" t="s">
        <v>251</v>
      </c>
      <c r="I378" s="120">
        <v>0</v>
      </c>
      <c r="J378" s="120">
        <v>74962.968649427785</v>
      </c>
      <c r="K378" s="120" t="s">
        <v>251</v>
      </c>
      <c r="L378" s="120" t="s">
        <v>251</v>
      </c>
      <c r="M378" s="120">
        <v>0</v>
      </c>
      <c r="N378" s="120" t="s">
        <v>251</v>
      </c>
      <c r="O378" s="120">
        <v>74962.968649427785</v>
      </c>
      <c r="P378" s="120">
        <v>23887.383215971859</v>
      </c>
      <c r="Q378" s="120">
        <v>51075.585433455934</v>
      </c>
      <c r="R378" s="120"/>
      <c r="S378" s="121"/>
    </row>
    <row r="379" spans="1:19" ht="15">
      <c r="A379" s="105">
        <v>30</v>
      </c>
      <c r="B379" s="105"/>
      <c r="C379" s="107" t="s">
        <v>546</v>
      </c>
      <c r="D379" s="107" t="s">
        <v>251</v>
      </c>
      <c r="E379" s="120">
        <v>1541229430.9676924</v>
      </c>
      <c r="F379" s="120" t="s">
        <v>251</v>
      </c>
      <c r="G379" s="120">
        <v>1316213263.1695445</v>
      </c>
      <c r="H379" s="120" t="s">
        <v>251</v>
      </c>
      <c r="I379" s="120">
        <v>72014568.970163181</v>
      </c>
      <c r="J379" s="120">
        <v>88687677.671944559</v>
      </c>
      <c r="K379" s="120" t="s">
        <v>251</v>
      </c>
      <c r="L379" s="120" t="s">
        <v>251</v>
      </c>
      <c r="M379" s="120">
        <v>101204.89978371019</v>
      </c>
      <c r="N379" s="120" t="s">
        <v>251</v>
      </c>
      <c r="O379" s="120">
        <v>88586472.772160843</v>
      </c>
      <c r="P379" s="120">
        <v>27703028.292675029</v>
      </c>
      <c r="Q379" s="120">
        <v>60883444.479485817</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5383750417.1593866</v>
      </c>
      <c r="F381" s="120" t="s">
        <v>251</v>
      </c>
      <c r="G381" s="120">
        <v>4864417806.0041666</v>
      </c>
      <c r="H381" s="120" t="s">
        <v>251</v>
      </c>
      <c r="I381" s="120">
        <v>247709108.52550226</v>
      </c>
      <c r="J381" s="120">
        <v>335937423.78575832</v>
      </c>
      <c r="K381" s="120" t="s">
        <v>251</v>
      </c>
      <c r="L381" s="120" t="s">
        <v>251</v>
      </c>
      <c r="M381" s="120">
        <v>453008.50525350141</v>
      </c>
      <c r="N381" s="120" t="s">
        <v>251</v>
      </c>
      <c r="O381" s="120">
        <v>335484415.28050482</v>
      </c>
      <c r="P381" s="120">
        <v>104946582.49794161</v>
      </c>
      <c r="Q381" s="120">
        <v>230537832.78256321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2">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2"/>
        <v>440</v>
      </c>
      <c r="C387" s="107" t="s">
        <v>549</v>
      </c>
      <c r="D387" s="107" t="s">
        <v>251</v>
      </c>
      <c r="E387" s="120">
        <v>636753081.76955485</v>
      </c>
      <c r="F387" s="120" t="s">
        <v>251</v>
      </c>
      <c r="G387" s="120">
        <v>599717522.08920252</v>
      </c>
      <c r="H387" s="120" t="s">
        <v>251</v>
      </c>
      <c r="I387" s="120">
        <v>37031853.000352375</v>
      </c>
      <c r="J387" s="120">
        <v>3706.6799999999994</v>
      </c>
      <c r="K387" s="120" t="s">
        <v>251</v>
      </c>
      <c r="L387" s="120" t="s">
        <v>251</v>
      </c>
      <c r="M387" s="120">
        <v>3706.6799999999994</v>
      </c>
      <c r="N387" s="120" t="s">
        <v>251</v>
      </c>
      <c r="O387" s="120">
        <v>0</v>
      </c>
      <c r="P387" s="120">
        <v>0</v>
      </c>
      <c r="Q387" s="120">
        <v>0</v>
      </c>
      <c r="R387" s="120"/>
      <c r="S387" s="121"/>
    </row>
    <row r="388" spans="1:19" ht="15">
      <c r="A388" s="105">
        <v>2</v>
      </c>
      <c r="B388" s="129" t="str">
        <f t="shared" si="12"/>
        <v>442</v>
      </c>
      <c r="C388" s="107" t="s">
        <v>550</v>
      </c>
      <c r="D388" s="107" t="s">
        <v>251</v>
      </c>
      <c r="E388" s="120">
        <v>398308301.55015475</v>
      </c>
      <c r="F388" s="120" t="s">
        <v>251</v>
      </c>
      <c r="G388" s="120">
        <v>380413107.33968878</v>
      </c>
      <c r="H388" s="120" t="s">
        <v>251</v>
      </c>
      <c r="I388" s="120">
        <v>17895194.210465994</v>
      </c>
      <c r="J388" s="120">
        <v>0</v>
      </c>
      <c r="K388" s="120" t="s">
        <v>251</v>
      </c>
      <c r="L388" s="120" t="s">
        <v>251</v>
      </c>
      <c r="M388" s="120">
        <v>0</v>
      </c>
      <c r="N388" s="120" t="s">
        <v>251</v>
      </c>
      <c r="O388" s="120">
        <v>0</v>
      </c>
      <c r="P388" s="120">
        <v>0</v>
      </c>
      <c r="Q388" s="120">
        <v>0</v>
      </c>
      <c r="R388" s="120"/>
      <c r="S388" s="121"/>
    </row>
    <row r="389" spans="1:19" ht="15">
      <c r="A389" s="105">
        <v>3</v>
      </c>
      <c r="B389" s="129" t="str">
        <f t="shared" si="12"/>
        <v>442</v>
      </c>
      <c r="C389" s="107" t="s">
        <v>551</v>
      </c>
      <c r="D389" s="107" t="s">
        <v>251</v>
      </c>
      <c r="E389" s="120">
        <v>392835581.57234752</v>
      </c>
      <c r="F389" s="120" t="s">
        <v>251</v>
      </c>
      <c r="G389" s="120">
        <v>383939431.15113562</v>
      </c>
      <c r="H389" s="120" t="s">
        <v>251</v>
      </c>
      <c r="I389" s="120">
        <v>8896150.4212119058</v>
      </c>
      <c r="J389" s="120">
        <v>0</v>
      </c>
      <c r="K389" s="120" t="s">
        <v>251</v>
      </c>
      <c r="L389" s="120" t="s">
        <v>251</v>
      </c>
      <c r="M389" s="120">
        <v>0</v>
      </c>
      <c r="N389" s="120" t="s">
        <v>251</v>
      </c>
      <c r="O389" s="120">
        <v>0</v>
      </c>
      <c r="P389" s="120">
        <v>0</v>
      </c>
      <c r="Q389" s="120">
        <v>0</v>
      </c>
      <c r="R389" s="120"/>
      <c r="S389" s="121"/>
    </row>
    <row r="390" spans="1:19" ht="15">
      <c r="A390" s="105">
        <v>4</v>
      </c>
      <c r="B390" s="129" t="str">
        <f t="shared" si="12"/>
        <v>444</v>
      </c>
      <c r="C390" s="107" t="s">
        <v>552</v>
      </c>
      <c r="D390" s="107" t="s">
        <v>251</v>
      </c>
      <c r="E390" s="120">
        <v>12435514.400482675</v>
      </c>
      <c r="F390" s="120" t="s">
        <v>251</v>
      </c>
      <c r="G390" s="120">
        <v>12045894.309630739</v>
      </c>
      <c r="H390" s="120" t="s">
        <v>251</v>
      </c>
      <c r="I390" s="120">
        <v>389620.09085193585</v>
      </c>
      <c r="J390" s="120">
        <v>0</v>
      </c>
      <c r="K390" s="120" t="s">
        <v>251</v>
      </c>
      <c r="L390" s="120" t="s">
        <v>251</v>
      </c>
      <c r="M390" s="120">
        <v>0</v>
      </c>
      <c r="N390" s="120" t="s">
        <v>251</v>
      </c>
      <c r="O390" s="120">
        <v>0</v>
      </c>
      <c r="P390" s="120">
        <v>0</v>
      </c>
      <c r="Q390" s="120">
        <v>0</v>
      </c>
      <c r="R390" s="120"/>
      <c r="S390" s="121"/>
    </row>
    <row r="391" spans="1:19" ht="15">
      <c r="A391" s="105">
        <v>5</v>
      </c>
      <c r="B391" s="129" t="str">
        <f t="shared" si="12"/>
        <v>445</v>
      </c>
      <c r="C391" s="107" t="s">
        <v>553</v>
      </c>
      <c r="D391" s="107" t="s">
        <v>251</v>
      </c>
      <c r="E391" s="120">
        <v>130145506.19812074</v>
      </c>
      <c r="F391" s="120" t="s">
        <v>251</v>
      </c>
      <c r="G391" s="120">
        <v>123359791.43385044</v>
      </c>
      <c r="H391" s="120" t="s">
        <v>251</v>
      </c>
      <c r="I391" s="120">
        <v>6785714.7642702982</v>
      </c>
      <c r="J391" s="120">
        <v>0</v>
      </c>
      <c r="K391" s="120" t="s">
        <v>251</v>
      </c>
      <c r="L391" s="120" t="s">
        <v>251</v>
      </c>
      <c r="M391" s="120">
        <v>0</v>
      </c>
      <c r="N391" s="120" t="s">
        <v>251</v>
      </c>
      <c r="O391" s="120">
        <v>0</v>
      </c>
      <c r="P391" s="120">
        <v>0</v>
      </c>
      <c r="Q391" s="120">
        <v>0</v>
      </c>
      <c r="R391" s="120"/>
      <c r="S391" s="121"/>
    </row>
    <row r="392" spans="1:19" ht="15">
      <c r="A392" s="105">
        <v>6</v>
      </c>
      <c r="B392" s="129" t="str">
        <f t="shared" si="12"/>
        <v>447</v>
      </c>
      <c r="C392" s="107" t="s">
        <v>554</v>
      </c>
      <c r="D392" s="107" t="s">
        <v>251</v>
      </c>
      <c r="E392" s="120">
        <v>111592441.68546264</v>
      </c>
      <c r="F392" s="120" t="s">
        <v>251</v>
      </c>
      <c r="G392" s="120">
        <v>0</v>
      </c>
      <c r="H392" s="120" t="s">
        <v>251</v>
      </c>
      <c r="I392" s="120">
        <v>0</v>
      </c>
      <c r="J392" s="120">
        <v>111592441.68546264</v>
      </c>
      <c r="K392" s="120" t="s">
        <v>251</v>
      </c>
      <c r="L392" s="120" t="s">
        <v>251</v>
      </c>
      <c r="M392" s="120">
        <v>0</v>
      </c>
      <c r="N392" s="120" t="s">
        <v>251</v>
      </c>
      <c r="O392" s="120">
        <v>111592441.68546264</v>
      </c>
      <c r="P392" s="120">
        <v>34576695.387562007</v>
      </c>
      <c r="Q392" s="120">
        <v>77015746.297900632</v>
      </c>
      <c r="R392" s="120"/>
      <c r="S392" s="121"/>
    </row>
    <row r="393" spans="1:19" ht="15">
      <c r="A393" s="105">
        <v>7</v>
      </c>
      <c r="B393" s="129" t="str">
        <f t="shared" si="12"/>
        <v>447</v>
      </c>
      <c r="C393" s="107" t="s">
        <v>2236</v>
      </c>
      <c r="D393" s="107" t="s">
        <v>251</v>
      </c>
      <c r="E393" s="120">
        <v>3198.182756594138</v>
      </c>
      <c r="F393" s="120" t="s">
        <v>251</v>
      </c>
      <c r="G393" s="120">
        <v>0</v>
      </c>
      <c r="H393" s="120" t="s">
        <v>251</v>
      </c>
      <c r="I393" s="120">
        <v>3198.182756594138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2"/>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2"/>
        <v xml:space="preserve">   </v>
      </c>
      <c r="C396" s="107" t="s">
        <v>557</v>
      </c>
      <c r="D396" s="107" t="s">
        <v>495</v>
      </c>
      <c r="E396" s="120">
        <v>19566109.554343909</v>
      </c>
      <c r="F396" s="120" t="s">
        <v>251</v>
      </c>
      <c r="G396" s="120">
        <v>17223346.175184157</v>
      </c>
      <c r="H396" s="120" t="s">
        <v>251</v>
      </c>
      <c r="I396" s="120">
        <v>702633.96920426679</v>
      </c>
      <c r="J396" s="120">
        <v>1640129.4099554862</v>
      </c>
      <c r="K396" s="120" t="s">
        <v>251</v>
      </c>
      <c r="L396" s="120" t="s">
        <v>251</v>
      </c>
      <c r="M396" s="120">
        <v>77.082285248219421</v>
      </c>
      <c r="N396" s="120" t="s">
        <v>251</v>
      </c>
      <c r="O396" s="120">
        <v>1640052.327670238</v>
      </c>
      <c r="P396" s="120">
        <v>524769.18009515724</v>
      </c>
      <c r="Q396" s="120">
        <v>1115283.1475750806</v>
      </c>
      <c r="R396" s="120"/>
      <c r="S396" s="121"/>
    </row>
    <row r="397" spans="1:19" ht="15">
      <c r="A397" s="105">
        <v>11</v>
      </c>
      <c r="B397" s="129">
        <v>447</v>
      </c>
      <c r="C397" s="107" t="s">
        <v>558</v>
      </c>
      <c r="D397" s="107" t="s">
        <v>251</v>
      </c>
      <c r="E397" s="120">
        <v>19566109.554343909</v>
      </c>
      <c r="F397" s="120" t="s">
        <v>251</v>
      </c>
      <c r="G397" s="120">
        <v>17223346.175184157</v>
      </c>
      <c r="H397" s="120" t="s">
        <v>251</v>
      </c>
      <c r="I397" s="120">
        <v>702633.96920426679</v>
      </c>
      <c r="J397" s="120">
        <v>1640129.4099554862</v>
      </c>
      <c r="K397" s="120" t="s">
        <v>251</v>
      </c>
      <c r="L397" s="120" t="s">
        <v>251</v>
      </c>
      <c r="M397" s="120">
        <v>77.082285248219421</v>
      </c>
      <c r="N397" s="120" t="s">
        <v>251</v>
      </c>
      <c r="O397" s="120">
        <v>1640052.327670238</v>
      </c>
      <c r="P397" s="120">
        <v>524769.18009515724</v>
      </c>
      <c r="Q397" s="120">
        <v>1115283.1475750806</v>
      </c>
      <c r="R397" s="120"/>
      <c r="S397" s="121"/>
    </row>
    <row r="398" spans="1:19" ht="15">
      <c r="A398" s="105" t="s">
        <v>251</v>
      </c>
      <c r="B398" s="129" t="str">
        <f t="shared" si="12"/>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2"/>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2"/>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1701639734.9132237</v>
      </c>
      <c r="F401" s="120" t="s">
        <v>251</v>
      </c>
      <c r="G401" s="120">
        <v>1516699092.4986923</v>
      </c>
      <c r="H401" s="120" t="s">
        <v>251</v>
      </c>
      <c r="I401" s="120">
        <v>71704364.639113352</v>
      </c>
      <c r="J401" s="120">
        <v>113236277.77541812</v>
      </c>
      <c r="K401" s="120" t="s">
        <v>251</v>
      </c>
      <c r="L401" s="120" t="s">
        <v>251</v>
      </c>
      <c r="M401" s="120">
        <v>3783.7622852482186</v>
      </c>
      <c r="N401" s="120" t="s">
        <v>251</v>
      </c>
      <c r="O401" s="120">
        <v>113232494.01313287</v>
      </c>
      <c r="P401" s="120">
        <v>35101464.567657165</v>
      </c>
      <c r="Q401" s="120">
        <v>78131029.445475712</v>
      </c>
      <c r="R401" s="120"/>
      <c r="S401" s="121"/>
    </row>
    <row r="402" spans="1:19" ht="15">
      <c r="A402" s="105" t="s">
        <v>251</v>
      </c>
      <c r="B402" s="129" t="str">
        <f t="shared" si="12"/>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2"/>
        <v>450</v>
      </c>
      <c r="C404" s="107" t="s">
        <v>562</v>
      </c>
      <c r="D404" s="107" t="s">
        <v>563</v>
      </c>
      <c r="E404" s="120">
        <v>4217202.873333334</v>
      </c>
      <c r="F404" s="120" t="s">
        <v>251</v>
      </c>
      <c r="G404" s="120">
        <v>4052472.731854388</v>
      </c>
      <c r="H404" s="120" t="s">
        <v>251</v>
      </c>
      <c r="I404" s="120">
        <v>164598.33428258865</v>
      </c>
      <c r="J404" s="120">
        <v>131.80719635766738</v>
      </c>
      <c r="K404" s="120" t="s">
        <v>251</v>
      </c>
      <c r="L404" s="120" t="s">
        <v>251</v>
      </c>
      <c r="M404" s="120">
        <v>0</v>
      </c>
      <c r="N404" s="120" t="s">
        <v>251</v>
      </c>
      <c r="O404" s="120">
        <v>131.80719635766738</v>
      </c>
      <c r="P404" s="120">
        <v>29.585139040042744</v>
      </c>
      <c r="Q404" s="120">
        <v>102.22205731762463</v>
      </c>
      <c r="R404" s="120"/>
      <c r="S404" s="121"/>
    </row>
    <row r="405" spans="1:19" ht="15">
      <c r="A405" s="105">
        <v>15</v>
      </c>
      <c r="B405" s="129" t="str">
        <f t="shared" si="12"/>
        <v>451</v>
      </c>
      <c r="C405" s="107" t="s">
        <v>564</v>
      </c>
      <c r="D405" s="107" t="s">
        <v>565</v>
      </c>
      <c r="E405" s="120">
        <v>2332613.8166666655</v>
      </c>
      <c r="F405" s="120" t="s">
        <v>251</v>
      </c>
      <c r="G405" s="120">
        <v>2184498.593804033</v>
      </c>
      <c r="H405" s="120" t="s">
        <v>251</v>
      </c>
      <c r="I405" s="120">
        <v>148115.22286263265</v>
      </c>
      <c r="J405" s="120">
        <v>0</v>
      </c>
      <c r="K405" s="120" t="s">
        <v>251</v>
      </c>
      <c r="L405" s="120" t="s">
        <v>251</v>
      </c>
      <c r="M405" s="120">
        <v>0</v>
      </c>
      <c r="N405" s="120" t="s">
        <v>251</v>
      </c>
      <c r="O405" s="120">
        <v>0</v>
      </c>
      <c r="P405" s="120">
        <v>0</v>
      </c>
      <c r="Q405" s="120">
        <v>0</v>
      </c>
      <c r="R405" s="120"/>
      <c r="S405" s="121"/>
    </row>
    <row r="406" spans="1:19" ht="15">
      <c r="A406" s="105">
        <v>16</v>
      </c>
      <c r="B406" s="129" t="str">
        <f t="shared" si="12"/>
        <v>451</v>
      </c>
      <c r="C406" s="107" t="s">
        <v>566</v>
      </c>
      <c r="D406" s="107" t="s">
        <v>567</v>
      </c>
      <c r="E406" s="120">
        <v>60783.496666666717</v>
      </c>
      <c r="F406" s="120" t="s">
        <v>251</v>
      </c>
      <c r="G406" s="120">
        <v>60321.1663863332</v>
      </c>
      <c r="H406" s="120" t="s">
        <v>251</v>
      </c>
      <c r="I406" s="120">
        <v>462.33028033351934</v>
      </c>
      <c r="J406" s="120">
        <v>0</v>
      </c>
      <c r="K406" s="120" t="s">
        <v>251</v>
      </c>
      <c r="L406" s="120" t="s">
        <v>251</v>
      </c>
      <c r="M406" s="120">
        <v>0</v>
      </c>
      <c r="N406" s="120" t="s">
        <v>251</v>
      </c>
      <c r="O406" s="120">
        <v>0</v>
      </c>
      <c r="P406" s="120">
        <v>0</v>
      </c>
      <c r="Q406" s="120">
        <v>0</v>
      </c>
      <c r="R406" s="120"/>
      <c r="S406" s="121"/>
    </row>
    <row r="407" spans="1:19" ht="15">
      <c r="A407" s="105">
        <v>17</v>
      </c>
      <c r="B407" s="129" t="str">
        <f t="shared" si="12"/>
        <v>454</v>
      </c>
      <c r="C407" s="107" t="s">
        <v>568</v>
      </c>
      <c r="D407" s="107" t="s">
        <v>569</v>
      </c>
      <c r="E407" s="120">
        <v>3533818.1549999975</v>
      </c>
      <c r="F407" s="120" t="s">
        <v>251</v>
      </c>
      <c r="G407" s="120">
        <v>3142710.7749999976</v>
      </c>
      <c r="H407" s="120" t="s">
        <v>251</v>
      </c>
      <c r="I407" s="120">
        <v>387734.87</v>
      </c>
      <c r="J407" s="120">
        <v>3372.5100000000011</v>
      </c>
      <c r="K407" s="120" t="s">
        <v>251</v>
      </c>
      <c r="L407" s="120" t="s">
        <v>251</v>
      </c>
      <c r="M407" s="120">
        <v>57.500000000000007</v>
      </c>
      <c r="N407" s="120" t="s">
        <v>251</v>
      </c>
      <c r="O407" s="120">
        <v>3315.0100000000011</v>
      </c>
      <c r="P407" s="120">
        <v>3315.0100000000011</v>
      </c>
      <c r="Q407" s="120">
        <v>0</v>
      </c>
      <c r="R407" s="120"/>
      <c r="S407" s="121"/>
    </row>
    <row r="408" spans="1:19" ht="15">
      <c r="A408" s="105">
        <v>18</v>
      </c>
      <c r="B408" s="129" t="str">
        <f t="shared" si="12"/>
        <v>454</v>
      </c>
      <c r="C408" s="107" t="s">
        <v>2499</v>
      </c>
      <c r="D408" s="107" t="s">
        <v>512</v>
      </c>
      <c r="E408" s="120">
        <v>204.31</v>
      </c>
      <c r="F408" s="120" t="s">
        <v>251</v>
      </c>
      <c r="G408" s="120">
        <v>204.31</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2"/>
        <v>454</v>
      </c>
      <c r="C409" s="107" t="s">
        <v>2500</v>
      </c>
      <c r="D409" s="107" t="s">
        <v>733</v>
      </c>
      <c r="E409" s="120">
        <v>7209624.9799999995</v>
      </c>
      <c r="F409" s="120" t="s">
        <v>251</v>
      </c>
      <c r="G409" s="120">
        <v>6425489.3999999994</v>
      </c>
      <c r="H409" s="120" t="s">
        <v>251</v>
      </c>
      <c r="I409" s="120">
        <v>210169.88</v>
      </c>
      <c r="J409" s="120">
        <v>573965.69999999984</v>
      </c>
      <c r="K409" s="120" t="s">
        <v>251</v>
      </c>
      <c r="L409" s="120" t="s">
        <v>251</v>
      </c>
      <c r="M409" s="120">
        <v>0</v>
      </c>
      <c r="N409" s="120" t="s">
        <v>251</v>
      </c>
      <c r="O409" s="120">
        <v>573965.69999999984</v>
      </c>
      <c r="P409" s="120">
        <v>177842.12686865285</v>
      </c>
      <c r="Q409" s="120">
        <v>396123.57313134696</v>
      </c>
      <c r="R409" s="120"/>
      <c r="S409" s="121"/>
    </row>
    <row r="410" spans="1:19" ht="15">
      <c r="A410" s="105">
        <v>20</v>
      </c>
      <c r="B410" s="129" t="str">
        <f t="shared" si="12"/>
        <v>456</v>
      </c>
      <c r="C410" s="107" t="s">
        <v>570</v>
      </c>
      <c r="D410" s="107" t="s">
        <v>341</v>
      </c>
      <c r="E410" s="120">
        <v>24015475.237099051</v>
      </c>
      <c r="F410" s="120" t="s">
        <v>251</v>
      </c>
      <c r="G410" s="120">
        <v>22963858.198680442</v>
      </c>
      <c r="H410" s="120" t="s">
        <v>251</v>
      </c>
      <c r="I410" s="120">
        <v>1051543.3276328414</v>
      </c>
      <c r="J410" s="120">
        <v>73.710785769661811</v>
      </c>
      <c r="K410" s="120" t="s">
        <v>251</v>
      </c>
      <c r="L410" s="120" t="s">
        <v>251</v>
      </c>
      <c r="M410" s="120">
        <v>73.710785769661811</v>
      </c>
      <c r="N410" s="120" t="s">
        <v>251</v>
      </c>
      <c r="O410" s="120">
        <v>0</v>
      </c>
      <c r="P410" s="120">
        <v>0</v>
      </c>
      <c r="Q410" s="120">
        <v>0</v>
      </c>
      <c r="R410" s="120"/>
      <c r="S410" s="121"/>
    </row>
    <row r="411" spans="1:19" ht="15">
      <c r="A411" s="105">
        <v>21</v>
      </c>
      <c r="B411" s="129" t="str">
        <f t="shared" si="12"/>
        <v>456</v>
      </c>
      <c r="C411" s="107" t="s">
        <v>571</v>
      </c>
      <c r="D411" s="107" t="s">
        <v>572</v>
      </c>
      <c r="E411" s="120">
        <v>865460.89607927389</v>
      </c>
      <c r="F411" s="120" t="s">
        <v>251</v>
      </c>
      <c r="G411" s="120">
        <v>758780.12265552522</v>
      </c>
      <c r="H411" s="120" t="s">
        <v>251</v>
      </c>
      <c r="I411" s="120">
        <v>34745.475617189419</v>
      </c>
      <c r="J411" s="120">
        <v>71935.297806559247</v>
      </c>
      <c r="K411" s="120" t="s">
        <v>251</v>
      </c>
      <c r="L411" s="120" t="s">
        <v>251</v>
      </c>
      <c r="M411" s="120">
        <v>2.4355784896177863</v>
      </c>
      <c r="N411" s="120" t="s">
        <v>251</v>
      </c>
      <c r="O411" s="120">
        <v>71932.862228069629</v>
      </c>
      <c r="P411" s="120">
        <v>22190.068503209732</v>
      </c>
      <c r="Q411" s="120">
        <v>49742.793724859897</v>
      </c>
      <c r="R411" s="120"/>
      <c r="S411" s="121"/>
    </row>
    <row r="412" spans="1:19" ht="15">
      <c r="A412" s="105">
        <v>22</v>
      </c>
      <c r="B412" s="129" t="str">
        <f t="shared" si="12"/>
        <v>456</v>
      </c>
      <c r="C412" s="107" t="s">
        <v>573</v>
      </c>
      <c r="D412" s="107" t="s">
        <v>512</v>
      </c>
      <c r="E412" s="120">
        <v>805.51000000000033</v>
      </c>
      <c r="F412" s="120" t="s">
        <v>251</v>
      </c>
      <c r="G412" s="120">
        <v>805.51000000000033</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2"/>
        <v>456</v>
      </c>
      <c r="C413" s="107" t="s">
        <v>574</v>
      </c>
      <c r="D413" s="107" t="s">
        <v>575</v>
      </c>
      <c r="E413" s="120">
        <v>173593.33333333355</v>
      </c>
      <c r="F413" s="120" t="s">
        <v>251</v>
      </c>
      <c r="G413" s="120">
        <v>173593.33333333355</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2"/>
        <v>456</v>
      </c>
      <c r="C414" s="107" t="s">
        <v>576</v>
      </c>
      <c r="D414" s="107" t="s">
        <v>577</v>
      </c>
      <c r="E414" s="120">
        <v>33724.023333326302</v>
      </c>
      <c r="F414" s="120" t="s">
        <v>251</v>
      </c>
      <c r="G414" s="120">
        <v>33724.023333326302</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2"/>
        <v>456</v>
      </c>
      <c r="C415" s="107" t="s">
        <v>578</v>
      </c>
      <c r="D415" s="107" t="s">
        <v>579</v>
      </c>
      <c r="E415" s="120">
        <v>40271.294999999969</v>
      </c>
      <c r="F415" s="120" t="s">
        <v>251</v>
      </c>
      <c r="G415" s="120">
        <v>38581.978854472662</v>
      </c>
      <c r="H415" s="120" t="s">
        <v>251</v>
      </c>
      <c r="I415" s="120">
        <v>1689.31614552731</v>
      </c>
      <c r="J415" s="120">
        <v>0</v>
      </c>
      <c r="K415" s="120" t="s">
        <v>251</v>
      </c>
      <c r="L415" s="120" t="s">
        <v>251</v>
      </c>
      <c r="M415" s="120">
        <v>0</v>
      </c>
      <c r="N415" s="120" t="s">
        <v>251</v>
      </c>
      <c r="O415" s="120">
        <v>0</v>
      </c>
      <c r="P415" s="120">
        <v>0</v>
      </c>
      <c r="Q415" s="120">
        <v>0</v>
      </c>
      <c r="R415" s="120"/>
      <c r="S415" s="121"/>
    </row>
    <row r="416" spans="1:19" ht="15">
      <c r="A416" s="105">
        <v>26</v>
      </c>
      <c r="B416" s="129" t="str">
        <f t="shared" si="12"/>
        <v>456</v>
      </c>
      <c r="C416" s="107" t="s">
        <v>2501</v>
      </c>
      <c r="D416" s="107" t="s">
        <v>733</v>
      </c>
      <c r="E416" s="120">
        <v>173880.63</v>
      </c>
      <c r="F416" s="120" t="s">
        <v>251</v>
      </c>
      <c r="G416" s="120">
        <v>161938.82</v>
      </c>
      <c r="H416" s="120" t="s">
        <v>251</v>
      </c>
      <c r="I416" s="120">
        <v>5145.91</v>
      </c>
      <c r="J416" s="120">
        <v>6795.899999999996</v>
      </c>
      <c r="K416" s="120" t="s">
        <v>251</v>
      </c>
      <c r="L416" s="120" t="s">
        <v>251</v>
      </c>
      <c r="M416" s="120">
        <v>0</v>
      </c>
      <c r="N416" s="120" t="s">
        <v>251</v>
      </c>
      <c r="O416" s="120">
        <v>6795.899999999996</v>
      </c>
      <c r="P416" s="120">
        <v>2105.6960546365012</v>
      </c>
      <c r="Q416" s="120">
        <v>4690.2039453634943</v>
      </c>
      <c r="R416" s="120"/>
      <c r="S416" s="121"/>
    </row>
    <row r="417" spans="1:19" ht="15">
      <c r="A417" s="105">
        <v>27</v>
      </c>
      <c r="B417" s="129" t="str">
        <f t="shared" si="12"/>
        <v>TAL</v>
      </c>
      <c r="C417" s="107" t="s">
        <v>580</v>
      </c>
      <c r="D417" s="107" t="s">
        <v>251</v>
      </c>
      <c r="E417" s="120">
        <v>42657458.556511648</v>
      </c>
      <c r="F417" s="120" t="s">
        <v>251</v>
      </c>
      <c r="G417" s="120">
        <v>39996978.963901848</v>
      </c>
      <c r="H417" s="120" t="s">
        <v>251</v>
      </c>
      <c r="I417" s="120">
        <v>2004204.6668211129</v>
      </c>
      <c r="J417" s="120">
        <v>656274.92578868638</v>
      </c>
      <c r="K417" s="120" t="s">
        <v>251</v>
      </c>
      <c r="L417" s="120" t="s">
        <v>251</v>
      </c>
      <c r="M417" s="120">
        <v>133.64636425927961</v>
      </c>
      <c r="N417" s="120" t="s">
        <v>251</v>
      </c>
      <c r="O417" s="120">
        <v>656141.27942442708</v>
      </c>
      <c r="P417" s="120">
        <v>205482.48656553912</v>
      </c>
      <c r="Q417" s="120">
        <v>450658.79285888799</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2"/>
        <v>TAL</v>
      </c>
      <c r="C419" s="107" t="s">
        <v>581</v>
      </c>
      <c r="D419" s="107" t="s">
        <v>251</v>
      </c>
      <c r="E419" s="120">
        <v>1744297193.4697351</v>
      </c>
      <c r="F419" s="120" t="s">
        <v>251</v>
      </c>
      <c r="G419" s="120">
        <v>1556696071.462594</v>
      </c>
      <c r="H419" s="120" t="s">
        <v>251</v>
      </c>
      <c r="I419" s="120">
        <v>73708569.305934459</v>
      </c>
      <c r="J419" s="120">
        <v>113892552.7012068</v>
      </c>
      <c r="K419" s="120" t="s">
        <v>251</v>
      </c>
      <c r="L419" s="120" t="s">
        <v>251</v>
      </c>
      <c r="M419" s="120">
        <v>3917.408649507498</v>
      </c>
      <c r="N419" s="120" t="s">
        <v>251</v>
      </c>
      <c r="O419" s="120">
        <v>113888635.2925573</v>
      </c>
      <c r="P419" s="120">
        <v>35306947.054222703</v>
      </c>
      <c r="Q419" s="120">
        <v>78581688.238334596</v>
      </c>
      <c r="R419" s="120"/>
      <c r="S419" s="121"/>
    </row>
    <row r="420" spans="1:19" ht="15">
      <c r="A420" s="105" t="s">
        <v>251</v>
      </c>
      <c r="B420" s="129"/>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2"/>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2"/>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2"/>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c r="C425" s="107" t="s">
        <v>584</v>
      </c>
      <c r="D425" s="107" t="s">
        <v>585</v>
      </c>
      <c r="E425" s="120">
        <v>9469934.6199999992</v>
      </c>
      <c r="F425" s="120" t="s">
        <v>251</v>
      </c>
      <c r="G425" s="120">
        <v>8310217.5808756873</v>
      </c>
      <c r="H425" s="120" t="s">
        <v>251</v>
      </c>
      <c r="I425" s="120">
        <v>364313.92156993889</v>
      </c>
      <c r="J425" s="120">
        <v>795403.11755437276</v>
      </c>
      <c r="K425" s="120" t="s">
        <v>251</v>
      </c>
      <c r="L425" s="120" t="s">
        <v>251</v>
      </c>
      <c r="M425" s="120">
        <v>24.896169926999761</v>
      </c>
      <c r="N425" s="120" t="s">
        <v>251</v>
      </c>
      <c r="O425" s="120">
        <v>795378.22138444579</v>
      </c>
      <c r="P425" s="120">
        <v>245360.69706947915</v>
      </c>
      <c r="Q425" s="120">
        <v>550017.52431496663</v>
      </c>
      <c r="R425" s="120"/>
      <c r="S425" s="121"/>
    </row>
    <row r="426" spans="1:19" ht="15">
      <c r="A426" s="105">
        <v>2</v>
      </c>
      <c r="B426" s="129" t="str">
        <f t="shared" si="12"/>
        <v>501</v>
      </c>
      <c r="C426" s="107" t="s">
        <v>586</v>
      </c>
      <c r="D426" s="107" t="s">
        <v>495</v>
      </c>
      <c r="E426" s="120">
        <v>355588685.1835674</v>
      </c>
      <c r="F426" s="120" t="s">
        <v>251</v>
      </c>
      <c r="G426" s="120">
        <v>312982793.77714741</v>
      </c>
      <c r="H426" s="120" t="s">
        <v>251</v>
      </c>
      <c r="I426" s="120">
        <v>12788936.992635259</v>
      </c>
      <c r="J426" s="120">
        <v>29816954.413784754</v>
      </c>
      <c r="K426" s="120" t="s">
        <v>251</v>
      </c>
      <c r="L426" s="120" t="s">
        <v>251</v>
      </c>
      <c r="M426" s="120">
        <v>1412.8885714608402</v>
      </c>
      <c r="N426" s="120" t="s">
        <v>251</v>
      </c>
      <c r="O426" s="120">
        <v>29815541.525213294</v>
      </c>
      <c r="P426" s="120">
        <v>9542598.6866041776</v>
      </c>
      <c r="Q426" s="120">
        <v>20272942.838609118</v>
      </c>
      <c r="R426" s="120"/>
      <c r="S426" s="121"/>
    </row>
    <row r="427" spans="1:19" ht="15">
      <c r="A427" s="105">
        <v>3</v>
      </c>
      <c r="B427" s="129" t="str">
        <f t="shared" si="12"/>
        <v>502</v>
      </c>
      <c r="C427" s="107" t="s">
        <v>2237</v>
      </c>
      <c r="D427" s="107" t="s">
        <v>585</v>
      </c>
      <c r="E427" s="120">
        <v>21055631.709999897</v>
      </c>
      <c r="F427" s="120" t="s">
        <v>251</v>
      </c>
      <c r="G427" s="120">
        <v>18324417.908370059</v>
      </c>
      <c r="H427" s="120" t="s">
        <v>251</v>
      </c>
      <c r="I427" s="120">
        <v>857984.4713405564</v>
      </c>
      <c r="J427" s="120">
        <v>1873229.3302892831</v>
      </c>
      <c r="K427" s="120" t="s">
        <v>251</v>
      </c>
      <c r="L427" s="120" t="s">
        <v>251</v>
      </c>
      <c r="M427" s="120">
        <v>58.632201320148774</v>
      </c>
      <c r="N427" s="120" t="s">
        <v>251</v>
      </c>
      <c r="O427" s="120">
        <v>1873170.6980879628</v>
      </c>
      <c r="P427" s="120">
        <v>577841.4040718833</v>
      </c>
      <c r="Q427" s="120">
        <v>1295329.2940160795</v>
      </c>
      <c r="R427" s="120"/>
      <c r="S427" s="121"/>
    </row>
    <row r="428" spans="1:19" ht="15">
      <c r="A428" s="105">
        <v>4</v>
      </c>
      <c r="B428" s="129" t="str">
        <f t="shared" si="12"/>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2"/>
        <v>505</v>
      </c>
      <c r="C429" s="107" t="s">
        <v>588</v>
      </c>
      <c r="D429" s="107" t="s">
        <v>585</v>
      </c>
      <c r="E429" s="120">
        <v>7627042.9000000013</v>
      </c>
      <c r="F429" s="120" t="s">
        <v>251</v>
      </c>
      <c r="G429" s="120">
        <v>6640106.9607788827</v>
      </c>
      <c r="H429" s="120" t="s">
        <v>251</v>
      </c>
      <c r="I429" s="120">
        <v>310036.40562826587</v>
      </c>
      <c r="J429" s="120">
        <v>676899.53359285276</v>
      </c>
      <c r="K429" s="120" t="s">
        <v>251</v>
      </c>
      <c r="L429" s="120" t="s">
        <v>251</v>
      </c>
      <c r="M429" s="120">
        <v>21.18699994997511</v>
      </c>
      <c r="N429" s="120" t="s">
        <v>251</v>
      </c>
      <c r="O429" s="120">
        <v>676878.34659290279</v>
      </c>
      <c r="P429" s="120">
        <v>208805.49465157749</v>
      </c>
      <c r="Q429" s="120">
        <v>468072.85194132529</v>
      </c>
      <c r="R429" s="120"/>
      <c r="S429" s="121"/>
    </row>
    <row r="430" spans="1:19" ht="15">
      <c r="A430" s="105">
        <v>6</v>
      </c>
      <c r="B430" s="129" t="str">
        <f t="shared" si="12"/>
        <v>506</v>
      </c>
      <c r="C430" s="107" t="s">
        <v>589</v>
      </c>
      <c r="D430" s="107" t="s">
        <v>585</v>
      </c>
      <c r="E430" s="120">
        <v>27996016.729999889</v>
      </c>
      <c r="F430" s="120" t="s">
        <v>251</v>
      </c>
      <c r="G430" s="120">
        <v>24362757.802501231</v>
      </c>
      <c r="H430" s="120" t="s">
        <v>251</v>
      </c>
      <c r="I430" s="120">
        <v>1141353.2467846607</v>
      </c>
      <c r="J430" s="120">
        <v>2491905.6807139977</v>
      </c>
      <c r="K430" s="120" t="s">
        <v>251</v>
      </c>
      <c r="L430" s="120" t="s">
        <v>251</v>
      </c>
      <c r="M430" s="120">
        <v>77.996811805142045</v>
      </c>
      <c r="N430" s="120" t="s">
        <v>251</v>
      </c>
      <c r="O430" s="120">
        <v>2491827.6839021924</v>
      </c>
      <c r="P430" s="120">
        <v>768686.59596319182</v>
      </c>
      <c r="Q430" s="120">
        <v>1723141.0879390007</v>
      </c>
      <c r="R430" s="120"/>
      <c r="S430" s="121"/>
    </row>
    <row r="431" spans="1:19" ht="15">
      <c r="A431" s="105">
        <v>7</v>
      </c>
      <c r="B431" s="129" t="str">
        <f t="shared" si="12"/>
        <v>507</v>
      </c>
      <c r="C431" s="107" t="s">
        <v>2239</v>
      </c>
      <c r="D431" s="107" t="s">
        <v>585</v>
      </c>
      <c r="E431" s="120">
        <v>5000.0000000000009</v>
      </c>
      <c r="F431" s="120" t="s">
        <v>251</v>
      </c>
      <c r="G431" s="120">
        <v>4349.6332591356704</v>
      </c>
      <c r="H431" s="120" t="s">
        <v>251</v>
      </c>
      <c r="I431" s="120">
        <v>204.30643840660755</v>
      </c>
      <c r="J431" s="120">
        <v>446.06030245772291</v>
      </c>
      <c r="K431" s="120" t="s">
        <v>251</v>
      </c>
      <c r="L431" s="120" t="s">
        <v>251</v>
      </c>
      <c r="M431" s="120">
        <v>1.3961716823315368E-2</v>
      </c>
      <c r="N431" s="120" t="s">
        <v>251</v>
      </c>
      <c r="O431" s="120">
        <v>446.04634074089961</v>
      </c>
      <c r="P431" s="120">
        <v>137.59773419365308</v>
      </c>
      <c r="Q431" s="120">
        <v>308.44860654724653</v>
      </c>
      <c r="R431" s="120"/>
      <c r="S431" s="121"/>
    </row>
    <row r="432" spans="1:19" ht="15">
      <c r="A432" s="105">
        <v>8</v>
      </c>
      <c r="B432" s="129" t="str">
        <f t="shared" si="12"/>
        <v>509</v>
      </c>
      <c r="C432" s="107" t="s">
        <v>2240</v>
      </c>
      <c r="D432" s="107" t="s">
        <v>585</v>
      </c>
      <c r="E432" s="120">
        <v>4215.8500000000004</v>
      </c>
      <c r="F432" s="120" t="s">
        <v>251</v>
      </c>
      <c r="G432" s="120">
        <v>3667.4802751054231</v>
      </c>
      <c r="H432" s="120" t="s">
        <v>251</v>
      </c>
      <c r="I432" s="120">
        <v>172.2650596712993</v>
      </c>
      <c r="J432" s="120">
        <v>376.10466522327829</v>
      </c>
      <c r="K432" s="120" t="s">
        <v>251</v>
      </c>
      <c r="L432" s="120" t="s">
        <v>251</v>
      </c>
      <c r="M432" s="120">
        <v>1.177210077391482E-2</v>
      </c>
      <c r="N432" s="120" t="s">
        <v>251</v>
      </c>
      <c r="O432" s="120">
        <v>376.09289312250439</v>
      </c>
      <c r="P432" s="120">
        <v>116.01828154006249</v>
      </c>
      <c r="Q432" s="120">
        <v>260.07461158244189</v>
      </c>
      <c r="R432" s="120"/>
      <c r="S432" s="121"/>
    </row>
    <row r="433" spans="1:19" ht="15">
      <c r="A433" s="105">
        <v>9</v>
      </c>
      <c r="B433" s="129" t="str">
        <f t="shared" si="12"/>
        <v xml:space="preserve">  T</v>
      </c>
      <c r="C433" s="107" t="s">
        <v>590</v>
      </c>
      <c r="D433" s="107" t="s">
        <v>251</v>
      </c>
      <c r="E433" s="120">
        <v>421746526.99356729</v>
      </c>
      <c r="F433" s="120" t="s">
        <v>251</v>
      </c>
      <c r="G433" s="120">
        <v>370628311.14320755</v>
      </c>
      <c r="H433" s="120" t="s">
        <v>251</v>
      </c>
      <c r="I433" s="120">
        <v>15463001.609456759</v>
      </c>
      <c r="J433" s="120">
        <v>35655214.240902945</v>
      </c>
      <c r="K433" s="120" t="s">
        <v>251</v>
      </c>
      <c r="L433" s="120" t="s">
        <v>251</v>
      </c>
      <c r="M433" s="120">
        <v>1595.6264882807034</v>
      </c>
      <c r="N433" s="120" t="s">
        <v>251</v>
      </c>
      <c r="O433" s="120">
        <v>35653618.614414662</v>
      </c>
      <c r="P433" s="120">
        <v>11343546.494376043</v>
      </c>
      <c r="Q433" s="120">
        <v>24310072.120038617</v>
      </c>
      <c r="R433" s="120"/>
      <c r="S433" s="121"/>
    </row>
    <row r="434" spans="1:19" ht="15">
      <c r="A434" s="105">
        <v>10</v>
      </c>
      <c r="B434" s="129" t="str">
        <f t="shared" si="12"/>
        <v>510</v>
      </c>
      <c r="C434" s="107" t="s">
        <v>591</v>
      </c>
      <c r="D434" s="107" t="s">
        <v>585</v>
      </c>
      <c r="E434" s="120">
        <v>10175102.130000001</v>
      </c>
      <c r="F434" s="120" t="s">
        <v>251</v>
      </c>
      <c r="G434" s="120">
        <v>8766112.8350935206</v>
      </c>
      <c r="H434" s="120" t="s">
        <v>251</v>
      </c>
      <c r="I434" s="120">
        <v>442540.83704890101</v>
      </c>
      <c r="J434" s="120">
        <v>966448.45785757981</v>
      </c>
      <c r="K434" s="120" t="s">
        <v>251</v>
      </c>
      <c r="L434" s="120" t="s">
        <v>251</v>
      </c>
      <c r="M434" s="120">
        <v>24.929503141760055</v>
      </c>
      <c r="N434" s="120" t="s">
        <v>251</v>
      </c>
      <c r="O434" s="120">
        <v>966423.52835443802</v>
      </c>
      <c r="P434" s="120">
        <v>298125.27449978719</v>
      </c>
      <c r="Q434" s="120">
        <v>668298.25385465077</v>
      </c>
      <c r="R434" s="120"/>
      <c r="S434" s="121"/>
    </row>
    <row r="435" spans="1:19" ht="15">
      <c r="A435" s="105">
        <v>11</v>
      </c>
      <c r="B435" s="129" t="str">
        <f t="shared" si="12"/>
        <v>511</v>
      </c>
      <c r="C435" s="107" t="s">
        <v>592</v>
      </c>
      <c r="D435" s="107" t="s">
        <v>585</v>
      </c>
      <c r="E435" s="120">
        <v>9054166.8400000017</v>
      </c>
      <c r="F435" s="120" t="s">
        <v>251</v>
      </c>
      <c r="G435" s="120">
        <v>7865978.2522490639</v>
      </c>
      <c r="H435" s="120" t="s">
        <v>251</v>
      </c>
      <c r="I435" s="120">
        <v>373246.84737070143</v>
      </c>
      <c r="J435" s="120">
        <v>814941.74038023653</v>
      </c>
      <c r="K435" s="120" t="s">
        <v>251</v>
      </c>
      <c r="L435" s="120" t="s">
        <v>251</v>
      </c>
      <c r="M435" s="120">
        <v>24.76298989253635</v>
      </c>
      <c r="N435" s="120" t="s">
        <v>251</v>
      </c>
      <c r="O435" s="120">
        <v>814916.97739034402</v>
      </c>
      <c r="P435" s="120">
        <v>251388.07205233083</v>
      </c>
      <c r="Q435" s="120">
        <v>563528.9053380132</v>
      </c>
      <c r="R435" s="120"/>
      <c r="S435" s="121"/>
    </row>
    <row r="436" spans="1:19" ht="15">
      <c r="A436" s="105">
        <v>12</v>
      </c>
      <c r="B436" s="129" t="str">
        <f t="shared" si="12"/>
        <v>512</v>
      </c>
      <c r="C436" s="107" t="s">
        <v>593</v>
      </c>
      <c r="D436" s="107" t="s">
        <v>495</v>
      </c>
      <c r="E436" s="120">
        <v>46425771.31000001</v>
      </c>
      <c r="F436" s="120" t="s">
        <v>251</v>
      </c>
      <c r="G436" s="120">
        <v>40788938.176085837</v>
      </c>
      <c r="H436" s="120" t="s">
        <v>251</v>
      </c>
      <c r="I436" s="120">
        <v>1690597.8264017825</v>
      </c>
      <c r="J436" s="120">
        <v>3946235.3075123872</v>
      </c>
      <c r="K436" s="120" t="s">
        <v>251</v>
      </c>
      <c r="L436" s="120" t="s">
        <v>251</v>
      </c>
      <c r="M436" s="120">
        <v>128.19930562528057</v>
      </c>
      <c r="N436" s="120" t="s">
        <v>251</v>
      </c>
      <c r="O436" s="120">
        <v>3946107.108206762</v>
      </c>
      <c r="P436" s="120">
        <v>1262639.8297199362</v>
      </c>
      <c r="Q436" s="120">
        <v>2683467.2784868255</v>
      </c>
      <c r="R436" s="120"/>
      <c r="S436" s="121"/>
    </row>
    <row r="437" spans="1:19" ht="15">
      <c r="A437" s="105">
        <v>13</v>
      </c>
      <c r="B437" s="129" t="str">
        <f t="shared" si="12"/>
        <v>513</v>
      </c>
      <c r="C437" s="107" t="s">
        <v>594</v>
      </c>
      <c r="D437" s="107" t="s">
        <v>495</v>
      </c>
      <c r="E437" s="120">
        <v>10967946.110000001</v>
      </c>
      <c r="F437" s="120" t="s">
        <v>251</v>
      </c>
      <c r="G437" s="120">
        <v>9405907.7872505225</v>
      </c>
      <c r="H437" s="120" t="s">
        <v>251</v>
      </c>
      <c r="I437" s="120">
        <v>468491.7366656746</v>
      </c>
      <c r="J437" s="120">
        <v>1093546.5860838026</v>
      </c>
      <c r="K437" s="120" t="s">
        <v>251</v>
      </c>
      <c r="L437" s="120" t="s">
        <v>251</v>
      </c>
      <c r="M437" s="120">
        <v>17.100051452790538</v>
      </c>
      <c r="N437" s="120" t="s">
        <v>251</v>
      </c>
      <c r="O437" s="120">
        <v>1093529.4860323498</v>
      </c>
      <c r="P437" s="120">
        <v>349897.72101372725</v>
      </c>
      <c r="Q437" s="120">
        <v>743631.76501862251</v>
      </c>
      <c r="R437" s="120"/>
      <c r="S437" s="121"/>
    </row>
    <row r="438" spans="1:19" ht="15">
      <c r="A438" s="105">
        <v>14</v>
      </c>
      <c r="B438" s="129" t="str">
        <f t="shared" si="12"/>
        <v>514</v>
      </c>
      <c r="C438" s="107" t="s">
        <v>595</v>
      </c>
      <c r="D438" s="107" t="s">
        <v>585</v>
      </c>
      <c r="E438" s="120">
        <v>4093071.8899999899</v>
      </c>
      <c r="F438" s="120" t="s">
        <v>251</v>
      </c>
      <c r="G438" s="120">
        <v>3599877.1020205212</v>
      </c>
      <c r="H438" s="120" t="s">
        <v>251</v>
      </c>
      <c r="I438" s="120">
        <v>154932.30369893389</v>
      </c>
      <c r="J438" s="120">
        <v>338262.48428053502</v>
      </c>
      <c r="K438" s="120" t="s">
        <v>251</v>
      </c>
      <c r="L438" s="120" t="s">
        <v>251</v>
      </c>
      <c r="M438" s="120">
        <v>10.582171735426837</v>
      </c>
      <c r="N438" s="120" t="s">
        <v>251</v>
      </c>
      <c r="O438" s="120">
        <v>338251.90210879961</v>
      </c>
      <c r="P438" s="120">
        <v>104344.97733924915</v>
      </c>
      <c r="Q438" s="120">
        <v>233906.92476955047</v>
      </c>
      <c r="R438" s="120"/>
      <c r="S438" s="121"/>
    </row>
    <row r="439" spans="1:19" ht="15">
      <c r="A439" s="105">
        <v>15</v>
      </c>
      <c r="B439" s="129" t="str">
        <f t="shared" si="12"/>
        <v xml:space="preserve">  T</v>
      </c>
      <c r="C439" s="107" t="s">
        <v>596</v>
      </c>
      <c r="D439" s="107" t="s">
        <v>251</v>
      </c>
      <c r="E439" s="120">
        <v>80716058.279999986</v>
      </c>
      <c r="F439" s="120" t="s">
        <v>251</v>
      </c>
      <c r="G439" s="120">
        <v>70426814.152699456</v>
      </c>
      <c r="H439" s="120" t="s">
        <v>251</v>
      </c>
      <c r="I439" s="120">
        <v>3129809.551185993</v>
      </c>
      <c r="J439" s="120">
        <v>7159434.5761145409</v>
      </c>
      <c r="K439" s="120" t="s">
        <v>251</v>
      </c>
      <c r="L439" s="120" t="s">
        <v>251</v>
      </c>
      <c r="M439" s="120">
        <v>205.57402184779434</v>
      </c>
      <c r="N439" s="120" t="s">
        <v>251</v>
      </c>
      <c r="O439" s="120">
        <v>7159229.002092693</v>
      </c>
      <c r="P439" s="120">
        <v>2266395.8746250304</v>
      </c>
      <c r="Q439" s="120">
        <v>4892833.127467663</v>
      </c>
      <c r="R439" s="120"/>
      <c r="S439" s="121"/>
    </row>
    <row r="440" spans="1:19" ht="15">
      <c r="A440" s="105" t="s">
        <v>251</v>
      </c>
      <c r="B440" s="129" t="str">
        <f t="shared" si="12"/>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2"/>
        <v>TAL</v>
      </c>
      <c r="C441" s="107" t="s">
        <v>597</v>
      </c>
      <c r="D441" s="107" t="s">
        <v>251</v>
      </c>
      <c r="E441" s="120">
        <v>502462585.27356726</v>
      </c>
      <c r="F441" s="120" t="s">
        <v>251</v>
      </c>
      <c r="G441" s="120">
        <v>441055125.29590702</v>
      </c>
      <c r="H441" s="120" t="s">
        <v>251</v>
      </c>
      <c r="I441" s="120">
        <v>18592811.160642751</v>
      </c>
      <c r="J441" s="120">
        <v>42814648.817017481</v>
      </c>
      <c r="K441" s="120" t="s">
        <v>251</v>
      </c>
      <c r="L441" s="120" t="s">
        <v>251</v>
      </c>
      <c r="M441" s="120">
        <v>1801.2005101284976</v>
      </c>
      <c r="N441" s="120" t="s">
        <v>251</v>
      </c>
      <c r="O441" s="120">
        <v>42812847.616507351</v>
      </c>
      <c r="P441" s="120">
        <v>13609942.369001074</v>
      </c>
      <c r="Q441" s="120">
        <v>29202905.247506279</v>
      </c>
      <c r="R441" s="120"/>
      <c r="S441" s="121"/>
    </row>
    <row r="442" spans="1:19" ht="15">
      <c r="A442" s="105" t="s">
        <v>251</v>
      </c>
      <c r="B442" s="129" t="str">
        <f t="shared" si="12"/>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2"/>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2"/>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2"/>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2"/>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2"/>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2"/>
        <v>539</v>
      </c>
      <c r="C448" s="107" t="s">
        <v>2241</v>
      </c>
      <c r="D448" s="107" t="s">
        <v>600</v>
      </c>
      <c r="E448" s="120">
        <v>49405.589999999902</v>
      </c>
      <c r="F448" s="120" t="s">
        <v>251</v>
      </c>
      <c r="G448" s="120">
        <v>43210.616819078816</v>
      </c>
      <c r="H448" s="120" t="s">
        <v>251</v>
      </c>
      <c r="I448" s="120">
        <v>1978.9686521303468</v>
      </c>
      <c r="J448" s="120">
        <v>4216.0045287907387</v>
      </c>
      <c r="K448" s="120" t="s">
        <v>251</v>
      </c>
      <c r="L448" s="120" t="s">
        <v>251</v>
      </c>
      <c r="M448" s="120">
        <v>0.13870006040662133</v>
      </c>
      <c r="N448" s="120" t="s">
        <v>251</v>
      </c>
      <c r="O448" s="120">
        <v>4215.8658287303324</v>
      </c>
      <c r="P448" s="120">
        <v>1300.5231356324641</v>
      </c>
      <c r="Q448" s="120">
        <v>2915.3426930978685</v>
      </c>
      <c r="R448" s="120"/>
      <c r="S448" s="121"/>
    </row>
    <row r="449" spans="1:19" ht="15">
      <c r="A449" s="105">
        <v>22</v>
      </c>
      <c r="B449" s="129" t="str">
        <f t="shared" ref="B449:B512" si="13">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3"/>
        <v xml:space="preserve">  T</v>
      </c>
      <c r="C450" s="107" t="s">
        <v>605</v>
      </c>
      <c r="D450" s="107" t="s">
        <v>251</v>
      </c>
      <c r="E450" s="120">
        <v>49405.589999999902</v>
      </c>
      <c r="F450" s="120" t="s">
        <v>251</v>
      </c>
      <c r="G450" s="120">
        <v>43210.616819078816</v>
      </c>
      <c r="H450" s="120" t="s">
        <v>251</v>
      </c>
      <c r="I450" s="120">
        <v>1978.9686521303468</v>
      </c>
      <c r="J450" s="120">
        <v>4216.0045287907387</v>
      </c>
      <c r="K450" s="120" t="s">
        <v>251</v>
      </c>
      <c r="L450" s="120" t="s">
        <v>251</v>
      </c>
      <c r="M450" s="120">
        <v>0.13870006040662133</v>
      </c>
      <c r="N450" s="120" t="s">
        <v>251</v>
      </c>
      <c r="O450" s="120">
        <v>4215.8658287303324</v>
      </c>
      <c r="P450" s="120">
        <v>1300.5231356324641</v>
      </c>
      <c r="Q450" s="120">
        <v>2915.3426930978685</v>
      </c>
      <c r="R450" s="120"/>
      <c r="S450" s="121"/>
    </row>
    <row r="451" spans="1:19" ht="15">
      <c r="A451" s="105">
        <v>24</v>
      </c>
      <c r="B451" s="129" t="str">
        <f t="shared" si="13"/>
        <v>541</v>
      </c>
      <c r="C451" s="107" t="s">
        <v>606</v>
      </c>
      <c r="D451" s="107" t="s">
        <v>600</v>
      </c>
      <c r="E451" s="120">
        <v>195367.01999999996</v>
      </c>
      <c r="F451" s="120" t="s">
        <v>251</v>
      </c>
      <c r="G451" s="120">
        <v>170869.92464426236</v>
      </c>
      <c r="H451" s="120" t="s">
        <v>251</v>
      </c>
      <c r="I451" s="120">
        <v>7825.5356982908861</v>
      </c>
      <c r="J451" s="120">
        <v>16671.559657446705</v>
      </c>
      <c r="K451" s="120" t="s">
        <v>251</v>
      </c>
      <c r="L451" s="120" t="s">
        <v>251</v>
      </c>
      <c r="M451" s="120">
        <v>0.54846865456847382</v>
      </c>
      <c r="N451" s="120" t="s">
        <v>251</v>
      </c>
      <c r="O451" s="120">
        <v>16671.011188792138</v>
      </c>
      <c r="P451" s="120">
        <v>5142.724324303601</v>
      </c>
      <c r="Q451" s="120">
        <v>11528.286864488535</v>
      </c>
      <c r="R451" s="120"/>
      <c r="S451" s="121"/>
    </row>
    <row r="452" spans="1:19" ht="15">
      <c r="A452" s="105">
        <v>25</v>
      </c>
      <c r="B452" s="129" t="str">
        <f t="shared" si="13"/>
        <v>542</v>
      </c>
      <c r="C452" s="107" t="s">
        <v>607</v>
      </c>
      <c r="D452" s="107" t="s">
        <v>600</v>
      </c>
      <c r="E452" s="120">
        <v>123467.82999999999</v>
      </c>
      <c r="F452" s="120" t="s">
        <v>251</v>
      </c>
      <c r="G452" s="120">
        <v>107986.18317508553</v>
      </c>
      <c r="H452" s="120" t="s">
        <v>251</v>
      </c>
      <c r="I452" s="120">
        <v>4945.5732664372454</v>
      </c>
      <c r="J452" s="120">
        <v>10536.073558477212</v>
      </c>
      <c r="K452" s="120" t="s">
        <v>251</v>
      </c>
      <c r="L452" s="120" t="s">
        <v>251</v>
      </c>
      <c r="M452" s="120">
        <v>0.34662060465778244</v>
      </c>
      <c r="N452" s="120" t="s">
        <v>251</v>
      </c>
      <c r="O452" s="120">
        <v>10535.726937872554</v>
      </c>
      <c r="P452" s="120">
        <v>3250.0931457621764</v>
      </c>
      <c r="Q452" s="120">
        <v>7285.6337921103768</v>
      </c>
      <c r="R452" s="120"/>
      <c r="S452" s="121"/>
    </row>
    <row r="453" spans="1:19" ht="15">
      <c r="A453" s="105">
        <v>26</v>
      </c>
      <c r="B453" s="129" t="str">
        <f t="shared" si="13"/>
        <v>543</v>
      </c>
      <c r="C453" s="107" t="s">
        <v>608</v>
      </c>
      <c r="D453" s="107" t="s">
        <v>600</v>
      </c>
      <c r="E453" s="120">
        <v>13091.999999999998</v>
      </c>
      <c r="F453" s="120" t="s">
        <v>251</v>
      </c>
      <c r="G453" s="120">
        <v>11450.392463593309</v>
      </c>
      <c r="H453" s="120" t="s">
        <v>251</v>
      </c>
      <c r="I453" s="120">
        <v>524.40741206998143</v>
      </c>
      <c r="J453" s="120">
        <v>1117.200124336709</v>
      </c>
      <c r="K453" s="120" t="s">
        <v>251</v>
      </c>
      <c r="L453" s="120" t="s">
        <v>251</v>
      </c>
      <c r="M453" s="120">
        <v>3.675416467738752E-2</v>
      </c>
      <c r="N453" s="120" t="s">
        <v>251</v>
      </c>
      <c r="O453" s="120">
        <v>1117.1633701720316</v>
      </c>
      <c r="P453" s="120">
        <v>344.62596017374256</v>
      </c>
      <c r="Q453" s="120">
        <v>772.53740999828904</v>
      </c>
      <c r="R453" s="120"/>
      <c r="S453" s="121"/>
    </row>
    <row r="454" spans="1:19" ht="15">
      <c r="A454" s="105">
        <v>27</v>
      </c>
      <c r="B454" s="129" t="str">
        <f t="shared" si="13"/>
        <v>544</v>
      </c>
      <c r="C454" s="107" t="s">
        <v>609</v>
      </c>
      <c r="D454" s="107" t="s">
        <v>495</v>
      </c>
      <c r="E454" s="120">
        <v>44249.38</v>
      </c>
      <c r="F454" s="120" t="s">
        <v>251</v>
      </c>
      <c r="G454" s="120">
        <v>38951.145993561608</v>
      </c>
      <c r="H454" s="120" t="s">
        <v>251</v>
      </c>
      <c r="I454" s="120">
        <v>1589.0291024832425</v>
      </c>
      <c r="J454" s="120">
        <v>3709.2049039551471</v>
      </c>
      <c r="K454" s="120" t="s">
        <v>251</v>
      </c>
      <c r="L454" s="120" t="s">
        <v>251</v>
      </c>
      <c r="M454" s="120">
        <v>0.17432404340491939</v>
      </c>
      <c r="N454" s="120" t="s">
        <v>251</v>
      </c>
      <c r="O454" s="120">
        <v>3709.0305799117423</v>
      </c>
      <c r="P454" s="120">
        <v>1186.782216353469</v>
      </c>
      <c r="Q454" s="120">
        <v>2522.2483635582735</v>
      </c>
      <c r="R454" s="120"/>
      <c r="S454" s="121"/>
    </row>
    <row r="455" spans="1:19" ht="15">
      <c r="A455" s="105">
        <v>28</v>
      </c>
      <c r="B455" s="129" t="str">
        <f t="shared" si="13"/>
        <v>545</v>
      </c>
      <c r="C455" s="107" t="s">
        <v>610</v>
      </c>
      <c r="D455" s="107" t="s">
        <v>600</v>
      </c>
      <c r="E455" s="120">
        <v>8505.67</v>
      </c>
      <c r="F455" s="120" t="s">
        <v>251</v>
      </c>
      <c r="G455" s="120">
        <v>7439.1429625581804</v>
      </c>
      <c r="H455" s="120" t="s">
        <v>251</v>
      </c>
      <c r="I455" s="120">
        <v>340.69938837620521</v>
      </c>
      <c r="J455" s="120">
        <v>725.82764906561385</v>
      </c>
      <c r="K455" s="120" t="s">
        <v>251</v>
      </c>
      <c r="L455" s="120" t="s">
        <v>251</v>
      </c>
      <c r="M455" s="120">
        <v>2.3878612578025871E-2</v>
      </c>
      <c r="N455" s="120" t="s">
        <v>251</v>
      </c>
      <c r="O455" s="120">
        <v>725.80377045303578</v>
      </c>
      <c r="P455" s="120">
        <v>223.89815846860654</v>
      </c>
      <c r="Q455" s="120">
        <v>501.90561198442924</v>
      </c>
      <c r="R455" s="120"/>
      <c r="S455" s="121"/>
    </row>
    <row r="456" spans="1:19" ht="15">
      <c r="A456" s="105">
        <v>29</v>
      </c>
      <c r="B456" s="129" t="str">
        <f t="shared" si="13"/>
        <v xml:space="preserve">  T</v>
      </c>
      <c r="C456" s="107" t="s">
        <v>611</v>
      </c>
      <c r="D456" s="107" t="s">
        <v>251</v>
      </c>
      <c r="E456" s="120">
        <v>384681.89999999991</v>
      </c>
      <c r="F456" s="120" t="s">
        <v>251</v>
      </c>
      <c r="G456" s="120">
        <v>336696.78923906101</v>
      </c>
      <c r="H456" s="120" t="s">
        <v>251</v>
      </c>
      <c r="I456" s="120">
        <v>15225.244867657559</v>
      </c>
      <c r="J456" s="120">
        <v>32759.865893281378</v>
      </c>
      <c r="K456" s="120" t="s">
        <v>251</v>
      </c>
      <c r="L456" s="120" t="s">
        <v>251</v>
      </c>
      <c r="M456" s="120">
        <v>1.1300460798865892</v>
      </c>
      <c r="N456" s="120" t="s">
        <v>251</v>
      </c>
      <c r="O456" s="120">
        <v>32758.735847201493</v>
      </c>
      <c r="P456" s="120">
        <v>10148.123805061594</v>
      </c>
      <c r="Q456" s="120">
        <v>22610.612042139899</v>
      </c>
      <c r="R456" s="120"/>
      <c r="S456" s="121"/>
    </row>
    <row r="457" spans="1:19" ht="15">
      <c r="A457" s="105" t="s">
        <v>251</v>
      </c>
      <c r="B457" s="129" t="str">
        <f t="shared" si="13"/>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3"/>
        <v>TAL</v>
      </c>
      <c r="C458" s="107" t="s">
        <v>612</v>
      </c>
      <c r="D458" s="107" t="s">
        <v>251</v>
      </c>
      <c r="E458" s="120">
        <v>434087.48999999982</v>
      </c>
      <c r="F458" s="120" t="s">
        <v>251</v>
      </c>
      <c r="G458" s="120">
        <v>379907.40605813981</v>
      </c>
      <c r="H458" s="120" t="s">
        <v>251</v>
      </c>
      <c r="I458" s="120">
        <v>17204.213519787907</v>
      </c>
      <c r="J458" s="120">
        <v>36975.870422072119</v>
      </c>
      <c r="K458" s="120" t="s">
        <v>251</v>
      </c>
      <c r="L458" s="120" t="s">
        <v>251</v>
      </c>
      <c r="M458" s="120">
        <v>1.2687461402932105</v>
      </c>
      <c r="N458" s="120" t="s">
        <v>251</v>
      </c>
      <c r="O458" s="120">
        <v>36974.601675931823</v>
      </c>
      <c r="P458" s="120">
        <v>11448.646940694058</v>
      </c>
      <c r="Q458" s="120">
        <v>25525.954735237767</v>
      </c>
      <c r="R458" s="120"/>
      <c r="S458" s="121"/>
    </row>
    <row r="459" spans="1:19" ht="15">
      <c r="A459" s="105" t="s">
        <v>251</v>
      </c>
      <c r="B459" s="129" t="str">
        <f t="shared" si="13"/>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3"/>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3"/>
        <v>546</v>
      </c>
      <c r="C461" s="107" t="s">
        <v>614</v>
      </c>
      <c r="D461" s="107" t="s">
        <v>615</v>
      </c>
      <c r="E461" s="120">
        <v>1406615.45</v>
      </c>
      <c r="F461" s="120" t="s">
        <v>251</v>
      </c>
      <c r="G461" s="120">
        <v>1227307.4801558228</v>
      </c>
      <c r="H461" s="120" t="s">
        <v>251</v>
      </c>
      <c r="I461" s="120">
        <v>56200.773676903074</v>
      </c>
      <c r="J461" s="120">
        <v>123107.19616727416</v>
      </c>
      <c r="K461" s="120" t="s">
        <v>251</v>
      </c>
      <c r="L461" s="120" t="s">
        <v>251</v>
      </c>
      <c r="M461" s="120">
        <v>3.9394860376061587</v>
      </c>
      <c r="N461" s="120" t="s">
        <v>251</v>
      </c>
      <c r="O461" s="120">
        <v>123103.25668123655</v>
      </c>
      <c r="P461" s="120">
        <v>37975.267688693442</v>
      </c>
      <c r="Q461" s="120">
        <v>85127.988992543105</v>
      </c>
      <c r="R461" s="120"/>
      <c r="S461" s="121"/>
    </row>
    <row r="462" spans="1:19" ht="15">
      <c r="A462" s="105">
        <v>32</v>
      </c>
      <c r="B462" s="129" t="str">
        <f t="shared" si="13"/>
        <v>547</v>
      </c>
      <c r="C462" s="107" t="s">
        <v>616</v>
      </c>
      <c r="D462" s="107" t="s">
        <v>495</v>
      </c>
      <c r="E462" s="120">
        <v>133864101.041485</v>
      </c>
      <c r="F462" s="120" t="s">
        <v>251</v>
      </c>
      <c r="G462" s="120">
        <v>117835778.55698238</v>
      </c>
      <c r="H462" s="120" t="s">
        <v>251</v>
      </c>
      <c r="I462" s="120">
        <v>4807162.3225608366</v>
      </c>
      <c r="J462" s="120">
        <v>11221160.161941784</v>
      </c>
      <c r="K462" s="120" t="s">
        <v>251</v>
      </c>
      <c r="L462" s="120" t="s">
        <v>251</v>
      </c>
      <c r="M462" s="120">
        <v>527.36854980377905</v>
      </c>
      <c r="N462" s="120" t="s">
        <v>251</v>
      </c>
      <c r="O462" s="120">
        <v>11220632.79339198</v>
      </c>
      <c r="P462" s="120">
        <v>3590277.0733551132</v>
      </c>
      <c r="Q462" s="120">
        <v>7630355.7200368661</v>
      </c>
      <c r="R462" s="120"/>
      <c r="S462" s="121"/>
    </row>
    <row r="463" spans="1:19" ht="15">
      <c r="A463" s="105">
        <v>33</v>
      </c>
      <c r="B463" s="129" t="str">
        <f t="shared" si="13"/>
        <v>548</v>
      </c>
      <c r="C463" s="107" t="s">
        <v>617</v>
      </c>
      <c r="D463" s="107" t="s">
        <v>615</v>
      </c>
      <c r="E463" s="120">
        <v>626352.97999999905</v>
      </c>
      <c r="F463" s="120" t="s">
        <v>251</v>
      </c>
      <c r="G463" s="120">
        <v>546508.78288866323</v>
      </c>
      <c r="H463" s="120" t="s">
        <v>251</v>
      </c>
      <c r="I463" s="120">
        <v>25025.689907525008</v>
      </c>
      <c r="J463" s="120">
        <v>54818.507203810848</v>
      </c>
      <c r="K463" s="120" t="s">
        <v>251</v>
      </c>
      <c r="L463" s="120" t="s">
        <v>251</v>
      </c>
      <c r="M463" s="120">
        <v>1.7542170600522027</v>
      </c>
      <c r="N463" s="120" t="s">
        <v>251</v>
      </c>
      <c r="O463" s="120">
        <v>54816.752986750798</v>
      </c>
      <c r="P463" s="120">
        <v>16910.038975550011</v>
      </c>
      <c r="Q463" s="120">
        <v>37906.714011200784</v>
      </c>
      <c r="R463" s="120"/>
      <c r="S463" s="121"/>
    </row>
    <row r="464" spans="1:19" ht="15">
      <c r="A464" s="105">
        <v>34</v>
      </c>
      <c r="B464" s="129" t="str">
        <f t="shared" si="13"/>
        <v>549</v>
      </c>
      <c r="C464" s="107" t="s">
        <v>2242</v>
      </c>
      <c r="D464" s="107" t="s">
        <v>615</v>
      </c>
      <c r="E464" s="120">
        <v>4003761.29</v>
      </c>
      <c r="F464" s="120" t="s">
        <v>251</v>
      </c>
      <c r="G464" s="120">
        <v>3494203.6915250779</v>
      </c>
      <c r="H464" s="120" t="s">
        <v>251</v>
      </c>
      <c r="I464" s="120">
        <v>159711.42438410304</v>
      </c>
      <c r="J464" s="120">
        <v>349846.17409081885</v>
      </c>
      <c r="K464" s="120" t="s">
        <v>251</v>
      </c>
      <c r="L464" s="120" t="s">
        <v>251</v>
      </c>
      <c r="M464" s="120">
        <v>11.19523603045951</v>
      </c>
      <c r="N464" s="120" t="s">
        <v>251</v>
      </c>
      <c r="O464" s="120">
        <v>349834.97885478841</v>
      </c>
      <c r="P464" s="120">
        <v>107918.16014485601</v>
      </c>
      <c r="Q464" s="120">
        <v>241916.81870993241</v>
      </c>
      <c r="R464" s="120"/>
      <c r="S464" s="121"/>
    </row>
    <row r="465" spans="1:19" ht="15">
      <c r="A465" s="105">
        <v>35</v>
      </c>
      <c r="B465" s="129" t="str">
        <f t="shared" si="13"/>
        <v>550</v>
      </c>
      <c r="C465" s="107" t="s">
        <v>2243</v>
      </c>
      <c r="D465" s="107" t="s">
        <v>615</v>
      </c>
      <c r="E465" s="120">
        <v>15016.589999999998</v>
      </c>
      <c r="F465" s="120" t="s">
        <v>251</v>
      </c>
      <c r="G465" s="120">
        <v>13102.353762311601</v>
      </c>
      <c r="H465" s="120" t="s">
        <v>251</v>
      </c>
      <c r="I465" s="120">
        <v>599.98201782075262</v>
      </c>
      <c r="J465" s="120">
        <v>1314.2542198676458</v>
      </c>
      <c r="K465" s="120" t="s">
        <v>251</v>
      </c>
      <c r="L465" s="120" t="s">
        <v>251</v>
      </c>
      <c r="M465" s="120">
        <v>4.2056730314924573E-2</v>
      </c>
      <c r="N465" s="120" t="s">
        <v>251</v>
      </c>
      <c r="O465" s="120">
        <v>1314.2121631373309</v>
      </c>
      <c r="P465" s="120">
        <v>405.41217219059916</v>
      </c>
      <c r="Q465" s="120">
        <v>908.79999094673167</v>
      </c>
      <c r="R465" s="120"/>
      <c r="S465" s="121"/>
    </row>
    <row r="466" spans="1:19" ht="15">
      <c r="A466" s="105">
        <v>36</v>
      </c>
      <c r="B466" s="129" t="str">
        <f t="shared" si="13"/>
        <v xml:space="preserve">  T</v>
      </c>
      <c r="C466" s="107" t="s">
        <v>618</v>
      </c>
      <c r="D466" s="107" t="s">
        <v>251</v>
      </c>
      <c r="E466" s="120">
        <v>139915847.35148501</v>
      </c>
      <c r="F466" s="120" t="s">
        <v>251</v>
      </c>
      <c r="G466" s="120">
        <v>123116900.86531426</v>
      </c>
      <c r="H466" s="120" t="s">
        <v>251</v>
      </c>
      <c r="I466" s="120">
        <v>5048700.1925471881</v>
      </c>
      <c r="J466" s="120">
        <v>11750246.293623554</v>
      </c>
      <c r="K466" s="120" t="s">
        <v>251</v>
      </c>
      <c r="L466" s="120" t="s">
        <v>251</v>
      </c>
      <c r="M466" s="120">
        <v>544.2995456622117</v>
      </c>
      <c r="N466" s="120" t="s">
        <v>251</v>
      </c>
      <c r="O466" s="120">
        <v>11749701.994077891</v>
      </c>
      <c r="P466" s="120">
        <v>3753485.9523364031</v>
      </c>
      <c r="Q466" s="120">
        <v>7996216.0417414885</v>
      </c>
      <c r="R466" s="120"/>
      <c r="S466" s="121"/>
    </row>
    <row r="467" spans="1:19" ht="15">
      <c r="A467" s="105">
        <v>37</v>
      </c>
      <c r="B467" s="129" t="str">
        <f t="shared" si="13"/>
        <v>551</v>
      </c>
      <c r="C467" s="107" t="s">
        <v>619</v>
      </c>
      <c r="D467" s="107" t="s">
        <v>615</v>
      </c>
      <c r="E467" s="120">
        <v>488200.54000000004</v>
      </c>
      <c r="F467" s="120" t="s">
        <v>251</v>
      </c>
      <c r="G467" s="120">
        <v>428581.23560649133</v>
      </c>
      <c r="H467" s="120" t="s">
        <v>251</v>
      </c>
      <c r="I467" s="120">
        <v>18686.570574112055</v>
      </c>
      <c r="J467" s="120">
        <v>40932.733819396613</v>
      </c>
      <c r="K467" s="120" t="s">
        <v>251</v>
      </c>
      <c r="L467" s="120" t="s">
        <v>251</v>
      </c>
      <c r="M467" s="120">
        <v>1.3098660223197323</v>
      </c>
      <c r="N467" s="120" t="s">
        <v>251</v>
      </c>
      <c r="O467" s="120">
        <v>40931.423953374295</v>
      </c>
      <c r="P467" s="120">
        <v>12626.650369889909</v>
      </c>
      <c r="Q467" s="120">
        <v>28304.773583484388</v>
      </c>
      <c r="R467" s="120"/>
      <c r="S467" s="121"/>
    </row>
    <row r="468" spans="1:19" ht="15">
      <c r="A468" s="105">
        <v>38</v>
      </c>
      <c r="B468" s="129" t="str">
        <f t="shared" si="13"/>
        <v>552</v>
      </c>
      <c r="C468" s="107" t="s">
        <v>620</v>
      </c>
      <c r="D468" s="107" t="s">
        <v>615</v>
      </c>
      <c r="E468" s="120">
        <v>1324983.1499999999</v>
      </c>
      <c r="F468" s="120" t="s">
        <v>251</v>
      </c>
      <c r="G468" s="120">
        <v>1218971.1001459374</v>
      </c>
      <c r="H468" s="120" t="s">
        <v>251</v>
      </c>
      <c r="I468" s="120">
        <v>33227.151613831295</v>
      </c>
      <c r="J468" s="120">
        <v>72784.898240231152</v>
      </c>
      <c r="K468" s="120" t="s">
        <v>251</v>
      </c>
      <c r="L468" s="120" t="s">
        <v>251</v>
      </c>
      <c r="M468" s="120">
        <v>2.2617808352963991</v>
      </c>
      <c r="N468" s="120" t="s">
        <v>251</v>
      </c>
      <c r="O468" s="120">
        <v>72782.636459395857</v>
      </c>
      <c r="P468" s="120">
        <v>22452.209447158337</v>
      </c>
      <c r="Q468" s="120">
        <v>50330.427012237516</v>
      </c>
      <c r="R468" s="120"/>
      <c r="S468" s="121"/>
    </row>
    <row r="469" spans="1:19" ht="15">
      <c r="A469" s="105">
        <v>39</v>
      </c>
      <c r="B469" s="129" t="str">
        <f t="shared" si="13"/>
        <v>553</v>
      </c>
      <c r="C469" s="107" t="s">
        <v>621</v>
      </c>
      <c r="D469" s="107" t="s">
        <v>615</v>
      </c>
      <c r="E469" s="120">
        <v>3942758.9799999897</v>
      </c>
      <c r="F469" s="120" t="s">
        <v>251</v>
      </c>
      <c r="G469" s="120">
        <v>3458624.8957929946</v>
      </c>
      <c r="H469" s="120" t="s">
        <v>251</v>
      </c>
      <c r="I469" s="120">
        <v>151733.36419262461</v>
      </c>
      <c r="J469" s="120">
        <v>332400.72001437069</v>
      </c>
      <c r="K469" s="120" t="s">
        <v>251</v>
      </c>
      <c r="L469" s="120" t="s">
        <v>251</v>
      </c>
      <c r="M469" s="120">
        <v>8.8961306735042225</v>
      </c>
      <c r="N469" s="120" t="s">
        <v>251</v>
      </c>
      <c r="O469" s="120">
        <v>332391.82388369716</v>
      </c>
      <c r="P469" s="120">
        <v>102537.24255404204</v>
      </c>
      <c r="Q469" s="120">
        <v>229854.58132965514</v>
      </c>
      <c r="R469" s="120"/>
      <c r="S469" s="121"/>
    </row>
    <row r="470" spans="1:19" ht="15">
      <c r="A470" s="105">
        <v>40</v>
      </c>
      <c r="B470" s="129" t="str">
        <f t="shared" si="13"/>
        <v>554</v>
      </c>
      <c r="C470" s="107" t="s">
        <v>622</v>
      </c>
      <c r="D470" s="107" t="s">
        <v>615</v>
      </c>
      <c r="E470" s="120">
        <v>3597173.7000000007</v>
      </c>
      <c r="F470" s="120" t="s">
        <v>251</v>
      </c>
      <c r="G470" s="120">
        <v>3093966.723658734</v>
      </c>
      <c r="H470" s="120" t="s">
        <v>251</v>
      </c>
      <c r="I470" s="120">
        <v>157705.48871337232</v>
      </c>
      <c r="J470" s="120">
        <v>345501.48762789398</v>
      </c>
      <c r="K470" s="120" t="s">
        <v>251</v>
      </c>
      <c r="L470" s="120" t="s">
        <v>251</v>
      </c>
      <c r="M470" s="120">
        <v>8.2335568361017444</v>
      </c>
      <c r="N470" s="120" t="s">
        <v>251</v>
      </c>
      <c r="O470" s="120">
        <v>345493.25407105789</v>
      </c>
      <c r="P470" s="120">
        <v>106578.81165532143</v>
      </c>
      <c r="Q470" s="120">
        <v>238914.44241573647</v>
      </c>
      <c r="R470" s="120"/>
      <c r="S470" s="121"/>
    </row>
    <row r="471" spans="1:19" ht="15">
      <c r="A471" s="105">
        <v>41</v>
      </c>
      <c r="B471" s="129" t="str">
        <f t="shared" si="13"/>
        <v xml:space="preserve">  T</v>
      </c>
      <c r="C471" s="107" t="s">
        <v>623</v>
      </c>
      <c r="D471" s="107" t="s">
        <v>251</v>
      </c>
      <c r="E471" s="120">
        <v>9353116.3699999899</v>
      </c>
      <c r="F471" s="120" t="s">
        <v>251</v>
      </c>
      <c r="G471" s="120">
        <v>8200143.9552041572</v>
      </c>
      <c r="H471" s="120" t="s">
        <v>251</v>
      </c>
      <c r="I471" s="120">
        <v>361352.57509394025</v>
      </c>
      <c r="J471" s="120">
        <v>791619.83970189246</v>
      </c>
      <c r="K471" s="120" t="s">
        <v>251</v>
      </c>
      <c r="L471" s="120" t="s">
        <v>251</v>
      </c>
      <c r="M471" s="120">
        <v>20.701334367222099</v>
      </c>
      <c r="N471" s="120" t="s">
        <v>251</v>
      </c>
      <c r="O471" s="120">
        <v>791599.13836752519</v>
      </c>
      <c r="P471" s="120">
        <v>244194.91402641172</v>
      </c>
      <c r="Q471" s="120">
        <v>547404.22434111347</v>
      </c>
      <c r="R471" s="120"/>
      <c r="S471" s="121"/>
    </row>
    <row r="472" spans="1:19" ht="15">
      <c r="A472" s="105" t="s">
        <v>251</v>
      </c>
      <c r="B472" s="129" t="str">
        <f t="shared" si="13"/>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3"/>
        <v>TAL</v>
      </c>
      <c r="C473" s="107" t="s">
        <v>624</v>
      </c>
      <c r="D473" s="107" t="s">
        <v>251</v>
      </c>
      <c r="E473" s="120">
        <v>149268963.72148502</v>
      </c>
      <c r="F473" s="120" t="s">
        <v>251</v>
      </c>
      <c r="G473" s="120">
        <v>131317044.82051842</v>
      </c>
      <c r="H473" s="120" t="s">
        <v>251</v>
      </c>
      <c r="I473" s="120">
        <v>5410052.767641128</v>
      </c>
      <c r="J473" s="120">
        <v>12541866.133325446</v>
      </c>
      <c r="K473" s="120" t="s">
        <v>251</v>
      </c>
      <c r="L473" s="120" t="s">
        <v>251</v>
      </c>
      <c r="M473" s="120">
        <v>565.0008800294338</v>
      </c>
      <c r="N473" s="120" t="s">
        <v>251</v>
      </c>
      <c r="O473" s="120">
        <v>12541301.132445417</v>
      </c>
      <c r="P473" s="120">
        <v>3997680.8663628148</v>
      </c>
      <c r="Q473" s="120">
        <v>8543620.2660826016</v>
      </c>
      <c r="R473" s="120"/>
      <c r="S473" s="121"/>
    </row>
    <row r="474" spans="1:19" ht="15">
      <c r="A474" s="105" t="s">
        <v>251</v>
      </c>
      <c r="B474" s="129" t="str">
        <f t="shared" si="13"/>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3"/>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3"/>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3"/>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3"/>
        <v>CAP</v>
      </c>
      <c r="C478" s="107" t="s">
        <v>626</v>
      </c>
      <c r="D478" s="107" t="s">
        <v>304</v>
      </c>
      <c r="E478" s="120">
        <v>9548770.1919117998</v>
      </c>
      <c r="F478" s="120" t="s">
        <v>251</v>
      </c>
      <c r="G478" s="120">
        <v>8371743.9462043559</v>
      </c>
      <c r="H478" s="120" t="s">
        <v>251</v>
      </c>
      <c r="I478" s="120">
        <v>383352.45807203604</v>
      </c>
      <c r="J478" s="120">
        <v>793673.78763540764</v>
      </c>
      <c r="K478" s="120" t="s">
        <v>251</v>
      </c>
      <c r="L478" s="120" t="s">
        <v>251</v>
      </c>
      <c r="M478" s="120">
        <v>26.872131816795132</v>
      </c>
      <c r="N478" s="120" t="s">
        <v>251</v>
      </c>
      <c r="O478" s="120">
        <v>793646.91550359083</v>
      </c>
      <c r="P478" s="120">
        <v>244826.61855645711</v>
      </c>
      <c r="Q478" s="120">
        <v>548820.29694713373</v>
      </c>
      <c r="R478" s="120"/>
      <c r="S478" s="121"/>
    </row>
    <row r="479" spans="1:19" ht="15">
      <c r="A479" s="105">
        <v>44</v>
      </c>
      <c r="B479" s="129" t="str">
        <f t="shared" si="13"/>
        <v>ENE</v>
      </c>
      <c r="C479" s="107" t="s">
        <v>627</v>
      </c>
      <c r="D479" s="107" t="s">
        <v>495</v>
      </c>
      <c r="E479" s="120">
        <v>39149149.399999991</v>
      </c>
      <c r="F479" s="120" t="s">
        <v>251</v>
      </c>
      <c r="G479" s="120">
        <v>34461595.480053157</v>
      </c>
      <c r="H479" s="120" t="s">
        <v>251</v>
      </c>
      <c r="I479" s="120">
        <v>1405875.918127313</v>
      </c>
      <c r="J479" s="120">
        <v>3281678.0018195212</v>
      </c>
      <c r="K479" s="120" t="s">
        <v>251</v>
      </c>
      <c r="L479" s="120" t="s">
        <v>251</v>
      </c>
      <c r="M479" s="120">
        <v>154.2312687606306</v>
      </c>
      <c r="N479" s="120" t="s">
        <v>251</v>
      </c>
      <c r="O479" s="120">
        <v>3281523.7705507604</v>
      </c>
      <c r="P479" s="120">
        <v>1049992.4359004595</v>
      </c>
      <c r="Q479" s="120">
        <v>2231531.3346503009</v>
      </c>
      <c r="R479" s="120"/>
      <c r="S479" s="121"/>
    </row>
    <row r="480" spans="1:19" ht="15">
      <c r="A480" s="105">
        <v>45</v>
      </c>
      <c r="B480" s="129" t="str">
        <f t="shared" si="13"/>
        <v xml:space="preserve">  T</v>
      </c>
      <c r="C480" s="107" t="s">
        <v>628</v>
      </c>
      <c r="D480" s="107" t="s">
        <v>251</v>
      </c>
      <c r="E480" s="120">
        <v>48697919.591911793</v>
      </c>
      <c r="F480" s="120" t="s">
        <v>251</v>
      </c>
      <c r="G480" s="120">
        <v>42833339.426257513</v>
      </c>
      <c r="H480" s="120" t="s">
        <v>251</v>
      </c>
      <c r="I480" s="120">
        <v>1789228.3761993491</v>
      </c>
      <c r="J480" s="120">
        <v>4075351.7894549286</v>
      </c>
      <c r="K480" s="120" t="s">
        <v>251</v>
      </c>
      <c r="L480" s="120" t="s">
        <v>251</v>
      </c>
      <c r="M480" s="120">
        <v>181.10340057742573</v>
      </c>
      <c r="N480" s="120" t="s">
        <v>251</v>
      </c>
      <c r="O480" s="120">
        <v>4075170.6860543513</v>
      </c>
      <c r="P480" s="120">
        <v>1294819.0544569166</v>
      </c>
      <c r="Q480" s="120">
        <v>2780351.6315974346</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3"/>
        <v>6-S</v>
      </c>
      <c r="C482" s="107" t="s">
        <v>629</v>
      </c>
      <c r="D482" s="107" t="s">
        <v>304</v>
      </c>
      <c r="E482" s="120">
        <v>1827132.25</v>
      </c>
      <c r="F482" s="120" t="s">
        <v>251</v>
      </c>
      <c r="G482" s="120">
        <v>1601911.3504070737</v>
      </c>
      <c r="H482" s="120" t="s">
        <v>251</v>
      </c>
      <c r="I482" s="120">
        <v>73353.492144306467</v>
      </c>
      <c r="J482" s="120">
        <v>151867.40744861978</v>
      </c>
      <c r="K482" s="120" t="s">
        <v>251</v>
      </c>
      <c r="L482" s="120" t="s">
        <v>251</v>
      </c>
      <c r="M482" s="120">
        <v>5.1419122758139366</v>
      </c>
      <c r="N482" s="120" t="s">
        <v>251</v>
      </c>
      <c r="O482" s="120">
        <v>151862.26553634397</v>
      </c>
      <c r="P482" s="120">
        <v>46846.934362485612</v>
      </c>
      <c r="Q482" s="120">
        <v>105015.33117385834</v>
      </c>
      <c r="R482" s="120"/>
      <c r="S482" s="121"/>
    </row>
    <row r="483" spans="1:19" ht="15">
      <c r="A483" s="105">
        <v>47</v>
      </c>
      <c r="B483" s="129">
        <v>556</v>
      </c>
      <c r="C483" s="107" t="s">
        <v>630</v>
      </c>
      <c r="D483" s="107" t="s">
        <v>498</v>
      </c>
      <c r="E483" s="120">
        <v>286458.05999999901</v>
      </c>
      <c r="F483" s="120" t="s">
        <v>251</v>
      </c>
      <c r="G483" s="120">
        <v>249327.33070020919</v>
      </c>
      <c r="H483" s="120" t="s">
        <v>251</v>
      </c>
      <c r="I483" s="120">
        <v>11661.390487740651</v>
      </c>
      <c r="J483" s="120">
        <v>25469.338812049173</v>
      </c>
      <c r="K483" s="120" t="s">
        <v>251</v>
      </c>
      <c r="L483" s="120" t="s">
        <v>251</v>
      </c>
      <c r="M483" s="120">
        <v>0.80030599826734672</v>
      </c>
      <c r="N483" s="120" t="s">
        <v>251</v>
      </c>
      <c r="O483" s="120">
        <v>25468.538506050907</v>
      </c>
      <c r="P483" s="120">
        <v>7856.6123551993505</v>
      </c>
      <c r="Q483" s="120">
        <v>17611.926150851556</v>
      </c>
      <c r="R483" s="120"/>
      <c r="S483" s="121"/>
    </row>
    <row r="484" spans="1:19" ht="15">
      <c r="A484" s="105" t="s">
        <v>251</v>
      </c>
      <c r="B484" s="129">
        <v>557</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3"/>
        <v>TAL</v>
      </c>
      <c r="C485" s="107" t="s">
        <v>631</v>
      </c>
      <c r="D485" s="107" t="s">
        <v>251</v>
      </c>
      <c r="E485" s="120">
        <v>702977146.38696408</v>
      </c>
      <c r="F485" s="120" t="s">
        <v>251</v>
      </c>
      <c r="G485" s="120">
        <v>617436655.62984836</v>
      </c>
      <c r="H485" s="120" t="s">
        <v>251</v>
      </c>
      <c r="I485" s="120">
        <v>25894311.400635064</v>
      </c>
      <c r="J485" s="120">
        <v>59646179.356480598</v>
      </c>
      <c r="K485" s="120" t="s">
        <v>251</v>
      </c>
      <c r="L485" s="120" t="s">
        <v>251</v>
      </c>
      <c r="M485" s="120">
        <v>2554.5157551497318</v>
      </c>
      <c r="N485" s="120" t="s">
        <v>251</v>
      </c>
      <c r="O485" s="120">
        <v>59643624.840725452</v>
      </c>
      <c r="P485" s="120">
        <v>18968594.483479183</v>
      </c>
      <c r="Q485" s="120">
        <v>40675030.357246265</v>
      </c>
      <c r="R485" s="120"/>
      <c r="S485" s="121"/>
    </row>
    <row r="486" spans="1:19" ht="15">
      <c r="A486" s="105" t="s">
        <v>251</v>
      </c>
      <c r="B486" s="129" t="str">
        <f t="shared" si="13"/>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3"/>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3"/>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3"/>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3"/>
        <v>560</v>
      </c>
      <c r="C490" s="107" t="s">
        <v>634</v>
      </c>
      <c r="D490" s="107" t="s">
        <v>635</v>
      </c>
      <c r="E490" s="120">
        <v>1670183.7799999998</v>
      </c>
      <c r="F490" s="120" t="s">
        <v>251</v>
      </c>
      <c r="G490" s="120">
        <v>1508751.8268606768</v>
      </c>
      <c r="H490" s="120" t="s">
        <v>251</v>
      </c>
      <c r="I490" s="120">
        <v>161427.11025614</v>
      </c>
      <c r="J490" s="120">
        <v>4.842883183092626</v>
      </c>
      <c r="K490" s="120" t="s">
        <v>251</v>
      </c>
      <c r="L490" s="120" t="s">
        <v>251</v>
      </c>
      <c r="M490" s="120">
        <v>4.842883183092626</v>
      </c>
      <c r="N490" s="120" t="s">
        <v>251</v>
      </c>
      <c r="O490" s="120">
        <v>0</v>
      </c>
      <c r="P490" s="120">
        <v>0</v>
      </c>
      <c r="Q490" s="120">
        <v>0</v>
      </c>
      <c r="R490" s="120"/>
      <c r="S490" s="121"/>
    </row>
    <row r="491" spans="1:19" ht="15">
      <c r="A491" s="105">
        <v>2</v>
      </c>
      <c r="B491" s="129" t="str">
        <f t="shared" si="13"/>
        <v>561</v>
      </c>
      <c r="C491" s="107" t="s">
        <v>636</v>
      </c>
      <c r="D491" s="107" t="s">
        <v>500</v>
      </c>
      <c r="E491" s="120">
        <v>3856316.27</v>
      </c>
      <c r="F491" s="120" t="s">
        <v>251</v>
      </c>
      <c r="G491" s="120">
        <v>3483583.236160425</v>
      </c>
      <c r="H491" s="120" t="s">
        <v>251</v>
      </c>
      <c r="I491" s="120">
        <v>372721.85202267772</v>
      </c>
      <c r="J491" s="120">
        <v>11.181816897221625</v>
      </c>
      <c r="K491" s="120" t="s">
        <v>251</v>
      </c>
      <c r="L491" s="120" t="s">
        <v>251</v>
      </c>
      <c r="M491" s="120">
        <v>11.181816897221625</v>
      </c>
      <c r="N491" s="120" t="s">
        <v>251</v>
      </c>
      <c r="O491" s="120">
        <v>0</v>
      </c>
      <c r="P491" s="120">
        <v>0</v>
      </c>
      <c r="Q491" s="120">
        <v>0</v>
      </c>
      <c r="R491" s="120"/>
      <c r="S491" s="121"/>
    </row>
    <row r="492" spans="1:19" ht="15">
      <c r="A492" s="105">
        <v>3</v>
      </c>
      <c r="B492" s="129" t="str">
        <f t="shared" si="13"/>
        <v>562</v>
      </c>
      <c r="C492" s="107" t="s">
        <v>637</v>
      </c>
      <c r="D492" s="107" t="s">
        <v>500</v>
      </c>
      <c r="E492" s="120">
        <v>1521641.71</v>
      </c>
      <c r="F492" s="120" t="s">
        <v>251</v>
      </c>
      <c r="G492" s="120">
        <v>1374567.1208649292</v>
      </c>
      <c r="H492" s="120" t="s">
        <v>251</v>
      </c>
      <c r="I492" s="120">
        <v>147070.17696610096</v>
      </c>
      <c r="J492" s="120">
        <v>4.4121689698431314</v>
      </c>
      <c r="K492" s="120" t="s">
        <v>251</v>
      </c>
      <c r="L492" s="120" t="s">
        <v>251</v>
      </c>
      <c r="M492" s="120">
        <v>4.4121689698431314</v>
      </c>
      <c r="N492" s="120" t="s">
        <v>251</v>
      </c>
      <c r="O492" s="120">
        <v>0</v>
      </c>
      <c r="P492" s="120">
        <v>0</v>
      </c>
      <c r="Q492" s="120">
        <v>0</v>
      </c>
      <c r="R492" s="120"/>
      <c r="S492" s="121"/>
    </row>
    <row r="493" spans="1:19" ht="15">
      <c r="A493" s="105">
        <v>4</v>
      </c>
      <c r="B493" s="129" t="str">
        <f t="shared" si="13"/>
        <v>563</v>
      </c>
      <c r="C493" s="107" t="s">
        <v>638</v>
      </c>
      <c r="D493" s="107" t="s">
        <v>500</v>
      </c>
      <c r="E493" s="120">
        <v>851736.38999999908</v>
      </c>
      <c r="F493" s="120" t="s">
        <v>251</v>
      </c>
      <c r="G493" s="120">
        <v>769411.63589567167</v>
      </c>
      <c r="H493" s="120" t="s">
        <v>251</v>
      </c>
      <c r="I493" s="120">
        <v>82322.284400161341</v>
      </c>
      <c r="J493" s="120">
        <v>2.4697041660642984</v>
      </c>
      <c r="K493" s="120" t="s">
        <v>251</v>
      </c>
      <c r="L493" s="120" t="s">
        <v>251</v>
      </c>
      <c r="M493" s="120">
        <v>2.4697041660642984</v>
      </c>
      <c r="N493" s="120" t="s">
        <v>251</v>
      </c>
      <c r="O493" s="120">
        <v>0</v>
      </c>
      <c r="P493" s="120">
        <v>0</v>
      </c>
      <c r="Q493" s="120">
        <v>0</v>
      </c>
      <c r="R493" s="120"/>
      <c r="S493" s="121"/>
    </row>
    <row r="494" spans="1:19" ht="15">
      <c r="A494" s="105">
        <v>5</v>
      </c>
      <c r="B494" s="129" t="str">
        <f t="shared" si="13"/>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3"/>
        <v>565</v>
      </c>
      <c r="C495" s="107" t="s">
        <v>640</v>
      </c>
      <c r="D495" s="107" t="s">
        <v>500</v>
      </c>
      <c r="E495" s="120">
        <v>3742075.63</v>
      </c>
      <c r="F495" s="120" t="s">
        <v>251</v>
      </c>
      <c r="G495" s="120">
        <v>3380384.5484676654</v>
      </c>
      <c r="H495" s="120" t="s">
        <v>251</v>
      </c>
      <c r="I495" s="120">
        <v>361680.23096884857</v>
      </c>
      <c r="J495" s="120">
        <v>10.850563486125907</v>
      </c>
      <c r="K495" s="120" t="s">
        <v>251</v>
      </c>
      <c r="L495" s="120" t="s">
        <v>251</v>
      </c>
      <c r="M495" s="120">
        <v>10.850563486125907</v>
      </c>
      <c r="N495" s="120" t="s">
        <v>251</v>
      </c>
      <c r="O495" s="120">
        <v>0</v>
      </c>
      <c r="P495" s="120">
        <v>0</v>
      </c>
      <c r="Q495" s="120">
        <v>0</v>
      </c>
      <c r="R495" s="120"/>
      <c r="S495" s="121"/>
    </row>
    <row r="496" spans="1:19" ht="15">
      <c r="A496" s="105">
        <v>7</v>
      </c>
      <c r="B496" s="129" t="str">
        <f t="shared" si="13"/>
        <v>566</v>
      </c>
      <c r="C496" s="107" t="s">
        <v>641</v>
      </c>
      <c r="D496" s="107" t="s">
        <v>500</v>
      </c>
      <c r="E496" s="120">
        <v>16718867.629999999</v>
      </c>
      <c r="F496" s="120" t="s">
        <v>251</v>
      </c>
      <c r="G496" s="120">
        <v>15102902.076922538</v>
      </c>
      <c r="H496" s="120" t="s">
        <v>251</v>
      </c>
      <c r="I496" s="120">
        <v>1615917.0748657493</v>
      </c>
      <c r="J496" s="120">
        <v>48.478211712533025</v>
      </c>
      <c r="K496" s="120" t="s">
        <v>251</v>
      </c>
      <c r="L496" s="120" t="s">
        <v>251</v>
      </c>
      <c r="M496" s="120">
        <v>48.478211712533025</v>
      </c>
      <c r="N496" s="120" t="s">
        <v>251</v>
      </c>
      <c r="O496" s="120">
        <v>0</v>
      </c>
      <c r="P496" s="120">
        <v>0</v>
      </c>
      <c r="Q496" s="120">
        <v>0</v>
      </c>
      <c r="R496" s="120"/>
      <c r="S496" s="121"/>
    </row>
    <row r="497" spans="1:19" ht="15">
      <c r="A497" s="105">
        <v>8</v>
      </c>
      <c r="B497" s="129" t="str">
        <f t="shared" si="13"/>
        <v>567</v>
      </c>
      <c r="C497" s="107" t="s">
        <v>642</v>
      </c>
      <c r="D497" s="107" t="s">
        <v>500</v>
      </c>
      <c r="E497" s="120">
        <v>142716.83999999901</v>
      </c>
      <c r="F497" s="120" t="s">
        <v>251</v>
      </c>
      <c r="G497" s="120">
        <v>128922.51478683468</v>
      </c>
      <c r="H497" s="120" t="s">
        <v>251</v>
      </c>
      <c r="I497" s="120">
        <v>13793.911389851799</v>
      </c>
      <c r="J497" s="120">
        <v>0.41382331253397531</v>
      </c>
      <c r="K497" s="120" t="s">
        <v>251</v>
      </c>
      <c r="L497" s="120" t="s">
        <v>251</v>
      </c>
      <c r="M497" s="120">
        <v>0.41382331253397531</v>
      </c>
      <c r="N497" s="120" t="s">
        <v>251</v>
      </c>
      <c r="O497" s="120">
        <v>0</v>
      </c>
      <c r="P497" s="120">
        <v>0</v>
      </c>
      <c r="Q497" s="120">
        <v>0</v>
      </c>
      <c r="R497" s="120"/>
      <c r="S497" s="121"/>
    </row>
    <row r="498" spans="1:19" ht="15">
      <c r="A498" s="105">
        <v>9</v>
      </c>
      <c r="B498" s="129" t="str">
        <f t="shared" si="13"/>
        <v>575</v>
      </c>
      <c r="C498" s="107" t="s">
        <v>643</v>
      </c>
      <c r="D498" s="107" t="s">
        <v>500</v>
      </c>
      <c r="E498" s="120">
        <v>1548.61</v>
      </c>
      <c r="F498" s="120" t="s">
        <v>251</v>
      </c>
      <c r="G498" s="120">
        <v>1398.9287853069156</v>
      </c>
      <c r="H498" s="120" t="s">
        <v>251</v>
      </c>
      <c r="I498" s="120">
        <v>149.67672432656542</v>
      </c>
      <c r="J498" s="120">
        <v>4.4903665189282779E-3</v>
      </c>
      <c r="K498" s="120" t="s">
        <v>251</v>
      </c>
      <c r="L498" s="120" t="s">
        <v>251</v>
      </c>
      <c r="M498" s="120">
        <v>4.4903665189282779E-3</v>
      </c>
      <c r="N498" s="120" t="s">
        <v>251</v>
      </c>
      <c r="O498" s="120">
        <v>0</v>
      </c>
      <c r="P498" s="120">
        <v>0</v>
      </c>
      <c r="Q498" s="120">
        <v>0</v>
      </c>
      <c r="R498" s="120"/>
      <c r="S498" s="121"/>
    </row>
    <row r="499" spans="1:19" ht="15">
      <c r="A499" s="105">
        <v>10</v>
      </c>
      <c r="B499" s="129" t="str">
        <f t="shared" si="13"/>
        <v xml:space="preserve">  T</v>
      </c>
      <c r="C499" s="107" t="s">
        <v>644</v>
      </c>
      <c r="D499" s="107" t="s">
        <v>251</v>
      </c>
      <c r="E499" s="120">
        <v>28505086.859999999</v>
      </c>
      <c r="F499" s="120" t="s">
        <v>251</v>
      </c>
      <c r="G499" s="120">
        <v>25749921.888744049</v>
      </c>
      <c r="H499" s="120" t="s">
        <v>251</v>
      </c>
      <c r="I499" s="120">
        <v>2755082.3175938567</v>
      </c>
      <c r="J499" s="120">
        <v>82.653662093933505</v>
      </c>
      <c r="K499" s="120" t="s">
        <v>251</v>
      </c>
      <c r="L499" s="120" t="s">
        <v>251</v>
      </c>
      <c r="M499" s="120">
        <v>82.653662093933505</v>
      </c>
      <c r="N499" s="120" t="s">
        <v>251</v>
      </c>
      <c r="O499" s="120">
        <v>0</v>
      </c>
      <c r="P499" s="120">
        <v>0</v>
      </c>
      <c r="Q499" s="120">
        <v>0</v>
      </c>
      <c r="R499" s="120"/>
      <c r="S499" s="121"/>
    </row>
    <row r="500" spans="1:19" ht="15">
      <c r="A500" s="105">
        <v>11</v>
      </c>
      <c r="B500" s="129" t="str">
        <f t="shared" si="13"/>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3"/>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3"/>
        <v>570</v>
      </c>
      <c r="C502" s="107" t="s">
        <v>647</v>
      </c>
      <c r="D502" s="107" t="s">
        <v>500</v>
      </c>
      <c r="E502" s="120">
        <v>1743687.3599999901</v>
      </c>
      <c r="F502" s="120" t="s">
        <v>251</v>
      </c>
      <c r="G502" s="120">
        <v>1575150.9033777444</v>
      </c>
      <c r="H502" s="120" t="s">
        <v>251</v>
      </c>
      <c r="I502" s="120">
        <v>168531.40060727694</v>
      </c>
      <c r="J502" s="120">
        <v>5.0560149687929137</v>
      </c>
      <c r="K502" s="120" t="s">
        <v>251</v>
      </c>
      <c r="L502" s="120" t="s">
        <v>251</v>
      </c>
      <c r="M502" s="120">
        <v>5.0560149687929137</v>
      </c>
      <c r="N502" s="120" t="s">
        <v>251</v>
      </c>
      <c r="O502" s="120">
        <v>0</v>
      </c>
      <c r="P502" s="120">
        <v>0</v>
      </c>
      <c r="Q502" s="120">
        <v>0</v>
      </c>
      <c r="R502" s="120"/>
      <c r="S502" s="121"/>
    </row>
    <row r="503" spans="1:19" ht="15">
      <c r="A503" s="105">
        <v>14</v>
      </c>
      <c r="B503" s="129" t="str">
        <f t="shared" si="13"/>
        <v>571</v>
      </c>
      <c r="C503" s="107" t="s">
        <v>648</v>
      </c>
      <c r="D503" s="107" t="s">
        <v>500</v>
      </c>
      <c r="E503" s="120">
        <v>13199135.630000001</v>
      </c>
      <c r="F503" s="120" t="s">
        <v>251</v>
      </c>
      <c r="G503" s="120">
        <v>11930754.12756148</v>
      </c>
      <c r="H503" s="120" t="s">
        <v>251</v>
      </c>
      <c r="I503" s="120">
        <v>1268343.4515859578</v>
      </c>
      <c r="J503" s="120">
        <v>38.050852563271107</v>
      </c>
      <c r="K503" s="120" t="s">
        <v>251</v>
      </c>
      <c r="L503" s="120" t="s">
        <v>251</v>
      </c>
      <c r="M503" s="120">
        <v>38.050852563271107</v>
      </c>
      <c r="N503" s="120" t="s">
        <v>251</v>
      </c>
      <c r="O503" s="120">
        <v>0</v>
      </c>
      <c r="P503" s="120">
        <v>0</v>
      </c>
      <c r="Q503" s="120">
        <v>0</v>
      </c>
      <c r="R503" s="120"/>
      <c r="S503" s="121"/>
    </row>
    <row r="504" spans="1:19" ht="15">
      <c r="A504" s="105">
        <v>15</v>
      </c>
      <c r="B504" s="129" t="str">
        <f t="shared" si="13"/>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3"/>
        <v>573</v>
      </c>
      <c r="C505" s="107" t="s">
        <v>650</v>
      </c>
      <c r="D505" s="107" t="s">
        <v>500</v>
      </c>
      <c r="E505" s="120">
        <v>358106.95</v>
      </c>
      <c r="F505" s="120" t="s">
        <v>251</v>
      </c>
      <c r="G505" s="120">
        <v>323494.04987276619</v>
      </c>
      <c r="H505" s="120" t="s">
        <v>251</v>
      </c>
      <c r="I505" s="120">
        <v>34611.861756399063</v>
      </c>
      <c r="J505" s="120">
        <v>1.0383708347973493</v>
      </c>
      <c r="K505" s="120" t="s">
        <v>251</v>
      </c>
      <c r="L505" s="120" t="s">
        <v>251</v>
      </c>
      <c r="M505" s="120">
        <v>1.0383708347973493</v>
      </c>
      <c r="N505" s="120" t="s">
        <v>251</v>
      </c>
      <c r="O505" s="120">
        <v>0</v>
      </c>
      <c r="P505" s="120">
        <v>0</v>
      </c>
      <c r="Q505" s="120">
        <v>0</v>
      </c>
      <c r="R505" s="120"/>
      <c r="S505" s="121"/>
    </row>
    <row r="506" spans="1:19" ht="15">
      <c r="A506" s="105">
        <v>17</v>
      </c>
      <c r="B506" s="129" t="str">
        <f t="shared" si="13"/>
        <v xml:space="preserve">  T</v>
      </c>
      <c r="C506" s="107" t="s">
        <v>651</v>
      </c>
      <c r="D506" s="107" t="s">
        <v>251</v>
      </c>
      <c r="E506" s="120">
        <v>15300929.93999999</v>
      </c>
      <c r="F506" s="120" t="s">
        <v>251</v>
      </c>
      <c r="G506" s="120">
        <v>13829399.08081199</v>
      </c>
      <c r="H506" s="120" t="s">
        <v>251</v>
      </c>
      <c r="I506" s="120">
        <v>1471486.7139496338</v>
      </c>
      <c r="J506" s="120">
        <v>44.145238366861371</v>
      </c>
      <c r="K506" s="120" t="s">
        <v>251</v>
      </c>
      <c r="L506" s="120" t="s">
        <v>251</v>
      </c>
      <c r="M506" s="120">
        <v>44.145238366861371</v>
      </c>
      <c r="N506" s="120" t="s">
        <v>251</v>
      </c>
      <c r="O506" s="120">
        <v>0</v>
      </c>
      <c r="P506" s="120">
        <v>0</v>
      </c>
      <c r="Q506" s="120">
        <v>0</v>
      </c>
      <c r="R506" s="120"/>
      <c r="S506" s="121"/>
    </row>
    <row r="507" spans="1:19" ht="15">
      <c r="A507" s="105" t="s">
        <v>251</v>
      </c>
      <c r="B507" s="129" t="str">
        <f t="shared" si="13"/>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3"/>
        <v>TAL</v>
      </c>
      <c r="C508" s="107" t="s">
        <v>652</v>
      </c>
      <c r="D508" s="107" t="s">
        <v>251</v>
      </c>
      <c r="E508" s="120">
        <v>43806016.799999997</v>
      </c>
      <c r="F508" s="120" t="s">
        <v>251</v>
      </c>
      <c r="G508" s="120">
        <v>39579320.969556041</v>
      </c>
      <c r="H508" s="120" t="s">
        <v>251</v>
      </c>
      <c r="I508" s="120">
        <v>4226569.0315434905</v>
      </c>
      <c r="J508" s="120">
        <v>126.79890046079487</v>
      </c>
      <c r="K508" s="120" t="s">
        <v>251</v>
      </c>
      <c r="L508" s="120" t="s">
        <v>251</v>
      </c>
      <c r="M508" s="120">
        <v>126.79890046079487</v>
      </c>
      <c r="N508" s="120" t="s">
        <v>251</v>
      </c>
      <c r="O508" s="120">
        <v>0</v>
      </c>
      <c r="P508" s="120">
        <v>0</v>
      </c>
      <c r="Q508" s="120">
        <v>0</v>
      </c>
      <c r="R508" s="120"/>
      <c r="S508" s="121"/>
    </row>
    <row r="509" spans="1:19" ht="15">
      <c r="A509" s="105" t="s">
        <v>251</v>
      </c>
      <c r="B509" s="129" t="str">
        <f t="shared" si="13"/>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3"/>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3"/>
        <v>580</v>
      </c>
      <c r="C511" s="107" t="s">
        <v>654</v>
      </c>
      <c r="D511" s="107" t="s">
        <v>502</v>
      </c>
      <c r="E511" s="120">
        <v>1925239.65</v>
      </c>
      <c r="F511" s="120" t="s">
        <v>251</v>
      </c>
      <c r="G511" s="120">
        <v>1824607.6979412215</v>
      </c>
      <c r="H511" s="120" t="s">
        <v>251</v>
      </c>
      <c r="I511" s="120">
        <v>96065.058427245851</v>
      </c>
      <c r="J511" s="120">
        <v>4566.8936315324872</v>
      </c>
      <c r="K511" s="120" t="s">
        <v>251</v>
      </c>
      <c r="L511" s="120" t="s">
        <v>251</v>
      </c>
      <c r="M511" s="120">
        <v>658.13069089962585</v>
      </c>
      <c r="N511" s="120" t="s">
        <v>251</v>
      </c>
      <c r="O511" s="120">
        <v>3908.7629406328615</v>
      </c>
      <c r="P511" s="120">
        <v>3634.1176031187561</v>
      </c>
      <c r="Q511" s="120">
        <v>274.64533751410539</v>
      </c>
      <c r="R511" s="120"/>
      <c r="S511" s="121"/>
    </row>
    <row r="512" spans="1:19" ht="15">
      <c r="A512" s="105">
        <v>20</v>
      </c>
      <c r="B512" s="129" t="str">
        <f t="shared" si="13"/>
        <v>581</v>
      </c>
      <c r="C512" s="107" t="s">
        <v>655</v>
      </c>
      <c r="D512" s="107" t="s">
        <v>656</v>
      </c>
      <c r="E512" s="120">
        <v>374704.98</v>
      </c>
      <c r="F512" s="120" t="s">
        <v>251</v>
      </c>
      <c r="G512" s="120">
        <v>355665.09833539632</v>
      </c>
      <c r="H512" s="120" t="s">
        <v>251</v>
      </c>
      <c r="I512" s="120">
        <v>13264.986332231789</v>
      </c>
      <c r="J512" s="120">
        <v>5774.8953323718624</v>
      </c>
      <c r="K512" s="120" t="s">
        <v>251</v>
      </c>
      <c r="L512" s="120" t="s">
        <v>251</v>
      </c>
      <c r="M512" s="120">
        <v>779.44467872781092</v>
      </c>
      <c r="N512" s="120" t="s">
        <v>251</v>
      </c>
      <c r="O512" s="120">
        <v>4995.4506536440513</v>
      </c>
      <c r="P512" s="120">
        <v>4995.4506536440513</v>
      </c>
      <c r="Q512" s="120">
        <v>0</v>
      </c>
      <c r="R512" s="120"/>
      <c r="S512" s="121"/>
    </row>
    <row r="513" spans="1:19" ht="15">
      <c r="A513" s="105">
        <v>21</v>
      </c>
      <c r="B513" s="129" t="str">
        <f t="shared" ref="B513:B576" si="14">MID(C513,3,3)</f>
        <v>582</v>
      </c>
      <c r="C513" s="107" t="s">
        <v>657</v>
      </c>
      <c r="D513" s="107" t="s">
        <v>656</v>
      </c>
      <c r="E513" s="120">
        <v>1857209.47</v>
      </c>
      <c r="F513" s="120" t="s">
        <v>251</v>
      </c>
      <c r="G513" s="120">
        <v>1762839.0975134072</v>
      </c>
      <c r="H513" s="120" t="s">
        <v>251</v>
      </c>
      <c r="I513" s="120">
        <v>65747.346714317609</v>
      </c>
      <c r="J513" s="120">
        <v>28623.025772275087</v>
      </c>
      <c r="K513" s="120" t="s">
        <v>251</v>
      </c>
      <c r="L513" s="120" t="s">
        <v>251</v>
      </c>
      <c r="M513" s="120">
        <v>3863.2847598513317</v>
      </c>
      <c r="N513" s="120" t="s">
        <v>251</v>
      </c>
      <c r="O513" s="120">
        <v>24759.741012423754</v>
      </c>
      <c r="P513" s="120">
        <v>24759.741012423754</v>
      </c>
      <c r="Q513" s="120">
        <v>0</v>
      </c>
      <c r="R513" s="120"/>
      <c r="S513" s="121"/>
    </row>
    <row r="514" spans="1:19" ht="15">
      <c r="A514" s="105">
        <v>22</v>
      </c>
      <c r="B514" s="129" t="str">
        <f t="shared" si="14"/>
        <v>583</v>
      </c>
      <c r="C514" s="107" t="s">
        <v>658</v>
      </c>
      <c r="D514" s="107" t="s">
        <v>659</v>
      </c>
      <c r="E514" s="120">
        <v>6001576.080000001</v>
      </c>
      <c r="F514" s="120" t="s">
        <v>251</v>
      </c>
      <c r="G514" s="120">
        <v>5574600.166234524</v>
      </c>
      <c r="H514" s="120" t="s">
        <v>251</v>
      </c>
      <c r="I514" s="120">
        <v>426285.90437902836</v>
      </c>
      <c r="J514" s="120">
        <v>690.0093864488922</v>
      </c>
      <c r="K514" s="120" t="s">
        <v>251</v>
      </c>
      <c r="L514" s="120" t="s">
        <v>251</v>
      </c>
      <c r="M514" s="120">
        <v>690.0093864488922</v>
      </c>
      <c r="N514" s="120" t="s">
        <v>251</v>
      </c>
      <c r="O514" s="120">
        <v>0</v>
      </c>
      <c r="P514" s="120">
        <v>0</v>
      </c>
      <c r="Q514" s="120">
        <v>0</v>
      </c>
      <c r="R514" s="120"/>
      <c r="S514" s="121"/>
    </row>
    <row r="515" spans="1:19" ht="15">
      <c r="A515" s="105">
        <v>23</v>
      </c>
      <c r="B515" s="129" t="str">
        <f t="shared" si="14"/>
        <v>584</v>
      </c>
      <c r="C515" s="107" t="s">
        <v>660</v>
      </c>
      <c r="D515" s="107" t="s">
        <v>661</v>
      </c>
      <c r="E515" s="120">
        <v>169</v>
      </c>
      <c r="F515" s="120" t="s">
        <v>251</v>
      </c>
      <c r="G515" s="120">
        <v>165.23391914873727</v>
      </c>
      <c r="H515" s="120" t="s">
        <v>251</v>
      </c>
      <c r="I515" s="120">
        <v>3.7660808512627217</v>
      </c>
      <c r="J515" s="120">
        <v>0</v>
      </c>
      <c r="K515" s="120" t="s">
        <v>251</v>
      </c>
      <c r="L515" s="120" t="s">
        <v>251</v>
      </c>
      <c r="M515" s="120">
        <v>0</v>
      </c>
      <c r="N515" s="120" t="s">
        <v>251</v>
      </c>
      <c r="O515" s="120">
        <v>0</v>
      </c>
      <c r="P515" s="120">
        <v>0</v>
      </c>
      <c r="Q515" s="120">
        <v>0</v>
      </c>
      <c r="R515" s="120"/>
      <c r="S515" s="121"/>
    </row>
    <row r="516" spans="1:19" ht="15">
      <c r="A516" s="105">
        <v>24</v>
      </c>
      <c r="B516" s="129" t="str">
        <f t="shared" si="14"/>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4"/>
        <v>586</v>
      </c>
      <c r="C517" s="107" t="s">
        <v>664</v>
      </c>
      <c r="D517" s="107" t="s">
        <v>665</v>
      </c>
      <c r="E517" s="120">
        <v>8206644.8499999996</v>
      </c>
      <c r="F517" s="120" t="s">
        <v>251</v>
      </c>
      <c r="G517" s="120">
        <v>7788465.0483443877</v>
      </c>
      <c r="H517" s="120" t="s">
        <v>251</v>
      </c>
      <c r="I517" s="120">
        <v>383185.5861627488</v>
      </c>
      <c r="J517" s="120">
        <v>34994.215492863055</v>
      </c>
      <c r="K517" s="120" t="s">
        <v>251</v>
      </c>
      <c r="L517" s="120" t="s">
        <v>251</v>
      </c>
      <c r="M517" s="120">
        <v>425.28281286833209</v>
      </c>
      <c r="N517" s="120" t="s">
        <v>251</v>
      </c>
      <c r="O517" s="120">
        <v>34568.932679994723</v>
      </c>
      <c r="P517" s="120">
        <v>6396.3427912215038</v>
      </c>
      <c r="Q517" s="120">
        <v>28172.589888773222</v>
      </c>
      <c r="R517" s="120"/>
      <c r="S517" s="121"/>
    </row>
    <row r="518" spans="1:19" ht="15">
      <c r="A518" s="105">
        <v>26</v>
      </c>
      <c r="B518" s="129" t="str">
        <f t="shared" si="14"/>
        <v>587</v>
      </c>
      <c r="C518" s="107" t="s">
        <v>666</v>
      </c>
      <c r="D518" s="107" t="s">
        <v>663</v>
      </c>
      <c r="E518" s="120">
        <v>205.43</v>
      </c>
      <c r="F518" s="120" t="s">
        <v>251</v>
      </c>
      <c r="G518" s="120">
        <v>199.27717172483719</v>
      </c>
      <c r="H518" s="120" t="s">
        <v>251</v>
      </c>
      <c r="I518" s="120">
        <v>6.1528282751628263</v>
      </c>
      <c r="J518" s="120">
        <v>0</v>
      </c>
      <c r="K518" s="120" t="s">
        <v>251</v>
      </c>
      <c r="L518" s="120" t="s">
        <v>251</v>
      </c>
      <c r="M518" s="120">
        <v>0</v>
      </c>
      <c r="N518" s="120" t="s">
        <v>251</v>
      </c>
      <c r="O518" s="120">
        <v>0</v>
      </c>
      <c r="P518" s="120">
        <v>0</v>
      </c>
      <c r="Q518" s="120">
        <v>0</v>
      </c>
      <c r="R518" s="120"/>
      <c r="S518" s="121"/>
    </row>
    <row r="519" spans="1:19" ht="15">
      <c r="A519" s="105">
        <v>27</v>
      </c>
      <c r="B519" s="129" t="str">
        <f t="shared" si="14"/>
        <v>588</v>
      </c>
      <c r="C519" s="107" t="s">
        <v>668</v>
      </c>
      <c r="D519" s="107" t="s">
        <v>502</v>
      </c>
      <c r="E519" s="120">
        <v>7161824.1200000001</v>
      </c>
      <c r="F519" s="120" t="s">
        <v>251</v>
      </c>
      <c r="G519" s="120">
        <v>6787476.7801780496</v>
      </c>
      <c r="H519" s="120" t="s">
        <v>251</v>
      </c>
      <c r="I519" s="120">
        <v>357358.65534114605</v>
      </c>
      <c r="J519" s="120">
        <v>16988.684480804124</v>
      </c>
      <c r="K519" s="120" t="s">
        <v>251</v>
      </c>
      <c r="L519" s="120" t="s">
        <v>251</v>
      </c>
      <c r="M519" s="120">
        <v>2448.2231374141938</v>
      </c>
      <c r="N519" s="120" t="s">
        <v>251</v>
      </c>
      <c r="O519" s="120">
        <v>14540.46134338993</v>
      </c>
      <c r="P519" s="120">
        <v>13518.79029965568</v>
      </c>
      <c r="Q519" s="120">
        <v>1021.6710437342495</v>
      </c>
      <c r="R519" s="120"/>
      <c r="S519" s="121"/>
    </row>
    <row r="520" spans="1:19" ht="15">
      <c r="A520" s="105">
        <v>28</v>
      </c>
      <c r="B520" s="129" t="str">
        <f t="shared" si="14"/>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4"/>
        <v xml:space="preserve">  T</v>
      </c>
      <c r="C521" s="107" t="s">
        <v>670</v>
      </c>
      <c r="D521" s="107" t="s">
        <v>251</v>
      </c>
      <c r="E521" s="120">
        <v>25527573.579999994</v>
      </c>
      <c r="F521" s="120" t="s">
        <v>251</v>
      </c>
      <c r="G521" s="120">
        <v>24094018.399637856</v>
      </c>
      <c r="H521" s="120" t="s">
        <v>251</v>
      </c>
      <c r="I521" s="120">
        <v>1341917.4562658449</v>
      </c>
      <c r="J521" s="120">
        <v>91637.724096295511</v>
      </c>
      <c r="K521" s="120" t="s">
        <v>251</v>
      </c>
      <c r="L521" s="120" t="s">
        <v>251</v>
      </c>
      <c r="M521" s="120">
        <v>8864.3754662101874</v>
      </c>
      <c r="N521" s="120" t="s">
        <v>251</v>
      </c>
      <c r="O521" s="120">
        <v>82773.348630085326</v>
      </c>
      <c r="P521" s="120">
        <v>53304.442360063746</v>
      </c>
      <c r="Q521" s="120">
        <v>29468.906270021576</v>
      </c>
      <c r="R521" s="120"/>
      <c r="S521" s="121"/>
    </row>
    <row r="522" spans="1:19" ht="15">
      <c r="A522" s="105">
        <v>30</v>
      </c>
      <c r="B522" s="129" t="str">
        <f t="shared" si="14"/>
        <v>590</v>
      </c>
      <c r="C522" s="107" t="s">
        <v>671</v>
      </c>
      <c r="D522" s="107" t="s">
        <v>502</v>
      </c>
      <c r="E522" s="120">
        <v>32556.539999999997</v>
      </c>
      <c r="F522" s="120" t="s">
        <v>251</v>
      </c>
      <c r="G522" s="120">
        <v>30854.81514071835</v>
      </c>
      <c r="H522" s="120" t="s">
        <v>251</v>
      </c>
      <c r="I522" s="120">
        <v>1624.4969384922895</v>
      </c>
      <c r="J522" s="120">
        <v>77.22792078935872</v>
      </c>
      <c r="K522" s="120" t="s">
        <v>251</v>
      </c>
      <c r="L522" s="120" t="s">
        <v>251</v>
      </c>
      <c r="M522" s="120">
        <v>11.129242099029751</v>
      </c>
      <c r="N522" s="120" t="s">
        <v>251</v>
      </c>
      <c r="O522" s="120">
        <v>66.098678690328967</v>
      </c>
      <c r="P522" s="120">
        <v>61.454320822158387</v>
      </c>
      <c r="Q522" s="120">
        <v>4.6443578681705802</v>
      </c>
      <c r="R522" s="120"/>
      <c r="S522" s="121"/>
    </row>
    <row r="523" spans="1:19" ht="15">
      <c r="A523" s="105">
        <v>31</v>
      </c>
      <c r="B523" s="129" t="str">
        <f t="shared" si="14"/>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4"/>
        <v>592</v>
      </c>
      <c r="C524" s="107" t="s">
        <v>673</v>
      </c>
      <c r="D524" s="107" t="s">
        <v>656</v>
      </c>
      <c r="E524" s="120">
        <v>1299273.6399999999</v>
      </c>
      <c r="F524" s="120" t="s">
        <v>251</v>
      </c>
      <c r="G524" s="120">
        <v>1233253.6571443174</v>
      </c>
      <c r="H524" s="120" t="s">
        <v>251</v>
      </c>
      <c r="I524" s="120">
        <v>45995.778002280742</v>
      </c>
      <c r="J524" s="120">
        <v>20024.204853401734</v>
      </c>
      <c r="K524" s="120" t="s">
        <v>251</v>
      </c>
      <c r="L524" s="120" t="s">
        <v>251</v>
      </c>
      <c r="M524" s="120">
        <v>2702.6913944653566</v>
      </c>
      <c r="N524" s="120" t="s">
        <v>251</v>
      </c>
      <c r="O524" s="120">
        <v>17321.513458936377</v>
      </c>
      <c r="P524" s="120">
        <v>17321.513458936377</v>
      </c>
      <c r="Q524" s="120">
        <v>0</v>
      </c>
      <c r="R524" s="120"/>
      <c r="S524" s="121"/>
    </row>
    <row r="525" spans="1:19" ht="15">
      <c r="A525" s="105">
        <v>33</v>
      </c>
      <c r="B525" s="129" t="str">
        <f t="shared" si="14"/>
        <v>593</v>
      </c>
      <c r="C525" s="107" t="s">
        <v>674</v>
      </c>
      <c r="D525" s="107" t="s">
        <v>659</v>
      </c>
      <c r="E525" s="120">
        <v>32995564.180000007</v>
      </c>
      <c r="F525" s="120" t="s">
        <v>251</v>
      </c>
      <c r="G525" s="120">
        <v>31065518.90509484</v>
      </c>
      <c r="H525" s="120" t="s">
        <v>251</v>
      </c>
      <c r="I525" s="120">
        <v>1926926.2480162443</v>
      </c>
      <c r="J525" s="120">
        <v>3119.0268889204344</v>
      </c>
      <c r="K525" s="120" t="s">
        <v>251</v>
      </c>
      <c r="L525" s="120" t="s">
        <v>251</v>
      </c>
      <c r="M525" s="120">
        <v>3119.0268889204344</v>
      </c>
      <c r="N525" s="120" t="s">
        <v>251</v>
      </c>
      <c r="O525" s="120">
        <v>0</v>
      </c>
      <c r="P525" s="120">
        <v>0</v>
      </c>
      <c r="Q525" s="120">
        <v>0</v>
      </c>
      <c r="R525" s="120"/>
      <c r="S525" s="121"/>
    </row>
    <row r="526" spans="1:19" ht="15">
      <c r="A526" s="105">
        <v>34</v>
      </c>
      <c r="B526" s="129" t="str">
        <f t="shared" si="14"/>
        <v>594</v>
      </c>
      <c r="C526" s="107" t="s">
        <v>675</v>
      </c>
      <c r="D526" s="107" t="s">
        <v>661</v>
      </c>
      <c r="E526" s="120">
        <v>550815.55000000005</v>
      </c>
      <c r="F526" s="120" t="s">
        <v>251</v>
      </c>
      <c r="G526" s="120">
        <v>538540.89973116724</v>
      </c>
      <c r="H526" s="120" t="s">
        <v>251</v>
      </c>
      <c r="I526" s="120">
        <v>12274.650268832807</v>
      </c>
      <c r="J526" s="120">
        <v>0</v>
      </c>
      <c r="K526" s="120" t="s">
        <v>251</v>
      </c>
      <c r="L526" s="120" t="s">
        <v>251</v>
      </c>
      <c r="M526" s="120">
        <v>0</v>
      </c>
      <c r="N526" s="120" t="s">
        <v>251</v>
      </c>
      <c r="O526" s="120">
        <v>0</v>
      </c>
      <c r="P526" s="120">
        <v>0</v>
      </c>
      <c r="Q526" s="120">
        <v>0</v>
      </c>
      <c r="R526" s="120"/>
      <c r="S526" s="121"/>
    </row>
    <row r="527" spans="1:19" ht="15">
      <c r="A527" s="105">
        <v>35</v>
      </c>
      <c r="B527" s="129" t="str">
        <f t="shared" si="14"/>
        <v>595</v>
      </c>
      <c r="C527" s="107" t="s">
        <v>676</v>
      </c>
      <c r="D527" s="107" t="s">
        <v>677</v>
      </c>
      <c r="E527" s="120">
        <v>148153.38000000003</v>
      </c>
      <c r="F527" s="120" t="s">
        <v>251</v>
      </c>
      <c r="G527" s="120">
        <v>143026.51666917821</v>
      </c>
      <c r="H527" s="120" t="s">
        <v>251</v>
      </c>
      <c r="I527" s="120">
        <v>5125.4268560725804</v>
      </c>
      <c r="J527" s="120">
        <v>1.4364747492420704</v>
      </c>
      <c r="K527" s="120" t="s">
        <v>251</v>
      </c>
      <c r="L527" s="120" t="s">
        <v>251</v>
      </c>
      <c r="M527" s="120">
        <v>1.4364747492420704</v>
      </c>
      <c r="N527" s="120" t="s">
        <v>251</v>
      </c>
      <c r="O527" s="120">
        <v>0</v>
      </c>
      <c r="P527" s="120">
        <v>0</v>
      </c>
      <c r="Q527" s="120">
        <v>0</v>
      </c>
      <c r="R527" s="120"/>
      <c r="S527" s="121"/>
    </row>
    <row r="528" spans="1:19" ht="15">
      <c r="A528" s="105">
        <v>36</v>
      </c>
      <c r="B528" s="129" t="str">
        <f t="shared" si="14"/>
        <v>596</v>
      </c>
      <c r="C528" s="107" t="s">
        <v>678</v>
      </c>
      <c r="D528" s="107" t="s">
        <v>663</v>
      </c>
      <c r="E528" s="120">
        <v>8</v>
      </c>
      <c r="F528" s="120" t="s">
        <v>251</v>
      </c>
      <c r="G528" s="120">
        <v>7.7603922202146594</v>
      </c>
      <c r="H528" s="120" t="s">
        <v>251</v>
      </c>
      <c r="I528" s="120">
        <v>0.23960777978534104</v>
      </c>
      <c r="J528" s="120">
        <v>0</v>
      </c>
      <c r="K528" s="120" t="s">
        <v>251</v>
      </c>
      <c r="L528" s="120" t="s">
        <v>251</v>
      </c>
      <c r="M528" s="120">
        <v>0</v>
      </c>
      <c r="N528" s="120" t="s">
        <v>251</v>
      </c>
      <c r="O528" s="120">
        <v>0</v>
      </c>
      <c r="P528" s="120">
        <v>0</v>
      </c>
      <c r="Q528" s="120">
        <v>0</v>
      </c>
      <c r="R528" s="120"/>
      <c r="S528" s="121"/>
    </row>
    <row r="529" spans="1:19" ht="15">
      <c r="A529" s="105">
        <v>37</v>
      </c>
      <c r="B529" s="129" t="str">
        <f t="shared" si="14"/>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4"/>
        <v>598</v>
      </c>
      <c r="C530" s="107" t="s">
        <v>680</v>
      </c>
      <c r="D530" s="107" t="s">
        <v>502</v>
      </c>
      <c r="E530" s="120">
        <v>281952.46999999997</v>
      </c>
      <c r="F530" s="120" t="s">
        <v>251</v>
      </c>
      <c r="G530" s="120">
        <v>267214.86190851167</v>
      </c>
      <c r="H530" s="120" t="s">
        <v>251</v>
      </c>
      <c r="I530" s="120">
        <v>14068.783854652216</v>
      </c>
      <c r="J530" s="120">
        <v>668.82423683610227</v>
      </c>
      <c r="K530" s="120" t="s">
        <v>251</v>
      </c>
      <c r="L530" s="120" t="s">
        <v>251</v>
      </c>
      <c r="M530" s="120">
        <v>96.38362366054325</v>
      </c>
      <c r="N530" s="120" t="s">
        <v>251</v>
      </c>
      <c r="O530" s="120">
        <v>572.44061317555906</v>
      </c>
      <c r="P530" s="120">
        <v>532.21864325815909</v>
      </c>
      <c r="Q530" s="120">
        <v>40.221969917399981</v>
      </c>
      <c r="R530" s="120"/>
      <c r="S530" s="121"/>
    </row>
    <row r="531" spans="1:19" ht="15">
      <c r="A531" s="105">
        <v>39</v>
      </c>
      <c r="B531" s="129" t="str">
        <f t="shared" si="14"/>
        <v xml:space="preserve">  T</v>
      </c>
      <c r="C531" s="107" t="s">
        <v>681</v>
      </c>
      <c r="D531" s="107" t="s">
        <v>251</v>
      </c>
      <c r="E531" s="120">
        <v>35308323.759999998</v>
      </c>
      <c r="F531" s="120" t="s">
        <v>251</v>
      </c>
      <c r="G531" s="120">
        <v>33278417.416080948</v>
      </c>
      <c r="H531" s="120" t="s">
        <v>251</v>
      </c>
      <c r="I531" s="120">
        <v>2006015.6235443547</v>
      </c>
      <c r="J531" s="120">
        <v>23890.72037469687</v>
      </c>
      <c r="K531" s="120" t="s">
        <v>251</v>
      </c>
      <c r="L531" s="120" t="s">
        <v>251</v>
      </c>
      <c r="M531" s="120">
        <v>5930.6676238946056</v>
      </c>
      <c r="N531" s="120" t="s">
        <v>251</v>
      </c>
      <c r="O531" s="120">
        <v>17960.052750802264</v>
      </c>
      <c r="P531" s="120">
        <v>17915.186423016694</v>
      </c>
      <c r="Q531" s="120">
        <v>44.866327785570562</v>
      </c>
      <c r="R531" s="120"/>
      <c r="S531" s="121"/>
    </row>
    <row r="532" spans="1:19" ht="15">
      <c r="A532" s="105" t="s">
        <v>251</v>
      </c>
      <c r="B532" s="129" t="str">
        <f t="shared" si="14"/>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4"/>
        <v>TAL</v>
      </c>
      <c r="C533" s="107" t="s">
        <v>682</v>
      </c>
      <c r="D533" s="107" t="s">
        <v>251</v>
      </c>
      <c r="E533" s="120">
        <v>60835897.339999996</v>
      </c>
      <c r="F533" s="120" t="s">
        <v>251</v>
      </c>
      <c r="G533" s="120">
        <v>57372435.8157188</v>
      </c>
      <c r="H533" s="120" t="s">
        <v>251</v>
      </c>
      <c r="I533" s="120">
        <v>3347933.0798101993</v>
      </c>
      <c r="J533" s="120">
        <v>115528.44447099237</v>
      </c>
      <c r="K533" s="120" t="s">
        <v>251</v>
      </c>
      <c r="L533" s="120" t="s">
        <v>251</v>
      </c>
      <c r="M533" s="120">
        <v>14795.043090104793</v>
      </c>
      <c r="N533" s="120" t="s">
        <v>251</v>
      </c>
      <c r="O533" s="120">
        <v>100733.40138088758</v>
      </c>
      <c r="P533" s="120">
        <v>71219.628783080436</v>
      </c>
      <c r="Q533" s="120">
        <v>29513.772597807147</v>
      </c>
      <c r="R533" s="120"/>
      <c r="S533" s="121"/>
    </row>
    <row r="534" spans="1:19" ht="15">
      <c r="A534" s="105" t="s">
        <v>251</v>
      </c>
      <c r="B534" s="129" t="str">
        <f t="shared" si="14"/>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4"/>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4"/>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4"/>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4"/>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4"/>
        <v>901</v>
      </c>
      <c r="C539" s="107" t="s">
        <v>684</v>
      </c>
      <c r="D539" s="107" t="s">
        <v>685</v>
      </c>
      <c r="E539" s="120">
        <v>4283076.95</v>
      </c>
      <c r="F539" s="120" t="s">
        <v>251</v>
      </c>
      <c r="G539" s="120">
        <v>4066502.8338429593</v>
      </c>
      <c r="H539" s="120" t="s">
        <v>251</v>
      </c>
      <c r="I539" s="120">
        <v>212668.72753474329</v>
      </c>
      <c r="J539" s="120">
        <v>3905.3886222976498</v>
      </c>
      <c r="K539" s="120" t="s">
        <v>251</v>
      </c>
      <c r="L539" s="120" t="s">
        <v>251</v>
      </c>
      <c r="M539" s="120">
        <v>28.218125883653542</v>
      </c>
      <c r="N539" s="120" t="s">
        <v>251</v>
      </c>
      <c r="O539" s="120">
        <v>3877.1704964139963</v>
      </c>
      <c r="P539" s="120">
        <v>2009.1305629161322</v>
      </c>
      <c r="Q539" s="120">
        <v>1868.0399334978642</v>
      </c>
      <c r="R539" s="120"/>
      <c r="S539" s="121"/>
    </row>
    <row r="540" spans="1:19" ht="15">
      <c r="A540" s="105">
        <v>2</v>
      </c>
      <c r="B540" s="129" t="str">
        <f t="shared" si="14"/>
        <v>902</v>
      </c>
      <c r="C540" s="107" t="s">
        <v>686</v>
      </c>
      <c r="D540" s="107" t="s">
        <v>687</v>
      </c>
      <c r="E540" s="120">
        <v>5530868.3600000013</v>
      </c>
      <c r="F540" s="120" t="s">
        <v>251</v>
      </c>
      <c r="G540" s="120">
        <v>5251199.5750046847</v>
      </c>
      <c r="H540" s="120" t="s">
        <v>251</v>
      </c>
      <c r="I540" s="120">
        <v>274625.63713298982</v>
      </c>
      <c r="J540" s="120">
        <v>5043.1478623259545</v>
      </c>
      <c r="K540" s="120" t="s">
        <v>251</v>
      </c>
      <c r="L540" s="120" t="s">
        <v>251</v>
      </c>
      <c r="M540" s="120">
        <v>36.438929641083483</v>
      </c>
      <c r="N540" s="120" t="s">
        <v>251</v>
      </c>
      <c r="O540" s="120">
        <v>5006.7089326848709</v>
      </c>
      <c r="P540" s="120">
        <v>2594.4517904451441</v>
      </c>
      <c r="Q540" s="120">
        <v>2412.2571422397264</v>
      </c>
      <c r="R540" s="120"/>
      <c r="S540" s="121"/>
    </row>
    <row r="541" spans="1:19" ht="15">
      <c r="A541" s="105">
        <v>3</v>
      </c>
      <c r="B541" s="129" t="str">
        <f t="shared" si="14"/>
        <v>903</v>
      </c>
      <c r="C541" s="107" t="s">
        <v>688</v>
      </c>
      <c r="D541" s="107" t="s">
        <v>689</v>
      </c>
      <c r="E541" s="120">
        <v>19915838.710000005</v>
      </c>
      <c r="F541" s="120" t="s">
        <v>251</v>
      </c>
      <c r="G541" s="120">
        <v>18908792.790326662</v>
      </c>
      <c r="H541" s="120" t="s">
        <v>251</v>
      </c>
      <c r="I541" s="120">
        <v>988886.29032053321</v>
      </c>
      <c r="J541" s="120">
        <v>18159.629352806543</v>
      </c>
      <c r="K541" s="120" t="s">
        <v>251</v>
      </c>
      <c r="L541" s="120" t="s">
        <v>251</v>
      </c>
      <c r="M541" s="120">
        <v>131.21119474571202</v>
      </c>
      <c r="N541" s="120" t="s">
        <v>251</v>
      </c>
      <c r="O541" s="120">
        <v>18028.418158060831</v>
      </c>
      <c r="P541" s="120">
        <v>9342.2370658946966</v>
      </c>
      <c r="Q541" s="120">
        <v>8686.1810921661345</v>
      </c>
      <c r="R541" s="120"/>
      <c r="S541" s="121"/>
    </row>
    <row r="542" spans="1:19" ht="15">
      <c r="A542" s="105">
        <v>4</v>
      </c>
      <c r="B542" s="129" t="str">
        <f t="shared" si="14"/>
        <v>904</v>
      </c>
      <c r="C542" s="107" t="s">
        <v>690</v>
      </c>
      <c r="D542" s="107" t="s">
        <v>691</v>
      </c>
      <c r="E542" s="120">
        <v>4726254.5199999996</v>
      </c>
      <c r="F542" s="120" t="s">
        <v>251</v>
      </c>
      <c r="G542" s="120">
        <v>4487271.0958515685</v>
      </c>
      <c r="H542" s="120" t="s">
        <v>251</v>
      </c>
      <c r="I542" s="120">
        <v>234673.93803740299</v>
      </c>
      <c r="J542" s="120">
        <v>4309.486111028391</v>
      </c>
      <c r="K542" s="120" t="s">
        <v>251</v>
      </c>
      <c r="L542" s="120" t="s">
        <v>251</v>
      </c>
      <c r="M542" s="120">
        <v>31.137905426505714</v>
      </c>
      <c r="N542" s="120" t="s">
        <v>251</v>
      </c>
      <c r="O542" s="120">
        <v>4278.3482056018856</v>
      </c>
      <c r="P542" s="120">
        <v>2217.018866367207</v>
      </c>
      <c r="Q542" s="120">
        <v>2061.3293392346782</v>
      </c>
      <c r="R542" s="120"/>
      <c r="S542" s="121"/>
    </row>
    <row r="543" spans="1:19" ht="15">
      <c r="A543" s="105">
        <v>5</v>
      </c>
      <c r="B543" s="129" t="str">
        <f t="shared" si="14"/>
        <v>905</v>
      </c>
      <c r="C543" s="107" t="s">
        <v>692</v>
      </c>
      <c r="D543" s="107" t="s">
        <v>693</v>
      </c>
      <c r="E543" s="120">
        <v>495.45999999999992</v>
      </c>
      <c r="F543" s="120" t="s">
        <v>251</v>
      </c>
      <c r="G543" s="120">
        <v>470.40702690523278</v>
      </c>
      <c r="H543" s="120" t="s">
        <v>251</v>
      </c>
      <c r="I543" s="120">
        <v>24.601203521305848</v>
      </c>
      <c r="J543" s="120">
        <v>0.45176957346133928</v>
      </c>
      <c r="K543" s="120" t="s">
        <v>251</v>
      </c>
      <c r="L543" s="120" t="s">
        <v>251</v>
      </c>
      <c r="M543" s="120">
        <v>3.2642310221195035E-3</v>
      </c>
      <c r="N543" s="120" t="s">
        <v>251</v>
      </c>
      <c r="O543" s="120">
        <v>0.4485053424392198</v>
      </c>
      <c r="P543" s="120">
        <v>0.23241324877490865</v>
      </c>
      <c r="Q543" s="120">
        <v>0.21609209366431112</v>
      </c>
      <c r="R543" s="120"/>
      <c r="S543" s="121"/>
    </row>
    <row r="544" spans="1:19" ht="15">
      <c r="A544" s="105">
        <v>6</v>
      </c>
      <c r="B544" s="129" t="str">
        <f t="shared" si="14"/>
        <v>TAL</v>
      </c>
      <c r="C544" s="107" t="s">
        <v>694</v>
      </c>
      <c r="D544" s="107" t="s">
        <v>251</v>
      </c>
      <c r="E544" s="120">
        <v>34456534.000000007</v>
      </c>
      <c r="F544" s="120" t="s">
        <v>251</v>
      </c>
      <c r="G544" s="120">
        <v>32714236.702052783</v>
      </c>
      <c r="H544" s="120" t="s">
        <v>251</v>
      </c>
      <c r="I544" s="120">
        <v>1710879.1942291905</v>
      </c>
      <c r="J544" s="120">
        <v>31418.103718032002</v>
      </c>
      <c r="K544" s="120" t="s">
        <v>251</v>
      </c>
      <c r="L544" s="120" t="s">
        <v>251</v>
      </c>
      <c r="M544" s="120">
        <v>227.00941992797686</v>
      </c>
      <c r="N544" s="120" t="s">
        <v>251</v>
      </c>
      <c r="O544" s="120">
        <v>31191.094298104024</v>
      </c>
      <c r="P544" s="120">
        <v>16163.070698871956</v>
      </c>
      <c r="Q544" s="120">
        <v>15028.023599232069</v>
      </c>
      <c r="R544" s="120"/>
      <c r="S544" s="121"/>
    </row>
    <row r="545" spans="1:19" ht="15">
      <c r="A545" s="105" t="s">
        <v>251</v>
      </c>
      <c r="B545" s="129" t="str">
        <f t="shared" si="14"/>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4"/>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4"/>
        <v>907</v>
      </c>
      <c r="C547" s="107" t="s">
        <v>696</v>
      </c>
      <c r="D547" s="107" t="s">
        <v>697</v>
      </c>
      <c r="E547" s="120">
        <v>611035.6</v>
      </c>
      <c r="F547" s="120" t="s">
        <v>251</v>
      </c>
      <c r="G547" s="120">
        <v>608267.11681187467</v>
      </c>
      <c r="H547" s="120" t="s">
        <v>251</v>
      </c>
      <c r="I547" s="120">
        <v>2768.1878937512588</v>
      </c>
      <c r="J547" s="120">
        <v>0.2952943740445107</v>
      </c>
      <c r="K547" s="120" t="s">
        <v>251</v>
      </c>
      <c r="L547" s="120" t="s">
        <v>251</v>
      </c>
      <c r="M547" s="120">
        <v>0.2952943740445107</v>
      </c>
      <c r="N547" s="120" t="s">
        <v>251</v>
      </c>
      <c r="O547" s="120">
        <v>0</v>
      </c>
      <c r="P547" s="120">
        <v>0</v>
      </c>
      <c r="Q547" s="120">
        <v>0</v>
      </c>
      <c r="R547" s="120"/>
      <c r="S547" s="121"/>
    </row>
    <row r="548" spans="1:19" ht="15">
      <c r="A548" s="105">
        <v>8</v>
      </c>
      <c r="B548" s="129" t="str">
        <f t="shared" si="14"/>
        <v>908</v>
      </c>
      <c r="C548" s="107" t="s">
        <v>698</v>
      </c>
      <c r="D548" s="107" t="s">
        <v>699</v>
      </c>
      <c r="E548" s="120">
        <v>15519021.450000001</v>
      </c>
      <c r="F548" s="120" t="s">
        <v>251</v>
      </c>
      <c r="G548" s="120">
        <v>15519021.450000001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4"/>
        <v>909</v>
      </c>
      <c r="C549" s="107" t="s">
        <v>700</v>
      </c>
      <c r="D549" s="107" t="s">
        <v>701</v>
      </c>
      <c r="E549" s="120">
        <v>574864.88999999897</v>
      </c>
      <c r="F549" s="120" t="s">
        <v>251</v>
      </c>
      <c r="G549" s="120">
        <v>545501.35304890422</v>
      </c>
      <c r="H549" s="120" t="s">
        <v>251</v>
      </c>
      <c r="I549" s="120">
        <v>29360.404951846627</v>
      </c>
      <c r="J549" s="120">
        <v>3.1319992481435084</v>
      </c>
      <c r="K549" s="120" t="s">
        <v>251</v>
      </c>
      <c r="L549" s="120" t="s">
        <v>251</v>
      </c>
      <c r="M549" s="120">
        <v>3.1319992481435084</v>
      </c>
      <c r="N549" s="120" t="s">
        <v>251</v>
      </c>
      <c r="O549" s="120">
        <v>0</v>
      </c>
      <c r="P549" s="120">
        <v>0</v>
      </c>
      <c r="Q549" s="120">
        <v>0</v>
      </c>
      <c r="R549" s="120"/>
      <c r="S549" s="121"/>
    </row>
    <row r="550" spans="1:19" ht="15">
      <c r="A550" s="105">
        <v>10</v>
      </c>
      <c r="B550" s="129" t="str">
        <f t="shared" si="14"/>
        <v>910</v>
      </c>
      <c r="C550" s="107" t="s">
        <v>702</v>
      </c>
      <c r="D550" s="107" t="s">
        <v>703</v>
      </c>
      <c r="E550" s="120">
        <v>1511431.39</v>
      </c>
      <c r="F550" s="120" t="s">
        <v>251</v>
      </c>
      <c r="G550" s="120">
        <v>1508673.7607654126</v>
      </c>
      <c r="H550" s="120" t="s">
        <v>251</v>
      </c>
      <c r="I550" s="120">
        <v>2757.3350979271568</v>
      </c>
      <c r="J550" s="120">
        <v>0.29413666016361945</v>
      </c>
      <c r="K550" s="120" t="s">
        <v>251</v>
      </c>
      <c r="L550" s="120" t="s">
        <v>251</v>
      </c>
      <c r="M550" s="120">
        <v>0.29413666016361945</v>
      </c>
      <c r="N550" s="120" t="s">
        <v>251</v>
      </c>
      <c r="O550" s="120">
        <v>0</v>
      </c>
      <c r="P550" s="120">
        <v>0</v>
      </c>
      <c r="Q550" s="120">
        <v>0</v>
      </c>
      <c r="R550" s="120"/>
      <c r="S550" s="121"/>
    </row>
    <row r="551" spans="1:19" ht="15">
      <c r="A551" s="105">
        <v>11</v>
      </c>
      <c r="B551" s="129" t="str">
        <f t="shared" si="14"/>
        <v>TAL</v>
      </c>
      <c r="C551" s="107" t="s">
        <v>704</v>
      </c>
      <c r="D551" s="107" t="s">
        <v>251</v>
      </c>
      <c r="E551" s="120">
        <v>18216353.329999998</v>
      </c>
      <c r="F551" s="120" t="s">
        <v>251</v>
      </c>
      <c r="G551" s="120">
        <v>18181463.680626191</v>
      </c>
      <c r="H551" s="120" t="s">
        <v>251</v>
      </c>
      <c r="I551" s="120">
        <v>34885.927943525043</v>
      </c>
      <c r="J551" s="120">
        <v>3.7214302823516383</v>
      </c>
      <c r="K551" s="120" t="s">
        <v>251</v>
      </c>
      <c r="L551" s="120" t="s">
        <v>251</v>
      </c>
      <c r="M551" s="120">
        <v>3.7214302823516383</v>
      </c>
      <c r="N551" s="120" t="s">
        <v>251</v>
      </c>
      <c r="O551" s="120">
        <v>0</v>
      </c>
      <c r="P551" s="120">
        <v>0</v>
      </c>
      <c r="Q551" s="120">
        <v>0</v>
      </c>
      <c r="R551" s="120"/>
      <c r="S551" s="121"/>
    </row>
    <row r="552" spans="1:19" ht="15">
      <c r="A552" s="105" t="s">
        <v>251</v>
      </c>
      <c r="B552" s="129" t="str">
        <f t="shared" si="14"/>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4"/>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4"/>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4"/>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4"/>
        <v>913</v>
      </c>
      <c r="C556" s="107" t="s">
        <v>709</v>
      </c>
      <c r="D556" s="107" t="s">
        <v>710</v>
      </c>
      <c r="E556" s="120">
        <v>1023564.35</v>
      </c>
      <c r="F556" s="120" t="s">
        <v>251</v>
      </c>
      <c r="G556" s="120">
        <v>971281.68300141476</v>
      </c>
      <c r="H556" s="120" t="s">
        <v>251</v>
      </c>
      <c r="I556" s="120">
        <v>52277.090379051901</v>
      </c>
      <c r="J556" s="120">
        <v>5.5766195333767978</v>
      </c>
      <c r="K556" s="120" t="s">
        <v>251</v>
      </c>
      <c r="L556" s="120" t="s">
        <v>251</v>
      </c>
      <c r="M556" s="120">
        <v>5.5766195333767978</v>
      </c>
      <c r="N556" s="120" t="s">
        <v>251</v>
      </c>
      <c r="O556" s="120">
        <v>0</v>
      </c>
      <c r="P556" s="120">
        <v>0</v>
      </c>
      <c r="Q556" s="120">
        <v>0</v>
      </c>
      <c r="R556" s="120"/>
      <c r="S556" s="121"/>
    </row>
    <row r="557" spans="1:19" ht="15">
      <c r="A557" s="105">
        <v>15</v>
      </c>
      <c r="B557" s="129" t="str">
        <f t="shared" si="14"/>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4"/>
        <v>TAL</v>
      </c>
      <c r="C558" s="107" t="s">
        <v>713</v>
      </c>
      <c r="D558" s="107" t="s">
        <v>251</v>
      </c>
      <c r="E558" s="120">
        <v>1023564.35</v>
      </c>
      <c r="F558" s="120" t="s">
        <v>251</v>
      </c>
      <c r="G558" s="120">
        <v>971281.68300141476</v>
      </c>
      <c r="H558" s="120" t="s">
        <v>251</v>
      </c>
      <c r="I558" s="120">
        <v>52277.090379051901</v>
      </c>
      <c r="J558" s="120">
        <v>5.5766195333767978</v>
      </c>
      <c r="K558" s="120" t="s">
        <v>251</v>
      </c>
      <c r="L558" s="120" t="s">
        <v>251</v>
      </c>
      <c r="M558" s="120">
        <v>5.5766195333767978</v>
      </c>
      <c r="N558" s="120" t="s">
        <v>251</v>
      </c>
      <c r="O558" s="120">
        <v>0</v>
      </c>
      <c r="P558" s="120">
        <v>0</v>
      </c>
      <c r="Q558" s="120">
        <v>0</v>
      </c>
      <c r="R558" s="120"/>
      <c r="S558" s="121"/>
    </row>
    <row r="559" spans="1:19" ht="15">
      <c r="A559" s="105" t="s">
        <v>251</v>
      </c>
      <c r="B559" s="129" t="str">
        <f t="shared" si="14"/>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4"/>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4"/>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4"/>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4"/>
        <v>924</v>
      </c>
      <c r="C563" s="107" t="s">
        <v>716</v>
      </c>
      <c r="D563" s="107" t="s">
        <v>717</v>
      </c>
      <c r="E563" s="120">
        <v>5703899.75</v>
      </c>
      <c r="F563" s="120" t="s">
        <v>251</v>
      </c>
      <c r="G563" s="120">
        <v>5077670.4894116046</v>
      </c>
      <c r="H563" s="120" t="s">
        <v>251</v>
      </c>
      <c r="I563" s="120">
        <v>278846.57171778521</v>
      </c>
      <c r="J563" s="120">
        <v>347382.68887061044</v>
      </c>
      <c r="K563" s="120" t="s">
        <v>251</v>
      </c>
      <c r="L563" s="120" t="s">
        <v>251</v>
      </c>
      <c r="M563" s="120">
        <v>415.19409793720047</v>
      </c>
      <c r="N563" s="120" t="s">
        <v>251</v>
      </c>
      <c r="O563" s="120">
        <v>346967.49477267324</v>
      </c>
      <c r="P563" s="120">
        <v>108547.73793068141</v>
      </c>
      <c r="Q563" s="120">
        <v>238419.75684199185</v>
      </c>
      <c r="R563" s="120"/>
      <c r="S563" s="121"/>
    </row>
    <row r="564" spans="1:19" ht="15">
      <c r="A564" s="105">
        <v>18</v>
      </c>
      <c r="B564" s="129" t="str">
        <f t="shared" si="14"/>
        <v xml:space="preserve">   </v>
      </c>
      <c r="C564" s="107" t="s">
        <v>718</v>
      </c>
      <c r="D564" s="107" t="s">
        <v>251</v>
      </c>
      <c r="E564" s="120">
        <v>5703899.75</v>
      </c>
      <c r="F564" s="120" t="s">
        <v>251</v>
      </c>
      <c r="G564" s="120">
        <v>5077670.4894116046</v>
      </c>
      <c r="H564" s="120" t="s">
        <v>251</v>
      </c>
      <c r="I564" s="120">
        <v>278846.57171778521</v>
      </c>
      <c r="J564" s="120">
        <v>347382.68887061044</v>
      </c>
      <c r="K564" s="120" t="s">
        <v>251</v>
      </c>
      <c r="L564" s="120" t="s">
        <v>251</v>
      </c>
      <c r="M564" s="120">
        <v>415.19409793720047</v>
      </c>
      <c r="N564" s="120" t="s">
        <v>251</v>
      </c>
      <c r="O564" s="120">
        <v>346967.49477267324</v>
      </c>
      <c r="P564" s="120">
        <v>108547.73793068141</v>
      </c>
      <c r="Q564" s="120">
        <v>238419.75684199185</v>
      </c>
      <c r="R564" s="120"/>
      <c r="S564" s="121"/>
    </row>
    <row r="565" spans="1:19" ht="15">
      <c r="A565" s="105" t="s">
        <v>251</v>
      </c>
      <c r="B565" s="129" t="str">
        <f t="shared" si="14"/>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4"/>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4"/>
        <v>920</v>
      </c>
      <c r="C567" s="107" t="s">
        <v>720</v>
      </c>
      <c r="D567" s="107" t="s">
        <v>419</v>
      </c>
      <c r="E567" s="120">
        <v>35712703.68</v>
      </c>
      <c r="F567" s="120" t="s">
        <v>251</v>
      </c>
      <c r="G567" s="120">
        <v>32321201.999189094</v>
      </c>
      <c r="H567" s="120" t="s">
        <v>251</v>
      </c>
      <c r="I567" s="120">
        <v>1644939.6777423918</v>
      </c>
      <c r="J567" s="120">
        <v>1746562.0030685146</v>
      </c>
      <c r="K567" s="120" t="s">
        <v>251</v>
      </c>
      <c r="L567" s="120" t="s">
        <v>251</v>
      </c>
      <c r="M567" s="120">
        <v>2585.5251094358869</v>
      </c>
      <c r="N567" s="120" t="s">
        <v>251</v>
      </c>
      <c r="O567" s="120">
        <v>1743976.4779590787</v>
      </c>
      <c r="P567" s="120">
        <v>555728.18418481096</v>
      </c>
      <c r="Q567" s="120">
        <v>1188248.2937742679</v>
      </c>
      <c r="R567" s="120"/>
      <c r="S567" s="121"/>
    </row>
    <row r="568" spans="1:19" ht="15">
      <c r="A568" s="105">
        <v>20</v>
      </c>
      <c r="B568" s="129" t="str">
        <f t="shared" si="14"/>
        <v>921</v>
      </c>
      <c r="C568" s="107" t="s">
        <v>721</v>
      </c>
      <c r="D568" s="107" t="s">
        <v>419</v>
      </c>
      <c r="E568" s="120">
        <v>10170056.130000003</v>
      </c>
      <c r="F568" s="120" t="s">
        <v>251</v>
      </c>
      <c r="G568" s="120">
        <v>9204243.9986112341</v>
      </c>
      <c r="H568" s="120" t="s">
        <v>251</v>
      </c>
      <c r="I568" s="120">
        <v>468436.35819354007</v>
      </c>
      <c r="J568" s="120">
        <v>497375.77319522703</v>
      </c>
      <c r="K568" s="120" t="s">
        <v>251</v>
      </c>
      <c r="L568" s="120" t="s">
        <v>251</v>
      </c>
      <c r="M568" s="120">
        <v>736.29080912216625</v>
      </c>
      <c r="N568" s="120" t="s">
        <v>251</v>
      </c>
      <c r="O568" s="120">
        <v>496639.48238610488</v>
      </c>
      <c r="P568" s="120">
        <v>158257.04143894452</v>
      </c>
      <c r="Q568" s="120">
        <v>338382.44094716036</v>
      </c>
      <c r="R568" s="120"/>
      <c r="S568" s="121"/>
    </row>
    <row r="569" spans="1:19" ht="15">
      <c r="A569" s="105">
        <v>21</v>
      </c>
      <c r="B569" s="129" t="str">
        <f t="shared" si="14"/>
        <v>922</v>
      </c>
      <c r="C569" s="107" t="s">
        <v>722</v>
      </c>
      <c r="D569" s="107" t="s">
        <v>419</v>
      </c>
      <c r="E569" s="120">
        <v>-5917127.9200000009</v>
      </c>
      <c r="F569" s="120" t="s">
        <v>251</v>
      </c>
      <c r="G569" s="120">
        <v>-5355200.4483061759</v>
      </c>
      <c r="H569" s="120" t="s">
        <v>251</v>
      </c>
      <c r="I569" s="120">
        <v>-272544.9907433418</v>
      </c>
      <c r="J569" s="120">
        <v>-289382.48095048277</v>
      </c>
      <c r="K569" s="120" t="s">
        <v>251</v>
      </c>
      <c r="L569" s="120" t="s">
        <v>251</v>
      </c>
      <c r="M569" s="120">
        <v>-428.38769503390733</v>
      </c>
      <c r="N569" s="120" t="s">
        <v>251</v>
      </c>
      <c r="O569" s="120">
        <v>-288954.09325544885</v>
      </c>
      <c r="P569" s="120">
        <v>-92076.891854379122</v>
      </c>
      <c r="Q569" s="120">
        <v>-196877.2014010697</v>
      </c>
      <c r="R569" s="120"/>
      <c r="S569" s="121"/>
    </row>
    <row r="570" spans="1:19" ht="15">
      <c r="A570" s="105">
        <v>22</v>
      </c>
      <c r="B570" s="129" t="str">
        <f t="shared" si="14"/>
        <v>923</v>
      </c>
      <c r="C570" s="107" t="s">
        <v>723</v>
      </c>
      <c r="D570" s="107" t="s">
        <v>419</v>
      </c>
      <c r="E570" s="120">
        <v>18253161.609999999</v>
      </c>
      <c r="F570" s="120" t="s">
        <v>251</v>
      </c>
      <c r="G570" s="120">
        <v>16519727.23227472</v>
      </c>
      <c r="H570" s="120" t="s">
        <v>251</v>
      </c>
      <c r="I570" s="120">
        <v>840747.03628076578</v>
      </c>
      <c r="J570" s="120">
        <v>892687.34144451423</v>
      </c>
      <c r="K570" s="120" t="s">
        <v>251</v>
      </c>
      <c r="L570" s="120" t="s">
        <v>251</v>
      </c>
      <c r="M570" s="120">
        <v>1321.4907527619084</v>
      </c>
      <c r="N570" s="120" t="s">
        <v>251</v>
      </c>
      <c r="O570" s="120">
        <v>891365.85069175228</v>
      </c>
      <c r="P570" s="120">
        <v>284038.88005931006</v>
      </c>
      <c r="Q570" s="120">
        <v>607326.97063244216</v>
      </c>
      <c r="R570" s="120"/>
      <c r="S570" s="121"/>
    </row>
    <row r="571" spans="1:19" ht="15">
      <c r="A571" s="105">
        <v>23</v>
      </c>
      <c r="B571" s="129" t="str">
        <f t="shared" si="14"/>
        <v>925</v>
      </c>
      <c r="C571" s="107" t="s">
        <v>724</v>
      </c>
      <c r="D571" s="107" t="s">
        <v>419</v>
      </c>
      <c r="E571" s="120">
        <v>4055118.9100000006</v>
      </c>
      <c r="F571" s="120" t="s">
        <v>251</v>
      </c>
      <c r="G571" s="120">
        <v>3670131.7842283524</v>
      </c>
      <c r="H571" s="120" t="s">
        <v>251</v>
      </c>
      <c r="I571" s="120">
        <v>186725.72158371081</v>
      </c>
      <c r="J571" s="120">
        <v>198261.40418793733</v>
      </c>
      <c r="K571" s="120" t="s">
        <v>251</v>
      </c>
      <c r="L571" s="120" t="s">
        <v>251</v>
      </c>
      <c r="M571" s="120">
        <v>293.49650219077876</v>
      </c>
      <c r="N571" s="120" t="s">
        <v>251</v>
      </c>
      <c r="O571" s="120">
        <v>197967.90768574656</v>
      </c>
      <c r="P571" s="120">
        <v>63083.617959007628</v>
      </c>
      <c r="Q571" s="120">
        <v>134884.28972673893</v>
      </c>
      <c r="R571" s="120"/>
      <c r="S571" s="121"/>
    </row>
    <row r="572" spans="1:19" ht="15">
      <c r="A572" s="105">
        <v>24</v>
      </c>
      <c r="B572" s="129" t="str">
        <f t="shared" si="14"/>
        <v>926</v>
      </c>
      <c r="C572" s="107" t="s">
        <v>725</v>
      </c>
      <c r="D572" s="107" t="s">
        <v>419</v>
      </c>
      <c r="E572" s="120">
        <v>32380769.743636269</v>
      </c>
      <c r="F572" s="120" t="s">
        <v>251</v>
      </c>
      <c r="G572" s="120">
        <v>29305689.34660111</v>
      </c>
      <c r="H572" s="120" t="s">
        <v>251</v>
      </c>
      <c r="I572" s="120">
        <v>1491469.6300906788</v>
      </c>
      <c r="J572" s="120">
        <v>1583610.7669444787</v>
      </c>
      <c r="K572" s="120" t="s">
        <v>251</v>
      </c>
      <c r="L572" s="120" t="s">
        <v>251</v>
      </c>
      <c r="M572" s="120">
        <v>2344.3000559467414</v>
      </c>
      <c r="N572" s="120" t="s">
        <v>251</v>
      </c>
      <c r="O572" s="120">
        <v>1581266.466888532</v>
      </c>
      <c r="P572" s="120">
        <v>503879.6987587093</v>
      </c>
      <c r="Q572" s="120">
        <v>1077386.7681298228</v>
      </c>
      <c r="R572" s="120"/>
      <c r="S572" s="121"/>
    </row>
    <row r="573" spans="1:19" ht="15">
      <c r="A573" s="105">
        <v>25</v>
      </c>
      <c r="B573" s="129" t="str">
        <f t="shared" si="14"/>
        <v>926</v>
      </c>
      <c r="C573" s="107" t="s">
        <v>2244</v>
      </c>
      <c r="D573" s="107" t="s">
        <v>733</v>
      </c>
      <c r="E573" s="120">
        <v>128217.55636363632</v>
      </c>
      <c r="F573" s="120" t="s">
        <v>251</v>
      </c>
      <c r="G573" s="120">
        <v>128217.55636363632</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4"/>
        <v>926</v>
      </c>
      <c r="C574" s="107" t="s">
        <v>2245</v>
      </c>
      <c r="D574" s="107" t="s">
        <v>733</v>
      </c>
      <c r="E574" s="120">
        <v>235860.83525142801</v>
      </c>
      <c r="F574" s="120" t="s">
        <v>251</v>
      </c>
      <c r="G574" s="120">
        <v>0</v>
      </c>
      <c r="H574" s="120" t="s">
        <v>251</v>
      </c>
      <c r="I574" s="120">
        <v>235860.83525142801</v>
      </c>
      <c r="J574" s="120">
        <v>0</v>
      </c>
      <c r="K574" s="120" t="s">
        <v>251</v>
      </c>
      <c r="L574" s="120" t="s">
        <v>251</v>
      </c>
      <c r="M574" s="120">
        <v>0</v>
      </c>
      <c r="N574" s="120" t="s">
        <v>251</v>
      </c>
      <c r="O574" s="120">
        <v>0</v>
      </c>
      <c r="P574" s="120">
        <v>0</v>
      </c>
      <c r="Q574" s="120">
        <v>0</v>
      </c>
      <c r="R574" s="120"/>
      <c r="S574" s="121"/>
    </row>
    <row r="575" spans="1:19" ht="15">
      <c r="A575" s="105">
        <v>27</v>
      </c>
      <c r="B575" s="129" t="str">
        <f t="shared" si="14"/>
        <v>926</v>
      </c>
      <c r="C575" s="107" t="s">
        <v>2246</v>
      </c>
      <c r="D575" s="107" t="s">
        <v>733</v>
      </c>
      <c r="E575" s="120">
        <v>246941.16474857161</v>
      </c>
      <c r="F575" s="120" t="s">
        <v>251</v>
      </c>
      <c r="G575" s="120">
        <v>0</v>
      </c>
      <c r="H575" s="120" t="s">
        <v>251</v>
      </c>
      <c r="I575" s="120">
        <v>0</v>
      </c>
      <c r="J575" s="120">
        <v>246941.16474857161</v>
      </c>
      <c r="K575" s="120" t="s">
        <v>251</v>
      </c>
      <c r="L575" s="120" t="s">
        <v>251</v>
      </c>
      <c r="M575" s="120">
        <v>114.916631805633</v>
      </c>
      <c r="N575" s="120" t="s">
        <v>251</v>
      </c>
      <c r="O575" s="120">
        <v>246826.24811676599</v>
      </c>
      <c r="P575" s="120">
        <v>78652.61051892383</v>
      </c>
      <c r="Q575" s="120">
        <v>168173.63759784217</v>
      </c>
      <c r="R575" s="120"/>
      <c r="S575" s="121"/>
    </row>
    <row r="576" spans="1:19" ht="15">
      <c r="A576" s="105">
        <v>28</v>
      </c>
      <c r="B576" s="129" t="str">
        <f t="shared" si="14"/>
        <v>930</v>
      </c>
      <c r="C576" s="107" t="s">
        <v>2247</v>
      </c>
      <c r="D576" s="107" t="s">
        <v>728</v>
      </c>
      <c r="E576" s="120">
        <v>31759.27</v>
      </c>
      <c r="F576" s="120" t="s">
        <v>251</v>
      </c>
      <c r="G576" s="120">
        <v>30218.906198967379</v>
      </c>
      <c r="H576" s="120" t="s">
        <v>251</v>
      </c>
      <c r="I576" s="120">
        <v>1537.9464484614186</v>
      </c>
      <c r="J576" s="120">
        <v>2.4173525712032053</v>
      </c>
      <c r="K576" s="120" t="s">
        <v>251</v>
      </c>
      <c r="L576" s="120" t="s">
        <v>251</v>
      </c>
      <c r="M576" s="120">
        <v>2.4173525712032053</v>
      </c>
      <c r="N576" s="120" t="s">
        <v>251</v>
      </c>
      <c r="O576" s="120">
        <v>0</v>
      </c>
      <c r="P576" s="120">
        <v>0</v>
      </c>
      <c r="Q576" s="120">
        <v>0</v>
      </c>
      <c r="R576" s="120"/>
      <c r="S576" s="121"/>
    </row>
    <row r="577" spans="1:19" ht="15">
      <c r="A577" s="105">
        <v>29</v>
      </c>
      <c r="B577" s="129" t="str">
        <f t="shared" ref="B577:B591" si="15">MID(C577,3,3)</f>
        <v>930</v>
      </c>
      <c r="C577" s="107" t="s">
        <v>2248</v>
      </c>
      <c r="D577" s="107" t="s">
        <v>419</v>
      </c>
      <c r="E577" s="120">
        <v>4924631.0599999996</v>
      </c>
      <c r="F577" s="120" t="s">
        <v>251</v>
      </c>
      <c r="G577" s="120">
        <v>4466685.6438236218</v>
      </c>
      <c r="H577" s="120" t="s">
        <v>251</v>
      </c>
      <c r="I577" s="120">
        <v>222111.8124667019</v>
      </c>
      <c r="J577" s="120">
        <v>235833.6037096759</v>
      </c>
      <c r="K577" s="120" t="s">
        <v>251</v>
      </c>
      <c r="L577" s="120" t="s">
        <v>251</v>
      </c>
      <c r="M577" s="120">
        <v>349.116551813706</v>
      </c>
      <c r="N577" s="120" t="s">
        <v>251</v>
      </c>
      <c r="O577" s="120">
        <v>235484.4871578622</v>
      </c>
      <c r="P577" s="120">
        <v>75038.492838548962</v>
      </c>
      <c r="Q577" s="120">
        <v>160445.99431931323</v>
      </c>
      <c r="R577" s="120"/>
      <c r="S577" s="121"/>
    </row>
    <row r="578" spans="1:19" ht="15">
      <c r="A578" s="105">
        <v>30</v>
      </c>
      <c r="B578" s="129" t="str">
        <f t="shared" si="15"/>
        <v>931</v>
      </c>
      <c r="C578" s="107" t="s">
        <v>729</v>
      </c>
      <c r="D578" s="107" t="s">
        <v>419</v>
      </c>
      <c r="E578" s="120">
        <v>3068463.9099999992</v>
      </c>
      <c r="F578" s="120" t="s">
        <v>251</v>
      </c>
      <c r="G578" s="120">
        <v>2777063.3876110823</v>
      </c>
      <c r="H578" s="120" t="s">
        <v>251</v>
      </c>
      <c r="I578" s="120">
        <v>141334.52567765818</v>
      </c>
      <c r="J578" s="120">
        <v>150065.99671125898</v>
      </c>
      <c r="K578" s="120" t="s">
        <v>251</v>
      </c>
      <c r="L578" s="120" t="s">
        <v>251</v>
      </c>
      <c r="M578" s="120">
        <v>222.15037421391941</v>
      </c>
      <c r="N578" s="120" t="s">
        <v>251</v>
      </c>
      <c r="O578" s="120">
        <v>149843.84633704505</v>
      </c>
      <c r="P578" s="120">
        <v>47748.607672510021</v>
      </c>
      <c r="Q578" s="120">
        <v>102095.23866453502</v>
      </c>
      <c r="R578" s="120"/>
      <c r="S578" s="121"/>
    </row>
    <row r="579" spans="1:19" ht="15">
      <c r="A579" s="105">
        <v>31</v>
      </c>
      <c r="B579" s="129" t="str">
        <f t="shared" si="15"/>
        <v>935</v>
      </c>
      <c r="C579" s="107" t="s">
        <v>730</v>
      </c>
      <c r="D579" s="107" t="s">
        <v>419</v>
      </c>
      <c r="E579" s="120">
        <v>1523635.71</v>
      </c>
      <c r="F579" s="120" t="s">
        <v>251</v>
      </c>
      <c r="G579" s="120">
        <v>1378941.7344973164</v>
      </c>
      <c r="H579" s="120" t="s">
        <v>251</v>
      </c>
      <c r="I579" s="120">
        <v>70179.196071558821</v>
      </c>
      <c r="J579" s="120">
        <v>74514.7794311248</v>
      </c>
      <c r="K579" s="120" t="s">
        <v>251</v>
      </c>
      <c r="L579" s="120" t="s">
        <v>251</v>
      </c>
      <c r="M579" s="120">
        <v>110.30804111435381</v>
      </c>
      <c r="N579" s="120" t="s">
        <v>251</v>
      </c>
      <c r="O579" s="120">
        <v>74404.47139001044</v>
      </c>
      <c r="P579" s="120">
        <v>23709.414836368815</v>
      </c>
      <c r="Q579" s="120">
        <v>50695.056553641625</v>
      </c>
      <c r="R579" s="120"/>
      <c r="S579" s="121"/>
    </row>
    <row r="580" spans="1:19" ht="15">
      <c r="A580" s="105">
        <v>32</v>
      </c>
      <c r="B580" s="129" t="str">
        <f t="shared" si="15"/>
        <v xml:space="preserve">   </v>
      </c>
      <c r="C580" s="107" t="s">
        <v>731</v>
      </c>
      <c r="D580" s="107" t="s">
        <v>251</v>
      </c>
      <c r="E580" s="120">
        <v>104814191.65999991</v>
      </c>
      <c r="F580" s="120" t="s">
        <v>251</v>
      </c>
      <c r="G580" s="120">
        <v>94446921.141092956</v>
      </c>
      <c r="H580" s="120" t="s">
        <v>251</v>
      </c>
      <c r="I580" s="120">
        <v>5030797.7490635533</v>
      </c>
      <c r="J580" s="120">
        <v>5336472.7698433921</v>
      </c>
      <c r="K580" s="120" t="s">
        <v>251</v>
      </c>
      <c r="L580" s="120" t="s">
        <v>251</v>
      </c>
      <c r="M580" s="120">
        <v>7651.6244859423896</v>
      </c>
      <c r="N580" s="120" t="s">
        <v>251</v>
      </c>
      <c r="O580" s="120">
        <v>5328821.1453574495</v>
      </c>
      <c r="P580" s="120">
        <v>1698059.6564127549</v>
      </c>
      <c r="Q580" s="120">
        <v>3630761.4889446944</v>
      </c>
      <c r="R580" s="120"/>
      <c r="S580" s="121"/>
    </row>
    <row r="581" spans="1:19" ht="15">
      <c r="A581" s="105" t="s">
        <v>251</v>
      </c>
      <c r="B581" s="129" t="str">
        <f t="shared" si="15"/>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5"/>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1450262.95</v>
      </c>
      <c r="F583" s="120" t="s">
        <v>251</v>
      </c>
      <c r="G583" s="120">
        <v>1450262.95</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5"/>
        <v xml:space="preserve">  V</v>
      </c>
      <c r="C584" s="107" t="s">
        <v>735</v>
      </c>
      <c r="D584" s="107" t="s">
        <v>733</v>
      </c>
      <c r="E584" s="120">
        <v>158787.79999999999</v>
      </c>
      <c r="F584" s="120" t="s">
        <v>251</v>
      </c>
      <c r="G584" s="120">
        <v>0</v>
      </c>
      <c r="H584" s="120" t="s">
        <v>251</v>
      </c>
      <c r="I584" s="120">
        <v>158787.79999999999</v>
      </c>
      <c r="J584" s="120">
        <v>0</v>
      </c>
      <c r="K584" s="120" t="s">
        <v>251</v>
      </c>
      <c r="L584" s="120" t="s">
        <v>251</v>
      </c>
      <c r="M584" s="120">
        <v>0</v>
      </c>
      <c r="N584" s="120" t="s">
        <v>251</v>
      </c>
      <c r="O584" s="120">
        <v>0</v>
      </c>
      <c r="P584" s="120">
        <v>0</v>
      </c>
      <c r="Q584" s="120">
        <v>0</v>
      </c>
      <c r="R584" s="120"/>
      <c r="S584" s="121"/>
    </row>
    <row r="585" spans="1:19" ht="15">
      <c r="A585" s="105">
        <v>35</v>
      </c>
      <c r="B585" s="129" t="str">
        <f t="shared" si="15"/>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5"/>
        <v xml:space="preserve">  9</v>
      </c>
      <c r="C586" s="107" t="s">
        <v>737</v>
      </c>
      <c r="D586" s="107" t="s">
        <v>495</v>
      </c>
      <c r="E586" s="120">
        <v>410965.98999998998</v>
      </c>
      <c r="F586" s="120" t="s">
        <v>251</v>
      </c>
      <c r="G586" s="120">
        <v>361758.65684170468</v>
      </c>
      <c r="H586" s="120" t="s">
        <v>251</v>
      </c>
      <c r="I586" s="120">
        <v>14758.103237623247</v>
      </c>
      <c r="J586" s="120">
        <v>34449.229920662045</v>
      </c>
      <c r="K586" s="120" t="s">
        <v>251</v>
      </c>
      <c r="L586" s="120" t="s">
        <v>251</v>
      </c>
      <c r="M586" s="120">
        <v>1.6190340537811811</v>
      </c>
      <c r="N586" s="120" t="s">
        <v>251</v>
      </c>
      <c r="O586" s="120">
        <v>34447.610886608265</v>
      </c>
      <c r="P586" s="120">
        <v>11022.236434907918</v>
      </c>
      <c r="Q586" s="120">
        <v>23425.374451700351</v>
      </c>
      <c r="R586" s="120"/>
      <c r="S586" s="121"/>
    </row>
    <row r="587" spans="1:19" ht="15">
      <c r="A587" s="105">
        <v>37</v>
      </c>
      <c r="B587" s="129" t="str">
        <f t="shared" si="15"/>
        <v xml:space="preserve">   </v>
      </c>
      <c r="C587" s="107" t="s">
        <v>738</v>
      </c>
      <c r="D587" s="107" t="s">
        <v>251</v>
      </c>
      <c r="E587" s="120">
        <v>2020016.7399999897</v>
      </c>
      <c r="F587" s="120" t="s">
        <v>251</v>
      </c>
      <c r="G587" s="120">
        <v>1812021.6068417046</v>
      </c>
      <c r="H587" s="120" t="s">
        <v>251</v>
      </c>
      <c r="I587" s="120">
        <v>173545.90323762322</v>
      </c>
      <c r="J587" s="120">
        <v>34449.229920662045</v>
      </c>
      <c r="K587" s="120" t="s">
        <v>251</v>
      </c>
      <c r="L587" s="120" t="s">
        <v>251</v>
      </c>
      <c r="M587" s="120">
        <v>1.6190340537811811</v>
      </c>
      <c r="N587" s="120" t="s">
        <v>251</v>
      </c>
      <c r="O587" s="120">
        <v>34447.610886608265</v>
      </c>
      <c r="P587" s="120">
        <v>11022.236434907918</v>
      </c>
      <c r="Q587" s="120">
        <v>23425.374451700351</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5"/>
        <v>927</v>
      </c>
      <c r="C589" s="107" t="s">
        <v>739</v>
      </c>
      <c r="D589" s="107" t="s">
        <v>727</v>
      </c>
      <c r="E589" s="120">
        <v>2080.5</v>
      </c>
      <c r="F589" s="120" t="s">
        <v>251</v>
      </c>
      <c r="G589" s="120">
        <v>0</v>
      </c>
      <c r="H589" s="120" t="s">
        <v>251</v>
      </c>
      <c r="I589" s="120">
        <v>2080.5</v>
      </c>
      <c r="J589" s="120">
        <v>0</v>
      </c>
      <c r="K589" s="120" t="s">
        <v>251</v>
      </c>
      <c r="L589" s="120" t="s">
        <v>251</v>
      </c>
      <c r="M589" s="120">
        <v>0</v>
      </c>
      <c r="N589" s="120" t="s">
        <v>251</v>
      </c>
      <c r="O589" s="120">
        <v>0</v>
      </c>
      <c r="P589" s="120">
        <v>0</v>
      </c>
      <c r="Q589" s="120">
        <v>0</v>
      </c>
      <c r="R589" s="120"/>
      <c r="S589" s="121"/>
    </row>
    <row r="590" spans="1:19" ht="15">
      <c r="A590" s="105">
        <v>39</v>
      </c>
      <c r="B590" s="129" t="str">
        <f t="shared" si="15"/>
        <v>929</v>
      </c>
      <c r="C590" s="107" t="s">
        <v>726</v>
      </c>
      <c r="D590" s="107" t="s">
        <v>727</v>
      </c>
      <c r="E590" s="120">
        <v>-2080.5</v>
      </c>
      <c r="F590" s="120" t="s">
        <v>251</v>
      </c>
      <c r="G590" s="120">
        <v>0</v>
      </c>
      <c r="H590" s="120" t="s">
        <v>251</v>
      </c>
      <c r="I590" s="120">
        <v>-2080.5</v>
      </c>
      <c r="J590" s="120">
        <v>0</v>
      </c>
      <c r="K590" s="120" t="s">
        <v>251</v>
      </c>
      <c r="L590" s="120" t="s">
        <v>251</v>
      </c>
      <c r="M590" s="120">
        <v>0</v>
      </c>
      <c r="N590" s="120" t="s">
        <v>251</v>
      </c>
      <c r="O590" s="120">
        <v>0</v>
      </c>
      <c r="P590" s="120">
        <v>0</v>
      </c>
      <c r="Q590" s="120">
        <v>0</v>
      </c>
      <c r="R590" s="120"/>
      <c r="S590" s="121"/>
    </row>
    <row r="591" spans="1:19" ht="15">
      <c r="A591" s="105" t="s">
        <v>251</v>
      </c>
      <c r="B591" s="129" t="str">
        <f t="shared" si="15"/>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112538108.14999989</v>
      </c>
      <c r="F592" s="120" t="s">
        <v>251</v>
      </c>
      <c r="G592" s="120">
        <v>101336613.23734626</v>
      </c>
      <c r="H592" s="120" t="s">
        <v>251</v>
      </c>
      <c r="I592" s="120">
        <v>5483190.2240189621</v>
      </c>
      <c r="J592" s="120">
        <v>5718304.6886346638</v>
      </c>
      <c r="K592" s="120" t="s">
        <v>251</v>
      </c>
      <c r="L592" s="120" t="s">
        <v>251</v>
      </c>
      <c r="M592" s="120">
        <v>8068.4376179333713</v>
      </c>
      <c r="N592" s="120" t="s">
        <v>251</v>
      </c>
      <c r="O592" s="120">
        <v>5710236.2510167304</v>
      </c>
      <c r="P592" s="120">
        <v>1817629.6307783441</v>
      </c>
      <c r="Q592" s="120">
        <v>3892606.6202383866</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973853620.35696399</v>
      </c>
      <c r="F594" s="120" t="s">
        <v>251</v>
      </c>
      <c r="G594" s="120">
        <v>867592007.7181499</v>
      </c>
      <c r="H594" s="120" t="s">
        <v>251</v>
      </c>
      <c r="I594" s="120">
        <v>40750045.948559485</v>
      </c>
      <c r="J594" s="120">
        <v>65511566.690254554</v>
      </c>
      <c r="K594" s="120" t="s">
        <v>251</v>
      </c>
      <c r="L594" s="120" t="s">
        <v>251</v>
      </c>
      <c r="M594" s="120">
        <v>25781.102833392397</v>
      </c>
      <c r="N594" s="120" t="s">
        <v>251</v>
      </c>
      <c r="O594" s="120">
        <v>65485785.587421164</v>
      </c>
      <c r="P594" s="120">
        <v>20873606.813739479</v>
      </c>
      <c r="Q594" s="120">
        <v>44612178.773681685</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133349929.75024971</v>
      </c>
      <c r="F603" s="120" t="s">
        <v>251</v>
      </c>
      <c r="G603" s="120">
        <v>116912591.32605806</v>
      </c>
      <c r="H603" s="120" t="s">
        <v>251</v>
      </c>
      <c r="I603" s="120">
        <v>5353571.4365387382</v>
      </c>
      <c r="J603" s="120">
        <v>11083766.987652915</v>
      </c>
      <c r="K603" s="120" t="s">
        <v>251</v>
      </c>
      <c r="L603" s="120" t="s">
        <v>251</v>
      </c>
      <c r="M603" s="120">
        <v>375.2731313027478</v>
      </c>
      <c r="N603" s="120" t="s">
        <v>251</v>
      </c>
      <c r="O603" s="120">
        <v>11083391.714521611</v>
      </c>
      <c r="P603" s="120">
        <v>3419038.4446730749</v>
      </c>
      <c r="Q603" s="120">
        <v>7664353.2698485367</v>
      </c>
      <c r="R603" s="120"/>
      <c r="S603" s="121"/>
    </row>
    <row r="604" spans="1:19" ht="15">
      <c r="A604" s="105">
        <v>2</v>
      </c>
      <c r="B604" s="105"/>
      <c r="C604" s="107" t="s">
        <v>445</v>
      </c>
      <c r="D604" s="107" t="s">
        <v>312</v>
      </c>
      <c r="E604" s="120">
        <v>386741.99999999983</v>
      </c>
      <c r="F604" s="120" t="s">
        <v>251</v>
      </c>
      <c r="G604" s="120">
        <v>0</v>
      </c>
      <c r="H604" s="120" t="s">
        <v>251</v>
      </c>
      <c r="I604" s="120">
        <v>125963.10556164378</v>
      </c>
      <c r="J604" s="120">
        <v>260778.89443835604</v>
      </c>
      <c r="K604" s="120" t="s">
        <v>251</v>
      </c>
      <c r="L604" s="120" t="s">
        <v>251</v>
      </c>
      <c r="M604" s="120">
        <v>0</v>
      </c>
      <c r="N604" s="120" t="s">
        <v>251</v>
      </c>
      <c r="O604" s="120">
        <v>260778.89443835604</v>
      </c>
      <c r="P604" s="120">
        <v>80445.867890410926</v>
      </c>
      <c r="Q604" s="120">
        <v>180333.02654794513</v>
      </c>
      <c r="R604" s="120"/>
      <c r="S604" s="121"/>
    </row>
    <row r="605" spans="1:19" ht="15">
      <c r="A605" s="105">
        <v>3</v>
      </c>
      <c r="B605" s="105"/>
      <c r="C605" s="107" t="s">
        <v>446</v>
      </c>
      <c r="D605" s="107" t="s">
        <v>314</v>
      </c>
      <c r="E605" s="120">
        <v>690309.50000000023</v>
      </c>
      <c r="F605" s="120" t="s">
        <v>251</v>
      </c>
      <c r="G605" s="120">
        <v>0</v>
      </c>
      <c r="H605" s="120" t="s">
        <v>251</v>
      </c>
      <c r="I605" s="120">
        <v>0</v>
      </c>
      <c r="J605" s="120">
        <v>690309.50000000023</v>
      </c>
      <c r="K605" s="120" t="s">
        <v>251</v>
      </c>
      <c r="L605" s="120" t="s">
        <v>251</v>
      </c>
      <c r="M605" s="120">
        <v>0</v>
      </c>
      <c r="N605" s="120" t="s">
        <v>251</v>
      </c>
      <c r="O605" s="120">
        <v>690309.50000000023</v>
      </c>
      <c r="P605" s="120">
        <v>212948.777776273</v>
      </c>
      <c r="Q605" s="120">
        <v>477360.72222372721</v>
      </c>
      <c r="R605" s="120"/>
      <c r="S605" s="121"/>
    </row>
    <row r="606" spans="1:19" ht="15">
      <c r="A606" s="105">
        <v>4</v>
      </c>
      <c r="B606" s="105"/>
      <c r="C606" s="107" t="s">
        <v>447</v>
      </c>
      <c r="D606" s="107" t="s">
        <v>251</v>
      </c>
      <c r="E606" s="120">
        <v>134426981.25024971</v>
      </c>
      <c r="F606" s="120" t="s">
        <v>251</v>
      </c>
      <c r="G606" s="120">
        <v>116912591.32605806</v>
      </c>
      <c r="H606" s="120" t="s">
        <v>251</v>
      </c>
      <c r="I606" s="120">
        <v>5479534.542100382</v>
      </c>
      <c r="J606" s="120">
        <v>12034855.382091271</v>
      </c>
      <c r="K606" s="120" t="s">
        <v>251</v>
      </c>
      <c r="L606" s="120" t="s">
        <v>251</v>
      </c>
      <c r="M606" s="120">
        <v>375.2731313027478</v>
      </c>
      <c r="N606" s="120" t="s">
        <v>251</v>
      </c>
      <c r="O606" s="120">
        <v>12034480.108959967</v>
      </c>
      <c r="P606" s="120">
        <v>3712433.0903397589</v>
      </c>
      <c r="Q606" s="120">
        <v>8322047.0186202088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1268046.5527151201</v>
      </c>
      <c r="F609" s="120" t="s">
        <v>251</v>
      </c>
      <c r="G609" s="120">
        <v>1111741.1810989121</v>
      </c>
      <c r="H609" s="120" t="s">
        <v>251</v>
      </c>
      <c r="I609" s="120">
        <v>50907.996858576298</v>
      </c>
      <c r="J609" s="120">
        <v>105397.37475763171</v>
      </c>
      <c r="K609" s="120" t="s">
        <v>251</v>
      </c>
      <c r="L609" s="120" t="s">
        <v>251</v>
      </c>
      <c r="M609" s="120">
        <v>3.5685343169381527</v>
      </c>
      <c r="N609" s="120" t="s">
        <v>251</v>
      </c>
      <c r="O609" s="120">
        <v>105393.80622331478</v>
      </c>
      <c r="P609" s="120">
        <v>32512.202454760125</v>
      </c>
      <c r="Q609" s="120">
        <v>72881.603768554662</v>
      </c>
      <c r="R609" s="120"/>
      <c r="S609" s="121"/>
    </row>
    <row r="610" spans="1:19" ht="15">
      <c r="A610" s="105">
        <v>6</v>
      </c>
      <c r="B610" s="105"/>
      <c r="C610" s="107" t="s">
        <v>445</v>
      </c>
      <c r="D610" s="107" t="s">
        <v>312</v>
      </c>
      <c r="E610" s="120">
        <v>24.999999999999957</v>
      </c>
      <c r="F610" s="120" t="s">
        <v>251</v>
      </c>
      <c r="G610" s="120">
        <v>0</v>
      </c>
      <c r="H610" s="120" t="s">
        <v>251</v>
      </c>
      <c r="I610" s="120">
        <v>8.1425799086757866</v>
      </c>
      <c r="J610" s="120">
        <v>16.857420091324173</v>
      </c>
      <c r="K610" s="120" t="s">
        <v>251</v>
      </c>
      <c r="L610" s="120" t="s">
        <v>251</v>
      </c>
      <c r="M610" s="120">
        <v>0</v>
      </c>
      <c r="N610" s="120" t="s">
        <v>251</v>
      </c>
      <c r="O610" s="120">
        <v>16.857420091324173</v>
      </c>
      <c r="P610" s="120">
        <v>5.2002283105022746</v>
      </c>
      <c r="Q610" s="120">
        <v>11.657191780821899</v>
      </c>
      <c r="R610" s="120"/>
      <c r="S610" s="121"/>
    </row>
    <row r="611" spans="1:19" ht="15">
      <c r="A611" s="105">
        <v>7</v>
      </c>
      <c r="B611" s="105"/>
      <c r="C611" s="107" t="s">
        <v>446</v>
      </c>
      <c r="D611" s="107" t="s">
        <v>314</v>
      </c>
      <c r="E611" s="120">
        <v>3212.9999999999991</v>
      </c>
      <c r="F611" s="120" t="s">
        <v>251</v>
      </c>
      <c r="G611" s="120">
        <v>0</v>
      </c>
      <c r="H611" s="120" t="s">
        <v>251</v>
      </c>
      <c r="I611" s="120">
        <v>0</v>
      </c>
      <c r="J611" s="120">
        <v>3212.9999999999991</v>
      </c>
      <c r="K611" s="120" t="s">
        <v>251</v>
      </c>
      <c r="L611" s="120" t="s">
        <v>251</v>
      </c>
      <c r="M611" s="120">
        <v>0</v>
      </c>
      <c r="N611" s="120" t="s">
        <v>251</v>
      </c>
      <c r="O611" s="120">
        <v>3212.9999999999991</v>
      </c>
      <c r="P611" s="120">
        <v>991.15602928130761</v>
      </c>
      <c r="Q611" s="120">
        <v>2221.8439707186917</v>
      </c>
      <c r="R611" s="120"/>
      <c r="S611" s="121"/>
    </row>
    <row r="612" spans="1:19" ht="15">
      <c r="A612" s="105">
        <v>8</v>
      </c>
      <c r="B612" s="105"/>
      <c r="C612" s="107" t="s">
        <v>450</v>
      </c>
      <c r="D612" s="107" t="s">
        <v>251</v>
      </c>
      <c r="E612" s="120">
        <v>1271284.5527151201</v>
      </c>
      <c r="F612" s="120" t="s">
        <v>251</v>
      </c>
      <c r="G612" s="120">
        <v>1111741.1810989121</v>
      </c>
      <c r="H612" s="120" t="s">
        <v>251</v>
      </c>
      <c r="I612" s="120">
        <v>50916.139438484977</v>
      </c>
      <c r="J612" s="120">
        <v>108627.23217772304</v>
      </c>
      <c r="K612" s="120" t="s">
        <v>251</v>
      </c>
      <c r="L612" s="120" t="s">
        <v>251</v>
      </c>
      <c r="M612" s="120">
        <v>3.5685343169381527</v>
      </c>
      <c r="N612" s="120" t="s">
        <v>251</v>
      </c>
      <c r="O612" s="120">
        <v>108623.66364340611</v>
      </c>
      <c r="P612" s="120">
        <v>33508.558712351936</v>
      </c>
      <c r="Q612" s="120">
        <v>75115.104931054171</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40113186.757703483</v>
      </c>
      <c r="F615" s="120" t="s">
        <v>251</v>
      </c>
      <c r="G615" s="120">
        <v>35168647.024956144</v>
      </c>
      <c r="H615" s="120" t="s">
        <v>251</v>
      </c>
      <c r="I615" s="120">
        <v>1610415.6279406159</v>
      </c>
      <c r="J615" s="120">
        <v>3334124.1048067175</v>
      </c>
      <c r="K615" s="120" t="s">
        <v>251</v>
      </c>
      <c r="L615" s="120" t="s">
        <v>251</v>
      </c>
      <c r="M615" s="120">
        <v>112.88645767784602</v>
      </c>
      <c r="N615" s="120" t="s">
        <v>251</v>
      </c>
      <c r="O615" s="120">
        <v>3334011.2183490396</v>
      </c>
      <c r="P615" s="120">
        <v>1028485.9386113194</v>
      </c>
      <c r="Q615" s="120">
        <v>2305525.2797377203</v>
      </c>
      <c r="R615" s="120"/>
      <c r="S615" s="121"/>
    </row>
    <row r="616" spans="1:19" ht="15">
      <c r="A616" s="105">
        <v>10</v>
      </c>
      <c r="B616" s="105"/>
      <c r="C616" s="107" t="s">
        <v>445</v>
      </c>
      <c r="D616" s="107" t="s">
        <v>312</v>
      </c>
      <c r="E616" s="120">
        <v>93.999999999999972</v>
      </c>
      <c r="F616" s="120" t="s">
        <v>251</v>
      </c>
      <c r="G616" s="120">
        <v>0</v>
      </c>
      <c r="H616" s="120" t="s">
        <v>251</v>
      </c>
      <c r="I616" s="120">
        <v>30.616100456620991</v>
      </c>
      <c r="J616" s="120">
        <v>63.383899543378973</v>
      </c>
      <c r="K616" s="120" t="s">
        <v>251</v>
      </c>
      <c r="L616" s="120" t="s">
        <v>251</v>
      </c>
      <c r="M616" s="120">
        <v>0</v>
      </c>
      <c r="N616" s="120" t="s">
        <v>251</v>
      </c>
      <c r="O616" s="120">
        <v>63.383899543378973</v>
      </c>
      <c r="P616" s="120">
        <v>19.552858447488578</v>
      </c>
      <c r="Q616" s="120">
        <v>43.831041095890392</v>
      </c>
      <c r="R616" s="120"/>
      <c r="S616" s="121"/>
    </row>
    <row r="617" spans="1:19" ht="15">
      <c r="A617" s="105">
        <v>11</v>
      </c>
      <c r="B617" s="105"/>
      <c r="C617" s="107" t="s">
        <v>446</v>
      </c>
      <c r="D617" s="107" t="s">
        <v>314</v>
      </c>
      <c r="E617" s="120">
        <v>184266.00000000006</v>
      </c>
      <c r="F617" s="120" t="s">
        <v>251</v>
      </c>
      <c r="G617" s="120">
        <v>0</v>
      </c>
      <c r="H617" s="120" t="s">
        <v>251</v>
      </c>
      <c r="I617" s="120">
        <v>0</v>
      </c>
      <c r="J617" s="120">
        <v>184266.00000000006</v>
      </c>
      <c r="K617" s="120" t="s">
        <v>251</v>
      </c>
      <c r="L617" s="120" t="s">
        <v>251</v>
      </c>
      <c r="M617" s="120">
        <v>0</v>
      </c>
      <c r="N617" s="120" t="s">
        <v>251</v>
      </c>
      <c r="O617" s="120">
        <v>184266.00000000006</v>
      </c>
      <c r="P617" s="120">
        <v>56842.937096654066</v>
      </c>
      <c r="Q617" s="120">
        <v>127423.06290334598</v>
      </c>
      <c r="R617" s="120"/>
      <c r="S617" s="121"/>
    </row>
    <row r="618" spans="1:19" ht="15">
      <c r="A618" s="105">
        <v>12</v>
      </c>
      <c r="B618" s="105"/>
      <c r="C618" s="107" t="s">
        <v>453</v>
      </c>
      <c r="D618" s="107" t="s">
        <v>251</v>
      </c>
      <c r="E618" s="120">
        <v>40297546.757703476</v>
      </c>
      <c r="F618" s="120" t="s">
        <v>251</v>
      </c>
      <c r="G618" s="120">
        <v>35168647.024956144</v>
      </c>
      <c r="H618" s="120" t="s">
        <v>251</v>
      </c>
      <c r="I618" s="120">
        <v>1610446.2440410724</v>
      </c>
      <c r="J618" s="120">
        <v>3518453.4887062609</v>
      </c>
      <c r="K618" s="120" t="s">
        <v>251</v>
      </c>
      <c r="L618" s="120" t="s">
        <v>251</v>
      </c>
      <c r="M618" s="120">
        <v>112.88645767784602</v>
      </c>
      <c r="N618" s="120" t="s">
        <v>251</v>
      </c>
      <c r="O618" s="120">
        <v>3518340.602248583</v>
      </c>
      <c r="P618" s="120">
        <v>1085348.4285664209</v>
      </c>
      <c r="Q618" s="120">
        <v>2432992.1736821621</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175995812.56066829</v>
      </c>
      <c r="F620" s="120" t="s">
        <v>251</v>
      </c>
      <c r="G620" s="120">
        <v>153192979.53211311</v>
      </c>
      <c r="H620" s="120" t="s">
        <v>251</v>
      </c>
      <c r="I620" s="120">
        <v>7140896.925579939</v>
      </c>
      <c r="J620" s="120">
        <v>15661936.102975255</v>
      </c>
      <c r="K620" s="120" t="s">
        <v>251</v>
      </c>
      <c r="L620" s="120" t="s">
        <v>251</v>
      </c>
      <c r="M620" s="120">
        <v>491.72812329753197</v>
      </c>
      <c r="N620" s="120" t="s">
        <v>251</v>
      </c>
      <c r="O620" s="120">
        <v>15661444.374851957</v>
      </c>
      <c r="P620" s="120">
        <v>4831290.0776185319</v>
      </c>
      <c r="Q620" s="120">
        <v>10830154.297233425</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21099112.708112523</v>
      </c>
      <c r="F623" s="120" t="s">
        <v>251</v>
      </c>
      <c r="G623" s="120">
        <v>20156862.137683716</v>
      </c>
      <c r="H623" s="120" t="s">
        <v>251</v>
      </c>
      <c r="I623" s="120">
        <v>942185.86970935692</v>
      </c>
      <c r="J623" s="120">
        <v>64.700719450740564</v>
      </c>
      <c r="K623" s="120" t="s">
        <v>251</v>
      </c>
      <c r="L623" s="120" t="s">
        <v>251</v>
      </c>
      <c r="M623" s="120">
        <v>64.700719450740564</v>
      </c>
      <c r="N623" s="120" t="s">
        <v>251</v>
      </c>
      <c r="O623" s="120">
        <v>0</v>
      </c>
      <c r="P623" s="120">
        <v>0</v>
      </c>
      <c r="Q623" s="120">
        <v>0</v>
      </c>
      <c r="R623" s="120"/>
      <c r="S623" s="121"/>
    </row>
    <row r="624" spans="1:19" ht="15">
      <c r="A624" s="105">
        <v>15</v>
      </c>
      <c r="B624" s="105"/>
      <c r="C624" s="107" t="s">
        <v>458</v>
      </c>
      <c r="D624" s="107" t="s">
        <v>459</v>
      </c>
      <c r="E624" s="120">
        <v>1465528.7009605998</v>
      </c>
      <c r="F624" s="120" t="s">
        <v>251</v>
      </c>
      <c r="G624" s="120">
        <v>179799.13540174539</v>
      </c>
      <c r="H624" s="120" t="s">
        <v>251</v>
      </c>
      <c r="I624" s="120">
        <v>1285728.9884286772</v>
      </c>
      <c r="J624" s="120">
        <v>0.57713017718991266</v>
      </c>
      <c r="K624" s="120" t="s">
        <v>251</v>
      </c>
      <c r="L624" s="120" t="s">
        <v>251</v>
      </c>
      <c r="M624" s="120">
        <v>0.57713017718991266</v>
      </c>
      <c r="N624" s="120" t="s">
        <v>251</v>
      </c>
      <c r="O624" s="120">
        <v>0</v>
      </c>
      <c r="P624" s="120">
        <v>0</v>
      </c>
      <c r="Q624" s="120">
        <v>0</v>
      </c>
      <c r="R624" s="120"/>
      <c r="S624" s="121"/>
    </row>
    <row r="625" spans="1:19" ht="15">
      <c r="A625" s="105">
        <v>17</v>
      </c>
      <c r="B625" s="105"/>
      <c r="C625" s="107" t="s">
        <v>460</v>
      </c>
      <c r="D625" s="107" t="s">
        <v>312</v>
      </c>
      <c r="E625" s="120">
        <v>63368.833333333299</v>
      </c>
      <c r="F625" s="120" t="s">
        <v>251</v>
      </c>
      <c r="G625" s="120">
        <v>0</v>
      </c>
      <c r="H625" s="120" t="s">
        <v>251</v>
      </c>
      <c r="I625" s="120">
        <v>20639.431565449002</v>
      </c>
      <c r="J625" s="120">
        <v>42729.401767884301</v>
      </c>
      <c r="K625" s="120" t="s">
        <v>251</v>
      </c>
      <c r="L625" s="120" t="s">
        <v>251</v>
      </c>
      <c r="M625" s="120">
        <v>0</v>
      </c>
      <c r="N625" s="120" t="s">
        <v>251</v>
      </c>
      <c r="O625" s="120">
        <v>42729.401767884301</v>
      </c>
      <c r="P625" s="120">
        <v>13181.296044140025</v>
      </c>
      <c r="Q625" s="120">
        <v>29548.105723744276</v>
      </c>
      <c r="R625" s="120"/>
      <c r="S625" s="121"/>
    </row>
    <row r="626" spans="1:19" ht="15">
      <c r="A626" s="105">
        <v>18</v>
      </c>
      <c r="B626" s="105"/>
      <c r="C626" s="107" t="s">
        <v>461</v>
      </c>
      <c r="D626" s="107" t="s">
        <v>314</v>
      </c>
      <c r="E626" s="120">
        <v>32054.666666666657</v>
      </c>
      <c r="F626" s="120" t="s">
        <v>251</v>
      </c>
      <c r="G626" s="120">
        <v>0</v>
      </c>
      <c r="H626" s="120" t="s">
        <v>251</v>
      </c>
      <c r="I626" s="120">
        <v>0</v>
      </c>
      <c r="J626" s="120">
        <v>32054.666666666657</v>
      </c>
      <c r="K626" s="120" t="s">
        <v>251</v>
      </c>
      <c r="L626" s="120" t="s">
        <v>251</v>
      </c>
      <c r="M626" s="120">
        <v>0</v>
      </c>
      <c r="N626" s="120" t="s">
        <v>251</v>
      </c>
      <c r="O626" s="120">
        <v>32054.666666666657</v>
      </c>
      <c r="P626" s="120">
        <v>9888.321236622849</v>
      </c>
      <c r="Q626" s="120">
        <v>22166.345430043806</v>
      </c>
      <c r="R626" s="120"/>
      <c r="S626" s="121"/>
    </row>
    <row r="627" spans="1:19" ht="15">
      <c r="A627" s="105">
        <v>19</v>
      </c>
      <c r="B627" s="105"/>
      <c r="C627" s="107" t="s">
        <v>462</v>
      </c>
      <c r="D627" s="107" t="s">
        <v>251</v>
      </c>
      <c r="E627" s="120">
        <v>22660064.909073122</v>
      </c>
      <c r="F627" s="120" t="s">
        <v>251</v>
      </c>
      <c r="G627" s="120">
        <v>20336661.27308546</v>
      </c>
      <c r="H627" s="120" t="s">
        <v>251</v>
      </c>
      <c r="I627" s="120">
        <v>2248554.2897034832</v>
      </c>
      <c r="J627" s="120">
        <v>74849.346284178886</v>
      </c>
      <c r="K627" s="120" t="s">
        <v>251</v>
      </c>
      <c r="L627" s="120" t="s">
        <v>251</v>
      </c>
      <c r="M627" s="120">
        <v>65.277849627930479</v>
      </c>
      <c r="N627" s="120" t="s">
        <v>251</v>
      </c>
      <c r="O627" s="120">
        <v>74784.068434550951</v>
      </c>
      <c r="P627" s="120">
        <v>23069.617280762875</v>
      </c>
      <c r="Q627" s="120">
        <v>51714.451153788083</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43348650.478465907</v>
      </c>
      <c r="F630" s="120" t="s">
        <v>251</v>
      </c>
      <c r="G630" s="120">
        <v>43255985.41247303</v>
      </c>
      <c r="H630" s="120" t="s">
        <v>251</v>
      </c>
      <c r="I630" s="120">
        <v>0</v>
      </c>
      <c r="J630" s="120">
        <v>92665.065992874574</v>
      </c>
      <c r="K630" s="120" t="s">
        <v>251</v>
      </c>
      <c r="L630" s="120" t="s">
        <v>251</v>
      </c>
      <c r="M630" s="120">
        <v>0</v>
      </c>
      <c r="N630" s="120" t="s">
        <v>251</v>
      </c>
      <c r="O630" s="120">
        <v>92665.065992874574</v>
      </c>
      <c r="P630" s="120">
        <v>86154.047363215926</v>
      </c>
      <c r="Q630" s="120">
        <v>6511.0186296586508</v>
      </c>
      <c r="R630" s="120"/>
      <c r="S630" s="121"/>
    </row>
    <row r="631" spans="1:19" ht="15">
      <c r="A631" s="105">
        <v>21</v>
      </c>
      <c r="B631" s="105"/>
      <c r="C631" s="107" t="s">
        <v>748</v>
      </c>
      <c r="D631" s="107" t="s">
        <v>749</v>
      </c>
      <c r="E631" s="120">
        <v>2355684.7635842795</v>
      </c>
      <c r="F631" s="120" t="s">
        <v>251</v>
      </c>
      <c r="G631" s="120">
        <v>0</v>
      </c>
      <c r="H631" s="120" t="s">
        <v>251</v>
      </c>
      <c r="I631" s="120">
        <v>2355684.7635842795</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4271.7730433759998</v>
      </c>
      <c r="F632" s="120" t="s">
        <v>251</v>
      </c>
      <c r="G632" s="120">
        <v>0</v>
      </c>
      <c r="H632" s="120" t="s">
        <v>251</v>
      </c>
      <c r="I632" s="120">
        <v>0</v>
      </c>
      <c r="J632" s="120">
        <v>4271.7730433759998</v>
      </c>
      <c r="K632" s="120" t="s">
        <v>251</v>
      </c>
      <c r="L632" s="120" t="s">
        <v>251</v>
      </c>
      <c r="M632" s="120">
        <v>4271.7730433759998</v>
      </c>
      <c r="N632" s="120" t="s">
        <v>251</v>
      </c>
      <c r="O632" s="120">
        <v>0</v>
      </c>
      <c r="P632" s="120">
        <v>0</v>
      </c>
      <c r="Q632" s="120">
        <v>0</v>
      </c>
      <c r="R632" s="120"/>
      <c r="S632" s="121"/>
    </row>
    <row r="633" spans="1:19" ht="15">
      <c r="A633" s="105">
        <v>23</v>
      </c>
      <c r="B633" s="105"/>
      <c r="C633" s="107" t="s">
        <v>467</v>
      </c>
      <c r="D633" s="107" t="s">
        <v>251</v>
      </c>
      <c r="E633" s="120">
        <v>45708607.015093558</v>
      </c>
      <c r="F633" s="120" t="s">
        <v>251</v>
      </c>
      <c r="G633" s="120">
        <v>43255985.41247303</v>
      </c>
      <c r="H633" s="120" t="s">
        <v>251</v>
      </c>
      <c r="I633" s="120">
        <v>2355684.7635842795</v>
      </c>
      <c r="J633" s="120">
        <v>96936.839036250574</v>
      </c>
      <c r="K633" s="120" t="s">
        <v>251</v>
      </c>
      <c r="L633" s="120" t="s">
        <v>251</v>
      </c>
      <c r="M633" s="120">
        <v>4271.7730433759998</v>
      </c>
      <c r="N633" s="120" t="s">
        <v>251</v>
      </c>
      <c r="O633" s="120">
        <v>92665.065992874574</v>
      </c>
      <c r="P633" s="120">
        <v>86154.047363215926</v>
      </c>
      <c r="Q633" s="120">
        <v>6511.0186296586508</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12317133.006587809</v>
      </c>
      <c r="F635" s="120" t="s">
        <v>251</v>
      </c>
      <c r="G635" s="120">
        <v>11189905.921527904</v>
      </c>
      <c r="H635" s="120" t="s">
        <v>251</v>
      </c>
      <c r="I635" s="120">
        <v>546725.53120999574</v>
      </c>
      <c r="J635" s="120">
        <v>580501.55384990969</v>
      </c>
      <c r="K635" s="120" t="s">
        <v>251</v>
      </c>
      <c r="L635" s="120" t="s">
        <v>251</v>
      </c>
      <c r="M635" s="120">
        <v>859.34615599593565</v>
      </c>
      <c r="N635" s="120" t="s">
        <v>251</v>
      </c>
      <c r="O635" s="120">
        <v>579642.20769391372</v>
      </c>
      <c r="P635" s="120">
        <v>184706.33958067183</v>
      </c>
      <c r="Q635" s="120">
        <v>394935.86811324186</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19098745.294599999</v>
      </c>
      <c r="F637" s="120" t="s">
        <v>251</v>
      </c>
      <c r="G637" s="120">
        <v>17001888.402084257</v>
      </c>
      <c r="H637" s="120" t="s">
        <v>251</v>
      </c>
      <c r="I637" s="120">
        <v>933685.78036651679</v>
      </c>
      <c r="J637" s="120">
        <v>1163171.1121492246</v>
      </c>
      <c r="K637" s="120" t="s">
        <v>251</v>
      </c>
      <c r="L637" s="120" t="s">
        <v>251</v>
      </c>
      <c r="M637" s="120">
        <v>1390.2298419806662</v>
      </c>
      <c r="N637" s="120" t="s">
        <v>251</v>
      </c>
      <c r="O637" s="120">
        <v>1161780.882307244</v>
      </c>
      <c r="P637" s="120">
        <v>363459.65730359452</v>
      </c>
      <c r="Q637" s="120">
        <v>798321.22500364948</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2029.8267647999996</v>
      </c>
      <c r="F639" s="120" t="s">
        <v>251</v>
      </c>
      <c r="G639" s="120">
        <v>2029.8267647999996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275782392.61278754</v>
      </c>
      <c r="F641" s="120" t="s">
        <v>251</v>
      </c>
      <c r="G641" s="120">
        <v>244979450.36804852</v>
      </c>
      <c r="H641" s="120" t="s">
        <v>251</v>
      </c>
      <c r="I641" s="120">
        <v>13225547.290444216</v>
      </c>
      <c r="J641" s="120">
        <v>17577394.954294819</v>
      </c>
      <c r="K641" s="120" t="s">
        <v>251</v>
      </c>
      <c r="L641" s="120" t="s">
        <v>251</v>
      </c>
      <c r="M641" s="120">
        <v>7078.3550142780641</v>
      </c>
      <c r="N641" s="120" t="s">
        <v>251</v>
      </c>
      <c r="O641" s="120">
        <v>17570316.59928054</v>
      </c>
      <c r="P641" s="120">
        <v>5488679.7391467765</v>
      </c>
      <c r="Q641" s="120">
        <v>12081636.860133763</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5423562.4027104005</v>
      </c>
      <c r="F649" s="120" t="s">
        <v>251</v>
      </c>
      <c r="G649" s="120">
        <v>3560896.0459811301</v>
      </c>
      <c r="H649" s="120" t="s">
        <v>251</v>
      </c>
      <c r="I649" s="120">
        <v>661098.55000000005</v>
      </c>
      <c r="J649" s="120">
        <v>1201567.8067292699</v>
      </c>
      <c r="K649" s="120" t="s">
        <v>251</v>
      </c>
      <c r="L649" s="120" t="s">
        <v>251</v>
      </c>
      <c r="M649" s="120">
        <v>0</v>
      </c>
      <c r="N649" s="120" t="s">
        <v>251</v>
      </c>
      <c r="O649" s="120">
        <v>1201567.8067292699</v>
      </c>
      <c r="P649" s="120">
        <v>372303.38733766816</v>
      </c>
      <c r="Q649" s="120">
        <v>829264.4193916017</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5423562.4027104005</v>
      </c>
      <c r="F653" s="120" t="s">
        <v>251</v>
      </c>
      <c r="G653" s="120">
        <v>3560896.0459811301</v>
      </c>
      <c r="H653" s="120" t="s">
        <v>251</v>
      </c>
      <c r="I653" s="120">
        <v>661098.55000000005</v>
      </c>
      <c r="J653" s="120">
        <v>1201567.8067292699</v>
      </c>
      <c r="K653" s="120" t="s">
        <v>251</v>
      </c>
      <c r="L653" s="120" t="s">
        <v>251</v>
      </c>
      <c r="M653" s="120">
        <v>0</v>
      </c>
      <c r="N653" s="120" t="s">
        <v>251</v>
      </c>
      <c r="O653" s="120">
        <v>1201567.8067292699</v>
      </c>
      <c r="P653" s="120">
        <v>372303.38733766816</v>
      </c>
      <c r="Q653" s="120">
        <v>829264.4193916017</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5423562.4027104005</v>
      </c>
      <c r="F667" s="120" t="s">
        <v>251</v>
      </c>
      <c r="G667" s="120">
        <v>3560896.0459811301</v>
      </c>
      <c r="H667" s="120" t="s">
        <v>251</v>
      </c>
      <c r="I667" s="120">
        <v>661098.55000000005</v>
      </c>
      <c r="J667" s="120">
        <v>1201567.8067292699</v>
      </c>
      <c r="K667" s="120" t="s">
        <v>251</v>
      </c>
      <c r="L667" s="120" t="s">
        <v>251</v>
      </c>
      <c r="M667" s="120">
        <v>0</v>
      </c>
      <c r="N667" s="120" t="s">
        <v>251</v>
      </c>
      <c r="O667" s="120">
        <v>1201567.8067292699</v>
      </c>
      <c r="P667" s="120">
        <v>372303.38733766816</v>
      </c>
      <c r="Q667" s="120">
        <v>829264.4193916017</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30579582.566147901</v>
      </c>
      <c r="F695" s="120" t="s">
        <v>251</v>
      </c>
      <c r="G695" s="120">
        <v>27335222.921506252</v>
      </c>
      <c r="H695" s="120" t="s">
        <v>251</v>
      </c>
      <c r="I695" s="120">
        <v>1416691.430281441</v>
      </c>
      <c r="J695" s="120">
        <v>1827668.2143602062</v>
      </c>
      <c r="K695" s="120" t="s">
        <v>251</v>
      </c>
      <c r="L695" s="120" t="s">
        <v>251</v>
      </c>
      <c r="M695" s="120">
        <v>2629.2618256011483</v>
      </c>
      <c r="N695" s="120" t="s">
        <v>251</v>
      </c>
      <c r="O695" s="120">
        <v>1825038.9525346051</v>
      </c>
      <c r="P695" s="120">
        <v>571045.32713166904</v>
      </c>
      <c r="Q695" s="120">
        <v>1253993.625402936</v>
      </c>
      <c r="R695" s="120"/>
      <c r="S695" s="121"/>
    </row>
    <row r="696" spans="1:19" ht="15">
      <c r="A696" s="105">
        <v>2</v>
      </c>
      <c r="B696" s="105"/>
      <c r="C696" s="107" t="s">
        <v>761</v>
      </c>
      <c r="D696" s="107" t="s">
        <v>512</v>
      </c>
      <c r="E696" s="120">
        <v>3318255.52</v>
      </c>
      <c r="F696" s="120" t="s">
        <v>251</v>
      </c>
      <c r="G696" s="120">
        <v>3318255.52</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10857217.060000002</v>
      </c>
      <c r="F699" s="120" t="s">
        <v>251</v>
      </c>
      <c r="G699" s="120">
        <v>9833669.9248357676</v>
      </c>
      <c r="H699" s="120" t="s">
        <v>251</v>
      </c>
      <c r="I699" s="120">
        <v>496438.87962592382</v>
      </c>
      <c r="J699" s="120">
        <v>527108.25553831051</v>
      </c>
      <c r="K699" s="120" t="s">
        <v>251</v>
      </c>
      <c r="L699" s="120" t="s">
        <v>251</v>
      </c>
      <c r="M699" s="120">
        <v>780.30532422603449</v>
      </c>
      <c r="N699" s="120" t="s">
        <v>251</v>
      </c>
      <c r="O699" s="120">
        <v>526327.95021408447</v>
      </c>
      <c r="P699" s="120">
        <v>167717.44329974268</v>
      </c>
      <c r="Q699" s="120">
        <v>358610.50691434182</v>
      </c>
      <c r="R699" s="120"/>
      <c r="S699" s="121"/>
    </row>
    <row r="700" spans="1:19" ht="15">
      <c r="A700" s="105">
        <v>6</v>
      </c>
      <c r="B700" s="105"/>
      <c r="C700" s="107" t="s">
        <v>763</v>
      </c>
      <c r="D700" s="107" t="s">
        <v>717</v>
      </c>
      <c r="E700" s="120">
        <v>18862.22</v>
      </c>
      <c r="F700" s="120" t="s">
        <v>251</v>
      </c>
      <c r="G700" s="120">
        <v>16791.343126040978</v>
      </c>
      <c r="H700" s="120" t="s">
        <v>251</v>
      </c>
      <c r="I700" s="120">
        <v>922.11743062045264</v>
      </c>
      <c r="J700" s="120">
        <v>1148.7594433385698</v>
      </c>
      <c r="K700" s="120" t="s">
        <v>251</v>
      </c>
      <c r="L700" s="120" t="s">
        <v>251</v>
      </c>
      <c r="M700" s="120">
        <v>1.3730049196592247</v>
      </c>
      <c r="N700" s="120" t="s">
        <v>251</v>
      </c>
      <c r="O700" s="120">
        <v>1147.3864384189105</v>
      </c>
      <c r="P700" s="120">
        <v>358.95639879555347</v>
      </c>
      <c r="Q700" s="120">
        <v>788.43003962335695</v>
      </c>
      <c r="R700" s="120"/>
      <c r="S700" s="121"/>
    </row>
    <row r="701" spans="1:19" ht="15">
      <c r="A701" s="105">
        <v>7</v>
      </c>
      <c r="B701" s="105"/>
      <c r="C701" s="107" t="s">
        <v>764</v>
      </c>
      <c r="D701" s="107" t="s">
        <v>251</v>
      </c>
      <c r="E701" s="120">
        <v>44773917.366147906</v>
      </c>
      <c r="F701" s="120" t="s">
        <v>251</v>
      </c>
      <c r="G701" s="120">
        <v>40503939.709468067</v>
      </c>
      <c r="H701" s="120" t="s">
        <v>251</v>
      </c>
      <c r="I701" s="120">
        <v>1914052.427337985</v>
      </c>
      <c r="J701" s="120">
        <v>2355925.2293418548</v>
      </c>
      <c r="K701" s="120" t="s">
        <v>251</v>
      </c>
      <c r="L701" s="120" t="s">
        <v>251</v>
      </c>
      <c r="M701" s="120">
        <v>3410.9401547468419</v>
      </c>
      <c r="N701" s="120" t="s">
        <v>251</v>
      </c>
      <c r="O701" s="120">
        <v>2352514.2891871082</v>
      </c>
      <c r="P701" s="120">
        <v>739121.72683020728</v>
      </c>
      <c r="Q701" s="120">
        <v>1613392.5623569011</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-27812.7</v>
      </c>
      <c r="F703" s="120" t="s">
        <v>251</v>
      </c>
      <c r="G703" s="120">
        <v>-24384.376016277321</v>
      </c>
      <c r="H703" s="120" t="s">
        <v>251</v>
      </c>
      <c r="I703" s="120">
        <v>-1116.5905866758974</v>
      </c>
      <c r="J703" s="120">
        <v>-2311.7333970467803</v>
      </c>
      <c r="K703" s="120" t="s">
        <v>251</v>
      </c>
      <c r="L703" s="120" t="s">
        <v>251</v>
      </c>
      <c r="M703" s="120">
        <v>-7.827045007471696E-2</v>
      </c>
      <c r="N703" s="120" t="s">
        <v>251</v>
      </c>
      <c r="O703" s="120">
        <v>-2311.6551265967055</v>
      </c>
      <c r="P703" s="120">
        <v>-713.10641654073129</v>
      </c>
      <c r="Q703" s="120">
        <v>-1598.5487100559744</v>
      </c>
      <c r="R703" s="120"/>
      <c r="S703" s="121"/>
    </row>
    <row r="704" spans="1:19" ht="15">
      <c r="A704" s="105">
        <v>9</v>
      </c>
      <c r="B704" s="105"/>
      <c r="C704" s="107" t="s">
        <v>766</v>
      </c>
      <c r="D704" s="107" t="s">
        <v>717</v>
      </c>
      <c r="E704" s="120">
        <v>-1626.6950039999956</v>
      </c>
      <c r="F704" s="120" t="s">
        <v>251</v>
      </c>
      <c r="G704" s="120">
        <v>0</v>
      </c>
      <c r="H704" s="120" t="s">
        <v>251</v>
      </c>
      <c r="I704" s="120">
        <v>-79.524245687496105</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1074652.0602440001</v>
      </c>
      <c r="F705" s="120" t="s">
        <v>251</v>
      </c>
      <c r="G705" s="120">
        <v>0</v>
      </c>
      <c r="H705" s="120" t="s">
        <v>251</v>
      </c>
      <c r="I705" s="120">
        <v>24749.425715602425</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1299805680.0386097</v>
      </c>
      <c r="F716" s="120" t="s">
        <v>251</v>
      </c>
      <c r="G716" s="120">
        <v>1156611909.4656312</v>
      </c>
      <c r="H716" s="120" t="s">
        <v>251</v>
      </c>
      <c r="I716" s="120">
        <v>56549627.625755005</v>
      </c>
      <c r="J716" s="120">
        <v>86644142.947223455</v>
      </c>
      <c r="K716" s="120" t="s">
        <v>251</v>
      </c>
      <c r="L716" s="120" t="s">
        <v>251</v>
      </c>
      <c r="M716" s="120">
        <v>36270.319731967233</v>
      </c>
      <c r="N716" s="120" t="s">
        <v>251</v>
      </c>
      <c r="O716" s="120">
        <v>86607872.627491489</v>
      </c>
      <c r="P716" s="120">
        <v>27472998.56063759</v>
      </c>
      <c r="Q716" s="120">
        <v>59134874.066853903</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444491513</v>
      </c>
      <c r="F727" s="120" t="s">
        <v>251</v>
      </c>
      <c r="G727" s="120">
        <v>400084161.99696279</v>
      </c>
      <c r="H727" s="120" t="s">
        <v>251</v>
      </c>
      <c r="I727" s="120">
        <v>17158941.680179454</v>
      </c>
      <c r="J727" s="120">
        <v>27248409.753983345</v>
      </c>
      <c r="K727" s="120" t="s">
        <v>251</v>
      </c>
      <c r="L727" s="120" t="s">
        <v>251</v>
      </c>
      <c r="M727" s="120">
        <v>-32352.911082459734</v>
      </c>
      <c r="N727" s="120" t="s">
        <v>251</v>
      </c>
      <c r="O727" s="120">
        <v>27280762.665065806</v>
      </c>
      <c r="P727" s="120">
        <v>7833948.4935851134</v>
      </c>
      <c r="Q727" s="120">
        <v>19446814.171480693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100543966.46013911</v>
      </c>
      <c r="F737" s="120" t="s">
        <v>251</v>
      </c>
      <c r="G737" s="120">
        <v>89772776.230872661</v>
      </c>
      <c r="H737" s="120" t="s">
        <v>251</v>
      </c>
      <c r="I737" s="120">
        <v>4571468.8287180029</v>
      </c>
      <c r="J737" s="120">
        <v>6199721.4005488073</v>
      </c>
      <c r="K737" s="120" t="s">
        <v>251</v>
      </c>
      <c r="L737" s="120" t="s">
        <v>251</v>
      </c>
      <c r="M737" s="120">
        <v>8360.2669003078317</v>
      </c>
      <c r="N737" s="120" t="s">
        <v>251</v>
      </c>
      <c r="O737" s="120">
        <v>6191361.1336484952</v>
      </c>
      <c r="P737" s="120">
        <v>1936788.0068101324</v>
      </c>
      <c r="Q737" s="120">
        <v>4254573.1268383684</v>
      </c>
      <c r="R737" s="120"/>
      <c r="S737" s="121"/>
    </row>
    <row r="738" spans="1:19" ht="15">
      <c r="A738" s="105">
        <v>6</v>
      </c>
      <c r="B738" s="105"/>
      <c r="C738" s="107" t="s">
        <v>783</v>
      </c>
      <c r="D738" s="107" t="s">
        <v>784</v>
      </c>
      <c r="E738" s="120">
        <v>0</v>
      </c>
      <c r="F738" s="120" t="s">
        <v>251</v>
      </c>
      <c r="G738" s="120">
        <v>0</v>
      </c>
      <c r="H738" s="120" t="s">
        <v>251</v>
      </c>
      <c r="I738" s="120">
        <v>27971.937610000001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-225954.46013940187</v>
      </c>
      <c r="F739" s="120" t="s">
        <v>251</v>
      </c>
      <c r="G739" s="120">
        <v>0</v>
      </c>
      <c r="H739" s="120" t="s">
        <v>251</v>
      </c>
      <c r="I739" s="120">
        <v>0</v>
      </c>
      <c r="J739" s="120">
        <v>-225954.46013940187</v>
      </c>
      <c r="K739" s="120" t="s">
        <v>251</v>
      </c>
      <c r="L739" s="120" t="s">
        <v>251</v>
      </c>
      <c r="M739" s="120">
        <v>0</v>
      </c>
      <c r="N739" s="120" t="s">
        <v>251</v>
      </c>
      <c r="O739" s="120">
        <v>-225954.46013940187</v>
      </c>
      <c r="P739" s="120">
        <v>-69703.120295727102</v>
      </c>
      <c r="Q739" s="120">
        <v>-156251.33984367477</v>
      </c>
      <c r="R739" s="120"/>
      <c r="S739" s="121"/>
    </row>
    <row r="740" spans="1:19" ht="15">
      <c r="A740" s="105">
        <v>8</v>
      </c>
      <c r="B740" s="105"/>
      <c r="C740" s="107" t="s">
        <v>787</v>
      </c>
      <c r="D740" s="107" t="s">
        <v>251</v>
      </c>
      <c r="E740" s="120">
        <v>100318011.9999997</v>
      </c>
      <c r="F740" s="120" t="s">
        <v>251</v>
      </c>
      <c r="G740" s="120">
        <v>89772776.230872661</v>
      </c>
      <c r="H740" s="120" t="s">
        <v>251</v>
      </c>
      <c r="I740" s="120">
        <v>4599440.7663280033</v>
      </c>
      <c r="J740" s="120">
        <v>5973766.9404094052</v>
      </c>
      <c r="K740" s="120" t="s">
        <v>251</v>
      </c>
      <c r="L740" s="120" t="s">
        <v>251</v>
      </c>
      <c r="M740" s="120">
        <v>8360.2669003078317</v>
      </c>
      <c r="N740" s="120" t="s">
        <v>251</v>
      </c>
      <c r="O740" s="120">
        <v>5965406.673509093</v>
      </c>
      <c r="P740" s="120">
        <v>1867084.8865144053</v>
      </c>
      <c r="Q740" s="120">
        <v>4098321.7869946938</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217671.5398750958</v>
      </c>
      <c r="F745" s="120" t="s">
        <v>251</v>
      </c>
      <c r="G745" s="120">
        <v>0</v>
      </c>
      <c r="H745" s="120" t="s">
        <v>251</v>
      </c>
      <c r="I745" s="120">
        <v>70896.316291099123</v>
      </c>
      <c r="J745" s="120">
        <v>146775.22358399667</v>
      </c>
      <c r="K745" s="120" t="s">
        <v>251</v>
      </c>
      <c r="L745" s="120" t="s">
        <v>251</v>
      </c>
      <c r="M745" s="120">
        <v>0</v>
      </c>
      <c r="N745" s="120" t="s">
        <v>251</v>
      </c>
      <c r="O745" s="120">
        <v>146775.22358399667</v>
      </c>
      <c r="P745" s="120">
        <v>45277.668161963993</v>
      </c>
      <c r="Q745" s="120">
        <v>101497.55542203269</v>
      </c>
      <c r="R745" s="120"/>
      <c r="S745" s="121"/>
    </row>
    <row r="746" spans="1:19" ht="15">
      <c r="A746" s="105">
        <v>12</v>
      </c>
      <c r="B746" s="105"/>
      <c r="C746" s="107" t="s">
        <v>791</v>
      </c>
      <c r="D746" s="107" t="s">
        <v>314</v>
      </c>
      <c r="E746" s="120">
        <v>632328.46012490406</v>
      </c>
      <c r="F746" s="120" t="s">
        <v>251</v>
      </c>
      <c r="G746" s="120">
        <v>0</v>
      </c>
      <c r="H746" s="120" t="s">
        <v>251</v>
      </c>
      <c r="I746" s="120">
        <v>0</v>
      </c>
      <c r="J746" s="120">
        <v>632328.46012490406</v>
      </c>
      <c r="K746" s="120" t="s">
        <v>251</v>
      </c>
      <c r="L746" s="120" t="s">
        <v>251</v>
      </c>
      <c r="M746" s="120">
        <v>0</v>
      </c>
      <c r="N746" s="120" t="s">
        <v>251</v>
      </c>
      <c r="O746" s="120">
        <v>632328.46012490406</v>
      </c>
      <c r="P746" s="120">
        <v>195062.60994054272</v>
      </c>
      <c r="Q746" s="120">
        <v>437265.85018436139</v>
      </c>
      <c r="R746" s="120"/>
      <c r="S746" s="121"/>
    </row>
    <row r="747" spans="1:19" ht="15">
      <c r="A747" s="105">
        <v>13</v>
      </c>
      <c r="B747" s="105"/>
      <c r="C747" s="107" t="s">
        <v>792</v>
      </c>
      <c r="D747" s="107" t="s">
        <v>782</v>
      </c>
      <c r="E747" s="120">
        <v>338999.99999999895</v>
      </c>
      <c r="F747" s="120" t="s">
        <v>251</v>
      </c>
      <c r="G747" s="120">
        <v>302683.21624580986</v>
      </c>
      <c r="H747" s="120" t="s">
        <v>251</v>
      </c>
      <c r="I747" s="120">
        <v>-374422.66782663361</v>
      </c>
      <c r="J747" s="120">
        <v>20903.348343823949</v>
      </c>
      <c r="K747" s="120" t="s">
        <v>251</v>
      </c>
      <c r="L747" s="120" t="s">
        <v>251</v>
      </c>
      <c r="M747" s="120">
        <v>28.187971680309072</v>
      </c>
      <c r="N747" s="120" t="s">
        <v>251</v>
      </c>
      <c r="O747" s="120">
        <v>20875.160372143626</v>
      </c>
      <c r="P747" s="120">
        <v>6530.1893034917421</v>
      </c>
      <c r="Q747" s="120">
        <v>14344.971068651899</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345362501</v>
      </c>
      <c r="F749" s="120" t="s">
        <v>251</v>
      </c>
      <c r="G749" s="120">
        <v>310614069</v>
      </c>
      <c r="H749" s="120" t="s">
        <v>251</v>
      </c>
      <c r="I749" s="120">
        <v>12255975</v>
      </c>
      <c r="J749" s="120">
        <v>22074650</v>
      </c>
      <c r="K749" s="120" t="s">
        <v>251</v>
      </c>
      <c r="L749" s="120" t="s">
        <v>251</v>
      </c>
      <c r="M749" s="120">
        <v>-40685</v>
      </c>
      <c r="N749" s="120" t="s">
        <v>251</v>
      </c>
      <c r="O749" s="120">
        <v>22115335</v>
      </c>
      <c r="P749" s="120">
        <v>6213734</v>
      </c>
      <c r="Q749" s="120">
        <v>15901601</v>
      </c>
      <c r="R749" s="120"/>
      <c r="S749" s="121"/>
    </row>
    <row r="750" spans="1:19" ht="15">
      <c r="A750" s="105">
        <v>15</v>
      </c>
      <c r="B750" s="105"/>
      <c r="C750" s="107" t="s">
        <v>2254</v>
      </c>
      <c r="D750" s="107" t="s">
        <v>251</v>
      </c>
      <c r="E750" s="120">
        <v>345362501</v>
      </c>
      <c r="F750" s="120" t="s">
        <v>251</v>
      </c>
      <c r="G750" s="120">
        <v>310614069</v>
      </c>
      <c r="H750" s="120" t="s">
        <v>251</v>
      </c>
      <c r="I750" s="120">
        <v>11526699.600233939</v>
      </c>
      <c r="J750" s="120">
        <v>22074650</v>
      </c>
      <c r="K750" s="120" t="s">
        <v>251</v>
      </c>
      <c r="L750" s="120" t="s">
        <v>251</v>
      </c>
      <c r="M750" s="120">
        <v>-40685</v>
      </c>
      <c r="N750" s="120" t="s">
        <v>251</v>
      </c>
      <c r="O750" s="120">
        <v>22115335</v>
      </c>
      <c r="P750" s="120">
        <v>6213734</v>
      </c>
      <c r="Q750" s="120">
        <v>15901601</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17268125.050000001</v>
      </c>
      <c r="F752" s="120" t="s">
        <v>251</v>
      </c>
      <c r="G752" s="120">
        <v>15530703.450000001</v>
      </c>
      <c r="H752" s="120" t="s">
        <v>251</v>
      </c>
      <c r="I752" s="120">
        <v>691601.97601403634</v>
      </c>
      <c r="J752" s="120">
        <v>1103732.5</v>
      </c>
      <c r="K752" s="120" t="s">
        <v>251</v>
      </c>
      <c r="L752" s="120" t="s">
        <v>251</v>
      </c>
      <c r="M752" s="120">
        <v>-2034.25</v>
      </c>
      <c r="N752" s="120" t="s">
        <v>251</v>
      </c>
      <c r="O752" s="120">
        <v>1105766.75</v>
      </c>
      <c r="P752" s="120">
        <v>310686.7</v>
      </c>
      <c r="Q752" s="120">
        <v>795080.05</v>
      </c>
      <c r="R752" s="120"/>
      <c r="S752" s="121"/>
    </row>
    <row r="753" spans="1:19" ht="15">
      <c r="A753" s="105">
        <v>17</v>
      </c>
      <c r="B753" s="105"/>
      <c r="C753" s="107" t="s">
        <v>795</v>
      </c>
      <c r="D753" s="107" t="s">
        <v>782</v>
      </c>
      <c r="E753" s="120">
        <v>100361</v>
      </c>
      <c r="F753" s="120" t="s">
        <v>251</v>
      </c>
      <c r="G753" s="120">
        <v>89610</v>
      </c>
      <c r="H753" s="120" t="s">
        <v>251</v>
      </c>
      <c r="I753" s="120">
        <v>4563</v>
      </c>
      <c r="J753" s="120">
        <v>6188</v>
      </c>
      <c r="K753" s="120" t="s">
        <v>251</v>
      </c>
      <c r="L753" s="120" t="s">
        <v>251</v>
      </c>
      <c r="M753" s="120">
        <v>8</v>
      </c>
      <c r="N753" s="120" t="s">
        <v>251</v>
      </c>
      <c r="O753" s="120">
        <v>6180</v>
      </c>
      <c r="P753" s="120">
        <v>1933</v>
      </c>
      <c r="Q753" s="120">
        <v>4247</v>
      </c>
      <c r="R753" s="120"/>
      <c r="S753" s="121"/>
    </row>
    <row r="754" spans="1:19" ht="15">
      <c r="A754" s="105">
        <v>18</v>
      </c>
      <c r="B754" s="105"/>
      <c r="C754" s="107" t="s">
        <v>796</v>
      </c>
      <c r="D754" s="107" t="s">
        <v>376</v>
      </c>
      <c r="E754" s="120">
        <v>-1620000</v>
      </c>
      <c r="F754" s="120" t="s">
        <v>251</v>
      </c>
      <c r="G754" s="120">
        <v>-1479721</v>
      </c>
      <c r="H754" s="120" t="s">
        <v>251</v>
      </c>
      <c r="I754" s="120">
        <v>0</v>
      </c>
      <c r="J754" s="120">
        <v>-140279</v>
      </c>
      <c r="K754" s="120" t="s">
        <v>251</v>
      </c>
      <c r="L754" s="120" t="s">
        <v>251</v>
      </c>
      <c r="M754" s="120">
        <v>0</v>
      </c>
      <c r="N754" s="120" t="s">
        <v>251</v>
      </c>
      <c r="O754" s="120">
        <v>-140279</v>
      </c>
      <c r="P754" s="120">
        <v>-43274</v>
      </c>
      <c r="Q754" s="120">
        <v>-97005</v>
      </c>
      <c r="R754" s="120"/>
      <c r="S754" s="121"/>
    </row>
    <row r="755" spans="1:19" ht="15">
      <c r="A755" s="105">
        <v>19</v>
      </c>
      <c r="B755" s="105"/>
      <c r="C755" s="107" t="s">
        <v>797</v>
      </c>
      <c r="D755" s="107" t="s">
        <v>798</v>
      </c>
      <c r="E755" s="120">
        <v>-930205</v>
      </c>
      <c r="F755" s="120" t="s">
        <v>251</v>
      </c>
      <c r="G755" s="120">
        <v>-870641</v>
      </c>
      <c r="H755" s="120" t="s">
        <v>251</v>
      </c>
      <c r="I755" s="120">
        <v>0</v>
      </c>
      <c r="J755" s="120">
        <v>-59564</v>
      </c>
      <c r="K755" s="120" t="s">
        <v>251</v>
      </c>
      <c r="L755" s="120" t="s">
        <v>251</v>
      </c>
      <c r="M755" s="120">
        <v>-71</v>
      </c>
      <c r="N755" s="120" t="s">
        <v>251</v>
      </c>
      <c r="O755" s="120">
        <v>-59493</v>
      </c>
      <c r="P755" s="120">
        <v>-18612</v>
      </c>
      <c r="Q755" s="120">
        <v>-40881</v>
      </c>
      <c r="R755" s="120"/>
      <c r="S755" s="121"/>
    </row>
    <row r="756" spans="1:19" ht="15">
      <c r="A756" s="105">
        <v>20</v>
      </c>
      <c r="B756" s="105"/>
      <c r="C756" s="107" t="s">
        <v>799</v>
      </c>
      <c r="D756" s="107" t="s">
        <v>251</v>
      </c>
      <c r="E756" s="120">
        <v>14818281.050000001</v>
      </c>
      <c r="F756" s="120" t="s">
        <v>251</v>
      </c>
      <c r="G756" s="120">
        <v>13269951.450000001</v>
      </c>
      <c r="H756" s="120" t="s">
        <v>251</v>
      </c>
      <c r="I756" s="120">
        <v>696164.97601403634</v>
      </c>
      <c r="J756" s="120">
        <v>910077.5</v>
      </c>
      <c r="K756" s="120" t="s">
        <v>251</v>
      </c>
      <c r="L756" s="120" t="s">
        <v>251</v>
      </c>
      <c r="M756" s="120">
        <v>-2097.25</v>
      </c>
      <c r="N756" s="120" t="s">
        <v>251</v>
      </c>
      <c r="O756" s="120">
        <v>912174.75</v>
      </c>
      <c r="P756" s="120">
        <v>250733.7</v>
      </c>
      <c r="Q756" s="120">
        <v>661441.05000000005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389836.103237</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330544219.94999999</v>
      </c>
      <c r="F759" s="120" t="s">
        <v>251</v>
      </c>
      <c r="G759" s="120">
        <v>297344117.55000001</v>
      </c>
      <c r="H759" s="120" t="s">
        <v>251</v>
      </c>
      <c r="I759" s="120">
        <v>11949646.127222963</v>
      </c>
      <c r="J759" s="120">
        <v>21164572.5</v>
      </c>
      <c r="K759" s="120" t="s">
        <v>251</v>
      </c>
      <c r="L759" s="120" t="s">
        <v>251</v>
      </c>
      <c r="M759" s="120">
        <v>-38587.75</v>
      </c>
      <c r="N759" s="120" t="s">
        <v>251</v>
      </c>
      <c r="O759" s="120">
        <v>21203160.25</v>
      </c>
      <c r="P759" s="120">
        <v>5963000.2999999998</v>
      </c>
      <c r="Q759" s="120">
        <v>15240159.949999999</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69414286</v>
      </c>
      <c r="F761" s="120" t="s">
        <v>251</v>
      </c>
      <c r="G761" s="120">
        <v>62442265</v>
      </c>
      <c r="H761" s="120" t="s">
        <v>251</v>
      </c>
      <c r="I761" s="120">
        <v>2509426</v>
      </c>
      <c r="J761" s="120">
        <v>4444561</v>
      </c>
      <c r="K761" s="120" t="s">
        <v>251</v>
      </c>
      <c r="L761" s="120" t="s">
        <v>251</v>
      </c>
      <c r="M761" s="120">
        <v>-8103</v>
      </c>
      <c r="N761" s="120" t="s">
        <v>251</v>
      </c>
      <c r="O761" s="120">
        <v>4452664</v>
      </c>
      <c r="P761" s="120">
        <v>1252230</v>
      </c>
      <c r="Q761" s="120">
        <v>3200434</v>
      </c>
      <c r="R761" s="120"/>
      <c r="S761" s="121"/>
    </row>
    <row r="762" spans="1:19" ht="15">
      <c r="A762" s="105">
        <v>25</v>
      </c>
      <c r="B762" s="105"/>
      <c r="C762" s="107" t="s">
        <v>802</v>
      </c>
      <c r="D762" s="107" t="s">
        <v>782</v>
      </c>
      <c r="E762" s="120">
        <v>-740267.99999999779</v>
      </c>
      <c r="F762" s="120" t="s">
        <v>251</v>
      </c>
      <c r="G762" s="120">
        <v>-660963.71422965545</v>
      </c>
      <c r="H762" s="120" t="s">
        <v>251</v>
      </c>
      <c r="I762" s="120">
        <v>-33658.032461242197</v>
      </c>
      <c r="J762" s="120">
        <v>-45646.253309102845</v>
      </c>
      <c r="K762" s="120" t="s">
        <v>251</v>
      </c>
      <c r="L762" s="120" t="s">
        <v>251</v>
      </c>
      <c r="M762" s="120">
        <v>-61.553549911029606</v>
      </c>
      <c r="N762" s="120" t="s">
        <v>251</v>
      </c>
      <c r="O762" s="120">
        <v>-45584.69975919179</v>
      </c>
      <c r="P762" s="120">
        <v>-14259.853024534588</v>
      </c>
      <c r="Q762" s="120">
        <v>-31324.84673465724</v>
      </c>
      <c r="R762" s="124"/>
      <c r="S762" s="121"/>
    </row>
    <row r="763" spans="1:19" ht="15">
      <c r="A763" s="105">
        <v>26</v>
      </c>
      <c r="B763" s="105"/>
      <c r="C763" s="107" t="s">
        <v>797</v>
      </c>
      <c r="D763" s="107" t="s">
        <v>717</v>
      </c>
      <c r="E763" s="120">
        <v>-9671934</v>
      </c>
      <c r="F763" s="120" t="s">
        <v>251</v>
      </c>
      <c r="G763" s="120">
        <v>-8610056</v>
      </c>
      <c r="H763" s="120" t="s">
        <v>251</v>
      </c>
      <c r="I763" s="120">
        <v>-472832</v>
      </c>
      <c r="J763" s="120">
        <v>-589046</v>
      </c>
      <c r="K763" s="120" t="s">
        <v>251</v>
      </c>
      <c r="L763" s="120" t="s">
        <v>251</v>
      </c>
      <c r="M763" s="120">
        <v>-704</v>
      </c>
      <c r="N763" s="120" t="s">
        <v>251</v>
      </c>
      <c r="O763" s="120">
        <v>-588342</v>
      </c>
      <c r="P763" s="120">
        <v>-184061</v>
      </c>
      <c r="Q763" s="120">
        <v>-404281</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-237329</v>
      </c>
      <c r="F765" s="120" t="s">
        <v>251</v>
      </c>
      <c r="G765" s="120">
        <v>-211903</v>
      </c>
      <c r="H765" s="120" t="s">
        <v>251</v>
      </c>
      <c r="I765" s="120">
        <v>-10791</v>
      </c>
      <c r="J765" s="120">
        <v>-14635</v>
      </c>
      <c r="K765" s="120" t="s">
        <v>251</v>
      </c>
      <c r="L765" s="120" t="s">
        <v>251</v>
      </c>
      <c r="M765" s="120">
        <v>-20</v>
      </c>
      <c r="N765" s="120" t="s">
        <v>251</v>
      </c>
      <c r="O765" s="120">
        <v>-14615</v>
      </c>
      <c r="P765" s="120">
        <v>-4572</v>
      </c>
      <c r="Q765" s="120">
        <v>-10043</v>
      </c>
      <c r="R765" s="124"/>
      <c r="S765" s="121"/>
    </row>
    <row r="766" spans="1:19" ht="15">
      <c r="A766" s="105">
        <v>29</v>
      </c>
      <c r="B766" s="105"/>
      <c r="C766" s="107" t="s">
        <v>804</v>
      </c>
      <c r="D766" s="107" t="s">
        <v>251</v>
      </c>
      <c r="E766" s="120">
        <v>58764755</v>
      </c>
      <c r="F766" s="120" t="s">
        <v>251</v>
      </c>
      <c r="G766" s="120">
        <v>52959342.285770342</v>
      </c>
      <c r="H766" s="120" t="s">
        <v>251</v>
      </c>
      <c r="I766" s="120">
        <v>1992144.9675387577</v>
      </c>
      <c r="J766" s="120">
        <v>3795233.7466908973</v>
      </c>
      <c r="K766" s="120" t="s">
        <v>251</v>
      </c>
      <c r="L766" s="120" t="s">
        <v>251</v>
      </c>
      <c r="M766" s="120">
        <v>-8888.5535499110301</v>
      </c>
      <c r="N766" s="120" t="s">
        <v>251</v>
      </c>
      <c r="O766" s="120">
        <v>3804122.3002408082</v>
      </c>
      <c r="P766" s="120">
        <v>1049337.1469754654</v>
      </c>
      <c r="Q766" s="120">
        <v>2754785.1532653426</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370908477.38112539</v>
      </c>
      <c r="F768" s="120" t="s">
        <v>251</v>
      </c>
      <c r="G768" s="120">
        <v>333854868.26119244</v>
      </c>
      <c r="H768" s="120" t="s">
        <v>251</v>
      </c>
      <c r="I768" s="120">
        <v>14470631.73662666</v>
      </c>
      <c r="J768" s="120">
        <v>22543098.507292449</v>
      </c>
      <c r="K768" s="120" t="s">
        <v>251</v>
      </c>
      <c r="L768" s="120" t="s">
        <v>251</v>
      </c>
      <c r="M768" s="120">
        <v>-21367.107532548704</v>
      </c>
      <c r="N768" s="120" t="s">
        <v>251</v>
      </c>
      <c r="O768" s="120">
        <v>22564465.614824999</v>
      </c>
      <c r="P768" s="120">
        <v>6533877.6466096481</v>
      </c>
      <c r="Q768" s="120">
        <v>16030587.96821535</v>
      </c>
      <c r="R768" s="120"/>
      <c r="S768" s="121"/>
    </row>
    <row r="769" spans="1:19" ht="15">
      <c r="A769" s="105">
        <v>31</v>
      </c>
      <c r="B769" s="105"/>
      <c r="C769" s="107" t="s">
        <v>292</v>
      </c>
      <c r="D769" s="107" t="s">
        <v>251</v>
      </c>
      <c r="E769" s="120">
        <v>6.8894069866044572E-2</v>
      </c>
      <c r="F769" s="120" t="s">
        <v>251</v>
      </c>
      <c r="G769" s="120">
        <v>6.8632029890424773E-2</v>
      </c>
      <c r="H769" s="120" t="s">
        <v>251</v>
      </c>
      <c r="I769" s="120">
        <v>5.8417842697685352E-2</v>
      </c>
      <c r="J769" s="120">
        <v>6.7105052641200078E-2</v>
      </c>
      <c r="K769" s="120" t="s">
        <v>251</v>
      </c>
      <c r="L769" s="120" t="s">
        <v>251</v>
      </c>
      <c r="M769" s="120">
        <v>-4.7167122216815273E-2</v>
      </c>
      <c r="N769" s="120" t="s">
        <v>251</v>
      </c>
      <c r="O769" s="120">
        <v>6.7259355687084382E-2</v>
      </c>
      <c r="P769" s="120">
        <v>6.2259079725038226E-2</v>
      </c>
      <c r="Q769" s="120">
        <v>6.9535606259190211E-2</v>
      </c>
      <c r="R769" s="120"/>
      <c r="S769" s="121"/>
    </row>
    <row r="770" spans="1:19" ht="15">
      <c r="A770" s="105" t="s">
        <v>251</v>
      </c>
      <c r="B770" s="105"/>
      <c r="C770" s="107" t="s">
        <v>251</v>
      </c>
      <c r="D770" s="107" t="s">
        <v>251</v>
      </c>
      <c r="E770" s="123" t="s">
        <v>251</v>
      </c>
      <c r="F770" s="123" t="s">
        <v>251</v>
      </c>
      <c r="G770" s="123" t="s">
        <v>251</v>
      </c>
      <c r="H770" s="123" t="s">
        <v>251</v>
      </c>
      <c r="I770" s="123" t="s">
        <v>251</v>
      </c>
      <c r="J770" s="123" t="s">
        <v>251</v>
      </c>
      <c r="K770" s="123" t="s">
        <v>251</v>
      </c>
      <c r="L770" s="123" t="s">
        <v>251</v>
      </c>
      <c r="M770" s="123" t="s">
        <v>251</v>
      </c>
      <c r="N770" s="123" t="s">
        <v>251</v>
      </c>
      <c r="O770" s="123" t="s">
        <v>251</v>
      </c>
      <c r="P770" s="123" t="s">
        <v>251</v>
      </c>
      <c r="Q770" s="123"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3">
        <v>0.05</v>
      </c>
      <c r="F772" s="123" t="s">
        <v>251</v>
      </c>
      <c r="G772" s="123">
        <v>0.05</v>
      </c>
      <c r="H772" s="123" t="s">
        <v>251</v>
      </c>
      <c r="I772" s="123">
        <v>0.06</v>
      </c>
      <c r="J772" s="123">
        <v>0.05</v>
      </c>
      <c r="K772" s="123" t="s">
        <v>251</v>
      </c>
      <c r="L772" s="123" t="s">
        <v>251</v>
      </c>
      <c r="M772" s="123">
        <v>0.05</v>
      </c>
      <c r="N772" s="123" t="s">
        <v>251</v>
      </c>
      <c r="O772" s="123">
        <v>0.05</v>
      </c>
      <c r="P772" s="123">
        <v>0.05</v>
      </c>
      <c r="Q772" s="123">
        <v>0.05</v>
      </c>
      <c r="R772" s="120"/>
      <c r="S772" s="121"/>
    </row>
    <row r="773" spans="1:19" ht="15">
      <c r="A773" s="105" t="s">
        <v>251</v>
      </c>
      <c r="B773" s="105"/>
      <c r="C773" s="107" t="s">
        <v>806</v>
      </c>
      <c r="D773" s="107" t="s">
        <v>251</v>
      </c>
      <c r="E773" s="123">
        <v>0.21</v>
      </c>
      <c r="F773" s="123" t="s">
        <v>251</v>
      </c>
      <c r="G773" s="123">
        <v>0.21</v>
      </c>
      <c r="H773" s="123" t="s">
        <v>251</v>
      </c>
      <c r="I773" s="123">
        <v>0.21</v>
      </c>
      <c r="J773" s="123">
        <v>0.21</v>
      </c>
      <c r="K773" s="123" t="s">
        <v>251</v>
      </c>
      <c r="L773" s="123" t="s">
        <v>251</v>
      </c>
      <c r="M773" s="123">
        <v>0.21</v>
      </c>
      <c r="N773" s="123" t="s">
        <v>251</v>
      </c>
      <c r="O773" s="123">
        <v>0.21</v>
      </c>
      <c r="P773" s="123">
        <v>0.21</v>
      </c>
      <c r="Q773" s="123">
        <v>0.21</v>
      </c>
      <c r="R773" s="120"/>
      <c r="S773" s="121"/>
    </row>
    <row r="774" spans="1:19" ht="15">
      <c r="A774" s="105" t="s">
        <v>251</v>
      </c>
      <c r="B774" s="105"/>
      <c r="C774" s="107" t="s">
        <v>807</v>
      </c>
      <c r="D774" s="107" t="s">
        <v>251</v>
      </c>
      <c r="E774" s="123">
        <v>0.75049999999999994</v>
      </c>
      <c r="F774" s="123" t="s">
        <v>251</v>
      </c>
      <c r="G774" s="123">
        <v>0.75049999999999994</v>
      </c>
      <c r="H774" s="123" t="s">
        <v>251</v>
      </c>
      <c r="I774" s="123">
        <v>0.74259999999999993</v>
      </c>
      <c r="J774" s="123">
        <v>0.75049999999999994</v>
      </c>
      <c r="K774" s="123" t="s">
        <v>251</v>
      </c>
      <c r="L774" s="123" t="s">
        <v>251</v>
      </c>
      <c r="M774" s="123">
        <v>0.75049999999999994</v>
      </c>
      <c r="N774" s="123" t="s">
        <v>251</v>
      </c>
      <c r="O774" s="123">
        <v>0.75049999999999994</v>
      </c>
      <c r="P774" s="123">
        <v>0.75049999999999994</v>
      </c>
      <c r="Q774" s="123">
        <v>0.75049999999999994</v>
      </c>
      <c r="R774" s="120"/>
      <c r="S774" s="121"/>
    </row>
    <row r="775" spans="1:19" ht="15">
      <c r="A775" s="105" t="s">
        <v>251</v>
      </c>
      <c r="B775" s="105"/>
      <c r="C775" s="107" t="s">
        <v>808</v>
      </c>
      <c r="D775" s="107" t="s">
        <v>251</v>
      </c>
      <c r="E775" s="123">
        <v>0.2495</v>
      </c>
      <c r="F775" s="123" t="s">
        <v>251</v>
      </c>
      <c r="G775" s="123">
        <v>0.2495</v>
      </c>
      <c r="H775" s="123" t="s">
        <v>251</v>
      </c>
      <c r="I775" s="123">
        <v>0.25740000000000002</v>
      </c>
      <c r="J775" s="123">
        <v>0.2495</v>
      </c>
      <c r="K775" s="123" t="s">
        <v>251</v>
      </c>
      <c r="L775" s="123" t="s">
        <v>251</v>
      </c>
      <c r="M775" s="123">
        <v>0.2495</v>
      </c>
      <c r="N775" s="123" t="s">
        <v>251</v>
      </c>
      <c r="O775" s="123">
        <v>0.2495</v>
      </c>
      <c r="P775" s="123">
        <v>0.2495</v>
      </c>
      <c r="Q775" s="123">
        <v>0.2495</v>
      </c>
      <c r="R775" s="120"/>
      <c r="S775" s="121"/>
    </row>
    <row r="776" spans="1:19" ht="15">
      <c r="A776" s="105" t="s">
        <v>251</v>
      </c>
      <c r="B776" s="105"/>
      <c r="C776" s="107" t="s">
        <v>809</v>
      </c>
      <c r="D776" s="107" t="s">
        <v>251</v>
      </c>
      <c r="E776" s="123">
        <v>1.3324450366422385</v>
      </c>
      <c r="F776" s="123" t="s">
        <v>251</v>
      </c>
      <c r="G776" s="123">
        <v>1.3324450366422385</v>
      </c>
      <c r="H776" s="123" t="s">
        <v>251</v>
      </c>
      <c r="I776" s="123">
        <v>1.3466199838405601</v>
      </c>
      <c r="J776" s="123">
        <v>1.3324450366422385</v>
      </c>
      <c r="K776" s="123" t="s">
        <v>251</v>
      </c>
      <c r="L776" s="123" t="s">
        <v>251</v>
      </c>
      <c r="M776" s="123">
        <v>1.3324450366422385</v>
      </c>
      <c r="N776" s="123" t="s">
        <v>251</v>
      </c>
      <c r="O776" s="123">
        <v>1.3324450366422385</v>
      </c>
      <c r="P776" s="123">
        <v>1.3324450366422385</v>
      </c>
      <c r="Q776" s="123">
        <v>1.3324450366422385</v>
      </c>
      <c r="R776" s="120"/>
      <c r="S776" s="121"/>
    </row>
    <row r="777" spans="1:19" ht="15">
      <c r="A777" s="105" t="s">
        <v>251</v>
      </c>
      <c r="B777" s="105"/>
      <c r="C777" s="107" t="s">
        <v>251</v>
      </c>
      <c r="D777" s="107" t="s">
        <v>251</v>
      </c>
      <c r="E777" s="583" t="s">
        <v>251</v>
      </c>
      <c r="F777" s="583" t="s">
        <v>251</v>
      </c>
      <c r="G777" s="583" t="s">
        <v>251</v>
      </c>
      <c r="H777" s="583" t="s">
        <v>251</v>
      </c>
      <c r="I777" s="583" t="s">
        <v>251</v>
      </c>
      <c r="J777" s="583" t="s">
        <v>251</v>
      </c>
      <c r="K777" s="583" t="s">
        <v>251</v>
      </c>
      <c r="L777" s="583" t="s">
        <v>251</v>
      </c>
      <c r="M777" s="583" t="s">
        <v>251</v>
      </c>
      <c r="N777" s="583" t="s">
        <v>251</v>
      </c>
      <c r="O777" s="583" t="s">
        <v>251</v>
      </c>
      <c r="P777" s="583" t="s">
        <v>251</v>
      </c>
      <c r="Q777" s="583"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2245190.4400000004</v>
      </c>
      <c r="F783" s="120" t="s">
        <v>251</v>
      </c>
      <c r="G783" s="120">
        <v>1976360.8125535054</v>
      </c>
      <c r="H783" s="120" t="s">
        <v>251</v>
      </c>
      <c r="I783" s="120">
        <v>80626.507078227005</v>
      </c>
      <c r="J783" s="120">
        <v>188203.12036826764</v>
      </c>
      <c r="K783" s="120" t="s">
        <v>251</v>
      </c>
      <c r="L783" s="120" t="s">
        <v>251</v>
      </c>
      <c r="M783" s="120">
        <v>8.8451109533030756</v>
      </c>
      <c r="N783" s="120" t="s">
        <v>251</v>
      </c>
      <c r="O783" s="120">
        <v>188194.27525731435</v>
      </c>
      <c r="P783" s="120">
        <v>60216.71007636311</v>
      </c>
      <c r="Q783" s="120">
        <v>127977.56518095123</v>
      </c>
      <c r="R783" s="120"/>
      <c r="S783" s="121"/>
    </row>
    <row r="784" spans="1:19" ht="15">
      <c r="A784" s="105">
        <v>2</v>
      </c>
      <c r="B784" s="105"/>
      <c r="C784" s="107" t="s">
        <v>815</v>
      </c>
      <c r="D784" s="107" t="s">
        <v>495</v>
      </c>
      <c r="E784" s="120">
        <v>8370152.1199999992</v>
      </c>
      <c r="F784" s="120" t="s">
        <v>251</v>
      </c>
      <c r="G784" s="120">
        <v>7367945.4314261395</v>
      </c>
      <c r="H784" s="120" t="s">
        <v>251</v>
      </c>
      <c r="I784" s="120">
        <v>300578.56880462077</v>
      </c>
      <c r="J784" s="120">
        <v>701628.11976923898</v>
      </c>
      <c r="K784" s="120" t="s">
        <v>251</v>
      </c>
      <c r="L784" s="120" t="s">
        <v>251</v>
      </c>
      <c r="M784" s="120">
        <v>32.974897308677726</v>
      </c>
      <c r="N784" s="120" t="s">
        <v>251</v>
      </c>
      <c r="O784" s="120">
        <v>701595.14487193036</v>
      </c>
      <c r="P784" s="120">
        <v>224490.0987130054</v>
      </c>
      <c r="Q784" s="120">
        <v>477105.04615892493</v>
      </c>
      <c r="R784" s="120"/>
      <c r="S784" s="121"/>
    </row>
    <row r="785" spans="1:19" ht="15">
      <c r="A785" s="105">
        <v>3</v>
      </c>
      <c r="B785" s="105"/>
      <c r="C785" s="107" t="s">
        <v>816</v>
      </c>
      <c r="D785" s="107" t="s">
        <v>495</v>
      </c>
      <c r="E785" s="120">
        <v>10419477.18</v>
      </c>
      <c r="F785" s="120" t="s">
        <v>251</v>
      </c>
      <c r="G785" s="120">
        <v>9171892.9579298869</v>
      </c>
      <c r="H785" s="120" t="s">
        <v>251</v>
      </c>
      <c r="I785" s="120">
        <v>374171.40017961897</v>
      </c>
      <c r="J785" s="120">
        <v>873412.82189049316</v>
      </c>
      <c r="K785" s="120" t="s">
        <v>251</v>
      </c>
      <c r="L785" s="120" t="s">
        <v>251</v>
      </c>
      <c r="M785" s="120">
        <v>41.048380614211702</v>
      </c>
      <c r="N785" s="120" t="s">
        <v>251</v>
      </c>
      <c r="O785" s="120">
        <v>873371.7735098789</v>
      </c>
      <c r="P785" s="120">
        <v>279453.63801537541</v>
      </c>
      <c r="Q785" s="120">
        <v>593918.13549450354</v>
      </c>
      <c r="R785" s="120"/>
      <c r="S785" s="121"/>
    </row>
    <row r="786" spans="1:19" ht="15">
      <c r="A786" s="105">
        <v>4</v>
      </c>
      <c r="B786" s="105"/>
      <c r="C786" s="107" t="s">
        <v>817</v>
      </c>
      <c r="D786" s="107" t="s">
        <v>495</v>
      </c>
      <c r="E786" s="120">
        <v>2923814.77</v>
      </c>
      <c r="F786" s="120" t="s">
        <v>251</v>
      </c>
      <c r="G786" s="120">
        <v>2573729.5294171753</v>
      </c>
      <c r="H786" s="120" t="s">
        <v>251</v>
      </c>
      <c r="I786" s="120">
        <v>104996.42616010323</v>
      </c>
      <c r="J786" s="120">
        <v>245088.81442272165</v>
      </c>
      <c r="K786" s="120" t="s">
        <v>251</v>
      </c>
      <c r="L786" s="120" t="s">
        <v>251</v>
      </c>
      <c r="M786" s="120">
        <v>11.518606879315019</v>
      </c>
      <c r="N786" s="120" t="s">
        <v>251</v>
      </c>
      <c r="O786" s="120">
        <v>245077.29581584234</v>
      </c>
      <c r="P786" s="120">
        <v>78417.626935057808</v>
      </c>
      <c r="Q786" s="120">
        <v>166659.66888078453</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23958634.509999998</v>
      </c>
      <c r="F789" s="120" t="s">
        <v>251</v>
      </c>
      <c r="G789" s="120">
        <v>21089928.731326707</v>
      </c>
      <c r="H789" s="120" t="s">
        <v>251</v>
      </c>
      <c r="I789" s="120">
        <v>860372.90222257003</v>
      </c>
      <c r="J789" s="120">
        <v>2008332.8764507214</v>
      </c>
      <c r="K789" s="120" t="s">
        <v>251</v>
      </c>
      <c r="L789" s="120" t="s">
        <v>251</v>
      </c>
      <c r="M789" s="120">
        <v>94.386995755507527</v>
      </c>
      <c r="N789" s="120" t="s">
        <v>251</v>
      </c>
      <c r="O789" s="120">
        <v>2008238.489454966</v>
      </c>
      <c r="P789" s="120">
        <v>642578.07373980177</v>
      </c>
      <c r="Q789" s="120">
        <v>1365660.415715164</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7336102.4800000004</v>
      </c>
      <c r="F792" s="120" t="s">
        <v>251</v>
      </c>
      <c r="G792" s="120">
        <v>6385195.9657954508</v>
      </c>
      <c r="H792" s="120" t="s">
        <v>251</v>
      </c>
      <c r="I792" s="120">
        <v>298644.61023496045</v>
      </c>
      <c r="J792" s="120">
        <v>652261.90396958927</v>
      </c>
      <c r="K792" s="120" t="s">
        <v>251</v>
      </c>
      <c r="L792" s="120" t="s">
        <v>251</v>
      </c>
      <c r="M792" s="120">
        <v>20.495589541617289</v>
      </c>
      <c r="N792" s="120" t="s">
        <v>251</v>
      </c>
      <c r="O792" s="120">
        <v>652241.40838004765</v>
      </c>
      <c r="P792" s="120">
        <v>201205.41688852044</v>
      </c>
      <c r="Q792" s="120">
        <v>451035.99149152724</v>
      </c>
      <c r="R792" s="120"/>
      <c r="S792" s="121"/>
    </row>
    <row r="793" spans="1:19" ht="15">
      <c r="A793" s="105">
        <v>8</v>
      </c>
      <c r="B793" s="105"/>
      <c r="C793" s="107" t="s">
        <v>822</v>
      </c>
      <c r="D793" s="107" t="s">
        <v>498</v>
      </c>
      <c r="E793" s="120">
        <v>9484690.5500000007</v>
      </c>
      <c r="F793" s="120" t="s">
        <v>251</v>
      </c>
      <c r="G793" s="120">
        <v>8255283.7834236799</v>
      </c>
      <c r="H793" s="120" t="s">
        <v>251</v>
      </c>
      <c r="I793" s="120">
        <v>386111.25188425154</v>
      </c>
      <c r="J793" s="120">
        <v>843295.51469206996</v>
      </c>
      <c r="K793" s="120" t="s">
        <v>251</v>
      </c>
      <c r="L793" s="120" t="s">
        <v>251</v>
      </c>
      <c r="M793" s="120">
        <v>26.498310918096166</v>
      </c>
      <c r="N793" s="120" t="s">
        <v>251</v>
      </c>
      <c r="O793" s="120">
        <v>843269.01638115186</v>
      </c>
      <c r="P793" s="120">
        <v>260134.19542243911</v>
      </c>
      <c r="Q793" s="120">
        <v>583134.82095871272</v>
      </c>
      <c r="R793" s="120"/>
      <c r="S793" s="121"/>
    </row>
    <row r="794" spans="1:19" ht="15">
      <c r="A794" s="105">
        <v>9</v>
      </c>
      <c r="B794" s="105"/>
      <c r="C794" s="107" t="s">
        <v>823</v>
      </c>
      <c r="D794" s="107" t="s">
        <v>498</v>
      </c>
      <c r="E794" s="120">
        <v>6491314.3400000008</v>
      </c>
      <c r="F794" s="120" t="s">
        <v>251</v>
      </c>
      <c r="G794" s="120">
        <v>5649909.3693792233</v>
      </c>
      <c r="H794" s="120" t="s">
        <v>251</v>
      </c>
      <c r="I794" s="120">
        <v>264254.22031207901</v>
      </c>
      <c r="J794" s="120">
        <v>577150.75030869769</v>
      </c>
      <c r="K794" s="120" t="s">
        <v>251</v>
      </c>
      <c r="L794" s="120" t="s">
        <v>251</v>
      </c>
      <c r="M794" s="120">
        <v>18.135421998392577</v>
      </c>
      <c r="N794" s="120" t="s">
        <v>251</v>
      </c>
      <c r="O794" s="120">
        <v>577132.61488669924</v>
      </c>
      <c r="P794" s="120">
        <v>178035.62743225621</v>
      </c>
      <c r="Q794" s="120">
        <v>399096.98745444301</v>
      </c>
      <c r="R794" s="120"/>
      <c r="S794" s="121"/>
    </row>
    <row r="795" spans="1:19" ht="15">
      <c r="A795" s="105">
        <v>10</v>
      </c>
      <c r="B795" s="105"/>
      <c r="C795" s="107" t="s">
        <v>824</v>
      </c>
      <c r="D795" s="107" t="s">
        <v>498</v>
      </c>
      <c r="E795" s="120">
        <v>2388352.54</v>
      </c>
      <c r="F795" s="120" t="s">
        <v>251</v>
      </c>
      <c r="G795" s="120">
        <v>2078773.9872610555</v>
      </c>
      <c r="H795" s="120" t="s">
        <v>251</v>
      </c>
      <c r="I795" s="120">
        <v>97227.187782139285</v>
      </c>
      <c r="J795" s="120">
        <v>212351.36495680531</v>
      </c>
      <c r="K795" s="120" t="s">
        <v>251</v>
      </c>
      <c r="L795" s="120" t="s">
        <v>251</v>
      </c>
      <c r="M795" s="120">
        <v>6.6725749093569222</v>
      </c>
      <c r="N795" s="120" t="s">
        <v>251</v>
      </c>
      <c r="O795" s="120">
        <v>212344.69238189596</v>
      </c>
      <c r="P795" s="120">
        <v>65504.737672020179</v>
      </c>
      <c r="Q795" s="120">
        <v>146839.95470987578</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1527116.9000000001</v>
      </c>
      <c r="F797" s="120" t="s">
        <v>251</v>
      </c>
      <c r="G797" s="120">
        <v>1329171.8178367179</v>
      </c>
      <c r="H797" s="120" t="s">
        <v>251</v>
      </c>
      <c r="I797" s="120">
        <v>62167.238343120989</v>
      </c>
      <c r="J797" s="120">
        <v>135777.84382016113</v>
      </c>
      <c r="K797" s="120" t="s">
        <v>251</v>
      </c>
      <c r="L797" s="120" t="s">
        <v>251</v>
      </c>
      <c r="M797" s="120">
        <v>4.2664563710493608</v>
      </c>
      <c r="N797" s="120" t="s">
        <v>251</v>
      </c>
      <c r="O797" s="120">
        <v>135773.57736379007</v>
      </c>
      <c r="P797" s="120">
        <v>41883.846816437181</v>
      </c>
      <c r="Q797" s="120">
        <v>93889.730547352898</v>
      </c>
      <c r="R797" s="120"/>
      <c r="S797" s="121"/>
    </row>
    <row r="798" spans="1:19" ht="15">
      <c r="A798" s="105">
        <v>13</v>
      </c>
      <c r="B798" s="105"/>
      <c r="C798" s="107" t="s">
        <v>827</v>
      </c>
      <c r="D798" s="107" t="s">
        <v>498</v>
      </c>
      <c r="E798" s="120">
        <v>458104.82</v>
      </c>
      <c r="F798" s="120" t="s">
        <v>251</v>
      </c>
      <c r="G798" s="120">
        <v>398725.2163597708</v>
      </c>
      <c r="H798" s="120" t="s">
        <v>251</v>
      </c>
      <c r="I798" s="120">
        <v>18648.940058925771</v>
      </c>
      <c r="J798" s="120">
        <v>40730.663581303452</v>
      </c>
      <c r="K798" s="120" t="s">
        <v>251</v>
      </c>
      <c r="L798" s="120" t="s">
        <v>251</v>
      </c>
      <c r="M798" s="120">
        <v>1.2798523989207511</v>
      </c>
      <c r="N798" s="120" t="s">
        <v>251</v>
      </c>
      <c r="O798" s="120">
        <v>40729.383728904533</v>
      </c>
      <c r="P798" s="120">
        <v>12564.324385874801</v>
      </c>
      <c r="Q798" s="120">
        <v>28165.059343029734</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4562.8</v>
      </c>
      <c r="F801" s="120" t="s">
        <v>251</v>
      </c>
      <c r="G801" s="120">
        <v>3971.3692975471472</v>
      </c>
      <c r="H801" s="120" t="s">
        <v>251</v>
      </c>
      <c r="I801" s="120">
        <v>185.74653656965782</v>
      </c>
      <c r="J801" s="120">
        <v>405.68416588319548</v>
      </c>
      <c r="K801" s="120" t="s">
        <v>251</v>
      </c>
      <c r="L801" s="120" t="s">
        <v>251</v>
      </c>
      <c r="M801" s="120">
        <v>1.2747542201794783E-2</v>
      </c>
      <c r="N801" s="120" t="s">
        <v>251</v>
      </c>
      <c r="O801" s="120">
        <v>405.67141834099368</v>
      </c>
      <c r="P801" s="120">
        <v>125.14275511851096</v>
      </c>
      <c r="Q801" s="120">
        <v>280.52866322248275</v>
      </c>
      <c r="R801" s="120"/>
      <c r="S801" s="121"/>
    </row>
    <row r="802" spans="1:19" ht="15">
      <c r="A802" s="105">
        <v>17</v>
      </c>
      <c r="B802" s="105"/>
      <c r="C802" s="107" t="s">
        <v>831</v>
      </c>
      <c r="D802" s="107" t="s">
        <v>498</v>
      </c>
      <c r="E802" s="120">
        <v>183705.13</v>
      </c>
      <c r="F802" s="120" t="s">
        <v>251</v>
      </c>
      <c r="G802" s="120">
        <v>159893.24824316369</v>
      </c>
      <c r="H802" s="120" t="s">
        <v>251</v>
      </c>
      <c r="I802" s="120">
        <v>7478.4324641839976</v>
      </c>
      <c r="J802" s="120">
        <v>16333.449292652318</v>
      </c>
      <c r="K802" s="120" t="s">
        <v>251</v>
      </c>
      <c r="L802" s="120" t="s">
        <v>251</v>
      </c>
      <c r="M802" s="120">
        <v>0.5132350524592787</v>
      </c>
      <c r="N802" s="120" t="s">
        <v>251</v>
      </c>
      <c r="O802" s="120">
        <v>16332.936057599858</v>
      </c>
      <c r="P802" s="120">
        <v>5038.4338777952626</v>
      </c>
      <c r="Q802" s="120">
        <v>11294.502179804596</v>
      </c>
      <c r="R802" s="120"/>
      <c r="S802" s="121"/>
    </row>
    <row r="803" spans="1:19" ht="15">
      <c r="A803" s="105">
        <v>18</v>
      </c>
      <c r="B803" s="105"/>
      <c r="C803" s="107" t="s">
        <v>832</v>
      </c>
      <c r="D803" s="107" t="s">
        <v>498</v>
      </c>
      <c r="E803" s="120">
        <v>48886.39</v>
      </c>
      <c r="F803" s="120" t="s">
        <v>251</v>
      </c>
      <c r="G803" s="120">
        <v>42549.73005915575</v>
      </c>
      <c r="H803" s="120" t="s">
        <v>251</v>
      </c>
      <c r="I803" s="120">
        <v>1990.1108152655286</v>
      </c>
      <c r="J803" s="120">
        <v>4346.549125578721</v>
      </c>
      <c r="K803" s="120" t="s">
        <v>251</v>
      </c>
      <c r="L803" s="120" t="s">
        <v>251</v>
      </c>
      <c r="M803" s="120">
        <v>0.13657870597405067</v>
      </c>
      <c r="N803" s="120" t="s">
        <v>251</v>
      </c>
      <c r="O803" s="120">
        <v>4346.412546872747</v>
      </c>
      <c r="P803" s="120">
        <v>1340.7945849912385</v>
      </c>
      <c r="Q803" s="120">
        <v>3005.6179618815086</v>
      </c>
      <c r="R803" s="120"/>
      <c r="S803" s="121"/>
    </row>
    <row r="804" spans="1:19" ht="15">
      <c r="A804" s="105">
        <v>19</v>
      </c>
      <c r="B804" s="105"/>
      <c r="C804" s="107" t="s">
        <v>2256</v>
      </c>
      <c r="D804" s="107" t="s">
        <v>498</v>
      </c>
      <c r="E804" s="120">
        <v>750</v>
      </c>
      <c r="F804" s="120" t="s">
        <v>251</v>
      </c>
      <c r="G804" s="120">
        <v>652.78490689058481</v>
      </c>
      <c r="H804" s="120" t="s">
        <v>251</v>
      </c>
      <c r="I804" s="120">
        <v>30.531669682485177</v>
      </c>
      <c r="J804" s="120">
        <v>66.683423426930077</v>
      </c>
      <c r="K804" s="120" t="s">
        <v>251</v>
      </c>
      <c r="L804" s="120" t="s">
        <v>251</v>
      </c>
      <c r="M804" s="120">
        <v>2.0953486129889733E-3</v>
      </c>
      <c r="N804" s="120" t="s">
        <v>251</v>
      </c>
      <c r="O804" s="120">
        <v>66.681328078317094</v>
      </c>
      <c r="P804" s="120">
        <v>20.570059248462176</v>
      </c>
      <c r="Q804" s="120">
        <v>46.111268829854922</v>
      </c>
      <c r="R804" s="120"/>
      <c r="S804" s="121"/>
    </row>
    <row r="805" spans="1:19" ht="15">
      <c r="A805" s="105">
        <v>20</v>
      </c>
      <c r="B805" s="105"/>
      <c r="C805" s="107" t="s">
        <v>833</v>
      </c>
      <c r="D805" s="107" t="s">
        <v>498</v>
      </c>
      <c r="E805" s="120">
        <v>21981.600000000002</v>
      </c>
      <c r="F805" s="120" t="s">
        <v>251</v>
      </c>
      <c r="G805" s="120">
        <v>19132.342279074772</v>
      </c>
      <c r="H805" s="120" t="s">
        <v>251</v>
      </c>
      <c r="I805" s="120">
        <v>894.84660039002154</v>
      </c>
      <c r="J805" s="120">
        <v>1954.411120535209</v>
      </c>
      <c r="K805" s="120" t="s">
        <v>251</v>
      </c>
      <c r="L805" s="120" t="s">
        <v>251</v>
      </c>
      <c r="M805" s="120">
        <v>6.1412153428371224E-2</v>
      </c>
      <c r="N805" s="120" t="s">
        <v>251</v>
      </c>
      <c r="O805" s="120">
        <v>1954.3497083817806</v>
      </c>
      <c r="P805" s="120">
        <v>602.88375250132833</v>
      </c>
      <c r="Q805" s="120">
        <v>1351.4659558804522</v>
      </c>
      <c r="R805" s="120"/>
      <c r="S805" s="121"/>
    </row>
    <row r="806" spans="1:19" ht="15">
      <c r="A806" s="105">
        <v>21</v>
      </c>
      <c r="B806" s="105"/>
      <c r="C806" s="107" t="s">
        <v>834</v>
      </c>
      <c r="D806" s="107" t="s">
        <v>498</v>
      </c>
      <c r="E806" s="120">
        <v>1526.6700000000003</v>
      </c>
      <c r="F806" s="120" t="s">
        <v>251</v>
      </c>
      <c r="G806" s="120">
        <v>1328.7828450701988</v>
      </c>
      <c r="H806" s="120" t="s">
        <v>251</v>
      </c>
      <c r="I806" s="120">
        <v>62.149045538879527</v>
      </c>
      <c r="J806" s="120">
        <v>135.73810939092184</v>
      </c>
      <c r="K806" s="120" t="s">
        <v>251</v>
      </c>
      <c r="L806" s="120" t="s">
        <v>251</v>
      </c>
      <c r="M806" s="120">
        <v>4.265207822655835E-3</v>
      </c>
      <c r="N806" s="120" t="s">
        <v>251</v>
      </c>
      <c r="O806" s="120">
        <v>135.73384418309917</v>
      </c>
      <c r="P806" s="120">
        <v>41.871589803799672</v>
      </c>
      <c r="Q806" s="120">
        <v>93.862254379299486</v>
      </c>
      <c r="R806" s="120"/>
      <c r="S806" s="121"/>
    </row>
    <row r="807" spans="1:19" ht="15">
      <c r="A807" s="105">
        <v>22</v>
      </c>
      <c r="B807" s="105"/>
      <c r="C807" s="107" t="s">
        <v>835</v>
      </c>
      <c r="D807" s="107" t="s">
        <v>498</v>
      </c>
      <c r="E807" s="120">
        <v>1124231.52</v>
      </c>
      <c r="F807" s="120" t="s">
        <v>251</v>
      </c>
      <c r="G807" s="120">
        <v>978508.49080888077</v>
      </c>
      <c r="H807" s="120" t="s">
        <v>251</v>
      </c>
      <c r="I807" s="120">
        <v>45766.220553704305</v>
      </c>
      <c r="J807" s="120">
        <v>99956.808637414972</v>
      </c>
      <c r="K807" s="120" t="s">
        <v>251</v>
      </c>
      <c r="L807" s="120" t="s">
        <v>251</v>
      </c>
      <c r="M807" s="120">
        <v>3.1408759414806471</v>
      </c>
      <c r="N807" s="120" t="s">
        <v>251</v>
      </c>
      <c r="O807" s="120">
        <v>99953.667761473494</v>
      </c>
      <c r="P807" s="120">
        <v>30834.011967184921</v>
      </c>
      <c r="Q807" s="120">
        <v>69119.65579428857</v>
      </c>
      <c r="R807" s="120"/>
      <c r="S807" s="121"/>
    </row>
    <row r="808" spans="1:19" ht="15">
      <c r="A808" s="105">
        <v>23</v>
      </c>
      <c r="B808" s="105"/>
      <c r="C808" s="107" t="s">
        <v>836</v>
      </c>
      <c r="D808" s="107" t="s">
        <v>498</v>
      </c>
      <c r="E808" s="120">
        <v>384196.04000000004</v>
      </c>
      <c r="F808" s="120" t="s">
        <v>251</v>
      </c>
      <c r="G808" s="120">
        <v>334396.50159884186</v>
      </c>
      <c r="H808" s="120" t="s">
        <v>251</v>
      </c>
      <c r="I808" s="120">
        <v>15640.195448798484</v>
      </c>
      <c r="J808" s="120">
        <v>34159.342952359701</v>
      </c>
      <c r="K808" s="120" t="s">
        <v>251</v>
      </c>
      <c r="L808" s="120" t="s">
        <v>251</v>
      </c>
      <c r="M808" s="120">
        <v>1.0733661860398083</v>
      </c>
      <c r="N808" s="120" t="s">
        <v>251</v>
      </c>
      <c r="O808" s="120">
        <v>34158.269586173657</v>
      </c>
      <c r="P808" s="120">
        <v>10537.247074432727</v>
      </c>
      <c r="Q808" s="120">
        <v>23621.022511740928</v>
      </c>
      <c r="R808" s="120"/>
      <c r="S808" s="121"/>
    </row>
    <row r="809" spans="1:19" ht="15">
      <c r="A809" s="105">
        <v>24</v>
      </c>
      <c r="B809" s="105"/>
      <c r="C809" s="107" t="s">
        <v>837</v>
      </c>
      <c r="D809" s="107" t="s">
        <v>498</v>
      </c>
      <c r="E809" s="120">
        <v>1999394.21</v>
      </c>
      <c r="F809" s="120" t="s">
        <v>251</v>
      </c>
      <c r="G809" s="120">
        <v>1740232.4842832324</v>
      </c>
      <c r="H809" s="120" t="s">
        <v>251</v>
      </c>
      <c r="I809" s="120">
        <v>81393.124779724531</v>
      </c>
      <c r="J809" s="120">
        <v>177768.60093704314</v>
      </c>
      <c r="K809" s="120" t="s">
        <v>251</v>
      </c>
      <c r="L809" s="120" t="s">
        <v>251</v>
      </c>
      <c r="M809" s="120">
        <v>5.5859038463222452</v>
      </c>
      <c r="N809" s="120" t="s">
        <v>251</v>
      </c>
      <c r="O809" s="120">
        <v>177763.01503319683</v>
      </c>
      <c r="P809" s="120">
        <v>54836.876480976302</v>
      </c>
      <c r="Q809" s="120">
        <v>122926.13855222054</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403517.31</v>
      </c>
      <c r="F811" s="120" t="s">
        <v>251</v>
      </c>
      <c r="G811" s="120">
        <v>351213.34618278564</v>
      </c>
      <c r="H811" s="120" t="s">
        <v>251</v>
      </c>
      <c r="I811" s="120">
        <v>16426.742960113297</v>
      </c>
      <c r="J811" s="120">
        <v>35877.220857101085</v>
      </c>
      <c r="K811" s="120" t="s">
        <v>251</v>
      </c>
      <c r="L811" s="120" t="s">
        <v>251</v>
      </c>
      <c r="M811" s="120">
        <v>1.1273459144340554</v>
      </c>
      <c r="N811" s="120" t="s">
        <v>251</v>
      </c>
      <c r="O811" s="120">
        <v>35876.093511186649</v>
      </c>
      <c r="P811" s="120">
        <v>11067.166632640106</v>
      </c>
      <c r="Q811" s="120">
        <v>24808.926878546543</v>
      </c>
      <c r="R811" s="120"/>
      <c r="S811" s="121"/>
    </row>
    <row r="812" spans="1:19" ht="15">
      <c r="A812" s="105">
        <v>27</v>
      </c>
      <c r="B812" s="105"/>
      <c r="C812" s="107" t="s">
        <v>840</v>
      </c>
      <c r="D812" s="107" t="s">
        <v>498</v>
      </c>
      <c r="E812" s="120">
        <v>243003.61000000002</v>
      </c>
      <c r="F812" s="120" t="s">
        <v>251</v>
      </c>
      <c r="G812" s="120">
        <v>211505.4519039013</v>
      </c>
      <c r="H812" s="120" t="s">
        <v>251</v>
      </c>
      <c r="I812" s="120">
        <v>9892.4079362286011</v>
      </c>
      <c r="J812" s="120">
        <v>21605.750159870109</v>
      </c>
      <c r="K812" s="120" t="s">
        <v>251</v>
      </c>
      <c r="L812" s="120" t="s">
        <v>251</v>
      </c>
      <c r="M812" s="120">
        <v>0.67890303621975112</v>
      </c>
      <c r="N812" s="120" t="s">
        <v>251</v>
      </c>
      <c r="O812" s="120">
        <v>21605.071256833889</v>
      </c>
      <c r="P812" s="120">
        <v>6664.7982070535945</v>
      </c>
      <c r="Q812" s="120">
        <v>14940.273049780295</v>
      </c>
      <c r="R812" s="120"/>
      <c r="S812" s="121"/>
    </row>
    <row r="813" spans="1:19" ht="15">
      <c r="A813" s="105">
        <v>28</v>
      </c>
      <c r="B813" s="105"/>
      <c r="C813" s="107" t="s">
        <v>841</v>
      </c>
      <c r="D813" s="107" t="s">
        <v>498</v>
      </c>
      <c r="E813" s="120">
        <v>1490475.7400000002</v>
      </c>
      <c r="F813" s="120" t="s">
        <v>251</v>
      </c>
      <c r="G813" s="120">
        <v>1297280.0895447673</v>
      </c>
      <c r="H813" s="120" t="s">
        <v>251</v>
      </c>
      <c r="I813" s="120">
        <v>60675.617284583539</v>
      </c>
      <c r="J813" s="120">
        <v>132520.03317064929</v>
      </c>
      <c r="K813" s="120" t="s">
        <v>251</v>
      </c>
      <c r="L813" s="120" t="s">
        <v>251</v>
      </c>
      <c r="M813" s="120">
        <v>4.1640883660036181</v>
      </c>
      <c r="N813" s="120" t="s">
        <v>251</v>
      </c>
      <c r="O813" s="120">
        <v>132515.86908228329</v>
      </c>
      <c r="P813" s="120">
        <v>40878.899040260672</v>
      </c>
      <c r="Q813" s="120">
        <v>91636.9700420226</v>
      </c>
      <c r="R813" s="120"/>
      <c r="S813" s="121"/>
    </row>
    <row r="814" spans="1:19" ht="15">
      <c r="A814" s="105">
        <v>29</v>
      </c>
      <c r="B814" s="105"/>
      <c r="C814" s="107" t="s">
        <v>842</v>
      </c>
      <c r="D814" s="107" t="s">
        <v>498</v>
      </c>
      <c r="E814" s="120">
        <v>1203498.96</v>
      </c>
      <c r="F814" s="120" t="s">
        <v>251</v>
      </c>
      <c r="G814" s="120">
        <v>1047501.2753953541</v>
      </c>
      <c r="H814" s="120" t="s">
        <v>251</v>
      </c>
      <c r="I814" s="120">
        <v>48993.11027991258</v>
      </c>
      <c r="J814" s="120">
        <v>107004.57432473332</v>
      </c>
      <c r="K814" s="120" t="s">
        <v>251</v>
      </c>
      <c r="L814" s="120" t="s">
        <v>251</v>
      </c>
      <c r="M814" s="120">
        <v>3.3623331687595623</v>
      </c>
      <c r="N814" s="120" t="s">
        <v>251</v>
      </c>
      <c r="O814" s="120">
        <v>107001.21199156456</v>
      </c>
      <c r="P814" s="120">
        <v>33008.059883550144</v>
      </c>
      <c r="Q814" s="120">
        <v>73993.152108014416</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1803486.6500000001</v>
      </c>
      <c r="F816" s="120" t="s">
        <v>251</v>
      </c>
      <c r="G816" s="120">
        <v>1569718.4865315501</v>
      </c>
      <c r="H816" s="120" t="s">
        <v>251</v>
      </c>
      <c r="I816" s="120">
        <v>73417.944899429</v>
      </c>
      <c r="J816" s="120">
        <v>160350.21856902089</v>
      </c>
      <c r="K816" s="120" t="s">
        <v>251</v>
      </c>
      <c r="L816" s="120" t="s">
        <v>251</v>
      </c>
      <c r="M816" s="120">
        <v>5.0385776674955061</v>
      </c>
      <c r="N816" s="120" t="s">
        <v>251</v>
      </c>
      <c r="O816" s="120">
        <v>160345.17999135339</v>
      </c>
      <c r="P816" s="120">
        <v>49463.769659080754</v>
      </c>
      <c r="Q816" s="120">
        <v>110881.41033227263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36598898.259999998</v>
      </c>
      <c r="F819" s="120" t="s">
        <v>251</v>
      </c>
      <c r="G819" s="120">
        <v>31854944.523936108</v>
      </c>
      <c r="H819" s="120" t="s">
        <v>251</v>
      </c>
      <c r="I819" s="120">
        <v>1489900.6298896023</v>
      </c>
      <c r="J819" s="120">
        <v>3254053.106174286</v>
      </c>
      <c r="K819" s="120">
        <v>0</v>
      </c>
      <c r="L819" s="120">
        <v>0</v>
      </c>
      <c r="M819" s="120">
        <v>102.24993427468738</v>
      </c>
      <c r="N819" s="120" t="s">
        <v>251</v>
      </c>
      <c r="O819" s="120">
        <v>3253950.8562400122</v>
      </c>
      <c r="P819" s="120">
        <v>1003788.6741821859</v>
      </c>
      <c r="Q819" s="120">
        <v>2250162.1820578263</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60557532.769999996</v>
      </c>
      <c r="F821" s="120" t="s">
        <v>251</v>
      </c>
      <c r="G821" s="120">
        <v>52944873.255262814</v>
      </c>
      <c r="H821" s="120" t="s">
        <v>251</v>
      </c>
      <c r="I821" s="120">
        <v>2350273.5321121723</v>
      </c>
      <c r="J821" s="120">
        <v>5262385.9826250076</v>
      </c>
      <c r="K821" s="120">
        <v>0</v>
      </c>
      <c r="L821" s="120">
        <v>0</v>
      </c>
      <c r="M821" s="120">
        <v>196.63693003019489</v>
      </c>
      <c r="N821" s="120" t="s">
        <v>251</v>
      </c>
      <c r="O821" s="120">
        <v>5262189.3456949778</v>
      </c>
      <c r="P821" s="120">
        <v>1646366.7479219877</v>
      </c>
      <c r="Q821" s="120">
        <v>3615822.5977729904</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1480794.2999999998</v>
      </c>
      <c r="F827" s="120" t="s">
        <v>251</v>
      </c>
      <c r="G827" s="120">
        <v>1337667.8255909521</v>
      </c>
      <c r="H827" s="120" t="s">
        <v>251</v>
      </c>
      <c r="I827" s="120">
        <v>143122.18068167541</v>
      </c>
      <c r="J827" s="120">
        <v>4.2937273723789948</v>
      </c>
      <c r="K827" s="120" t="s">
        <v>251</v>
      </c>
      <c r="L827" s="120" t="s">
        <v>251</v>
      </c>
      <c r="M827" s="120">
        <v>4.2937273723789948</v>
      </c>
      <c r="N827" s="120" t="s">
        <v>251</v>
      </c>
      <c r="O827" s="120">
        <v>0</v>
      </c>
      <c r="P827" s="120">
        <v>0</v>
      </c>
      <c r="Q827" s="120">
        <v>0</v>
      </c>
      <c r="R827" s="120"/>
      <c r="S827" s="121"/>
    </row>
    <row r="828" spans="1:19" ht="15">
      <c r="A828" s="105">
        <v>2</v>
      </c>
      <c r="B828" s="105"/>
      <c r="C828" s="107" t="s">
        <v>850</v>
      </c>
      <c r="D828" s="107" t="s">
        <v>500</v>
      </c>
      <c r="E828" s="120">
        <v>3492640.65</v>
      </c>
      <c r="F828" s="120" t="s">
        <v>251</v>
      </c>
      <c r="G828" s="120">
        <v>3155058.7572197369</v>
      </c>
      <c r="H828" s="120" t="s">
        <v>251</v>
      </c>
      <c r="I828" s="120">
        <v>337571.76548117748</v>
      </c>
      <c r="J828" s="120">
        <v>10.127299085895027</v>
      </c>
      <c r="K828" s="120" t="s">
        <v>251</v>
      </c>
      <c r="L828" s="120" t="s">
        <v>251</v>
      </c>
      <c r="M828" s="120">
        <v>10.127299085895027</v>
      </c>
      <c r="N828" s="120" t="s">
        <v>251</v>
      </c>
      <c r="O828" s="120">
        <v>0</v>
      </c>
      <c r="P828" s="120">
        <v>0</v>
      </c>
      <c r="Q828" s="120">
        <v>0</v>
      </c>
      <c r="R828" s="120"/>
      <c r="S828" s="121"/>
    </row>
    <row r="829" spans="1:19" ht="15">
      <c r="A829" s="105">
        <v>3</v>
      </c>
      <c r="B829" s="105"/>
      <c r="C829" s="107" t="s">
        <v>851</v>
      </c>
      <c r="D829" s="107" t="s">
        <v>500</v>
      </c>
      <c r="E829" s="120">
        <v>568688.16999999993</v>
      </c>
      <c r="F829" s="120" t="s">
        <v>251</v>
      </c>
      <c r="G829" s="120">
        <v>513721.49920025875</v>
      </c>
      <c r="H829" s="120" t="s">
        <v>251</v>
      </c>
      <c r="I829" s="120">
        <v>54965.021825294272</v>
      </c>
      <c r="J829" s="120">
        <v>1.6489744469418333</v>
      </c>
      <c r="K829" s="120" t="s">
        <v>251</v>
      </c>
      <c r="L829" s="120" t="s">
        <v>251</v>
      </c>
      <c r="M829" s="120">
        <v>1.6489744469418333</v>
      </c>
      <c r="N829" s="120" t="s">
        <v>251</v>
      </c>
      <c r="O829" s="120">
        <v>0</v>
      </c>
      <c r="P829" s="120">
        <v>0</v>
      </c>
      <c r="Q829" s="120">
        <v>0</v>
      </c>
      <c r="R829" s="120"/>
      <c r="S829" s="121"/>
    </row>
    <row r="830" spans="1:19" ht="15">
      <c r="A830" s="105">
        <v>4</v>
      </c>
      <c r="B830" s="105"/>
      <c r="C830" s="107" t="s">
        <v>852</v>
      </c>
      <c r="D830" s="107" t="s">
        <v>500</v>
      </c>
      <c r="E830" s="120">
        <v>52611.12000000001</v>
      </c>
      <c r="F830" s="120" t="s">
        <v>251</v>
      </c>
      <c r="G830" s="120">
        <v>47525.981490004837</v>
      </c>
      <c r="H830" s="120" t="s">
        <v>251</v>
      </c>
      <c r="I830" s="120">
        <v>5084.9859582153367</v>
      </c>
      <c r="J830" s="120">
        <v>0.15255177983567064</v>
      </c>
      <c r="K830" s="120" t="s">
        <v>251</v>
      </c>
      <c r="L830" s="120" t="s">
        <v>251</v>
      </c>
      <c r="M830" s="120">
        <v>0.15255177983567064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536745.78</v>
      </c>
      <c r="F832" s="120" t="s">
        <v>251</v>
      </c>
      <c r="G832" s="120">
        <v>484866.50740600476</v>
      </c>
      <c r="H832" s="120" t="s">
        <v>251</v>
      </c>
      <c r="I832" s="120">
        <v>51877.716240052265</v>
      </c>
      <c r="J832" s="120">
        <v>1.5563539430121485</v>
      </c>
      <c r="K832" s="120" t="s">
        <v>251</v>
      </c>
      <c r="L832" s="120" t="s">
        <v>251</v>
      </c>
      <c r="M832" s="120">
        <v>1.5563539430121485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1038904.3899999999</v>
      </c>
      <c r="F835" s="120" t="s">
        <v>251</v>
      </c>
      <c r="G835" s="120">
        <v>938488.8747668697</v>
      </c>
      <c r="H835" s="120" t="s">
        <v>251</v>
      </c>
      <c r="I835" s="120">
        <v>100412.5028145812</v>
      </c>
      <c r="J835" s="120">
        <v>3.0124185490366235</v>
      </c>
      <c r="K835" s="120" t="s">
        <v>251</v>
      </c>
      <c r="L835" s="120" t="s">
        <v>251</v>
      </c>
      <c r="M835" s="120">
        <v>3.0124185490366235</v>
      </c>
      <c r="N835" s="120" t="s">
        <v>251</v>
      </c>
      <c r="O835" s="120">
        <v>0</v>
      </c>
      <c r="P835" s="120">
        <v>0</v>
      </c>
      <c r="Q835" s="120">
        <v>0</v>
      </c>
      <c r="R835" s="120"/>
      <c r="S835" s="121"/>
    </row>
    <row r="836" spans="1:19" ht="15">
      <c r="A836" s="105">
        <v>10</v>
      </c>
      <c r="B836" s="105"/>
      <c r="C836" s="107" t="s">
        <v>858</v>
      </c>
      <c r="D836" s="107" t="s">
        <v>500</v>
      </c>
      <c r="E836" s="120">
        <v>335259.69000000006</v>
      </c>
      <c r="F836" s="120" t="s">
        <v>251</v>
      </c>
      <c r="G836" s="120">
        <v>302855.09643749759</v>
      </c>
      <c r="H836" s="120" t="s">
        <v>251</v>
      </c>
      <c r="I836" s="120">
        <v>32403.621439832998</v>
      </c>
      <c r="J836" s="120">
        <v>0.97212266944051351</v>
      </c>
      <c r="K836" s="120" t="s">
        <v>251</v>
      </c>
      <c r="L836" s="120" t="s">
        <v>251</v>
      </c>
      <c r="M836" s="120">
        <v>0.97212266944051351</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12513.810000000001</v>
      </c>
      <c r="F838" s="120" t="s">
        <v>251</v>
      </c>
      <c r="G838" s="120">
        <v>11304.285147881996</v>
      </c>
      <c r="H838" s="120" t="s">
        <v>251</v>
      </c>
      <c r="I838" s="120">
        <v>1209.4885669374587</v>
      </c>
      <c r="J838" s="120">
        <v>3.6285180547865427E-2</v>
      </c>
      <c r="K838" s="120" t="s">
        <v>251</v>
      </c>
      <c r="L838" s="120" t="s">
        <v>251</v>
      </c>
      <c r="M838" s="120">
        <v>3.6285180547865427E-2</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7518157.9099999992</v>
      </c>
      <c r="F840" s="120" t="s">
        <v>251</v>
      </c>
      <c r="G840" s="120">
        <v>6791488.8272592062</v>
      </c>
      <c r="H840" s="120" t="s">
        <v>251</v>
      </c>
      <c r="I840" s="120">
        <v>726647.28300776635</v>
      </c>
      <c r="J840" s="120">
        <v>21.799733027088674</v>
      </c>
      <c r="K840" s="120">
        <v>0</v>
      </c>
      <c r="L840" s="120">
        <v>0</v>
      </c>
      <c r="M840" s="120">
        <v>21.799733027088674</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1323759.4199999997</v>
      </c>
      <c r="F843" s="120" t="s">
        <v>251</v>
      </c>
      <c r="G843" s="120">
        <v>1254566.7382002061</v>
      </c>
      <c r="H843" s="120" t="s">
        <v>251</v>
      </c>
      <c r="I843" s="120">
        <v>66052.569624730662</v>
      </c>
      <c r="J843" s="120">
        <v>3140.1121750630573</v>
      </c>
      <c r="K843" s="120" t="s">
        <v>251</v>
      </c>
      <c r="L843" s="120" t="s">
        <v>251</v>
      </c>
      <c r="M843" s="120">
        <v>452.51857433410322</v>
      </c>
      <c r="N843" s="120" t="s">
        <v>251</v>
      </c>
      <c r="O843" s="120">
        <v>2687.5936007289542</v>
      </c>
      <c r="P843" s="120">
        <v>2498.7525114165787</v>
      </c>
      <c r="Q843" s="120">
        <v>188.84108931237543</v>
      </c>
      <c r="R843" s="120"/>
      <c r="S843" s="121"/>
    </row>
    <row r="844" spans="1:19" ht="15">
      <c r="A844" s="105">
        <v>2</v>
      </c>
      <c r="B844" s="105"/>
      <c r="C844" s="107" t="s">
        <v>864</v>
      </c>
      <c r="D844" s="107" t="s">
        <v>502</v>
      </c>
      <c r="E844" s="120">
        <v>363732.06999999989</v>
      </c>
      <c r="F844" s="120" t="s">
        <v>251</v>
      </c>
      <c r="G844" s="120">
        <v>344719.85599823645</v>
      </c>
      <c r="H844" s="120" t="s">
        <v>251</v>
      </c>
      <c r="I844" s="120">
        <v>18149.398988543104</v>
      </c>
      <c r="J844" s="120">
        <v>862.81501322036911</v>
      </c>
      <c r="K844" s="120" t="s">
        <v>251</v>
      </c>
      <c r="L844" s="120" t="s">
        <v>251</v>
      </c>
      <c r="M844" s="120">
        <v>124.33944965316449</v>
      </c>
      <c r="N844" s="120" t="s">
        <v>251</v>
      </c>
      <c r="O844" s="120">
        <v>738.47556356720463</v>
      </c>
      <c r="P844" s="120">
        <v>686.58731312012173</v>
      </c>
      <c r="Q844" s="120">
        <v>51.888250447082889</v>
      </c>
      <c r="R844" s="120"/>
      <c r="S844" s="121"/>
    </row>
    <row r="845" spans="1:19" ht="15">
      <c r="A845" s="105">
        <v>3</v>
      </c>
      <c r="B845" s="105"/>
      <c r="C845" s="107" t="s">
        <v>865</v>
      </c>
      <c r="D845" s="107" t="s">
        <v>502</v>
      </c>
      <c r="E845" s="120">
        <v>996969.62999999977</v>
      </c>
      <c r="F845" s="120" t="s">
        <v>251</v>
      </c>
      <c r="G845" s="120">
        <v>944858.195451985</v>
      </c>
      <c r="H845" s="120" t="s">
        <v>251</v>
      </c>
      <c r="I845" s="120">
        <v>49746.505977133638</v>
      </c>
      <c r="J845" s="120">
        <v>2364.928570881189</v>
      </c>
      <c r="K845" s="120" t="s">
        <v>251</v>
      </c>
      <c r="L845" s="120" t="s">
        <v>251</v>
      </c>
      <c r="M845" s="120">
        <v>340.80760356137705</v>
      </c>
      <c r="N845" s="120" t="s">
        <v>251</v>
      </c>
      <c r="O845" s="120">
        <v>2024.1209673198118</v>
      </c>
      <c r="P845" s="120">
        <v>1881.898122219638</v>
      </c>
      <c r="Q845" s="120">
        <v>142.22284510017377</v>
      </c>
      <c r="R845" s="120"/>
      <c r="S845" s="121"/>
    </row>
    <row r="846" spans="1:19" ht="15">
      <c r="A846" s="105">
        <v>4</v>
      </c>
      <c r="B846" s="105"/>
      <c r="C846" s="107" t="s">
        <v>866</v>
      </c>
      <c r="D846" s="107" t="s">
        <v>502</v>
      </c>
      <c r="E846" s="120">
        <v>2689680.1799999992</v>
      </c>
      <c r="F846" s="120" t="s">
        <v>251</v>
      </c>
      <c r="G846" s="120">
        <v>2549091.0502637578</v>
      </c>
      <c r="H846" s="120" t="s">
        <v>251</v>
      </c>
      <c r="I846" s="120">
        <v>134208.89375632023</v>
      </c>
      <c r="J846" s="120">
        <v>6380.2359799213327</v>
      </c>
      <c r="K846" s="120" t="s">
        <v>251</v>
      </c>
      <c r="L846" s="120" t="s">
        <v>251</v>
      </c>
      <c r="M846" s="120">
        <v>919.44972936872034</v>
      </c>
      <c r="N846" s="120" t="s">
        <v>251</v>
      </c>
      <c r="O846" s="120">
        <v>5460.7862505526127</v>
      </c>
      <c r="P846" s="120">
        <v>5077.0895399425335</v>
      </c>
      <c r="Q846" s="120">
        <v>383.69671061007898</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5182583.84</v>
      </c>
      <c r="F849" s="120" t="s">
        <v>251</v>
      </c>
      <c r="G849" s="120">
        <v>4911691.0560665922</v>
      </c>
      <c r="H849" s="120" t="s">
        <v>251</v>
      </c>
      <c r="I849" s="120">
        <v>258599.08889456966</v>
      </c>
      <c r="J849" s="120">
        <v>12293.695038837986</v>
      </c>
      <c r="K849" s="120" t="s">
        <v>251</v>
      </c>
      <c r="L849" s="120" t="s">
        <v>251</v>
      </c>
      <c r="M849" s="120">
        <v>1771.6326812947343</v>
      </c>
      <c r="N849" s="120" t="s">
        <v>251</v>
      </c>
      <c r="O849" s="120">
        <v>10522.062357543253</v>
      </c>
      <c r="P849" s="120">
        <v>9782.7401189160009</v>
      </c>
      <c r="Q849" s="120">
        <v>739.32223862725266</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3331488.4299999997</v>
      </c>
      <c r="F851" s="120" t="s">
        <v>251</v>
      </c>
      <c r="G851" s="120">
        <v>3157352.0911955629</v>
      </c>
      <c r="H851" s="120" t="s">
        <v>251</v>
      </c>
      <c r="I851" s="120">
        <v>166233.65858772103</v>
      </c>
      <c r="J851" s="120">
        <v>7902.6802167154428</v>
      </c>
      <c r="K851" s="120" t="s">
        <v>251</v>
      </c>
      <c r="L851" s="120" t="s">
        <v>251</v>
      </c>
      <c r="M851" s="120">
        <v>1138.8477180801931</v>
      </c>
      <c r="N851" s="120" t="s">
        <v>251</v>
      </c>
      <c r="O851" s="120">
        <v>6763.83249863525</v>
      </c>
      <c r="P851" s="120">
        <v>6288.5785403648151</v>
      </c>
      <c r="Q851" s="120">
        <v>475.25395827043513</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10990.210000000001</v>
      </c>
      <c r="F853" s="120" t="s">
        <v>251</v>
      </c>
      <c r="G853" s="120">
        <v>10415.753575400649</v>
      </c>
      <c r="H853" s="120" t="s">
        <v>251</v>
      </c>
      <c r="I853" s="120">
        <v>548.3863610318341</v>
      </c>
      <c r="J853" s="120">
        <v>26.070063567517252</v>
      </c>
      <c r="K853" s="120" t="s">
        <v>251</v>
      </c>
      <c r="L853" s="120" t="s">
        <v>251</v>
      </c>
      <c r="M853" s="120">
        <v>3.7569320268424646</v>
      </c>
      <c r="N853" s="120" t="s">
        <v>251</v>
      </c>
      <c r="O853" s="120">
        <v>22.313131540674789</v>
      </c>
      <c r="P853" s="120">
        <v>20.745321561901029</v>
      </c>
      <c r="Q853" s="120">
        <v>1.5678099787737578</v>
      </c>
      <c r="R853" s="120"/>
      <c r="S853" s="121"/>
    </row>
    <row r="854" spans="1:19" ht="15">
      <c r="A854" s="105">
        <v>13</v>
      </c>
      <c r="B854" s="105"/>
      <c r="C854" s="107" t="s">
        <v>874</v>
      </c>
      <c r="D854" s="107" t="s">
        <v>502</v>
      </c>
      <c r="E854" s="120">
        <v>691017.46</v>
      </c>
      <c r="F854" s="120" t="s">
        <v>251</v>
      </c>
      <c r="G854" s="120">
        <v>654898.09381797747</v>
      </c>
      <c r="H854" s="120" t="s">
        <v>251</v>
      </c>
      <c r="I854" s="120">
        <v>34480.191943453392</v>
      </c>
      <c r="J854" s="120">
        <v>1639.1742385690818</v>
      </c>
      <c r="K854" s="120" t="s">
        <v>251</v>
      </c>
      <c r="L854" s="120" t="s">
        <v>251</v>
      </c>
      <c r="M854" s="120">
        <v>236.21983807236907</v>
      </c>
      <c r="N854" s="120" t="s">
        <v>251</v>
      </c>
      <c r="O854" s="120">
        <v>1402.9544004967127</v>
      </c>
      <c r="P854" s="120">
        <v>1304.3772059485743</v>
      </c>
      <c r="Q854" s="120">
        <v>98.57719454813838</v>
      </c>
      <c r="R854" s="120"/>
      <c r="S854" s="121"/>
    </row>
    <row r="855" spans="1:19" ht="15">
      <c r="A855" s="105">
        <v>14</v>
      </c>
      <c r="B855" s="105"/>
      <c r="C855" s="107" t="s">
        <v>875</v>
      </c>
      <c r="D855" s="107" t="s">
        <v>502</v>
      </c>
      <c r="E855" s="120">
        <v>7169640.8799999999</v>
      </c>
      <c r="F855" s="120" t="s">
        <v>251</v>
      </c>
      <c r="G855" s="120">
        <v>6794884.9594501518</v>
      </c>
      <c r="H855" s="120" t="s">
        <v>251</v>
      </c>
      <c r="I855" s="120">
        <v>357748.69380005257</v>
      </c>
      <c r="J855" s="120">
        <v>17007.226749795525</v>
      </c>
      <c r="K855" s="120" t="s">
        <v>251</v>
      </c>
      <c r="L855" s="120" t="s">
        <v>251</v>
      </c>
      <c r="M855" s="120">
        <v>2450.8952461355143</v>
      </c>
      <c r="N855" s="120" t="s">
        <v>251</v>
      </c>
      <c r="O855" s="120">
        <v>14556.331503660012</v>
      </c>
      <c r="P855" s="120">
        <v>13533.545358910435</v>
      </c>
      <c r="Q855" s="120">
        <v>1022.7861447495785</v>
      </c>
      <c r="R855" s="120"/>
      <c r="S855" s="121"/>
    </row>
    <row r="856" spans="1:19" ht="15">
      <c r="A856" s="105">
        <v>15</v>
      </c>
      <c r="B856" s="105"/>
      <c r="C856" s="107" t="s">
        <v>876</v>
      </c>
      <c r="D856" s="107" t="s">
        <v>502</v>
      </c>
      <c r="E856" s="120">
        <v>289961.82</v>
      </c>
      <c r="F856" s="120" t="s">
        <v>251</v>
      </c>
      <c r="G856" s="120">
        <v>274805.56453376956</v>
      </c>
      <c r="H856" s="120" t="s">
        <v>251</v>
      </c>
      <c r="I856" s="120">
        <v>14468.432114397056</v>
      </c>
      <c r="J856" s="120">
        <v>687.82335183340388</v>
      </c>
      <c r="K856" s="120" t="s">
        <v>251</v>
      </c>
      <c r="L856" s="120" t="s">
        <v>251</v>
      </c>
      <c r="M856" s="120">
        <v>99.121568024590061</v>
      </c>
      <c r="N856" s="120" t="s">
        <v>251</v>
      </c>
      <c r="O856" s="120">
        <v>588.70178380881384</v>
      </c>
      <c r="P856" s="120">
        <v>547.33723892210105</v>
      </c>
      <c r="Q856" s="120">
        <v>41.364544886712821</v>
      </c>
      <c r="R856" s="120"/>
      <c r="S856" s="121"/>
    </row>
    <row r="857" spans="1:19" ht="15">
      <c r="A857" s="105">
        <v>16</v>
      </c>
      <c r="B857" s="105"/>
      <c r="C857" s="107" t="s">
        <v>877</v>
      </c>
      <c r="D857" s="107" t="s">
        <v>502</v>
      </c>
      <c r="E857" s="120">
        <v>60372.009999999995</v>
      </c>
      <c r="F857" s="120" t="s">
        <v>251</v>
      </c>
      <c r="G857" s="120">
        <v>57216.375211358441</v>
      </c>
      <c r="H857" s="120" t="s">
        <v>251</v>
      </c>
      <c r="I857" s="120">
        <v>3012.4253196324266</v>
      </c>
      <c r="J857" s="120">
        <v>143.20946900912602</v>
      </c>
      <c r="K857" s="120" t="s">
        <v>251</v>
      </c>
      <c r="L857" s="120" t="s">
        <v>251</v>
      </c>
      <c r="M857" s="120">
        <v>20.637780160147397</v>
      </c>
      <c r="N857" s="120" t="s">
        <v>251</v>
      </c>
      <c r="O857" s="120">
        <v>122.57168884897864</v>
      </c>
      <c r="P857" s="120">
        <v>113.95931113129816</v>
      </c>
      <c r="Q857" s="120">
        <v>8.6123777176804701</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7739.35</v>
      </c>
      <c r="F860" s="120" t="s">
        <v>251</v>
      </c>
      <c r="G860" s="120">
        <v>7334.8154797567122</v>
      </c>
      <c r="H860" s="120" t="s">
        <v>251</v>
      </c>
      <c r="I860" s="120">
        <v>386.17587682598645</v>
      </c>
      <c r="J860" s="120">
        <v>18.35864341730182</v>
      </c>
      <c r="K860" s="120" t="s">
        <v>251</v>
      </c>
      <c r="L860" s="120" t="s">
        <v>251</v>
      </c>
      <c r="M860" s="120">
        <v>2.645646614754698</v>
      </c>
      <c r="N860" s="120" t="s">
        <v>251</v>
      </c>
      <c r="O860" s="120">
        <v>15.712996802547122</v>
      </c>
      <c r="P860" s="120">
        <v>14.608938721835045</v>
      </c>
      <c r="Q860" s="120">
        <v>1.1040580807120774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22117935.299999997</v>
      </c>
      <c r="F862" s="120" t="s">
        <v>251</v>
      </c>
      <c r="G862" s="120">
        <v>20961834.549244754</v>
      </c>
      <c r="H862" s="120" t="s">
        <v>251</v>
      </c>
      <c r="I862" s="120">
        <v>1103634.4212444115</v>
      </c>
      <c r="J862" s="120">
        <v>52466.329510831332</v>
      </c>
      <c r="K862" s="120" t="s">
        <v>251</v>
      </c>
      <c r="L862" s="120" t="s">
        <v>251</v>
      </c>
      <c r="M862" s="120">
        <v>7560.8727673265103</v>
      </c>
      <c r="N862" s="120" t="s">
        <v>251</v>
      </c>
      <c r="O862" s="120">
        <v>44905.456743504838</v>
      </c>
      <c r="P862" s="120">
        <v>41750.219521175844</v>
      </c>
      <c r="Q862" s="120">
        <v>3155.2372223289949</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90193625.979999989</v>
      </c>
      <c r="F864" s="120" t="s">
        <v>251</v>
      </c>
      <c r="G864" s="120">
        <v>80698196.631766766</v>
      </c>
      <c r="H864" s="120" t="s">
        <v>251</v>
      </c>
      <c r="I864" s="120">
        <v>4180555.2363643507</v>
      </c>
      <c r="J864" s="120">
        <v>5314874.1118688667</v>
      </c>
      <c r="K864" s="120" t="s">
        <v>251</v>
      </c>
      <c r="L864" s="120" t="s">
        <v>251</v>
      </c>
      <c r="M864" s="120">
        <v>7779.3094303837934</v>
      </c>
      <c r="N864" s="120" t="s">
        <v>251</v>
      </c>
      <c r="O864" s="120">
        <v>5307094.8024384826</v>
      </c>
      <c r="P864" s="120">
        <v>1688116.9674431635</v>
      </c>
      <c r="Q864" s="120">
        <v>3618977.8349953191</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3646636.1300000004</v>
      </c>
      <c r="F870" s="120" t="s">
        <v>251</v>
      </c>
      <c r="G870" s="120">
        <v>3462243.6929691685</v>
      </c>
      <c r="H870" s="120" t="s">
        <v>251</v>
      </c>
      <c r="I870" s="120">
        <v>181067.36689596967</v>
      </c>
      <c r="J870" s="120">
        <v>3325.070134862166</v>
      </c>
      <c r="K870" s="120" t="s">
        <v>251</v>
      </c>
      <c r="L870" s="120" t="s">
        <v>251</v>
      </c>
      <c r="M870" s="120">
        <v>24.025073228772879</v>
      </c>
      <c r="N870" s="120" t="s">
        <v>251</v>
      </c>
      <c r="O870" s="120">
        <v>3301.0450616333933</v>
      </c>
      <c r="P870" s="120">
        <v>1710.5852138886289</v>
      </c>
      <c r="Q870" s="120">
        <v>1590.4598477447644</v>
      </c>
      <c r="R870" s="120"/>
      <c r="S870" s="121"/>
    </row>
    <row r="871" spans="1:19" ht="15">
      <c r="A871" s="105">
        <v>2</v>
      </c>
      <c r="B871" s="105"/>
      <c r="C871" s="107" t="s">
        <v>886</v>
      </c>
      <c r="D871" s="107" t="s">
        <v>885</v>
      </c>
      <c r="E871" s="120">
        <v>724456.14</v>
      </c>
      <c r="F871" s="120" t="s">
        <v>251</v>
      </c>
      <c r="G871" s="120">
        <v>687823.95943293325</v>
      </c>
      <c r="H871" s="120" t="s">
        <v>251</v>
      </c>
      <c r="I871" s="120">
        <v>35971.608086222179</v>
      </c>
      <c r="J871" s="120">
        <v>660.57248084456512</v>
      </c>
      <c r="K871" s="120" t="s">
        <v>251</v>
      </c>
      <c r="L871" s="120" t="s">
        <v>251</v>
      </c>
      <c r="M871" s="120">
        <v>4.7729225494549503</v>
      </c>
      <c r="N871" s="120" t="s">
        <v>251</v>
      </c>
      <c r="O871" s="120">
        <v>655.79955829511016</v>
      </c>
      <c r="P871" s="120">
        <v>339.83208552119248</v>
      </c>
      <c r="Q871" s="120">
        <v>315.96747277391768</v>
      </c>
      <c r="R871" s="120"/>
      <c r="S871" s="121"/>
    </row>
    <row r="872" spans="1:19" ht="15">
      <c r="A872" s="105">
        <v>3</v>
      </c>
      <c r="B872" s="105"/>
      <c r="C872" s="107" t="s">
        <v>887</v>
      </c>
      <c r="D872" s="107" t="s">
        <v>885</v>
      </c>
      <c r="E872" s="120">
        <v>12344801.879999999</v>
      </c>
      <c r="F872" s="120" t="s">
        <v>251</v>
      </c>
      <c r="G872" s="120">
        <v>11720586.021283107</v>
      </c>
      <c r="H872" s="120" t="s">
        <v>251</v>
      </c>
      <c r="I872" s="120">
        <v>612959.64049586048</v>
      </c>
      <c r="J872" s="120">
        <v>11256.218221031642</v>
      </c>
      <c r="K872" s="120" t="s">
        <v>251</v>
      </c>
      <c r="L872" s="120" t="s">
        <v>251</v>
      </c>
      <c r="M872" s="120">
        <v>81.33105651034424</v>
      </c>
      <c r="N872" s="120" t="s">
        <v>251</v>
      </c>
      <c r="O872" s="120">
        <v>11174.887164521298</v>
      </c>
      <c r="P872" s="120">
        <v>5790.7712235365107</v>
      </c>
      <c r="Q872" s="120">
        <v>5384.1159409847878</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495.45999999999992</v>
      </c>
      <c r="F874" s="120" t="s">
        <v>251</v>
      </c>
      <c r="G874" s="120">
        <v>470.40702690523278</v>
      </c>
      <c r="H874" s="120" t="s">
        <v>251</v>
      </c>
      <c r="I874" s="120">
        <v>24.601203521305845</v>
      </c>
      <c r="J874" s="120">
        <v>0.45176957346133917</v>
      </c>
      <c r="K874" s="120" t="s">
        <v>251</v>
      </c>
      <c r="L874" s="120" t="s">
        <v>251</v>
      </c>
      <c r="M874" s="120">
        <v>3.2642310221195031E-3</v>
      </c>
      <c r="N874" s="120" t="s">
        <v>251</v>
      </c>
      <c r="O874" s="120">
        <v>0.44850534243921969</v>
      </c>
      <c r="P874" s="120">
        <v>0.23241324877490863</v>
      </c>
      <c r="Q874" s="120">
        <v>0.21609209366431106</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16716389.609999999</v>
      </c>
      <c r="F876" s="120" t="s">
        <v>251</v>
      </c>
      <c r="G876" s="120">
        <v>15871124.080712114</v>
      </c>
      <c r="H876" s="120" t="s">
        <v>251</v>
      </c>
      <c r="I876" s="120">
        <v>830023.21668157354</v>
      </c>
      <c r="J876" s="120">
        <v>15242.312606311832</v>
      </c>
      <c r="K876" s="120" t="s">
        <v>251</v>
      </c>
      <c r="L876" s="120" t="s">
        <v>251</v>
      </c>
      <c r="M876" s="120">
        <v>110.13231651959418</v>
      </c>
      <c r="N876" s="120" t="s">
        <v>251</v>
      </c>
      <c r="O876" s="120">
        <v>15132.180289792239</v>
      </c>
      <c r="P876" s="120">
        <v>7841.4209361951062</v>
      </c>
      <c r="Q876" s="120">
        <v>7290.7593535971337</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577712.96</v>
      </c>
      <c r="F879" s="120" t="s">
        <v>251</v>
      </c>
      <c r="G879" s="120">
        <v>575095.45519778854</v>
      </c>
      <c r="H879" s="120" t="s">
        <v>251</v>
      </c>
      <c r="I879" s="120">
        <v>2617.2256116259105</v>
      </c>
      <c r="J879" s="120">
        <v>0.27919058545950748</v>
      </c>
      <c r="K879" s="120" t="s">
        <v>251</v>
      </c>
      <c r="L879" s="120" t="s">
        <v>251</v>
      </c>
      <c r="M879" s="120">
        <v>0.27919058545950748</v>
      </c>
      <c r="N879" s="120" t="s">
        <v>251</v>
      </c>
      <c r="O879" s="120">
        <v>0</v>
      </c>
      <c r="P879" s="120">
        <v>0</v>
      </c>
      <c r="Q879" s="120">
        <v>0</v>
      </c>
      <c r="R879" s="120"/>
      <c r="S879" s="121"/>
    </row>
    <row r="880" spans="1:19" ht="15">
      <c r="A880" s="105">
        <v>8</v>
      </c>
      <c r="B880" s="105"/>
      <c r="C880" s="107" t="s">
        <v>894</v>
      </c>
      <c r="D880" s="107" t="s">
        <v>893</v>
      </c>
      <c r="E880" s="120">
        <v>1499472.5699999998</v>
      </c>
      <c r="F880" s="120" t="s">
        <v>251</v>
      </c>
      <c r="G880" s="120">
        <v>1492678.7520929908</v>
      </c>
      <c r="H880" s="120" t="s">
        <v>251</v>
      </c>
      <c r="I880" s="120">
        <v>6793.0932588642736</v>
      </c>
      <c r="J880" s="120">
        <v>0.72464814481359796</v>
      </c>
      <c r="K880" s="120" t="s">
        <v>251</v>
      </c>
      <c r="L880" s="120" t="s">
        <v>251</v>
      </c>
      <c r="M880" s="120">
        <v>0.72464814481359796</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2077185.5299999998</v>
      </c>
      <c r="F887" s="120" t="s">
        <v>251</v>
      </c>
      <c r="G887" s="120">
        <v>2067774.2072907793</v>
      </c>
      <c r="H887" s="120" t="s">
        <v>251</v>
      </c>
      <c r="I887" s="120">
        <v>9410.3188704901841</v>
      </c>
      <c r="J887" s="120">
        <v>1.0038387302731056</v>
      </c>
      <c r="K887" s="120" t="s">
        <v>251</v>
      </c>
      <c r="L887" s="120" t="s">
        <v>251</v>
      </c>
      <c r="M887" s="120">
        <v>1.0038387302731056</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108987201.11999999</v>
      </c>
      <c r="F889" s="120" t="s">
        <v>251</v>
      </c>
      <c r="G889" s="120">
        <v>98637094.91976966</v>
      </c>
      <c r="H889" s="120" t="s">
        <v>251</v>
      </c>
      <c r="I889" s="120">
        <v>5019988.7719164146</v>
      </c>
      <c r="J889" s="120">
        <v>5330117.4283139082</v>
      </c>
      <c r="K889" s="120" t="s">
        <v>251</v>
      </c>
      <c r="L889" s="120" t="s">
        <v>251</v>
      </c>
      <c r="M889" s="120">
        <v>7890.4455856336608</v>
      </c>
      <c r="N889" s="120" t="s">
        <v>251</v>
      </c>
      <c r="O889" s="120">
        <v>5322226.9827282745</v>
      </c>
      <c r="P889" s="120">
        <v>1695958.3883793587</v>
      </c>
      <c r="Q889" s="120">
        <v>3626268.5943489163</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35712226.32</v>
      </c>
      <c r="F892" s="120" t="s">
        <v>251</v>
      </c>
      <c r="G892" s="120">
        <v>32320769.972279996</v>
      </c>
      <c r="H892" s="120" t="s">
        <v>251</v>
      </c>
      <c r="I892" s="120">
        <v>1644917.6903730903</v>
      </c>
      <c r="J892" s="120">
        <v>1746538.6573469122</v>
      </c>
      <c r="K892" s="120" t="s">
        <v>251</v>
      </c>
      <c r="L892" s="120" t="s">
        <v>251</v>
      </c>
      <c r="M892" s="120">
        <v>2585.4905495695348</v>
      </c>
      <c r="N892" s="120" t="s">
        <v>251</v>
      </c>
      <c r="O892" s="120">
        <v>1743953.1667973427</v>
      </c>
      <c r="P892" s="120">
        <v>555720.75594839465</v>
      </c>
      <c r="Q892" s="120">
        <v>1188232.4108489482</v>
      </c>
      <c r="R892" s="120"/>
      <c r="S892" s="121"/>
    </row>
    <row r="893" spans="1:19" ht="15">
      <c r="A893" s="105">
        <v>17</v>
      </c>
      <c r="B893" s="105"/>
      <c r="C893" s="107" t="s">
        <v>905</v>
      </c>
      <c r="D893" s="107" t="s">
        <v>904</v>
      </c>
      <c r="E893" s="120">
        <v>3332.9700000000003</v>
      </c>
      <c r="F893" s="120" t="s">
        <v>251</v>
      </c>
      <c r="G893" s="120">
        <v>3016.4503251420383</v>
      </c>
      <c r="H893" s="120" t="s">
        <v>251</v>
      </c>
      <c r="I893" s="120">
        <v>153.51776910677907</v>
      </c>
      <c r="J893" s="120">
        <v>163.00190575118248</v>
      </c>
      <c r="K893" s="120" t="s">
        <v>251</v>
      </c>
      <c r="L893" s="120" t="s">
        <v>251</v>
      </c>
      <c r="M893" s="120">
        <v>0.24130006233111184</v>
      </c>
      <c r="N893" s="120" t="s">
        <v>251</v>
      </c>
      <c r="O893" s="120">
        <v>162.76060568885137</v>
      </c>
      <c r="P893" s="120">
        <v>51.864607693640998</v>
      </c>
      <c r="Q893" s="120">
        <v>110.89599799521037</v>
      </c>
      <c r="R893" s="120"/>
      <c r="S893" s="121"/>
    </row>
    <row r="894" spans="1:19" ht="15">
      <c r="A894" s="105">
        <v>18</v>
      </c>
      <c r="B894" s="105"/>
      <c r="C894" s="107" t="s">
        <v>906</v>
      </c>
      <c r="D894" s="107" t="s">
        <v>904</v>
      </c>
      <c r="E894" s="120">
        <v>-4353451.7300000004</v>
      </c>
      <c r="F894" s="120" t="s">
        <v>251</v>
      </c>
      <c r="G894" s="120">
        <v>-3940020.7281939741</v>
      </c>
      <c r="H894" s="120" t="s">
        <v>251</v>
      </c>
      <c r="I894" s="120">
        <v>-200521.5160963489</v>
      </c>
      <c r="J894" s="120">
        <v>-212909.48570967707</v>
      </c>
      <c r="K894" s="120" t="s">
        <v>251</v>
      </c>
      <c r="L894" s="120" t="s">
        <v>251</v>
      </c>
      <c r="M894" s="120">
        <v>-315.18080684929259</v>
      </c>
      <c r="N894" s="120" t="s">
        <v>251</v>
      </c>
      <c r="O894" s="120">
        <v>-212594.30490282777</v>
      </c>
      <c r="P894" s="120">
        <v>-67744.403966928221</v>
      </c>
      <c r="Q894" s="120">
        <v>-144849.90093589955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628449.55000000005</v>
      </c>
      <c r="F897" s="120" t="s">
        <v>251</v>
      </c>
      <c r="G897" s="120">
        <v>568768.05054736999</v>
      </c>
      <c r="H897" s="120" t="s">
        <v>251</v>
      </c>
      <c r="I897" s="120">
        <v>28946.607053816631</v>
      </c>
      <c r="J897" s="120">
        <v>30734.892398813387</v>
      </c>
      <c r="K897" s="120" t="s">
        <v>251</v>
      </c>
      <c r="L897" s="120" t="s">
        <v>251</v>
      </c>
      <c r="M897" s="120">
        <v>45.498434005394351</v>
      </c>
      <c r="N897" s="120" t="s">
        <v>251</v>
      </c>
      <c r="O897" s="120">
        <v>30689.39396480799</v>
      </c>
      <c r="P897" s="120">
        <v>9779.3527592493265</v>
      </c>
      <c r="Q897" s="120">
        <v>20910.041205558664</v>
      </c>
      <c r="R897" s="120"/>
      <c r="S897" s="121"/>
    </row>
    <row r="898" spans="1:19" ht="15">
      <c r="A898" s="105">
        <v>22</v>
      </c>
      <c r="B898" s="105"/>
      <c r="C898" s="107" t="s">
        <v>910</v>
      </c>
      <c r="D898" s="107" t="s">
        <v>904</v>
      </c>
      <c r="E898" s="120">
        <v>32938365.299999997</v>
      </c>
      <c r="F898" s="120" t="s">
        <v>251</v>
      </c>
      <c r="G898" s="120">
        <v>29810332.141853131</v>
      </c>
      <c r="H898" s="120" t="s">
        <v>251</v>
      </c>
      <c r="I898" s="120">
        <v>1517152.6773058695</v>
      </c>
      <c r="J898" s="120">
        <v>1610880.4808409975</v>
      </c>
      <c r="K898" s="120" t="s">
        <v>251</v>
      </c>
      <c r="L898" s="120" t="s">
        <v>251</v>
      </c>
      <c r="M898" s="120">
        <v>2384.6688088926489</v>
      </c>
      <c r="N898" s="120" t="s">
        <v>251</v>
      </c>
      <c r="O898" s="120">
        <v>1608495.8120321049</v>
      </c>
      <c r="P898" s="120">
        <v>512556.48696338036</v>
      </c>
      <c r="Q898" s="120">
        <v>1095939.3250687246</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172682.22999999995</v>
      </c>
      <c r="F901" s="120" t="s">
        <v>251</v>
      </c>
      <c r="G901" s="120">
        <v>156283.24552268762</v>
      </c>
      <c r="H901" s="120" t="s">
        <v>251</v>
      </c>
      <c r="I901" s="120">
        <v>7953.8041788506098</v>
      </c>
      <c r="J901" s="120">
        <v>8445.180298461737</v>
      </c>
      <c r="K901" s="120" t="s">
        <v>251</v>
      </c>
      <c r="L901" s="120" t="s">
        <v>251</v>
      </c>
      <c r="M901" s="120">
        <v>12.501832558491492</v>
      </c>
      <c r="N901" s="120" t="s">
        <v>251</v>
      </c>
      <c r="O901" s="120">
        <v>8432.6784659032455</v>
      </c>
      <c r="P901" s="120">
        <v>2687.1217306525664</v>
      </c>
      <c r="Q901" s="120">
        <v>5745.5567352506787</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816467.42</v>
      </c>
      <c r="F903" s="120" t="s">
        <v>251</v>
      </c>
      <c r="G903" s="120">
        <v>738930.56778995355</v>
      </c>
      <c r="H903" s="120" t="s">
        <v>251</v>
      </c>
      <c r="I903" s="120">
        <v>37606.776198635947</v>
      </c>
      <c r="J903" s="120">
        <v>39930.076011410587</v>
      </c>
      <c r="K903" s="120" t="s">
        <v>251</v>
      </c>
      <c r="L903" s="120" t="s">
        <v>251</v>
      </c>
      <c r="M903" s="120">
        <v>59.110534849495231</v>
      </c>
      <c r="N903" s="120" t="s">
        <v>251</v>
      </c>
      <c r="O903" s="120">
        <v>39870.96547656109</v>
      </c>
      <c r="P903" s="120">
        <v>12705.11358726278</v>
      </c>
      <c r="Q903" s="120">
        <v>27165.851889298312</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65918072.060000002</v>
      </c>
      <c r="F905" s="120" t="s">
        <v>251</v>
      </c>
      <c r="G905" s="120">
        <v>59658079.700124308</v>
      </c>
      <c r="H905" s="120" t="s">
        <v>251</v>
      </c>
      <c r="I905" s="120">
        <v>3036209.5567830205</v>
      </c>
      <c r="J905" s="120">
        <v>3223782.8030926697</v>
      </c>
      <c r="K905" s="120" t="s">
        <v>251</v>
      </c>
      <c r="L905" s="120" t="s">
        <v>251</v>
      </c>
      <c r="M905" s="120">
        <v>4772.330653088602</v>
      </c>
      <c r="N905" s="120" t="s">
        <v>251</v>
      </c>
      <c r="O905" s="120">
        <v>3219010.4724395811</v>
      </c>
      <c r="P905" s="120">
        <v>1025756.291629705</v>
      </c>
      <c r="Q905" s="120">
        <v>2193254.180809876</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174905273.17999998</v>
      </c>
      <c r="F907" s="120" t="s">
        <v>251</v>
      </c>
      <c r="G907" s="120">
        <v>158295174.61989397</v>
      </c>
      <c r="H907" s="120" t="s">
        <v>251</v>
      </c>
      <c r="I907" s="120">
        <v>8056198.3286994351</v>
      </c>
      <c r="J907" s="120">
        <v>8553900.2314065788</v>
      </c>
      <c r="K907" s="120" t="s">
        <v>251</v>
      </c>
      <c r="L907" s="120" t="s">
        <v>251</v>
      </c>
      <c r="M907" s="120">
        <v>12662.776238722263</v>
      </c>
      <c r="N907" s="120" t="s">
        <v>251</v>
      </c>
      <c r="O907" s="120">
        <v>8541237.4551678561</v>
      </c>
      <c r="P907" s="120">
        <v>2721714.6800090633</v>
      </c>
      <c r="Q907" s="120">
        <v>5819522.7751587927</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20" t="s">
        <v>251</v>
      </c>
      <c r="F910" s="120" t="s">
        <v>251</v>
      </c>
      <c r="G910" s="120" t="s">
        <v>251</v>
      </c>
      <c r="H910" s="120" t="s">
        <v>251</v>
      </c>
      <c r="I910" s="120" t="s">
        <v>251</v>
      </c>
      <c r="J910" s="120" t="s">
        <v>251</v>
      </c>
      <c r="K910" s="120" t="s">
        <v>251</v>
      </c>
      <c r="L910" s="120" t="s">
        <v>251</v>
      </c>
      <c r="M910" s="120" t="s">
        <v>251</v>
      </c>
      <c r="N910" s="120" t="s">
        <v>251</v>
      </c>
      <c r="O910" s="120" t="s">
        <v>251</v>
      </c>
      <c r="P910" s="120" t="s">
        <v>251</v>
      </c>
      <c r="Q910" s="120" t="s">
        <v>251</v>
      </c>
      <c r="R910" s="120"/>
      <c r="S910" s="121"/>
    </row>
    <row r="911" spans="1:19" ht="15">
      <c r="A911" s="105" t="s">
        <v>251</v>
      </c>
      <c r="B911" s="105"/>
      <c r="C911" s="107" t="s">
        <v>919</v>
      </c>
      <c r="D911" s="107" t="s">
        <v>251</v>
      </c>
      <c r="E911" s="120" t="s">
        <v>251</v>
      </c>
      <c r="F911" s="120" t="s">
        <v>251</v>
      </c>
      <c r="G911" s="120" t="s">
        <v>251</v>
      </c>
      <c r="H911" s="120" t="s">
        <v>251</v>
      </c>
      <c r="I911" s="120" t="s">
        <v>251</v>
      </c>
      <c r="J911" s="120" t="s">
        <v>251</v>
      </c>
      <c r="K911" s="120" t="s">
        <v>251</v>
      </c>
      <c r="L911" s="120" t="s">
        <v>251</v>
      </c>
      <c r="M911" s="120" t="s">
        <v>251</v>
      </c>
      <c r="N911" s="120" t="s">
        <v>251</v>
      </c>
      <c r="O911" s="120" t="s">
        <v>251</v>
      </c>
      <c r="P911" s="120" t="s">
        <v>251</v>
      </c>
      <c r="Q911" s="120" t="s">
        <v>251</v>
      </c>
      <c r="R911" s="120"/>
      <c r="S911" s="121"/>
    </row>
    <row r="912" spans="1:19" ht="15">
      <c r="A912" s="105" t="s">
        <v>251</v>
      </c>
      <c r="B912" s="105"/>
      <c r="C912" s="107" t="s">
        <v>920</v>
      </c>
      <c r="D912" s="107" t="s">
        <v>251</v>
      </c>
      <c r="E912" s="120" t="s">
        <v>251</v>
      </c>
      <c r="F912" s="120" t="s">
        <v>251</v>
      </c>
      <c r="G912" s="120" t="s">
        <v>251</v>
      </c>
      <c r="H912" s="120" t="s">
        <v>251</v>
      </c>
      <c r="I912" s="120" t="s">
        <v>251</v>
      </c>
      <c r="J912" s="120" t="s">
        <v>251</v>
      </c>
      <c r="K912" s="120" t="s">
        <v>251</v>
      </c>
      <c r="L912" s="120" t="s">
        <v>251</v>
      </c>
      <c r="M912" s="120" t="s">
        <v>251</v>
      </c>
      <c r="N912" s="120" t="s">
        <v>251</v>
      </c>
      <c r="O912" s="120" t="s">
        <v>251</v>
      </c>
      <c r="P912" s="120" t="s">
        <v>251</v>
      </c>
      <c r="Q912" s="120" t="s">
        <v>251</v>
      </c>
      <c r="R912" s="120"/>
      <c r="S912" s="121"/>
    </row>
    <row r="913" spans="1:19" ht="15">
      <c r="A913" s="105" t="s">
        <v>251</v>
      </c>
      <c r="B913" s="105"/>
      <c r="C913" s="107" t="s">
        <v>921</v>
      </c>
      <c r="D913" s="107" t="s">
        <v>251</v>
      </c>
      <c r="E913" s="120" t="s">
        <v>251</v>
      </c>
      <c r="F913" s="120" t="s">
        <v>251</v>
      </c>
      <c r="G913" s="120" t="s">
        <v>251</v>
      </c>
      <c r="H913" s="120" t="s">
        <v>251</v>
      </c>
      <c r="I913" s="120" t="s">
        <v>251</v>
      </c>
      <c r="J913" s="120" t="s">
        <v>251</v>
      </c>
      <c r="K913" s="120" t="s">
        <v>251</v>
      </c>
      <c r="L913" s="120" t="s">
        <v>251</v>
      </c>
      <c r="M913" s="120" t="s">
        <v>251</v>
      </c>
      <c r="N913" s="120" t="s">
        <v>251</v>
      </c>
      <c r="O913" s="120" t="s">
        <v>251</v>
      </c>
      <c r="P913" s="120" t="s">
        <v>251</v>
      </c>
      <c r="Q913" s="120" t="s">
        <v>251</v>
      </c>
      <c r="R913" s="120"/>
      <c r="S913" s="121"/>
    </row>
    <row r="914" spans="1:19" ht="15">
      <c r="A914" s="105">
        <v>1</v>
      </c>
      <c r="B914" s="105"/>
      <c r="C914" s="107" t="s">
        <v>922</v>
      </c>
      <c r="D914" s="107" t="s">
        <v>304</v>
      </c>
      <c r="E914" s="120">
        <v>3553410</v>
      </c>
      <c r="F914" s="120" t="s">
        <v>251</v>
      </c>
      <c r="G914" s="120">
        <v>3115400</v>
      </c>
      <c r="H914" s="120" t="s">
        <v>251</v>
      </c>
      <c r="I914" s="120">
        <v>142658</v>
      </c>
      <c r="J914" s="120">
        <v>295352</v>
      </c>
      <c r="K914" s="120" t="s">
        <v>251</v>
      </c>
      <c r="L914" s="120" t="s">
        <v>251</v>
      </c>
      <c r="M914" s="120">
        <v>10</v>
      </c>
      <c r="N914" s="120" t="s">
        <v>251</v>
      </c>
      <c r="O914" s="120">
        <v>295342</v>
      </c>
      <c r="P914" s="120">
        <v>91108</v>
      </c>
      <c r="Q914" s="120">
        <v>204234</v>
      </c>
      <c r="R914" s="120"/>
      <c r="S914" s="121"/>
    </row>
    <row r="915" spans="1:19" ht="15">
      <c r="A915" s="105">
        <v>2</v>
      </c>
      <c r="B915" s="105"/>
      <c r="C915" s="107" t="s">
        <v>923</v>
      </c>
      <c r="D915" s="107" t="s">
        <v>312</v>
      </c>
      <c r="E915" s="120">
        <v>438000</v>
      </c>
      <c r="F915" s="120" t="s">
        <v>251</v>
      </c>
      <c r="G915" s="120">
        <v>0</v>
      </c>
      <c r="H915" s="120" t="s">
        <v>251</v>
      </c>
      <c r="I915" s="120">
        <v>142658</v>
      </c>
      <c r="J915" s="120">
        <v>295342</v>
      </c>
      <c r="K915" s="120" t="s">
        <v>251</v>
      </c>
      <c r="L915" s="120" t="s">
        <v>251</v>
      </c>
      <c r="M915" s="120">
        <v>0</v>
      </c>
      <c r="N915" s="120" t="s">
        <v>251</v>
      </c>
      <c r="O915" s="120">
        <v>295342</v>
      </c>
      <c r="P915" s="120">
        <v>91108</v>
      </c>
      <c r="Q915" s="120">
        <v>204234</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3410742</v>
      </c>
      <c r="F917" s="120" t="s">
        <v>251</v>
      </c>
      <c r="G917" s="120">
        <v>3115400</v>
      </c>
      <c r="H917" s="120" t="s">
        <v>251</v>
      </c>
      <c r="I917" s="120">
        <v>0</v>
      </c>
      <c r="J917" s="120">
        <v>295342</v>
      </c>
      <c r="K917" s="120" t="s">
        <v>251</v>
      </c>
      <c r="L917" s="120" t="s">
        <v>251</v>
      </c>
      <c r="M917" s="120">
        <v>0</v>
      </c>
      <c r="N917" s="120" t="s">
        <v>251</v>
      </c>
      <c r="O917" s="120">
        <v>295342</v>
      </c>
      <c r="P917" s="120">
        <v>91108</v>
      </c>
      <c r="Q917" s="120">
        <v>204234</v>
      </c>
      <c r="R917" s="120"/>
      <c r="S917" s="121"/>
    </row>
    <row r="918" spans="1:19" ht="15">
      <c r="A918" s="105">
        <v>5</v>
      </c>
      <c r="B918" s="105"/>
      <c r="C918" s="107" t="s">
        <v>926</v>
      </c>
      <c r="D918" s="107" t="s">
        <v>314</v>
      </c>
      <c r="E918" s="120">
        <v>295342</v>
      </c>
      <c r="F918" s="120" t="s">
        <v>251</v>
      </c>
      <c r="G918" s="120">
        <v>0</v>
      </c>
      <c r="H918" s="120" t="s">
        <v>251</v>
      </c>
      <c r="I918" s="120">
        <v>0</v>
      </c>
      <c r="J918" s="120">
        <v>295342</v>
      </c>
      <c r="K918" s="120" t="s">
        <v>251</v>
      </c>
      <c r="L918" s="120" t="s">
        <v>251</v>
      </c>
      <c r="M918" s="120">
        <v>0</v>
      </c>
      <c r="N918" s="120" t="s">
        <v>251</v>
      </c>
      <c r="O918" s="120">
        <v>295342</v>
      </c>
      <c r="P918" s="120">
        <v>91108</v>
      </c>
      <c r="Q918" s="120">
        <v>204234</v>
      </c>
      <c r="R918" s="120"/>
      <c r="S918" s="121"/>
    </row>
    <row r="919" spans="1:19" ht="15">
      <c r="A919" s="105">
        <v>6</v>
      </c>
      <c r="B919" s="105"/>
      <c r="C919" s="107" t="s">
        <v>927</v>
      </c>
      <c r="D919" s="107" t="s">
        <v>928</v>
      </c>
      <c r="E919" s="120">
        <v>3410752</v>
      </c>
      <c r="F919" s="120" t="s">
        <v>251</v>
      </c>
      <c r="G919" s="120">
        <v>3115400</v>
      </c>
      <c r="H919" s="120" t="s">
        <v>251</v>
      </c>
      <c r="I919" s="120">
        <v>0</v>
      </c>
      <c r="J919" s="120">
        <v>295352</v>
      </c>
      <c r="K919" s="120" t="s">
        <v>251</v>
      </c>
      <c r="L919" s="120" t="s">
        <v>251</v>
      </c>
      <c r="M919" s="120">
        <v>10</v>
      </c>
      <c r="N919" s="120" t="s">
        <v>251</v>
      </c>
      <c r="O919" s="120">
        <v>295342</v>
      </c>
      <c r="P919" s="120">
        <v>91108</v>
      </c>
      <c r="Q919" s="120">
        <v>204234</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3553410</v>
      </c>
      <c r="F921" s="120" t="s">
        <v>251</v>
      </c>
      <c r="G921" s="120">
        <v>3115400</v>
      </c>
      <c r="H921" s="120" t="s">
        <v>251</v>
      </c>
      <c r="I921" s="120">
        <v>142658</v>
      </c>
      <c r="J921" s="120">
        <v>295352</v>
      </c>
      <c r="K921" s="120" t="s">
        <v>251</v>
      </c>
      <c r="L921" s="120" t="s">
        <v>251</v>
      </c>
      <c r="M921" s="120">
        <v>10</v>
      </c>
      <c r="N921" s="120" t="s">
        <v>251</v>
      </c>
      <c r="O921" s="120">
        <v>295342</v>
      </c>
      <c r="P921" s="120">
        <v>91108</v>
      </c>
      <c r="Q921" s="120">
        <v>204234</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438000</v>
      </c>
      <c r="F924" s="120" t="s">
        <v>251</v>
      </c>
      <c r="G924" s="120">
        <v>0</v>
      </c>
      <c r="H924" s="120" t="s">
        <v>251</v>
      </c>
      <c r="I924" s="120">
        <v>142658</v>
      </c>
      <c r="J924" s="120">
        <v>295342</v>
      </c>
      <c r="K924" s="120" t="s">
        <v>251</v>
      </c>
      <c r="L924" s="120" t="s">
        <v>251</v>
      </c>
      <c r="M924" s="120">
        <v>0</v>
      </c>
      <c r="N924" s="120" t="s">
        <v>251</v>
      </c>
      <c r="O924" s="120">
        <v>295342</v>
      </c>
      <c r="P924" s="120">
        <v>91108</v>
      </c>
      <c r="Q924" s="120">
        <v>204234</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9179469.3999999892</v>
      </c>
      <c r="F928" s="120" t="s">
        <v>251</v>
      </c>
      <c r="G928" s="120">
        <v>9170312.3999999892</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20214504.779999994</v>
      </c>
      <c r="F929" s="120" t="s">
        <v>251</v>
      </c>
      <c r="G929" s="120">
        <v>19859092.779999994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231792542.68000001</v>
      </c>
      <c r="F930" s="120" t="s">
        <v>251</v>
      </c>
      <c r="G930" s="120">
        <v>228539459.68000001</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382536730.18000007</v>
      </c>
      <c r="F931" s="120" t="s">
        <v>251</v>
      </c>
      <c r="G931" s="120">
        <v>382536730.18000007</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381324827.44</v>
      </c>
      <c r="F932" s="120" t="s">
        <v>251</v>
      </c>
      <c r="G932" s="120">
        <v>381324827.44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203455536.06999999</v>
      </c>
      <c r="F934" s="120" t="s">
        <v>251</v>
      </c>
      <c r="G934" s="120">
        <v>203455536.06999999</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310480032.19999999</v>
      </c>
      <c r="F935" s="120" t="s">
        <v>251</v>
      </c>
      <c r="G935" s="120">
        <v>310480032.19999999</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658287.18999999901</v>
      </c>
      <c r="F936" s="120" t="s">
        <v>251</v>
      </c>
      <c r="G936" s="120">
        <v>658287.18999999901</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318250.44</v>
      </c>
      <c r="F937" s="120" t="s">
        <v>251</v>
      </c>
      <c r="G937" s="120">
        <v>0</v>
      </c>
      <c r="H937" s="120" t="s">
        <v>251</v>
      </c>
      <c r="I937" s="120">
        <v>318250.44</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774879.03</v>
      </c>
      <c r="F938" s="120" t="s">
        <v>251</v>
      </c>
      <c r="G938" s="120">
        <v>0</v>
      </c>
      <c r="H938" s="120" t="s">
        <v>251</v>
      </c>
      <c r="I938" s="120">
        <v>774879.03</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8513231.9300000016</v>
      </c>
      <c r="F939" s="120" t="s">
        <v>251</v>
      </c>
      <c r="G939" s="120">
        <v>0</v>
      </c>
      <c r="H939" s="120" t="s">
        <v>251</v>
      </c>
      <c r="I939" s="120">
        <v>8513231.9300000016</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1471422.59</v>
      </c>
      <c r="F940" s="120" t="s">
        <v>251</v>
      </c>
      <c r="G940" s="120">
        <v>1147334.75</v>
      </c>
      <c r="H940" s="120" t="s">
        <v>251</v>
      </c>
      <c r="I940" s="120">
        <v>324087.84000000003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30418586.679999996</v>
      </c>
      <c r="F941" s="120" t="s">
        <v>251</v>
      </c>
      <c r="G941" s="120">
        <v>0</v>
      </c>
      <c r="H941" s="120" t="s">
        <v>251</v>
      </c>
      <c r="I941" s="120">
        <v>30418586.679999996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27993390</v>
      </c>
      <c r="F942" s="120" t="s">
        <v>251</v>
      </c>
      <c r="G942" s="120">
        <v>0</v>
      </c>
      <c r="H942" s="120" t="s">
        <v>251</v>
      </c>
      <c r="I942" s="120">
        <v>27993390</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4691720.29</v>
      </c>
      <c r="F943" s="120" t="s">
        <v>251</v>
      </c>
      <c r="G943" s="120">
        <v>0</v>
      </c>
      <c r="H943" s="120" t="s">
        <v>251</v>
      </c>
      <c r="I943" s="120">
        <v>4691720.29</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11126207.449999999</v>
      </c>
      <c r="F944" s="120" t="s">
        <v>251</v>
      </c>
      <c r="G944" s="120">
        <v>0</v>
      </c>
      <c r="H944" s="120" t="s">
        <v>251</v>
      </c>
      <c r="I944" s="120">
        <v>11126207.449999999</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495040.23</v>
      </c>
      <c r="F945" s="120" t="s">
        <v>251</v>
      </c>
      <c r="G945" s="120">
        <v>0</v>
      </c>
      <c r="H945" s="120" t="s">
        <v>251</v>
      </c>
      <c r="I945" s="120">
        <v>0</v>
      </c>
      <c r="J945" s="120">
        <v>495040.23</v>
      </c>
      <c r="K945" s="120" t="s">
        <v>251</v>
      </c>
      <c r="L945" s="120" t="s">
        <v>251</v>
      </c>
      <c r="M945" s="120">
        <v>495040.23</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66880.149999999994</v>
      </c>
      <c r="F947" s="120" t="s">
        <v>251</v>
      </c>
      <c r="G947" s="120">
        <v>0</v>
      </c>
      <c r="H947" s="120" t="s">
        <v>251</v>
      </c>
      <c r="I947" s="120">
        <v>0</v>
      </c>
      <c r="J947" s="120">
        <v>66880.149999999994</v>
      </c>
      <c r="K947" s="120" t="s">
        <v>251</v>
      </c>
      <c r="L947" s="120" t="s">
        <v>251</v>
      </c>
      <c r="M947" s="120">
        <v>66880.149999999994</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46763.219999999994</v>
      </c>
      <c r="F949" s="120" t="s">
        <v>251</v>
      </c>
      <c r="G949" s="120">
        <v>0</v>
      </c>
      <c r="H949" s="120" t="s">
        <v>251</v>
      </c>
      <c r="I949" s="120">
        <v>0</v>
      </c>
      <c r="J949" s="120">
        <v>46763.219999999994</v>
      </c>
      <c r="K949" s="120" t="s">
        <v>251</v>
      </c>
      <c r="L949" s="120" t="s">
        <v>251</v>
      </c>
      <c r="M949" s="120">
        <v>46763.219999999994</v>
      </c>
      <c r="N949" s="120" t="s">
        <v>251</v>
      </c>
      <c r="O949" s="120">
        <v>0</v>
      </c>
      <c r="P949" s="120">
        <v>0</v>
      </c>
      <c r="Q949" s="120">
        <v>0</v>
      </c>
      <c r="R949" s="120"/>
    </row>
    <row r="950" spans="1:18" ht="15">
      <c r="A950" s="105">
        <v>34</v>
      </c>
      <c r="B950" s="105"/>
      <c r="C950" s="107" t="s">
        <v>958</v>
      </c>
      <c r="D950" s="107" t="s">
        <v>411</v>
      </c>
      <c r="E950" s="120">
        <v>3118.2799999999997</v>
      </c>
      <c r="F950" s="120" t="s">
        <v>251</v>
      </c>
      <c r="G950" s="120">
        <v>0</v>
      </c>
      <c r="H950" s="120" t="s">
        <v>251</v>
      </c>
      <c r="I950" s="120">
        <v>0</v>
      </c>
      <c r="J950" s="120">
        <v>3118.2799999999997</v>
      </c>
      <c r="K950" s="120" t="s">
        <v>251</v>
      </c>
      <c r="L950" s="120" t="s">
        <v>251</v>
      </c>
      <c r="M950" s="120">
        <v>3118.2799999999997</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40577184.076627642</v>
      </c>
      <c r="F954" s="120" t="s">
        <v>251</v>
      </c>
      <c r="G954" s="120">
        <v>0</v>
      </c>
      <c r="H954" s="120" t="s">
        <v>251</v>
      </c>
      <c r="I954" s="120">
        <v>40426454.113584265</v>
      </c>
      <c r="J954" s="120">
        <v>150729.96304337587</v>
      </c>
      <c r="K954" s="120" t="s">
        <v>251</v>
      </c>
      <c r="L954" s="120" t="s">
        <v>251</v>
      </c>
      <c r="M954" s="120">
        <v>150729.96304337587</v>
      </c>
      <c r="N954" s="120" t="s">
        <v>251</v>
      </c>
      <c r="O954" s="120">
        <v>0</v>
      </c>
      <c r="P954" s="120">
        <v>0</v>
      </c>
      <c r="Q954" s="120">
        <v>0</v>
      </c>
      <c r="R954" s="120"/>
    </row>
    <row r="955" spans="1:18" ht="15">
      <c r="A955" s="105">
        <v>39</v>
      </c>
      <c r="B955" s="105"/>
      <c r="C955" s="107" t="s">
        <v>963</v>
      </c>
      <c r="D955" s="107" t="s">
        <v>487</v>
      </c>
      <c r="E955" s="120">
        <v>2.2737367544323201E-10</v>
      </c>
      <c r="F955" s="120" t="s">
        <v>251</v>
      </c>
      <c r="G955" s="120">
        <v>0</v>
      </c>
      <c r="H955" s="120" t="s">
        <v>251</v>
      </c>
      <c r="I955" s="120">
        <v>2.2737367544323201E-10</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3533818.1549999975</v>
      </c>
      <c r="F958" s="120" t="s">
        <v>251</v>
      </c>
      <c r="G958" s="120">
        <v>3142710.7749999976</v>
      </c>
      <c r="H958" s="120" t="s">
        <v>251</v>
      </c>
      <c r="I958" s="120">
        <v>387734.87</v>
      </c>
      <c r="J958" s="120">
        <v>3372.5100000000011</v>
      </c>
      <c r="K958" s="120" t="s">
        <v>251</v>
      </c>
      <c r="L958" s="120" t="s">
        <v>251</v>
      </c>
      <c r="M958" s="120">
        <v>57.5</v>
      </c>
      <c r="N958" s="120" t="s">
        <v>251</v>
      </c>
      <c r="O958" s="120">
        <v>3315.0100000000011</v>
      </c>
      <c r="P958" s="120">
        <v>3315.0100000000011</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33724.023333326302</v>
      </c>
      <c r="F960" s="120" t="s">
        <v>251</v>
      </c>
      <c r="G960" s="120">
        <v>33724.023333326302</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234962</v>
      </c>
      <c r="F966" s="120" t="s">
        <v>251</v>
      </c>
      <c r="G966" s="120">
        <v>0</v>
      </c>
      <c r="H966" s="120" t="s">
        <v>251</v>
      </c>
      <c r="I966" s="120">
        <v>234962</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21219766.061000001</v>
      </c>
      <c r="F971" s="120" t="s">
        <v>251</v>
      </c>
      <c r="G971" s="120">
        <v>18679000.831</v>
      </c>
      <c r="H971" s="120" t="s">
        <v>251</v>
      </c>
      <c r="I971" s="120">
        <v>762018.04</v>
      </c>
      <c r="J971" s="120">
        <v>1778747.19</v>
      </c>
      <c r="K971" s="120" t="s">
        <v>251</v>
      </c>
      <c r="L971" s="120" t="s">
        <v>251</v>
      </c>
      <c r="M971" s="120">
        <v>83.596999999999994</v>
      </c>
      <c r="N971" s="120" t="s">
        <v>251</v>
      </c>
      <c r="O971" s="120">
        <v>1778663.5929999999</v>
      </c>
      <c r="P971" s="120">
        <v>569120.76500000001</v>
      </c>
      <c r="Q971" s="120">
        <v>1209542.828</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108650549.77</v>
      </c>
      <c r="F978" s="120" t="s">
        <v>251</v>
      </c>
      <c r="G978" s="120">
        <v>108650549.77</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77244039.800000012</v>
      </c>
      <c r="F979" s="120" t="s">
        <v>251</v>
      </c>
      <c r="G979" s="120">
        <v>76902708.800000012</v>
      </c>
      <c r="H979" s="120" t="s">
        <v>251</v>
      </c>
      <c r="I979" s="120">
        <v>0</v>
      </c>
      <c r="J979" s="120">
        <v>341331</v>
      </c>
      <c r="K979" s="120" t="s">
        <v>251</v>
      </c>
      <c r="L979" s="120" t="s">
        <v>251</v>
      </c>
      <c r="M979" s="120">
        <v>0</v>
      </c>
      <c r="N979" s="120" t="s">
        <v>251</v>
      </c>
      <c r="O979" s="120">
        <v>341331</v>
      </c>
      <c r="P979" s="120">
        <v>63157</v>
      </c>
      <c r="Q979" s="120">
        <v>278174</v>
      </c>
      <c r="R979" s="120"/>
    </row>
    <row r="980" spans="1:18" ht="15">
      <c r="A980" s="105">
        <v>3</v>
      </c>
      <c r="B980" s="105"/>
      <c r="C980" s="107" t="s">
        <v>979</v>
      </c>
      <c r="D980" s="107" t="s">
        <v>385</v>
      </c>
      <c r="E980" s="120">
        <v>148818.36999999994</v>
      </c>
      <c r="F980" s="120" t="s">
        <v>251</v>
      </c>
      <c r="G980" s="120">
        <v>148818.36999999994</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123933924.20999999</v>
      </c>
      <c r="F981" s="120" t="s">
        <v>251</v>
      </c>
      <c r="G981" s="120">
        <v>123933924.20999999</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758923</v>
      </c>
      <c r="F984" s="120" t="s">
        <v>251</v>
      </c>
      <c r="G984" s="120">
        <v>720548</v>
      </c>
      <c r="H984" s="120" t="s">
        <v>251</v>
      </c>
      <c r="I984" s="120">
        <v>37683</v>
      </c>
      <c r="J984" s="120">
        <v>692</v>
      </c>
      <c r="K984" s="120" t="s">
        <v>251</v>
      </c>
      <c r="L984" s="120" t="s">
        <v>251</v>
      </c>
      <c r="M984" s="120">
        <v>5</v>
      </c>
      <c r="N984" s="120" t="s">
        <v>251</v>
      </c>
      <c r="O984" s="120">
        <v>687</v>
      </c>
      <c r="P984" s="120">
        <v>356</v>
      </c>
      <c r="Q984" s="120">
        <v>331</v>
      </c>
      <c r="R984" s="120"/>
    </row>
    <row r="985" spans="1:18" ht="15">
      <c r="A985" s="105">
        <v>8</v>
      </c>
      <c r="B985" s="105"/>
      <c r="C985" s="107" t="s">
        <v>983</v>
      </c>
      <c r="D985" s="107" t="s">
        <v>689</v>
      </c>
      <c r="E985" s="120">
        <v>758923</v>
      </c>
      <c r="F985" s="120" t="s">
        <v>251</v>
      </c>
      <c r="G985" s="120">
        <v>720548</v>
      </c>
      <c r="H985" s="120" t="s">
        <v>251</v>
      </c>
      <c r="I985" s="120">
        <v>37683</v>
      </c>
      <c r="J985" s="120">
        <v>692</v>
      </c>
      <c r="K985" s="120" t="s">
        <v>251</v>
      </c>
      <c r="L985" s="120" t="s">
        <v>251</v>
      </c>
      <c r="M985" s="120">
        <v>5</v>
      </c>
      <c r="N985" s="120" t="s">
        <v>251</v>
      </c>
      <c r="O985" s="120">
        <v>687</v>
      </c>
      <c r="P985" s="120">
        <v>356</v>
      </c>
      <c r="Q985" s="120">
        <v>331</v>
      </c>
      <c r="R985" s="120"/>
    </row>
    <row r="986" spans="1:18" ht="15">
      <c r="A986" s="105">
        <v>9</v>
      </c>
      <c r="B986" s="105"/>
      <c r="C986" s="107" t="s">
        <v>984</v>
      </c>
      <c r="D986" s="107" t="s">
        <v>691</v>
      </c>
      <c r="E986" s="120">
        <v>758923</v>
      </c>
      <c r="F986" s="120" t="s">
        <v>251</v>
      </c>
      <c r="G986" s="120">
        <v>720548</v>
      </c>
      <c r="H986" s="120" t="s">
        <v>251</v>
      </c>
      <c r="I986" s="120">
        <v>37683</v>
      </c>
      <c r="J986" s="120">
        <v>692</v>
      </c>
      <c r="K986" s="120" t="s">
        <v>251</v>
      </c>
      <c r="L986" s="120" t="s">
        <v>251</v>
      </c>
      <c r="M986" s="120">
        <v>5</v>
      </c>
      <c r="N986" s="120" t="s">
        <v>251</v>
      </c>
      <c r="O986" s="120">
        <v>687</v>
      </c>
      <c r="P986" s="120">
        <v>356</v>
      </c>
      <c r="Q986" s="120">
        <v>331</v>
      </c>
      <c r="R986" s="120"/>
    </row>
    <row r="987" spans="1:18" ht="15">
      <c r="A987" s="105">
        <v>10</v>
      </c>
      <c r="B987" s="105"/>
      <c r="C987" s="107" t="s">
        <v>985</v>
      </c>
      <c r="D987" s="107" t="s">
        <v>400</v>
      </c>
      <c r="E987" s="120">
        <v>5852947.5300000003</v>
      </c>
      <c r="F987" s="120" t="s">
        <v>251</v>
      </c>
      <c r="G987" s="120">
        <v>0</v>
      </c>
      <c r="H987" s="120" t="s">
        <v>251</v>
      </c>
      <c r="I987" s="120">
        <v>5852947.5300000003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3783545.2000000011</v>
      </c>
      <c r="F988" s="120" t="s">
        <v>251</v>
      </c>
      <c r="G988" s="120">
        <v>0</v>
      </c>
      <c r="H988" s="120" t="s">
        <v>251</v>
      </c>
      <c r="I988" s="120">
        <v>3783545.2000000011</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3826550.46</v>
      </c>
      <c r="F990" s="120" t="s">
        <v>251</v>
      </c>
      <c r="G990" s="120">
        <v>0</v>
      </c>
      <c r="H990" s="120" t="s">
        <v>251</v>
      </c>
      <c r="I990" s="120">
        <v>3826550.46</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417808.04084700003</v>
      </c>
      <c r="F996" s="120" t="s">
        <v>251</v>
      </c>
      <c r="G996" s="120">
        <v>389836.103237</v>
      </c>
      <c r="H996" s="120" t="s">
        <v>251</v>
      </c>
      <c r="I996" s="120">
        <v>27971.937610000001</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3864385.0799999996</v>
      </c>
      <c r="F997" s="120" t="s">
        <v>251</v>
      </c>
      <c r="G997" s="120">
        <v>3713436.52</v>
      </c>
      <c r="H997" s="120" t="s">
        <v>251</v>
      </c>
      <c r="I997" s="120">
        <v>150827.78</v>
      </c>
      <c r="J997" s="120">
        <v>120.78</v>
      </c>
      <c r="K997" s="120" t="s">
        <v>251</v>
      </c>
      <c r="L997" s="120" t="s">
        <v>251</v>
      </c>
      <c r="M997" s="120">
        <v>0</v>
      </c>
      <c r="N997" s="120" t="s">
        <v>251</v>
      </c>
      <c r="O997" s="120">
        <v>120.78</v>
      </c>
      <c r="P997" s="120">
        <v>27.11</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9651562361.999979</v>
      </c>
      <c r="F1006" s="120" t="s">
        <v>251</v>
      </c>
      <c r="G1006" s="120">
        <v>8591914476.7523937</v>
      </c>
      <c r="H1006" s="120" t="s">
        <v>251</v>
      </c>
      <c r="I1006" s="120">
        <v>471838667.76148808</v>
      </c>
      <c r="J1006" s="120">
        <v>587809217.48609769</v>
      </c>
      <c r="K1006" s="120" t="s">
        <v>251</v>
      </c>
      <c r="L1006" s="120" t="s">
        <v>251</v>
      </c>
      <c r="M1006" s="120">
        <v>702553.48246272316</v>
      </c>
      <c r="N1006" s="120" t="s">
        <v>251</v>
      </c>
      <c r="O1006" s="120">
        <v>587106664.00363493</v>
      </c>
      <c r="P1006" s="120">
        <v>183674555.2875993</v>
      </c>
      <c r="Q1006" s="120">
        <v>403432108.71603566</v>
      </c>
      <c r="R1006" s="120"/>
    </row>
    <row r="1007" spans="1:18" ht="15">
      <c r="A1007" s="105">
        <v>2</v>
      </c>
      <c r="B1007" s="105"/>
      <c r="C1007" s="107" t="s">
        <v>999</v>
      </c>
      <c r="D1007" s="107" t="s">
        <v>298</v>
      </c>
      <c r="E1007" s="120">
        <v>8591914476.7523937</v>
      </c>
      <c r="F1007" s="120" t="s">
        <v>251</v>
      </c>
      <c r="G1007" s="120">
        <v>8591914476.7523937</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174905273.17999998</v>
      </c>
      <c r="F1008" s="120" t="s">
        <v>251</v>
      </c>
      <c r="G1008" s="120">
        <v>158295174.61989397</v>
      </c>
      <c r="H1008" s="120" t="s">
        <v>251</v>
      </c>
      <c r="I1008" s="120">
        <v>8056198.3286994351</v>
      </c>
      <c r="J1008" s="120">
        <v>8553900.2314065788</v>
      </c>
      <c r="K1008" s="120" t="s">
        <v>251</v>
      </c>
      <c r="L1008" s="120" t="s">
        <v>251</v>
      </c>
      <c r="M1008" s="120">
        <v>12662.776238722263</v>
      </c>
      <c r="N1008" s="120" t="s">
        <v>251</v>
      </c>
      <c r="O1008" s="120">
        <v>8541237.4551678561</v>
      </c>
      <c r="P1008" s="120">
        <v>2721714.6800090633</v>
      </c>
      <c r="Q1008" s="120">
        <v>5819522.7751587927</v>
      </c>
      <c r="R1008" s="120"/>
    </row>
    <row r="1009" spans="1:18" ht="15">
      <c r="A1009" s="105">
        <v>4</v>
      </c>
      <c r="B1009" s="105"/>
      <c r="C1009" s="107" t="s">
        <v>1001</v>
      </c>
      <c r="D1009" s="107" t="s">
        <v>444</v>
      </c>
      <c r="E1009" s="120">
        <v>5284856742.8099794</v>
      </c>
      <c r="F1009" s="120" t="s">
        <v>251</v>
      </c>
      <c r="G1009" s="120">
        <v>4633420488.0805225</v>
      </c>
      <c r="H1009" s="120" t="s">
        <v>251</v>
      </c>
      <c r="I1009" s="120">
        <v>212170026.31719556</v>
      </c>
      <c r="J1009" s="120">
        <v>439266228.41226101</v>
      </c>
      <c r="K1009" s="120" t="s">
        <v>251</v>
      </c>
      <c r="L1009" s="120" t="s">
        <v>251</v>
      </c>
      <c r="M1009" s="120">
        <v>14872.6342944101</v>
      </c>
      <c r="N1009" s="120" t="s">
        <v>251</v>
      </c>
      <c r="O1009" s="120">
        <v>439251355.77796662</v>
      </c>
      <c r="P1009" s="120">
        <v>135501596.52951154</v>
      </c>
      <c r="Q1009" s="120">
        <v>303749759.24845511</v>
      </c>
      <c r="R1009" s="120"/>
    </row>
    <row r="1010" spans="1:18" ht="15">
      <c r="A1010" s="105">
        <v>5</v>
      </c>
      <c r="B1010" s="105"/>
      <c r="C1010" s="107" t="s">
        <v>1002</v>
      </c>
      <c r="D1010" s="107" t="s">
        <v>904</v>
      </c>
      <c r="E1010" s="120">
        <v>108987201.11999999</v>
      </c>
      <c r="F1010" s="120" t="s">
        <v>251</v>
      </c>
      <c r="G1010" s="120">
        <v>98637094.91976966</v>
      </c>
      <c r="H1010" s="120" t="s">
        <v>251</v>
      </c>
      <c r="I1010" s="120">
        <v>5019988.7719164146</v>
      </c>
      <c r="J1010" s="120">
        <v>5330117.4283139082</v>
      </c>
      <c r="K1010" s="120" t="s">
        <v>251</v>
      </c>
      <c r="L1010" s="120" t="s">
        <v>251</v>
      </c>
      <c r="M1010" s="120">
        <v>7890.4455856336608</v>
      </c>
      <c r="N1010" s="120" t="s">
        <v>251</v>
      </c>
      <c r="O1010" s="120">
        <v>5322226.9827282745</v>
      </c>
      <c r="P1010" s="120">
        <v>1695958.3883793587</v>
      </c>
      <c r="Q1010" s="120">
        <v>3626268.5943489163</v>
      </c>
      <c r="R1010" s="120"/>
    </row>
    <row r="1011" spans="1:18" ht="15">
      <c r="A1011" s="105">
        <v>6</v>
      </c>
      <c r="B1011" s="105"/>
      <c r="C1011" s="107" t="s">
        <v>1003</v>
      </c>
      <c r="D1011" s="107" t="s">
        <v>449</v>
      </c>
      <c r="E1011" s="120">
        <v>43683247.969999999</v>
      </c>
      <c r="F1011" s="120" t="s">
        <v>251</v>
      </c>
      <c r="G1011" s="120">
        <v>38298645.730646901</v>
      </c>
      <c r="H1011" s="120" t="s">
        <v>251</v>
      </c>
      <c r="I1011" s="120">
        <v>1753742.1206402469</v>
      </c>
      <c r="J1011" s="120">
        <v>3630860.1187128532</v>
      </c>
      <c r="K1011" s="120" t="s">
        <v>251</v>
      </c>
      <c r="L1011" s="120" t="s">
        <v>251</v>
      </c>
      <c r="M1011" s="120">
        <v>122.93331748939751</v>
      </c>
      <c r="N1011" s="120" t="s">
        <v>251</v>
      </c>
      <c r="O1011" s="120">
        <v>3630737.1853953637</v>
      </c>
      <c r="P1011" s="120">
        <v>1120020.8689824028</v>
      </c>
      <c r="Q1011" s="120">
        <v>2510716.3164129606</v>
      </c>
      <c r="R1011" s="120"/>
    </row>
    <row r="1012" spans="1:18" ht="15">
      <c r="A1012" s="105">
        <v>7</v>
      </c>
      <c r="B1012" s="105"/>
      <c r="C1012" s="107" t="s">
        <v>1004</v>
      </c>
      <c r="D1012" s="107" t="s">
        <v>452</v>
      </c>
      <c r="E1012" s="120">
        <v>1032963864.1600001</v>
      </c>
      <c r="F1012" s="120" t="s">
        <v>251</v>
      </c>
      <c r="G1012" s="120">
        <v>905635888.45758414</v>
      </c>
      <c r="H1012" s="120" t="s">
        <v>251</v>
      </c>
      <c r="I1012" s="120">
        <v>41470181.862868994</v>
      </c>
      <c r="J1012" s="120">
        <v>85857793.839546889</v>
      </c>
      <c r="K1012" s="120" t="s">
        <v>251</v>
      </c>
      <c r="L1012" s="120" t="s">
        <v>251</v>
      </c>
      <c r="M1012" s="120">
        <v>2906.9650396661236</v>
      </c>
      <c r="N1012" s="120" t="s">
        <v>251</v>
      </c>
      <c r="O1012" s="120">
        <v>85854886.874507219</v>
      </c>
      <c r="P1012" s="120">
        <v>26484777.083390117</v>
      </c>
      <c r="Q1012" s="120">
        <v>59370109.791117102</v>
      </c>
      <c r="R1012" s="120"/>
    </row>
    <row r="1013" spans="1:18" ht="15">
      <c r="A1013" s="105">
        <v>8</v>
      </c>
      <c r="B1013" s="105"/>
      <c r="C1013" s="107" t="s">
        <v>1005</v>
      </c>
      <c r="D1013" s="107" t="s">
        <v>1006</v>
      </c>
      <c r="E1013" s="120">
        <v>1010506732.02</v>
      </c>
      <c r="F1013" s="120" t="s">
        <v>251</v>
      </c>
      <c r="G1013" s="120">
        <v>962211709.98807085</v>
      </c>
      <c r="H1013" s="120" t="s">
        <v>251</v>
      </c>
      <c r="I1013" s="120">
        <v>44976359.446580812</v>
      </c>
      <c r="J1013" s="120">
        <v>3318662.5853483309</v>
      </c>
      <c r="K1013" s="120" t="s">
        <v>251</v>
      </c>
      <c r="L1013" s="120" t="s">
        <v>251</v>
      </c>
      <c r="M1013" s="120">
        <v>3088.5655453170402</v>
      </c>
      <c r="N1013" s="120" t="s">
        <v>251</v>
      </c>
      <c r="O1013" s="120">
        <v>3315574.0198030137</v>
      </c>
      <c r="P1013" s="120">
        <v>1022798.3754298845</v>
      </c>
      <c r="Q1013" s="120">
        <v>2292775.6443731291</v>
      </c>
      <c r="R1013" s="120"/>
    </row>
    <row r="1014" spans="1:18" ht="15">
      <c r="A1014" s="105">
        <v>9</v>
      </c>
      <c r="B1014" s="105"/>
      <c r="C1014" s="107" t="s">
        <v>1007</v>
      </c>
      <c r="D1014" s="107" t="s">
        <v>484</v>
      </c>
      <c r="E1014" s="120">
        <v>58854942.149999999</v>
      </c>
      <c r="F1014" s="120" t="s">
        <v>251</v>
      </c>
      <c r="G1014" s="120">
        <v>0</v>
      </c>
      <c r="H1014" s="120" t="s">
        <v>251</v>
      </c>
      <c r="I1014" s="120">
        <v>58854942.149999999</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67085371.559999995</v>
      </c>
      <c r="F1015" s="120" t="s">
        <v>251</v>
      </c>
      <c r="G1015" s="120">
        <v>8230402.9915529564</v>
      </c>
      <c r="H1015" s="120" t="s">
        <v>251</v>
      </c>
      <c r="I1015" s="120">
        <v>58854942.149999999</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1949975263.54</v>
      </c>
      <c r="F1016" s="120" t="s">
        <v>251</v>
      </c>
      <c r="G1016" s="120">
        <v>1848050385.1299999</v>
      </c>
      <c r="H1016" s="120" t="s">
        <v>251</v>
      </c>
      <c r="I1016" s="120">
        <v>97299309.010000005</v>
      </c>
      <c r="J1016" s="120">
        <v>4625569.4000000004</v>
      </c>
      <c r="K1016" s="120" t="s">
        <v>251</v>
      </c>
      <c r="L1016" s="120" t="s">
        <v>251</v>
      </c>
      <c r="M1016" s="120">
        <v>666586.4</v>
      </c>
      <c r="N1016" s="120" t="s">
        <v>251</v>
      </c>
      <c r="O1016" s="120">
        <v>3958983</v>
      </c>
      <c r="P1016" s="120">
        <v>3680809</v>
      </c>
      <c r="Q1016" s="120">
        <v>278174</v>
      </c>
      <c r="R1016" s="120"/>
    </row>
    <row r="1017" spans="1:18" ht="15">
      <c r="A1017" s="105">
        <v>12</v>
      </c>
      <c r="B1017" s="105"/>
      <c r="C1017" s="107" t="s">
        <v>1010</v>
      </c>
      <c r="D1017" s="107" t="s">
        <v>466</v>
      </c>
      <c r="E1017" s="120">
        <v>1852009368.1299999</v>
      </c>
      <c r="F1017" s="120" t="s">
        <v>251</v>
      </c>
      <c r="G1017" s="120">
        <v>1848050385.1299999</v>
      </c>
      <c r="H1017" s="120" t="s">
        <v>251</v>
      </c>
      <c r="I1017" s="120">
        <v>0</v>
      </c>
      <c r="J1017" s="120">
        <v>3958983</v>
      </c>
      <c r="K1017" s="120" t="s">
        <v>251</v>
      </c>
      <c r="L1017" s="120" t="s">
        <v>251</v>
      </c>
      <c r="M1017" s="120">
        <v>0</v>
      </c>
      <c r="N1017" s="120" t="s">
        <v>251</v>
      </c>
      <c r="O1017" s="120">
        <v>3958983</v>
      </c>
      <c r="P1017" s="120">
        <v>3680809</v>
      </c>
      <c r="Q1017" s="120">
        <v>278174</v>
      </c>
      <c r="R1017" s="120"/>
    </row>
    <row r="1018" spans="1:18" ht="15">
      <c r="A1018" s="105">
        <v>13</v>
      </c>
      <c r="B1018" s="105"/>
      <c r="C1018" s="107" t="s">
        <v>1011</v>
      </c>
      <c r="D1018" s="107" t="s">
        <v>468</v>
      </c>
      <c r="E1018" s="120">
        <v>214124878.21000001</v>
      </c>
      <c r="F1018" s="120" t="s">
        <v>251</v>
      </c>
      <c r="G1018" s="120">
        <v>194528811.31891662</v>
      </c>
      <c r="H1018" s="120" t="s">
        <v>251</v>
      </c>
      <c r="I1018" s="120">
        <v>9504446.9944445994</v>
      </c>
      <c r="J1018" s="120">
        <v>10091619.89663877</v>
      </c>
      <c r="K1018" s="120" t="s">
        <v>251</v>
      </c>
      <c r="L1018" s="120" t="s">
        <v>251</v>
      </c>
      <c r="M1018" s="120">
        <v>14939.14134843272</v>
      </c>
      <c r="N1018" s="120" t="s">
        <v>251</v>
      </c>
      <c r="O1018" s="120">
        <v>10076680.755290337</v>
      </c>
      <c r="P1018" s="120">
        <v>3210992.5618382823</v>
      </c>
      <c r="Q1018" s="120">
        <v>6865688.1934520537</v>
      </c>
      <c r="R1018" s="120"/>
    </row>
    <row r="1019" spans="1:18" ht="15">
      <c r="A1019" s="105">
        <v>14</v>
      </c>
      <c r="B1019" s="105"/>
      <c r="C1019" s="107" t="s">
        <v>1012</v>
      </c>
      <c r="D1019" s="107" t="s">
        <v>470</v>
      </c>
      <c r="E1019" s="120">
        <v>55918.83</v>
      </c>
      <c r="F1019" s="120" t="s">
        <v>251</v>
      </c>
      <c r="G1019" s="120">
        <v>55918.83</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131748885.55000003</v>
      </c>
      <c r="F1020" s="120" t="s">
        <v>251</v>
      </c>
      <c r="G1020" s="120">
        <v>117284136.45337246</v>
      </c>
      <c r="H1020" s="120" t="s">
        <v>251</v>
      </c>
      <c r="I1020" s="120">
        <v>6440845.1508042915</v>
      </c>
      <c r="J1020" s="120">
        <v>8023903.9458232652</v>
      </c>
      <c r="K1020" s="120" t="s">
        <v>251</v>
      </c>
      <c r="L1020" s="120" t="s">
        <v>251</v>
      </c>
      <c r="M1020" s="120">
        <v>9590.2233112189115</v>
      </c>
      <c r="N1020" s="120" t="s">
        <v>251</v>
      </c>
      <c r="O1020" s="120">
        <v>8014313.7225120459</v>
      </c>
      <c r="P1020" s="120">
        <v>2507253.9611108736</v>
      </c>
      <c r="Q1020" s="120">
        <v>5507059.7614011727</v>
      </c>
      <c r="R1020" s="120"/>
    </row>
    <row r="1021" spans="1:18" ht="15">
      <c r="A1021" s="105">
        <v>16</v>
      </c>
      <c r="B1021" s="105"/>
      <c r="C1021" s="107" t="s">
        <v>1014</v>
      </c>
      <c r="D1021" s="107" t="s">
        <v>478</v>
      </c>
      <c r="E1021" s="120">
        <v>6361503854.9399786</v>
      </c>
      <c r="F1021" s="120" t="s">
        <v>251</v>
      </c>
      <c r="G1021" s="120">
        <v>5577355022.2687531</v>
      </c>
      <c r="H1021" s="120" t="s">
        <v>251</v>
      </c>
      <c r="I1021" s="120">
        <v>255393950.30070487</v>
      </c>
      <c r="J1021" s="120">
        <v>528754882.37052083</v>
      </c>
      <c r="K1021" s="120" t="s">
        <v>251</v>
      </c>
      <c r="L1021" s="120" t="s">
        <v>251</v>
      </c>
      <c r="M1021" s="120">
        <v>17902.532651565623</v>
      </c>
      <c r="N1021" s="120" t="s">
        <v>251</v>
      </c>
      <c r="O1021" s="120">
        <v>528736979.83786929</v>
      </c>
      <c r="P1021" s="120">
        <v>163106394.48188409</v>
      </c>
      <c r="Q1021" s="120">
        <v>365630585.35598522</v>
      </c>
      <c r="R1021" s="120"/>
    </row>
    <row r="1022" spans="1:18" ht="15">
      <c r="A1022" s="105">
        <v>17</v>
      </c>
      <c r="B1022" s="105"/>
      <c r="C1022" s="107" t="s">
        <v>336</v>
      </c>
      <c r="D1022" s="107" t="s">
        <v>498</v>
      </c>
      <c r="E1022" s="120">
        <v>6408266737.7699785</v>
      </c>
      <c r="F1022" s="120" t="s">
        <v>251</v>
      </c>
      <c r="G1022" s="120">
        <v>5577626407.6602755</v>
      </c>
      <c r="H1022" s="120" t="s">
        <v>251</v>
      </c>
      <c r="I1022" s="120">
        <v>260873444.36646643</v>
      </c>
      <c r="J1022" s="120">
        <v>569766885.74323666</v>
      </c>
      <c r="K1022" s="120" t="s">
        <v>251</v>
      </c>
      <c r="L1022" s="120" t="s">
        <v>251</v>
      </c>
      <c r="M1022" s="120">
        <v>17903.403760866262</v>
      </c>
      <c r="N1022" s="120" t="s">
        <v>251</v>
      </c>
      <c r="O1022" s="120">
        <v>569748982.33947575</v>
      </c>
      <c r="P1022" s="120">
        <v>175757901.96783718</v>
      </c>
      <c r="Q1022" s="120">
        <v>393991080.37163854</v>
      </c>
      <c r="R1022" s="120"/>
    </row>
    <row r="1023" spans="1:18" ht="15">
      <c r="A1023" s="105">
        <v>18</v>
      </c>
      <c r="B1023" s="105"/>
      <c r="C1023" s="107" t="s">
        <v>357</v>
      </c>
      <c r="D1023" s="107" t="s">
        <v>1015</v>
      </c>
      <c r="E1023" s="120">
        <v>1077592103.5799999</v>
      </c>
      <c r="F1023" s="120" t="s">
        <v>251</v>
      </c>
      <c r="G1023" s="120">
        <v>970442112.97962379</v>
      </c>
      <c r="H1023" s="120" t="s">
        <v>251</v>
      </c>
      <c r="I1023" s="120">
        <v>103831301.5965808</v>
      </c>
      <c r="J1023" s="120">
        <v>3318689.0037953728</v>
      </c>
      <c r="K1023" s="120" t="s">
        <v>251</v>
      </c>
      <c r="L1023" s="120" t="s">
        <v>251</v>
      </c>
      <c r="M1023" s="120">
        <v>3114.9839923593236</v>
      </c>
      <c r="N1023" s="120" t="s">
        <v>251</v>
      </c>
      <c r="O1023" s="120">
        <v>3315574.0198030137</v>
      </c>
      <c r="P1023" s="120">
        <v>1022798.3754298845</v>
      </c>
      <c r="Q1023" s="120">
        <v>2292775.6443731291</v>
      </c>
      <c r="R1023" s="120"/>
    </row>
    <row r="1024" spans="1:18" ht="15">
      <c r="A1024" s="105">
        <v>19</v>
      </c>
      <c r="B1024" s="105"/>
      <c r="C1024" s="107" t="s">
        <v>1016</v>
      </c>
      <c r="D1024" s="107" t="s">
        <v>500</v>
      </c>
      <c r="E1024" s="120">
        <v>1074276529.5601969</v>
      </c>
      <c r="F1024" s="120" t="s">
        <v>251</v>
      </c>
      <c r="G1024" s="120">
        <v>970442112.97962379</v>
      </c>
      <c r="H1024" s="120" t="s">
        <v>251</v>
      </c>
      <c r="I1024" s="120">
        <v>103831301.5965808</v>
      </c>
      <c r="J1024" s="120">
        <v>3114.9839923593236</v>
      </c>
      <c r="K1024" s="120" t="s">
        <v>251</v>
      </c>
      <c r="L1024" s="120" t="s">
        <v>251</v>
      </c>
      <c r="M1024" s="120">
        <v>3114.9839923593236</v>
      </c>
      <c r="N1024" s="120" t="s">
        <v>251</v>
      </c>
      <c r="O1024" s="120">
        <v>0</v>
      </c>
      <c r="P1024" s="120">
        <v>0</v>
      </c>
      <c r="Q1024" s="120">
        <v>0</v>
      </c>
      <c r="R1024" s="120"/>
    </row>
    <row r="1025" spans="1:18" ht="15">
      <c r="A1025" s="105">
        <v>20</v>
      </c>
      <c r="B1025" s="105"/>
      <c r="C1025" s="107" t="s">
        <v>1017</v>
      </c>
      <c r="D1025" s="107" t="s">
        <v>505</v>
      </c>
      <c r="E1025" s="120">
        <v>50141045</v>
      </c>
      <c r="F1025" s="120" t="s">
        <v>251</v>
      </c>
      <c r="G1025" s="120">
        <v>44538906.442426637</v>
      </c>
      <c r="H1025" s="120" t="s">
        <v>251</v>
      </c>
      <c r="I1025" s="120">
        <v>2672765.2625963404</v>
      </c>
      <c r="J1025" s="120">
        <v>2929373.2949770265</v>
      </c>
      <c r="K1025" s="120" t="s">
        <v>251</v>
      </c>
      <c r="L1025" s="120" t="s">
        <v>251</v>
      </c>
      <c r="M1025" s="120">
        <v>2615.5464100239992</v>
      </c>
      <c r="N1025" s="120" t="s">
        <v>251</v>
      </c>
      <c r="O1025" s="120">
        <v>2926757.7485670024</v>
      </c>
      <c r="P1025" s="120">
        <v>912060.2490884756</v>
      </c>
      <c r="Q1025" s="120">
        <v>2014697.4994785266</v>
      </c>
      <c r="R1025" s="120"/>
    </row>
    <row r="1026" spans="1:18" ht="15">
      <c r="A1026" s="105">
        <v>21</v>
      </c>
      <c r="B1026" s="105"/>
      <c r="C1026" s="107" t="s">
        <v>1018</v>
      </c>
      <c r="D1026" s="107" t="s">
        <v>510</v>
      </c>
      <c r="E1026" s="120">
        <v>9759018.6600000001</v>
      </c>
      <c r="F1026" s="120" t="s">
        <v>251</v>
      </c>
      <c r="G1026" s="120">
        <v>8747802.2736399565</v>
      </c>
      <c r="H1026" s="120" t="s">
        <v>251</v>
      </c>
      <c r="I1026" s="120">
        <v>465572.29330149601</v>
      </c>
      <c r="J1026" s="120">
        <v>545644.09305854782</v>
      </c>
      <c r="K1026" s="120" t="s">
        <v>251</v>
      </c>
      <c r="L1026" s="120" t="s">
        <v>251</v>
      </c>
      <c r="M1026" s="120">
        <v>708.69060012797922</v>
      </c>
      <c r="N1026" s="120" t="s">
        <v>251</v>
      </c>
      <c r="O1026" s="120">
        <v>544935.40245841979</v>
      </c>
      <c r="P1026" s="120">
        <v>171631.35588968903</v>
      </c>
      <c r="Q1026" s="120">
        <v>373304.04656873079</v>
      </c>
      <c r="R1026" s="120"/>
    </row>
    <row r="1027" spans="1:18" ht="15">
      <c r="A1027" s="105">
        <v>22</v>
      </c>
      <c r="B1027" s="105"/>
      <c r="C1027" s="107" t="s">
        <v>1019</v>
      </c>
      <c r="D1027" s="107" t="s">
        <v>512</v>
      </c>
      <c r="E1027" s="120">
        <v>1516699092.4986923</v>
      </c>
      <c r="F1027" s="120" t="s">
        <v>251</v>
      </c>
      <c r="G1027" s="120">
        <v>1516699092.4986923</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22325391.122599062</v>
      </c>
      <c r="F1028" s="120" t="s">
        <v>251</v>
      </c>
      <c r="G1028" s="120">
        <v>0</v>
      </c>
      <c r="H1028" s="120" t="s">
        <v>251</v>
      </c>
      <c r="I1028" s="120">
        <v>0</v>
      </c>
      <c r="J1028" s="120">
        <v>22325391.122599062</v>
      </c>
      <c r="K1028" s="120" t="s">
        <v>251</v>
      </c>
      <c r="L1028" s="120" t="s">
        <v>251</v>
      </c>
      <c r="M1028" s="120">
        <v>0</v>
      </c>
      <c r="N1028" s="120" t="s">
        <v>251</v>
      </c>
      <c r="O1028" s="120">
        <v>22325391.122599062</v>
      </c>
      <c r="P1028" s="120">
        <v>6887004.6738958759</v>
      </c>
      <c r="Q1028" s="120">
        <v>15438386.448703185</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1986694.44043379</v>
      </c>
      <c r="F1030" s="120" t="s">
        <v>251</v>
      </c>
      <c r="G1030" s="120">
        <v>0</v>
      </c>
      <c r="H1030" s="120" t="s">
        <v>251</v>
      </c>
      <c r="I1030" s="120">
        <v>0</v>
      </c>
      <c r="J1030" s="120">
        <v>1986694.44043379</v>
      </c>
      <c r="K1030" s="120" t="s">
        <v>251</v>
      </c>
      <c r="L1030" s="120" t="s">
        <v>251</v>
      </c>
      <c r="M1030" s="120">
        <v>0</v>
      </c>
      <c r="N1030" s="120" t="s">
        <v>251</v>
      </c>
      <c r="O1030" s="120">
        <v>1986694.44043379</v>
      </c>
      <c r="P1030" s="120">
        <v>612861.55399178492</v>
      </c>
      <c r="Q1030" s="120">
        <v>1373832.8864420052</v>
      </c>
      <c r="R1030" s="120"/>
    </row>
    <row r="1031" spans="1:18" ht="15">
      <c r="A1031" s="105">
        <v>26</v>
      </c>
      <c r="B1031" s="105"/>
      <c r="C1031" s="107" t="s">
        <v>1025</v>
      </c>
      <c r="D1031" s="107" t="s">
        <v>1026</v>
      </c>
      <c r="E1031" s="120">
        <v>2273.7288219178085</v>
      </c>
      <c r="F1031" s="120" t="s">
        <v>251</v>
      </c>
      <c r="G1031" s="120">
        <v>0</v>
      </c>
      <c r="H1031" s="120" t="s">
        <v>251</v>
      </c>
      <c r="I1031" s="120">
        <v>0</v>
      </c>
      <c r="J1031" s="120">
        <v>2273.7288219178085</v>
      </c>
      <c r="K1031" s="120" t="s">
        <v>251</v>
      </c>
      <c r="L1031" s="120" t="s">
        <v>251</v>
      </c>
      <c r="M1031" s="120">
        <v>0</v>
      </c>
      <c r="N1031" s="120" t="s">
        <v>251</v>
      </c>
      <c r="O1031" s="120">
        <v>2273.7288219178085</v>
      </c>
      <c r="P1031" s="120">
        <v>701.40679452054803</v>
      </c>
      <c r="Q1031" s="120">
        <v>1572.3220273972604</v>
      </c>
      <c r="R1031" s="120"/>
    </row>
    <row r="1032" spans="1:18" ht="15">
      <c r="A1032" s="105">
        <v>27</v>
      </c>
      <c r="B1032" s="105"/>
      <c r="C1032" s="107" t="s">
        <v>1027</v>
      </c>
      <c r="D1032" s="107" t="s">
        <v>1028</v>
      </c>
      <c r="E1032" s="120">
        <v>1010506732.02</v>
      </c>
      <c r="F1032" s="120" t="s">
        <v>251</v>
      </c>
      <c r="G1032" s="120">
        <v>962211709.98807085</v>
      </c>
      <c r="H1032" s="120" t="s">
        <v>251</v>
      </c>
      <c r="I1032" s="120">
        <v>44976359.446580812</v>
      </c>
      <c r="J1032" s="120">
        <v>3318662.5853483309</v>
      </c>
      <c r="K1032" s="120" t="s">
        <v>251</v>
      </c>
      <c r="L1032" s="120" t="s">
        <v>251</v>
      </c>
      <c r="M1032" s="120">
        <v>3088.5655453170402</v>
      </c>
      <c r="N1032" s="120" t="s">
        <v>251</v>
      </c>
      <c r="O1032" s="120">
        <v>3315574.0198030137</v>
      </c>
      <c r="P1032" s="120">
        <v>1022798.3754298845</v>
      </c>
      <c r="Q1032" s="120">
        <v>2292775.6443731291</v>
      </c>
      <c r="R1032" s="120"/>
    </row>
    <row r="1033" spans="1:18" ht="15">
      <c r="A1033" s="105">
        <v>28</v>
      </c>
      <c r="B1033" s="105"/>
      <c r="C1033" s="107" t="s">
        <v>1029</v>
      </c>
      <c r="D1033" s="107" t="s">
        <v>459</v>
      </c>
      <c r="E1033" s="120">
        <v>67085371.559999995</v>
      </c>
      <c r="F1033" s="120" t="s">
        <v>251</v>
      </c>
      <c r="G1033" s="120">
        <v>8230402.9915529564</v>
      </c>
      <c r="H1033" s="120" t="s">
        <v>251</v>
      </c>
      <c r="I1033" s="120">
        <v>58854942.149999999</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822368083.08000004</v>
      </c>
      <c r="F1034" s="120" t="s">
        <v>251</v>
      </c>
      <c r="G1034" s="120">
        <v>763861557.62000012</v>
      </c>
      <c r="H1034" s="120" t="s">
        <v>251</v>
      </c>
      <c r="I1034" s="120">
        <v>58411976.679999992</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9783411621.9599781</v>
      </c>
      <c r="F1035" s="120" t="s">
        <v>251</v>
      </c>
      <c r="G1035" s="120">
        <v>8709294106.8244934</v>
      </c>
      <c r="H1035" s="120" t="s">
        <v>251</v>
      </c>
      <c r="I1035" s="120">
        <v>478281686.22484577</v>
      </c>
      <c r="J1035" s="120">
        <v>595835828.91063929</v>
      </c>
      <c r="K1035" s="120" t="s">
        <v>251</v>
      </c>
      <c r="L1035" s="120" t="s">
        <v>251</v>
      </c>
      <c r="M1035" s="120">
        <v>712146.94177049596</v>
      </c>
      <c r="N1035" s="120" t="s">
        <v>251</v>
      </c>
      <c r="O1035" s="120">
        <v>595123681.96886873</v>
      </c>
      <c r="P1035" s="120">
        <v>186182655.26291806</v>
      </c>
      <c r="Q1035" s="120">
        <v>408941026.70595062</v>
      </c>
      <c r="R1035" s="120"/>
    </row>
    <row r="1036" spans="1:18" ht="15">
      <c r="A1036" s="105">
        <v>31</v>
      </c>
      <c r="B1036" s="105"/>
      <c r="C1036" s="107" t="s">
        <v>1031</v>
      </c>
      <c r="D1036" s="107" t="s">
        <v>489</v>
      </c>
      <c r="E1036" s="120">
        <v>8709294106.8244934</v>
      </c>
      <c r="F1036" s="120" t="s">
        <v>251</v>
      </c>
      <c r="G1036" s="120">
        <v>8709294106.8244934</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9305129935.7351322</v>
      </c>
      <c r="F1037" s="120" t="s">
        <v>251</v>
      </c>
      <c r="G1037" s="120">
        <v>8709294106.8244934</v>
      </c>
      <c r="H1037" s="120" t="s">
        <v>251</v>
      </c>
      <c r="I1037" s="120">
        <v>0</v>
      </c>
      <c r="J1037" s="120">
        <v>595835828.91063929</v>
      </c>
      <c r="K1037" s="120" t="s">
        <v>251</v>
      </c>
      <c r="L1037" s="120" t="s">
        <v>251</v>
      </c>
      <c r="M1037" s="120">
        <v>712146.94177049596</v>
      </c>
      <c r="N1037" s="120" t="s">
        <v>251</v>
      </c>
      <c r="O1037" s="120">
        <v>595123681.96886873</v>
      </c>
      <c r="P1037" s="120">
        <v>186182655.26291806</v>
      </c>
      <c r="Q1037" s="120">
        <v>408941026.70595062</v>
      </c>
      <c r="R1037" s="120"/>
    </row>
    <row r="1038" spans="1:18" ht="15">
      <c r="A1038" s="105">
        <v>33</v>
      </c>
      <c r="B1038" s="105"/>
      <c r="C1038" s="107" t="s">
        <v>1033</v>
      </c>
      <c r="D1038" s="107" t="s">
        <v>1034</v>
      </c>
      <c r="E1038" s="120">
        <v>478281686.22484577</v>
      </c>
      <c r="F1038" s="120" t="s">
        <v>251</v>
      </c>
      <c r="G1038" s="120">
        <v>0</v>
      </c>
      <c r="H1038" s="120" t="s">
        <v>251</v>
      </c>
      <c r="I1038" s="120">
        <v>478281686.22484577</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5326219720.1899786</v>
      </c>
      <c r="F1039" s="120" t="s">
        <v>251</v>
      </c>
      <c r="G1039" s="120">
        <v>4633420488.0805225</v>
      </c>
      <c r="H1039" s="120" t="s">
        <v>251</v>
      </c>
      <c r="I1039" s="120">
        <v>217636196.24061048</v>
      </c>
      <c r="J1039" s="120">
        <v>475163035.86884606</v>
      </c>
      <c r="K1039" s="120" t="s">
        <v>251</v>
      </c>
      <c r="L1039" s="120" t="s">
        <v>251</v>
      </c>
      <c r="M1039" s="120">
        <v>14872.6342944101</v>
      </c>
      <c r="N1039" s="120" t="s">
        <v>251</v>
      </c>
      <c r="O1039" s="120">
        <v>475148163.23455167</v>
      </c>
      <c r="P1039" s="120">
        <v>146575153.06313881</v>
      </c>
      <c r="Q1039" s="120">
        <v>328573010.17141283</v>
      </c>
      <c r="R1039" s="120"/>
    </row>
    <row r="1040" spans="1:18" ht="15">
      <c r="A1040" s="105">
        <v>35</v>
      </c>
      <c r="B1040" s="105"/>
      <c r="C1040" s="107" t="s">
        <v>1035</v>
      </c>
      <c r="D1040" s="107" t="s">
        <v>600</v>
      </c>
      <c r="E1040" s="120">
        <v>43789404.730000004</v>
      </c>
      <c r="F1040" s="120" t="s">
        <v>251</v>
      </c>
      <c r="G1040" s="120">
        <v>38298645.730646901</v>
      </c>
      <c r="H1040" s="120" t="s">
        <v>251</v>
      </c>
      <c r="I1040" s="120">
        <v>1754009.1972612515</v>
      </c>
      <c r="J1040" s="120">
        <v>3736749.8020918486</v>
      </c>
      <c r="K1040" s="120" t="s">
        <v>251</v>
      </c>
      <c r="L1040" s="120" t="s">
        <v>251</v>
      </c>
      <c r="M1040" s="120">
        <v>122.93331748939751</v>
      </c>
      <c r="N1040" s="120" t="s">
        <v>251</v>
      </c>
      <c r="O1040" s="120">
        <v>3736626.8687743591</v>
      </c>
      <c r="P1040" s="120">
        <v>1152686.0411329723</v>
      </c>
      <c r="Q1040" s="120">
        <v>2583940.8276413865</v>
      </c>
      <c r="R1040" s="120"/>
    </row>
    <row r="1041" spans="1:18" ht="15">
      <c r="A1041" s="105">
        <v>36</v>
      </c>
      <c r="B1041" s="105"/>
      <c r="C1041" s="107" t="s">
        <v>1036</v>
      </c>
      <c r="D1041" s="107" t="s">
        <v>615</v>
      </c>
      <c r="E1041" s="120">
        <v>1037948072</v>
      </c>
      <c r="F1041" s="120" t="s">
        <v>251</v>
      </c>
      <c r="G1041" s="120">
        <v>905635888.45758414</v>
      </c>
      <c r="H1041" s="120" t="s">
        <v>251</v>
      </c>
      <c r="I1041" s="120">
        <v>41470811.857533559</v>
      </c>
      <c r="J1041" s="120">
        <v>90841371.684882328</v>
      </c>
      <c r="K1041" s="120" t="s">
        <v>251</v>
      </c>
      <c r="L1041" s="120" t="s">
        <v>251</v>
      </c>
      <c r="M1041" s="120">
        <v>2906.9650396661236</v>
      </c>
      <c r="N1041" s="120" t="s">
        <v>251</v>
      </c>
      <c r="O1041" s="120">
        <v>90838464.719842657</v>
      </c>
      <c r="P1041" s="120">
        <v>28022126.360949084</v>
      </c>
      <c r="Q1041" s="120">
        <v>62816338.358893573</v>
      </c>
      <c r="R1041" s="120"/>
    </row>
    <row r="1042" spans="1:18" ht="15">
      <c r="A1042" s="105">
        <v>37</v>
      </c>
      <c r="B1042" s="105"/>
      <c r="C1042" s="107" t="s">
        <v>1037</v>
      </c>
      <c r="D1042" s="107" t="s">
        <v>656</v>
      </c>
      <c r="E1042" s="120">
        <v>271357343.76999998</v>
      </c>
      <c r="F1042" s="120" t="s">
        <v>251</v>
      </c>
      <c r="G1042" s="120">
        <v>257568864.85999998</v>
      </c>
      <c r="H1042" s="120" t="s">
        <v>251</v>
      </c>
      <c r="I1042" s="120">
        <v>9606361.4000000022</v>
      </c>
      <c r="J1042" s="120">
        <v>4182117.51</v>
      </c>
      <c r="K1042" s="120" t="s">
        <v>251</v>
      </c>
      <c r="L1042" s="120" t="s">
        <v>251</v>
      </c>
      <c r="M1042" s="120">
        <v>564465.51</v>
      </c>
      <c r="N1042" s="120" t="s">
        <v>251</v>
      </c>
      <c r="O1042" s="120">
        <v>3617652</v>
      </c>
      <c r="P1042" s="120">
        <v>3617652</v>
      </c>
      <c r="Q1042" s="120">
        <v>0</v>
      </c>
      <c r="R1042" s="120"/>
    </row>
    <row r="1043" spans="1:18" ht="15">
      <c r="A1043" s="105">
        <v>38</v>
      </c>
      <c r="B1043" s="105"/>
      <c r="C1043" s="107" t="s">
        <v>1038</v>
      </c>
      <c r="D1043" s="107" t="s">
        <v>661</v>
      </c>
      <c r="E1043" s="120">
        <v>210537362.39999998</v>
      </c>
      <c r="F1043" s="120" t="s">
        <v>251</v>
      </c>
      <c r="G1043" s="120">
        <v>205845642.10999998</v>
      </c>
      <c r="H1043" s="120" t="s">
        <v>251</v>
      </c>
      <c r="I1043" s="120">
        <v>4691720.29</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127760474.66999999</v>
      </c>
      <c r="F1044" s="120" t="s">
        <v>251</v>
      </c>
      <c r="G1044" s="120">
        <v>123933924.20999999</v>
      </c>
      <c r="H1044" s="120" t="s">
        <v>251</v>
      </c>
      <c r="I1044" s="120">
        <v>3826550.46</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81031784.210000008</v>
      </c>
      <c r="F1045" s="120" t="s">
        <v>251</v>
      </c>
      <c r="G1045" s="120">
        <v>76902708.800000012</v>
      </c>
      <c r="H1045" s="120" t="s">
        <v>251</v>
      </c>
      <c r="I1045" s="120">
        <v>3783545.2000000011</v>
      </c>
      <c r="J1045" s="120">
        <v>345530.21</v>
      </c>
      <c r="K1045" s="120" t="s">
        <v>251</v>
      </c>
      <c r="L1045" s="120" t="s">
        <v>251</v>
      </c>
      <c r="M1045" s="120">
        <v>4199.21</v>
      </c>
      <c r="N1045" s="120" t="s">
        <v>251</v>
      </c>
      <c r="O1045" s="120">
        <v>341331</v>
      </c>
      <c r="P1045" s="120">
        <v>63157.000000000007</v>
      </c>
      <c r="Q1045" s="120">
        <v>278174</v>
      </c>
      <c r="R1045" s="120"/>
    </row>
    <row r="1046" spans="1:18" ht="15">
      <c r="A1046" s="105">
        <v>41</v>
      </c>
      <c r="B1046" s="105"/>
      <c r="C1046" s="107" t="s">
        <v>1041</v>
      </c>
      <c r="D1046" s="107" t="s">
        <v>667</v>
      </c>
      <c r="E1046" s="120">
        <v>148818.36999999994</v>
      </c>
      <c r="F1046" s="120" t="s">
        <v>251</v>
      </c>
      <c r="G1046" s="120">
        <v>148818.36999999994</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321609357.92999995</v>
      </c>
      <c r="F1047" s="120" t="s">
        <v>251</v>
      </c>
      <c r="G1047" s="120">
        <v>310480032.19999999</v>
      </c>
      <c r="H1047" s="120" t="s">
        <v>251</v>
      </c>
      <c r="I1047" s="120">
        <v>11126207.449999999</v>
      </c>
      <c r="J1047" s="120">
        <v>3118.2799999999997</v>
      </c>
      <c r="K1047" s="120" t="s">
        <v>251</v>
      </c>
      <c r="L1047" s="120" t="s">
        <v>251</v>
      </c>
      <c r="M1047" s="120">
        <v>3118.2799999999997</v>
      </c>
      <c r="N1047" s="120" t="s">
        <v>251</v>
      </c>
      <c r="O1047" s="120">
        <v>0</v>
      </c>
      <c r="P1047" s="120">
        <v>0</v>
      </c>
      <c r="Q1047" s="120">
        <v>0</v>
      </c>
      <c r="R1047" s="120"/>
    </row>
    <row r="1048" spans="1:18" ht="15">
      <c r="A1048" s="105">
        <v>43</v>
      </c>
      <c r="B1048" s="105"/>
      <c r="C1048" s="107" t="s">
        <v>1043</v>
      </c>
      <c r="D1048" s="107" t="s">
        <v>693</v>
      </c>
      <c r="E1048" s="120">
        <v>30172961.59</v>
      </c>
      <c r="F1048" s="120" t="s">
        <v>251</v>
      </c>
      <c r="G1048" s="120">
        <v>28647263.461182915</v>
      </c>
      <c r="H1048" s="120" t="s">
        <v>251</v>
      </c>
      <c r="I1048" s="120">
        <v>1498185.865490926</v>
      </c>
      <c r="J1048" s="120">
        <v>27512.26332616089</v>
      </c>
      <c r="K1048" s="120" t="s">
        <v>251</v>
      </c>
      <c r="L1048" s="120" t="s">
        <v>251</v>
      </c>
      <c r="M1048" s="120">
        <v>198.78802981330122</v>
      </c>
      <c r="N1048" s="120" t="s">
        <v>251</v>
      </c>
      <c r="O1048" s="120">
        <v>27313.475296347588</v>
      </c>
      <c r="P1048" s="120">
        <v>14153.707722707048</v>
      </c>
      <c r="Q1048" s="120">
        <v>13159.76757364054</v>
      </c>
      <c r="R1048" s="120"/>
    </row>
    <row r="1049" spans="1:18" ht="15">
      <c r="A1049" s="105">
        <v>44</v>
      </c>
      <c r="B1049" s="105"/>
      <c r="C1049" s="107" t="s">
        <v>1044</v>
      </c>
      <c r="D1049" s="107" t="s">
        <v>703</v>
      </c>
      <c r="E1049" s="120">
        <v>16093886.34</v>
      </c>
      <c r="F1049" s="120" t="s">
        <v>251</v>
      </c>
      <c r="G1049" s="120">
        <v>16064522.803048905</v>
      </c>
      <c r="H1049" s="120" t="s">
        <v>251</v>
      </c>
      <c r="I1049" s="120">
        <v>29360.404951846627</v>
      </c>
      <c r="J1049" s="120">
        <v>3.1319992481435084</v>
      </c>
      <c r="K1049" s="120" t="s">
        <v>251</v>
      </c>
      <c r="L1049" s="120" t="s">
        <v>251</v>
      </c>
      <c r="M1049" s="120">
        <v>3.1319992481435084</v>
      </c>
      <c r="N1049" s="120" t="s">
        <v>251</v>
      </c>
      <c r="O1049" s="120">
        <v>0</v>
      </c>
      <c r="P1049" s="120">
        <v>0</v>
      </c>
      <c r="Q1049" s="120">
        <v>0</v>
      </c>
      <c r="R1049" s="120"/>
    </row>
    <row r="1050" spans="1:18" ht="15">
      <c r="A1050" s="105">
        <v>45</v>
      </c>
      <c r="B1050" s="105"/>
      <c r="C1050" s="107" t="s">
        <v>1045</v>
      </c>
      <c r="D1050" s="107" t="s">
        <v>1046</v>
      </c>
      <c r="E1050" s="120">
        <v>3027567367.1199999</v>
      </c>
      <c r="F1050" s="120" t="s">
        <v>251</v>
      </c>
      <c r="G1050" s="120">
        <v>2818492498.1096239</v>
      </c>
      <c r="H1050" s="120" t="s">
        <v>251</v>
      </c>
      <c r="I1050" s="120">
        <v>201130610.60658079</v>
      </c>
      <c r="J1050" s="120">
        <v>7944258.4037953727</v>
      </c>
      <c r="K1050" s="120" t="s">
        <v>251</v>
      </c>
      <c r="L1050" s="120" t="s">
        <v>251</v>
      </c>
      <c r="M1050" s="120">
        <v>669701.38399235939</v>
      </c>
      <c r="N1050" s="120" t="s">
        <v>251</v>
      </c>
      <c r="O1050" s="120">
        <v>7274557.0198030137</v>
      </c>
      <c r="P1050" s="120">
        <v>4703607.3754298845</v>
      </c>
      <c r="Q1050" s="120">
        <v>2570949.6443731291</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1023564.35</v>
      </c>
      <c r="F1054" s="120" t="s">
        <v>251</v>
      </c>
      <c r="G1054" s="120">
        <v>971281.68300141476</v>
      </c>
      <c r="H1054" s="120" t="s">
        <v>251</v>
      </c>
      <c r="I1054" s="120">
        <v>52277.090379051901</v>
      </c>
      <c r="J1054" s="120">
        <v>5.5766195333767978</v>
      </c>
      <c r="K1054" s="120" t="s">
        <v>251</v>
      </c>
      <c r="L1054" s="120" t="s">
        <v>251</v>
      </c>
      <c r="M1054" s="120">
        <v>5.5766195333767978</v>
      </c>
      <c r="N1054" s="120" t="s">
        <v>251</v>
      </c>
      <c r="O1054" s="120">
        <v>0</v>
      </c>
      <c r="P1054" s="120">
        <v>0</v>
      </c>
      <c r="Q1054" s="120">
        <v>0</v>
      </c>
      <c r="R1054" s="120"/>
    </row>
    <row r="1055" spans="1:18" ht="15">
      <c r="A1055" s="105">
        <v>2</v>
      </c>
      <c r="B1055" s="105"/>
      <c r="C1055" s="107" t="s">
        <v>1049</v>
      </c>
      <c r="D1055" s="107" t="s">
        <v>587</v>
      </c>
      <c r="E1055" s="120">
        <v>113232494.01313287</v>
      </c>
      <c r="F1055" s="120" t="s">
        <v>251</v>
      </c>
      <c r="G1055" s="120">
        <v>0</v>
      </c>
      <c r="H1055" s="120" t="s">
        <v>251</v>
      </c>
      <c r="I1055" s="120">
        <v>0</v>
      </c>
      <c r="J1055" s="120">
        <v>113232494.01313287</v>
      </c>
      <c r="K1055" s="120" t="s">
        <v>251</v>
      </c>
      <c r="L1055" s="120" t="s">
        <v>251</v>
      </c>
      <c r="M1055" s="120">
        <v>0</v>
      </c>
      <c r="N1055" s="120" t="s">
        <v>251</v>
      </c>
      <c r="O1055" s="120">
        <v>113232494.01313287</v>
      </c>
      <c r="P1055" s="120">
        <v>35101464.567657165</v>
      </c>
      <c r="Q1055" s="120">
        <v>78131029.445475712</v>
      </c>
      <c r="R1055" s="120"/>
    </row>
    <row r="1056" spans="1:18" ht="15">
      <c r="A1056" s="105">
        <v>3</v>
      </c>
      <c r="B1056" s="105"/>
      <c r="C1056" s="107" t="s">
        <v>1050</v>
      </c>
      <c r="D1056" s="107" t="s">
        <v>736</v>
      </c>
      <c r="E1056" s="120">
        <v>71704364.639113352</v>
      </c>
      <c r="F1056" s="120" t="s">
        <v>251</v>
      </c>
      <c r="G1056" s="120">
        <v>0</v>
      </c>
      <c r="H1056" s="120" t="s">
        <v>251</v>
      </c>
      <c r="I1056" s="120">
        <v>71704364.639113352</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1701639734.9132237</v>
      </c>
      <c r="F1057" s="120" t="s">
        <v>251</v>
      </c>
      <c r="G1057" s="120">
        <v>1516699092.4986923</v>
      </c>
      <c r="H1057" s="120" t="s">
        <v>251</v>
      </c>
      <c r="I1057" s="120">
        <v>71704364.639113352</v>
      </c>
      <c r="J1057" s="120">
        <v>113236277.77541812</v>
      </c>
      <c r="K1057" s="120" t="s">
        <v>251</v>
      </c>
      <c r="L1057" s="120" t="s">
        <v>251</v>
      </c>
      <c r="M1057" s="120">
        <v>3783.7622852482186</v>
      </c>
      <c r="N1057" s="120" t="s">
        <v>251</v>
      </c>
      <c r="O1057" s="120">
        <v>113232494.01313287</v>
      </c>
      <c r="P1057" s="120">
        <v>35101464.567657165</v>
      </c>
      <c r="Q1057" s="120">
        <v>78131029.445475712</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1588407240.9000909</v>
      </c>
      <c r="F1059" s="120" t="s">
        <v>251</v>
      </c>
      <c r="G1059" s="120">
        <v>1516699092.4986923</v>
      </c>
      <c r="H1059" s="120" t="s">
        <v>251</v>
      </c>
      <c r="I1059" s="120">
        <v>71704364.639113352</v>
      </c>
      <c r="J1059" s="120">
        <v>3783.7622852482186</v>
      </c>
      <c r="K1059" s="120" t="s">
        <v>251</v>
      </c>
      <c r="L1059" s="120" t="s">
        <v>251</v>
      </c>
      <c r="M1059" s="120">
        <v>3783.7622852482186</v>
      </c>
      <c r="N1059" s="120" t="s">
        <v>251</v>
      </c>
      <c r="O1059" s="120">
        <v>0</v>
      </c>
      <c r="P1059" s="120">
        <v>0</v>
      </c>
      <c r="Q1059" s="120">
        <v>0</v>
      </c>
      <c r="R1059" s="120"/>
    </row>
    <row r="1060" spans="1:18" ht="15">
      <c r="A1060" s="105">
        <v>7</v>
      </c>
      <c r="B1060" s="105"/>
      <c r="C1060" s="107" t="s">
        <v>1056</v>
      </c>
      <c r="D1060" s="107" t="s">
        <v>747</v>
      </c>
      <c r="E1060" s="120">
        <v>1852009368.1299999</v>
      </c>
      <c r="F1060" s="120" t="s">
        <v>251</v>
      </c>
      <c r="G1060" s="120">
        <v>1848050385.1299999</v>
      </c>
      <c r="H1060" s="120" t="s">
        <v>251</v>
      </c>
      <c r="I1060" s="120">
        <v>0</v>
      </c>
      <c r="J1060" s="120">
        <v>3958983</v>
      </c>
      <c r="K1060" s="120" t="s">
        <v>251</v>
      </c>
      <c r="L1060" s="120" t="s">
        <v>251</v>
      </c>
      <c r="M1060" s="120">
        <v>0</v>
      </c>
      <c r="N1060" s="120" t="s">
        <v>251</v>
      </c>
      <c r="O1060" s="120">
        <v>3958983</v>
      </c>
      <c r="P1060" s="120">
        <v>3680809</v>
      </c>
      <c r="Q1060" s="120">
        <v>278174</v>
      </c>
      <c r="R1060" s="120"/>
    </row>
    <row r="1061" spans="1:18" ht="15">
      <c r="A1061" s="105">
        <v>8</v>
      </c>
      <c r="B1061" s="105"/>
      <c r="C1061" s="107" t="s">
        <v>1057</v>
      </c>
      <c r="D1061" s="107" t="s">
        <v>749</v>
      </c>
      <c r="E1061" s="120">
        <v>97299309.010000005</v>
      </c>
      <c r="F1061" s="120" t="s">
        <v>251</v>
      </c>
      <c r="G1061" s="120">
        <v>0</v>
      </c>
      <c r="H1061" s="120" t="s">
        <v>251</v>
      </c>
      <c r="I1061" s="120">
        <v>97299309.010000005</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666586.4</v>
      </c>
      <c r="F1062" s="120" t="s">
        <v>251</v>
      </c>
      <c r="G1062" s="120">
        <v>0</v>
      </c>
      <c r="H1062" s="120" t="s">
        <v>251</v>
      </c>
      <c r="I1062" s="120">
        <v>0</v>
      </c>
      <c r="J1062" s="120">
        <v>666586.4</v>
      </c>
      <c r="K1062" s="120" t="s">
        <v>251</v>
      </c>
      <c r="L1062" s="120" t="s">
        <v>251</v>
      </c>
      <c r="M1062" s="120">
        <v>666586.4</v>
      </c>
      <c r="N1062" s="120" t="s">
        <v>251</v>
      </c>
      <c r="O1062" s="120">
        <v>0</v>
      </c>
      <c r="P1062" s="120">
        <v>0</v>
      </c>
      <c r="Q1062" s="120">
        <v>0</v>
      </c>
      <c r="R1062" s="120"/>
    </row>
    <row r="1063" spans="1:18" ht="15">
      <c r="A1063" s="105">
        <v>10</v>
      </c>
      <c r="B1063" s="105"/>
      <c r="C1063" s="107" t="s">
        <v>474</v>
      </c>
      <c r="D1063" s="107" t="s">
        <v>760</v>
      </c>
      <c r="E1063" s="120">
        <v>6325425725.9282207</v>
      </c>
      <c r="F1063" s="120" t="s">
        <v>251</v>
      </c>
      <c r="G1063" s="120">
        <v>5654325788.0534067</v>
      </c>
      <c r="H1063" s="120" t="s">
        <v>251</v>
      </c>
      <c r="I1063" s="120">
        <v>293044432.48759204</v>
      </c>
      <c r="J1063" s="120">
        <v>378055505.38722253</v>
      </c>
      <c r="K1063" s="120" t="s">
        <v>251</v>
      </c>
      <c r="L1063" s="120" t="s">
        <v>251</v>
      </c>
      <c r="M1063" s="120">
        <v>543866.16808397882</v>
      </c>
      <c r="N1063" s="120" t="s">
        <v>251</v>
      </c>
      <c r="O1063" s="120">
        <v>377511639.21913856</v>
      </c>
      <c r="P1063" s="120">
        <v>118121455.55277839</v>
      </c>
      <c r="Q1063" s="120">
        <v>259390183.66636017</v>
      </c>
      <c r="R1063" s="120"/>
    </row>
    <row r="1064" spans="1:18" ht="15">
      <c r="A1064" s="105">
        <v>11</v>
      </c>
      <c r="B1064" s="105"/>
      <c r="C1064" s="107" t="s">
        <v>547</v>
      </c>
      <c r="D1064" s="107" t="s">
        <v>782</v>
      </c>
      <c r="E1064" s="120">
        <v>5448064338.3154249</v>
      </c>
      <c r="F1064" s="120" t="s">
        <v>251</v>
      </c>
      <c r="G1064" s="120">
        <v>4864417806.0041676</v>
      </c>
      <c r="H1064" s="120" t="s">
        <v>251</v>
      </c>
      <c r="I1064" s="120">
        <v>247709108.52550232</v>
      </c>
      <c r="J1064" s="120">
        <v>335937423.78575832</v>
      </c>
      <c r="K1064" s="120" t="s">
        <v>251</v>
      </c>
      <c r="L1064" s="120" t="s">
        <v>251</v>
      </c>
      <c r="M1064" s="120">
        <v>453008.50525350141</v>
      </c>
      <c r="N1064" s="120" t="s">
        <v>251</v>
      </c>
      <c r="O1064" s="120">
        <v>335484415.28050482</v>
      </c>
      <c r="P1064" s="120">
        <v>104946582.49794161</v>
      </c>
      <c r="Q1064" s="120">
        <v>230537832.78256321</v>
      </c>
      <c r="R1064" s="120"/>
    </row>
    <row r="1065" spans="1:18" ht="15">
      <c r="A1065" s="105">
        <v>12</v>
      </c>
      <c r="B1065" s="105"/>
      <c r="C1065" s="107" t="s">
        <v>1059</v>
      </c>
      <c r="D1065" s="107" t="s">
        <v>786</v>
      </c>
      <c r="E1065" s="120">
        <v>938978.68124335003</v>
      </c>
      <c r="F1065" s="120" t="s">
        <v>251</v>
      </c>
      <c r="G1065" s="120">
        <v>0</v>
      </c>
      <c r="H1065" s="120" t="s">
        <v>251</v>
      </c>
      <c r="I1065" s="120">
        <v>0</v>
      </c>
      <c r="J1065" s="120">
        <v>938978.68124335003</v>
      </c>
      <c r="K1065" s="120" t="s">
        <v>251</v>
      </c>
      <c r="L1065" s="120" t="s">
        <v>251</v>
      </c>
      <c r="M1065" s="120">
        <v>0</v>
      </c>
      <c r="N1065" s="120" t="s">
        <v>251</v>
      </c>
      <c r="O1065" s="120">
        <v>938978.68124335003</v>
      </c>
      <c r="P1065" s="120">
        <v>289659.00444474252</v>
      </c>
      <c r="Q1065" s="120">
        <v>649319.67679860757</v>
      </c>
      <c r="R1065" s="120"/>
    </row>
    <row r="1066" spans="1:18" ht="15">
      <c r="A1066" s="105">
        <v>13</v>
      </c>
      <c r="B1066" s="105"/>
      <c r="C1066" s="107" t="s">
        <v>1060</v>
      </c>
      <c r="D1066" s="107" t="s">
        <v>1061</v>
      </c>
      <c r="E1066" s="120">
        <v>-10602139</v>
      </c>
      <c r="F1066" s="120" t="s">
        <v>251</v>
      </c>
      <c r="G1066" s="120">
        <v>-9480697</v>
      </c>
      <c r="H1066" s="120" t="s">
        <v>251</v>
      </c>
      <c r="I1066" s="120">
        <v>-472832</v>
      </c>
      <c r="J1066" s="120">
        <v>-648610</v>
      </c>
      <c r="K1066" s="120" t="s">
        <v>251</v>
      </c>
      <c r="L1066" s="120" t="s">
        <v>251</v>
      </c>
      <c r="M1066" s="120">
        <v>-775</v>
      </c>
      <c r="N1066" s="120" t="s">
        <v>251</v>
      </c>
      <c r="O1066" s="120">
        <v>-647835</v>
      </c>
      <c r="P1066" s="120">
        <v>-202673</v>
      </c>
      <c r="Q1066" s="120">
        <v>-445162</v>
      </c>
      <c r="R1066" s="120"/>
    </row>
    <row r="1067" spans="1:18" ht="15">
      <c r="A1067" s="105">
        <v>14</v>
      </c>
      <c r="B1067" s="105"/>
      <c r="C1067" s="107" t="s">
        <v>1062</v>
      </c>
      <c r="D1067" s="107" t="s">
        <v>1063</v>
      </c>
      <c r="E1067" s="120">
        <v>412272376.5235672</v>
      </c>
      <c r="F1067" s="120" t="s">
        <v>251</v>
      </c>
      <c r="G1067" s="120">
        <v>362314426.0820567</v>
      </c>
      <c r="H1067" s="120" t="s">
        <v>251</v>
      </c>
      <c r="I1067" s="120">
        <v>15098515.422827149</v>
      </c>
      <c r="J1067" s="120">
        <v>34859435.018683352</v>
      </c>
      <c r="K1067" s="120" t="s">
        <v>251</v>
      </c>
      <c r="L1067" s="120" t="s">
        <v>251</v>
      </c>
      <c r="M1067" s="120">
        <v>1570.7185462529296</v>
      </c>
      <c r="N1067" s="120" t="s">
        <v>251</v>
      </c>
      <c r="O1067" s="120">
        <v>34857864.300137095</v>
      </c>
      <c r="P1067" s="120">
        <v>11098069.779025026</v>
      </c>
      <c r="Q1067" s="120">
        <v>23759794.521112069</v>
      </c>
      <c r="R1067" s="120"/>
    </row>
    <row r="1068" spans="1:18" ht="15">
      <c r="A1068" s="105">
        <v>15</v>
      </c>
      <c r="B1068" s="105"/>
      <c r="C1068" s="107" t="s">
        <v>1064</v>
      </c>
      <c r="D1068" s="107" t="s">
        <v>1065</v>
      </c>
      <c r="E1068" s="120">
        <v>70540956.150000006</v>
      </c>
      <c r="F1068" s="120" t="s">
        <v>251</v>
      </c>
      <c r="G1068" s="120">
        <v>61660701.31760595</v>
      </c>
      <c r="H1068" s="120" t="s">
        <v>251</v>
      </c>
      <c r="I1068" s="120">
        <v>2687268.7141370922</v>
      </c>
      <c r="J1068" s="120">
        <v>6192986.118256961</v>
      </c>
      <c r="K1068" s="120" t="s">
        <v>251</v>
      </c>
      <c r="L1068" s="120" t="s">
        <v>251</v>
      </c>
      <c r="M1068" s="120">
        <v>180.64451870603429</v>
      </c>
      <c r="N1068" s="120" t="s">
        <v>251</v>
      </c>
      <c r="O1068" s="120">
        <v>6192805.473738255</v>
      </c>
      <c r="P1068" s="120">
        <v>1968270.6001252434</v>
      </c>
      <c r="Q1068" s="120">
        <v>4224534.8736130111</v>
      </c>
      <c r="R1068" s="120"/>
    </row>
    <row r="1069" spans="1:18" ht="15">
      <c r="A1069" s="105">
        <v>16</v>
      </c>
      <c r="B1069" s="105"/>
      <c r="C1069" s="107" t="s">
        <v>1066</v>
      </c>
      <c r="D1069" s="107" t="s">
        <v>1067</v>
      </c>
      <c r="E1069" s="120">
        <v>49405.589999999902</v>
      </c>
      <c r="F1069" s="120" t="s">
        <v>251</v>
      </c>
      <c r="G1069" s="120">
        <v>43210.616819078816</v>
      </c>
      <c r="H1069" s="120" t="s">
        <v>251</v>
      </c>
      <c r="I1069" s="120">
        <v>1978.9686521303468</v>
      </c>
      <c r="J1069" s="120">
        <v>4216.0045287907387</v>
      </c>
      <c r="K1069" s="120" t="s">
        <v>251</v>
      </c>
      <c r="L1069" s="120" t="s">
        <v>251</v>
      </c>
      <c r="M1069" s="120">
        <v>0.13870006040662133</v>
      </c>
      <c r="N1069" s="120" t="s">
        <v>251</v>
      </c>
      <c r="O1069" s="120">
        <v>4215.8658287303324</v>
      </c>
      <c r="P1069" s="120">
        <v>1300.5231356324641</v>
      </c>
      <c r="Q1069" s="120">
        <v>2915.3426930978685</v>
      </c>
      <c r="R1069" s="120"/>
    </row>
    <row r="1070" spans="1:18" ht="15">
      <c r="A1070" s="105">
        <v>17</v>
      </c>
      <c r="B1070" s="105"/>
      <c r="C1070" s="107" t="s">
        <v>1068</v>
      </c>
      <c r="D1070" s="107" t="s">
        <v>1069</v>
      </c>
      <c r="E1070" s="120">
        <v>189314.88000000003</v>
      </c>
      <c r="F1070" s="120" t="s">
        <v>251</v>
      </c>
      <c r="G1070" s="120">
        <v>165826.86459479865</v>
      </c>
      <c r="H1070" s="120" t="s">
        <v>251</v>
      </c>
      <c r="I1070" s="120">
        <v>7399.7091693666744</v>
      </c>
      <c r="J1070" s="120">
        <v>16088.306235834682</v>
      </c>
      <c r="K1070" s="120" t="s">
        <v>251</v>
      </c>
      <c r="L1070" s="120" t="s">
        <v>251</v>
      </c>
      <c r="M1070" s="120">
        <v>0.58157742531811518</v>
      </c>
      <c r="N1070" s="120" t="s">
        <v>251</v>
      </c>
      <c r="O1070" s="120">
        <v>16087.724658409363</v>
      </c>
      <c r="P1070" s="120">
        <v>5005.3994807579938</v>
      </c>
      <c r="Q1070" s="120">
        <v>11082.32517765137</v>
      </c>
      <c r="R1070" s="120"/>
    </row>
    <row r="1071" spans="1:18" ht="15">
      <c r="A1071" s="105">
        <v>18</v>
      </c>
      <c r="B1071" s="105"/>
      <c r="C1071" s="107" t="s">
        <v>1070</v>
      </c>
      <c r="D1071" s="107" t="s">
        <v>1071</v>
      </c>
      <c r="E1071" s="120">
        <v>134490454.021485</v>
      </c>
      <c r="F1071" s="120" t="s">
        <v>251</v>
      </c>
      <c r="G1071" s="120">
        <v>118382287.33987105</v>
      </c>
      <c r="H1071" s="120" t="s">
        <v>251</v>
      </c>
      <c r="I1071" s="120">
        <v>4832188.0124683613</v>
      </c>
      <c r="J1071" s="120">
        <v>11275978.669145593</v>
      </c>
      <c r="K1071" s="120" t="s">
        <v>251</v>
      </c>
      <c r="L1071" s="120" t="s">
        <v>251</v>
      </c>
      <c r="M1071" s="120">
        <v>529.1227668638312</v>
      </c>
      <c r="N1071" s="120" t="s">
        <v>251</v>
      </c>
      <c r="O1071" s="120">
        <v>11275449.54637873</v>
      </c>
      <c r="P1071" s="120">
        <v>3607187.112330663</v>
      </c>
      <c r="Q1071" s="120">
        <v>7668262.4340480668</v>
      </c>
      <c r="R1071" s="120"/>
    </row>
    <row r="1072" spans="1:18" ht="15">
      <c r="A1072" s="105">
        <v>19</v>
      </c>
      <c r="B1072" s="105"/>
      <c r="C1072" s="107" t="s">
        <v>1072</v>
      </c>
      <c r="D1072" s="107" t="s">
        <v>1073</v>
      </c>
      <c r="E1072" s="120">
        <v>8864915.8299999908</v>
      </c>
      <c r="F1072" s="120" t="s">
        <v>251</v>
      </c>
      <c r="G1072" s="120">
        <v>7771562.7195976665</v>
      </c>
      <c r="H1072" s="120" t="s">
        <v>251</v>
      </c>
      <c r="I1072" s="120">
        <v>342666.00451982825</v>
      </c>
      <c r="J1072" s="120">
        <v>750687.10588249587</v>
      </c>
      <c r="K1072" s="120" t="s">
        <v>251</v>
      </c>
      <c r="L1072" s="120" t="s">
        <v>251</v>
      </c>
      <c r="M1072" s="120">
        <v>19.391468344902364</v>
      </c>
      <c r="N1072" s="120" t="s">
        <v>251</v>
      </c>
      <c r="O1072" s="120">
        <v>750667.71441415092</v>
      </c>
      <c r="P1072" s="120">
        <v>231568.2636565218</v>
      </c>
      <c r="Q1072" s="120">
        <v>519099.45075762912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22977038.199999999</v>
      </c>
      <c r="F1079" s="120" t="s">
        <v>251</v>
      </c>
      <c r="G1079" s="120">
        <v>20756187.896937642</v>
      </c>
      <c r="H1079" s="120" t="s">
        <v>251</v>
      </c>
      <c r="I1079" s="120">
        <v>2220783.6785907121</v>
      </c>
      <c r="J1079" s="120">
        <v>66.624471647100336</v>
      </c>
      <c r="K1079" s="120" t="s">
        <v>251</v>
      </c>
      <c r="L1079" s="120" t="s">
        <v>251</v>
      </c>
      <c r="M1079" s="120">
        <v>66.624471647100336</v>
      </c>
      <c r="N1079" s="120" t="s">
        <v>251</v>
      </c>
      <c r="O1079" s="120">
        <v>0</v>
      </c>
      <c r="P1079" s="120">
        <v>0</v>
      </c>
      <c r="Q1079" s="120">
        <v>0</v>
      </c>
      <c r="R1079" s="120"/>
    </row>
    <row r="1080" spans="1:18" ht="15">
      <c r="A1080" s="105">
        <v>27</v>
      </c>
      <c r="B1080" s="105"/>
      <c r="C1080" s="107" t="s">
        <v>1088</v>
      </c>
      <c r="D1080" s="107" t="s">
        <v>1089</v>
      </c>
      <c r="E1080" s="120">
        <v>15300929.93999999</v>
      </c>
      <c r="F1080" s="120" t="s">
        <v>251</v>
      </c>
      <c r="G1080" s="120">
        <v>13829399.08081199</v>
      </c>
      <c r="H1080" s="120" t="s">
        <v>251</v>
      </c>
      <c r="I1080" s="120">
        <v>1471486.7139496338</v>
      </c>
      <c r="J1080" s="120">
        <v>44.145238366861371</v>
      </c>
      <c r="K1080" s="120" t="s">
        <v>251</v>
      </c>
      <c r="L1080" s="120" t="s">
        <v>251</v>
      </c>
      <c r="M1080" s="120">
        <v>44.145238366861371</v>
      </c>
      <c r="N1080" s="120" t="s">
        <v>251</v>
      </c>
      <c r="O1080" s="120">
        <v>0</v>
      </c>
      <c r="P1080" s="120">
        <v>0</v>
      </c>
      <c r="Q1080" s="120">
        <v>0</v>
      </c>
      <c r="R1080" s="120"/>
    </row>
    <row r="1081" spans="1:18" ht="15">
      <c r="A1081" s="105">
        <v>28</v>
      </c>
      <c r="B1081" s="105"/>
      <c r="C1081" s="107" t="s">
        <v>1090</v>
      </c>
      <c r="D1081" s="107" t="s">
        <v>635</v>
      </c>
      <c r="E1081" s="120">
        <v>7518157.9099999992</v>
      </c>
      <c r="F1081" s="120" t="s">
        <v>251</v>
      </c>
      <c r="G1081" s="120">
        <v>6791488.8272592062</v>
      </c>
      <c r="H1081" s="120" t="s">
        <v>251</v>
      </c>
      <c r="I1081" s="120">
        <v>726647.28300776635</v>
      </c>
      <c r="J1081" s="120">
        <v>21.799733027088674</v>
      </c>
      <c r="K1081" s="120" t="s">
        <v>251</v>
      </c>
      <c r="L1081" s="120" t="s">
        <v>251</v>
      </c>
      <c r="M1081" s="120">
        <v>21.799733027088674</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23227628.949999999</v>
      </c>
      <c r="F1083" s="120" t="s">
        <v>251</v>
      </c>
      <c r="G1083" s="120">
        <v>21913745.603361242</v>
      </c>
      <c r="H1083" s="120" t="s">
        <v>251</v>
      </c>
      <c r="I1083" s="120">
        <v>1232587.4115063674</v>
      </c>
      <c r="J1083" s="120">
        <v>81295.935132391169</v>
      </c>
      <c r="K1083" s="120" t="s">
        <v>251</v>
      </c>
      <c r="L1083" s="120" t="s">
        <v>251</v>
      </c>
      <c r="M1083" s="120">
        <v>7426.8000965827505</v>
      </c>
      <c r="N1083" s="120" t="s">
        <v>251</v>
      </c>
      <c r="O1083" s="120">
        <v>73869.135035808416</v>
      </c>
      <c r="P1083" s="120">
        <v>44674.874103300943</v>
      </c>
      <c r="Q1083" s="120">
        <v>29194.26093250747</v>
      </c>
      <c r="R1083" s="120"/>
    </row>
    <row r="1084" spans="1:18" ht="15">
      <c r="A1084" s="105">
        <v>31</v>
      </c>
      <c r="B1084" s="105"/>
      <c r="C1084" s="107" t="s">
        <v>1095</v>
      </c>
      <c r="D1084" s="107" t="s">
        <v>1096</v>
      </c>
      <c r="E1084" s="120">
        <v>35275767.219999999</v>
      </c>
      <c r="F1084" s="120" t="s">
        <v>251</v>
      </c>
      <c r="G1084" s="120">
        <v>33247562.600940228</v>
      </c>
      <c r="H1084" s="120" t="s">
        <v>251</v>
      </c>
      <c r="I1084" s="120">
        <v>2004391.1266058625</v>
      </c>
      <c r="J1084" s="120">
        <v>23813.492453907511</v>
      </c>
      <c r="K1084" s="120" t="s">
        <v>251</v>
      </c>
      <c r="L1084" s="120" t="s">
        <v>251</v>
      </c>
      <c r="M1084" s="120">
        <v>5919.5383817955762</v>
      </c>
      <c r="N1084" s="120" t="s">
        <v>251</v>
      </c>
      <c r="O1084" s="120">
        <v>17893.954072111934</v>
      </c>
      <c r="P1084" s="120">
        <v>17853.732102194535</v>
      </c>
      <c r="Q1084" s="120">
        <v>40.221969917399981</v>
      </c>
      <c r="R1084" s="120"/>
    </row>
    <row r="1085" spans="1:18" ht="15">
      <c r="A1085" s="105">
        <v>32</v>
      </c>
      <c r="B1085" s="105"/>
      <c r="C1085" s="107" t="s">
        <v>1097</v>
      </c>
      <c r="D1085" s="107" t="s">
        <v>1098</v>
      </c>
      <c r="E1085" s="120">
        <v>22117935.299999997</v>
      </c>
      <c r="F1085" s="120" t="s">
        <v>251</v>
      </c>
      <c r="G1085" s="120">
        <v>20961834.549244754</v>
      </c>
      <c r="H1085" s="120" t="s">
        <v>251</v>
      </c>
      <c r="I1085" s="120">
        <v>1103634.4212444115</v>
      </c>
      <c r="J1085" s="120">
        <v>52466.329510831347</v>
      </c>
      <c r="K1085" s="120" t="s">
        <v>251</v>
      </c>
      <c r="L1085" s="120" t="s">
        <v>251</v>
      </c>
      <c r="M1085" s="120">
        <v>7560.8727673265103</v>
      </c>
      <c r="N1085" s="120" t="s">
        <v>251</v>
      </c>
      <c r="O1085" s="120">
        <v>44905.456743504838</v>
      </c>
      <c r="P1085" s="120">
        <v>41750.219521175844</v>
      </c>
      <c r="Q1085" s="120">
        <v>3155.2372223289949</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25447202.530000005</v>
      </c>
      <c r="F1087" s="120" t="s">
        <v>251</v>
      </c>
      <c r="G1087" s="120">
        <v>24160462.772358254</v>
      </c>
      <c r="H1087" s="120" t="s">
        <v>251</v>
      </c>
      <c r="I1087" s="120">
        <v>1263536.5286570443</v>
      </c>
      <c r="J1087" s="120">
        <v>23203.228984705962</v>
      </c>
      <c r="K1087" s="120" t="s">
        <v>251</v>
      </c>
      <c r="L1087" s="120" t="s">
        <v>251</v>
      </c>
      <c r="M1087" s="120">
        <v>167.65338861781763</v>
      </c>
      <c r="N1087" s="120" t="s">
        <v>251</v>
      </c>
      <c r="O1087" s="120">
        <v>23035.575596088143</v>
      </c>
      <c r="P1087" s="120">
        <v>11936.921269588616</v>
      </c>
      <c r="Q1087" s="120">
        <v>11098.654326499525</v>
      </c>
      <c r="R1087" s="120"/>
    </row>
    <row r="1088" spans="1:18" ht="15">
      <c r="A1088" s="105">
        <v>35</v>
      </c>
      <c r="B1088" s="105"/>
      <c r="C1088" s="107" t="s">
        <v>1102</v>
      </c>
      <c r="D1088" s="107" t="s">
        <v>685</v>
      </c>
      <c r="E1088" s="120">
        <v>3646636.1300000004</v>
      </c>
      <c r="F1088" s="120" t="s">
        <v>251</v>
      </c>
      <c r="G1088" s="120">
        <v>3462243.6929691685</v>
      </c>
      <c r="H1088" s="120" t="s">
        <v>251</v>
      </c>
      <c r="I1088" s="120">
        <v>181067.36689596967</v>
      </c>
      <c r="J1088" s="120">
        <v>3325.070134862166</v>
      </c>
      <c r="K1088" s="120" t="s">
        <v>251</v>
      </c>
      <c r="L1088" s="120" t="s">
        <v>251</v>
      </c>
      <c r="M1088" s="120">
        <v>24.025073228772879</v>
      </c>
      <c r="N1088" s="120" t="s">
        <v>251</v>
      </c>
      <c r="O1088" s="120">
        <v>3301.0450616333933</v>
      </c>
      <c r="P1088" s="120">
        <v>1710.5852138886289</v>
      </c>
      <c r="Q1088" s="120">
        <v>1590.4598477447644</v>
      </c>
      <c r="R1088" s="120"/>
    </row>
    <row r="1089" spans="1:18" ht="15">
      <c r="A1089" s="105">
        <v>36</v>
      </c>
      <c r="B1089" s="105"/>
      <c r="C1089" s="107" t="s">
        <v>1103</v>
      </c>
      <c r="D1089" s="107" t="s">
        <v>893</v>
      </c>
      <c r="E1089" s="120">
        <v>18628882.079999998</v>
      </c>
      <c r="F1089" s="120" t="s">
        <v>251</v>
      </c>
      <c r="G1089" s="120">
        <v>18544478.24681573</v>
      </c>
      <c r="H1089" s="120" t="s">
        <v>251</v>
      </c>
      <c r="I1089" s="120">
        <v>84394.830428825691</v>
      </c>
      <c r="J1089" s="120">
        <v>9.0027554416839255</v>
      </c>
      <c r="K1089" s="120" t="s">
        <v>251</v>
      </c>
      <c r="L1089" s="120" t="s">
        <v>251</v>
      </c>
      <c r="M1089" s="120">
        <v>9.0027554416839255</v>
      </c>
      <c r="N1089" s="120" t="s">
        <v>251</v>
      </c>
      <c r="O1089" s="120">
        <v>0</v>
      </c>
      <c r="P1089" s="120">
        <v>0</v>
      </c>
      <c r="Q1089" s="120">
        <v>0</v>
      </c>
      <c r="R1089" s="120"/>
    </row>
    <row r="1090" spans="1:18" ht="15">
      <c r="A1090" s="105">
        <v>37</v>
      </c>
      <c r="B1090" s="105"/>
      <c r="C1090" s="107" t="s">
        <v>1104</v>
      </c>
      <c r="D1090" s="107" t="s">
        <v>1105</v>
      </c>
      <c r="E1090" s="120">
        <v>3646636.1300000004</v>
      </c>
      <c r="F1090" s="120" t="s">
        <v>251</v>
      </c>
      <c r="G1090" s="120">
        <v>3462243.6929691685</v>
      </c>
      <c r="H1090" s="120" t="s">
        <v>251</v>
      </c>
      <c r="I1090" s="120">
        <v>181067.36689596967</v>
      </c>
      <c r="J1090" s="120">
        <v>3325.070134862166</v>
      </c>
      <c r="K1090" s="120" t="s">
        <v>251</v>
      </c>
      <c r="L1090" s="120" t="s">
        <v>251</v>
      </c>
      <c r="M1090" s="120">
        <v>24.025073228772879</v>
      </c>
      <c r="N1090" s="120" t="s">
        <v>251</v>
      </c>
      <c r="O1090" s="120">
        <v>3301.0450616333933</v>
      </c>
      <c r="P1090" s="120">
        <v>1710.5852138886289</v>
      </c>
      <c r="Q1090" s="120">
        <v>1590.4598477447644</v>
      </c>
      <c r="R1090" s="120"/>
    </row>
    <row r="1091" spans="1:18" ht="15">
      <c r="A1091" s="105">
        <v>38</v>
      </c>
      <c r="B1091" s="105"/>
      <c r="C1091" s="107" t="s">
        <v>1106</v>
      </c>
      <c r="D1091" s="107" t="s">
        <v>1107</v>
      </c>
      <c r="E1091" s="120">
        <v>1023564.35</v>
      </c>
      <c r="F1091" s="120" t="s">
        <v>251</v>
      </c>
      <c r="G1091" s="120">
        <v>971281.68300141476</v>
      </c>
      <c r="H1091" s="120" t="s">
        <v>251</v>
      </c>
      <c r="I1091" s="120">
        <v>52277.090379051901</v>
      </c>
      <c r="J1091" s="120">
        <v>5.5766195333767978</v>
      </c>
      <c r="K1091" s="120" t="s">
        <v>251</v>
      </c>
      <c r="L1091" s="120" t="s">
        <v>251</v>
      </c>
      <c r="M1091" s="120">
        <v>5.5766195333767978</v>
      </c>
      <c r="N1091" s="120" t="s">
        <v>251</v>
      </c>
      <c r="O1091" s="120">
        <v>0</v>
      </c>
      <c r="P1091" s="120">
        <v>0</v>
      </c>
      <c r="Q1091" s="120">
        <v>0</v>
      </c>
      <c r="R1091" s="120"/>
    </row>
    <row r="1092" spans="1:18" ht="15">
      <c r="A1092" s="105">
        <v>39</v>
      </c>
      <c r="B1092" s="105"/>
      <c r="C1092" s="107" t="s">
        <v>1108</v>
      </c>
      <c r="D1092" s="107" t="s">
        <v>697</v>
      </c>
      <c r="E1092" s="120">
        <v>2077185.5299999998</v>
      </c>
      <c r="F1092" s="120" t="s">
        <v>251</v>
      </c>
      <c r="G1092" s="120">
        <v>2067774.2072907793</v>
      </c>
      <c r="H1092" s="120" t="s">
        <v>251</v>
      </c>
      <c r="I1092" s="120">
        <v>9410.3188704901841</v>
      </c>
      <c r="J1092" s="120">
        <v>1.0038387302731056</v>
      </c>
      <c r="K1092" s="120" t="s">
        <v>251</v>
      </c>
      <c r="L1092" s="120" t="s">
        <v>251</v>
      </c>
      <c r="M1092" s="120">
        <v>1.0038387302731056</v>
      </c>
      <c r="N1092" s="120" t="s">
        <v>251</v>
      </c>
      <c r="O1092" s="120">
        <v>0</v>
      </c>
      <c r="P1092" s="120">
        <v>0</v>
      </c>
      <c r="Q1092" s="120">
        <v>0</v>
      </c>
      <c r="R1092" s="120"/>
    </row>
    <row r="1093" spans="1:18" ht="15">
      <c r="A1093" s="105">
        <v>40</v>
      </c>
      <c r="B1093" s="105"/>
      <c r="C1093" s="107" t="s">
        <v>1109</v>
      </c>
      <c r="D1093" s="107" t="s">
        <v>1110</v>
      </c>
      <c r="E1093" s="120">
        <v>112538108.14999989</v>
      </c>
      <c r="F1093" s="120" t="s">
        <v>251</v>
      </c>
      <c r="G1093" s="120">
        <v>101336613.23734626</v>
      </c>
      <c r="H1093" s="120" t="s">
        <v>251</v>
      </c>
      <c r="I1093" s="120">
        <v>5483190.2240189621</v>
      </c>
      <c r="J1093" s="120">
        <v>5718304.6886346638</v>
      </c>
      <c r="K1093" s="120" t="s">
        <v>251</v>
      </c>
      <c r="L1093" s="120" t="s">
        <v>251</v>
      </c>
      <c r="M1093" s="120">
        <v>8068.4376179333713</v>
      </c>
      <c r="N1093" s="120" t="s">
        <v>251</v>
      </c>
      <c r="O1093" s="120">
        <v>5710236.2510167304</v>
      </c>
      <c r="P1093" s="120">
        <v>1817629.6307783441</v>
      </c>
      <c r="Q1093" s="120">
        <v>3892606.6202383866</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4956390.33</v>
      </c>
      <c r="F1097" s="120" t="s">
        <v>251</v>
      </c>
      <c r="G1097" s="120">
        <v>4496904.550022589</v>
      </c>
      <c r="H1097" s="120" t="s">
        <v>251</v>
      </c>
      <c r="I1097" s="120">
        <v>223649.75891516331</v>
      </c>
      <c r="J1097" s="120">
        <v>235836.02106224711</v>
      </c>
      <c r="K1097" s="120" t="s">
        <v>251</v>
      </c>
      <c r="L1097" s="120" t="s">
        <v>251</v>
      </c>
      <c r="M1097" s="120">
        <v>351.53390438490919</v>
      </c>
      <c r="N1097" s="120" t="s">
        <v>251</v>
      </c>
      <c r="O1097" s="120">
        <v>235484.4871578622</v>
      </c>
      <c r="P1097" s="120">
        <v>75038.492838548962</v>
      </c>
      <c r="Q1097" s="120">
        <v>160445.99431931323</v>
      </c>
      <c r="R1097" s="120"/>
    </row>
    <row r="1098" spans="1:18" ht="15">
      <c r="A1098" s="105">
        <v>2</v>
      </c>
      <c r="B1098" s="105"/>
      <c r="C1098" s="107" t="s">
        <v>1113</v>
      </c>
      <c r="D1098" s="107" t="s">
        <v>1114</v>
      </c>
      <c r="E1098" s="120">
        <v>18216353.329999998</v>
      </c>
      <c r="F1098" s="120" t="s">
        <v>251</v>
      </c>
      <c r="G1098" s="120">
        <v>18181463.680626191</v>
      </c>
      <c r="H1098" s="120" t="s">
        <v>251</v>
      </c>
      <c r="I1098" s="120">
        <v>34885.927943525043</v>
      </c>
      <c r="J1098" s="120">
        <v>3.7214302823516383</v>
      </c>
      <c r="K1098" s="120" t="s">
        <v>251</v>
      </c>
      <c r="L1098" s="120" t="s">
        <v>251</v>
      </c>
      <c r="M1098" s="120">
        <v>3.7214302823516383</v>
      </c>
      <c r="N1098" s="120" t="s">
        <v>251</v>
      </c>
      <c r="O1098" s="120">
        <v>0</v>
      </c>
      <c r="P1098" s="120">
        <v>0</v>
      </c>
      <c r="Q1098" s="120">
        <v>0</v>
      </c>
      <c r="R1098" s="120"/>
    </row>
    <row r="1099" spans="1:18" ht="15">
      <c r="A1099" s="105">
        <v>3</v>
      </c>
      <c r="B1099" s="105"/>
      <c r="C1099" s="107" t="s">
        <v>1115</v>
      </c>
      <c r="D1099" s="107" t="s">
        <v>525</v>
      </c>
      <c r="E1099" s="120">
        <v>1852675954.53</v>
      </c>
      <c r="F1099" s="120" t="s">
        <v>251</v>
      </c>
      <c r="G1099" s="120">
        <v>1848050385.1299999</v>
      </c>
      <c r="H1099" s="120" t="s">
        <v>251</v>
      </c>
      <c r="I1099" s="120">
        <v>0</v>
      </c>
      <c r="J1099" s="120">
        <v>4625569.4000000004</v>
      </c>
      <c r="K1099" s="120" t="s">
        <v>251</v>
      </c>
      <c r="L1099" s="120" t="s">
        <v>251</v>
      </c>
      <c r="M1099" s="120">
        <v>666586.4</v>
      </c>
      <c r="N1099" s="120" t="s">
        <v>251</v>
      </c>
      <c r="O1099" s="120">
        <v>3958983</v>
      </c>
      <c r="P1099" s="120">
        <v>3680809</v>
      </c>
      <c r="Q1099" s="120">
        <v>278174</v>
      </c>
      <c r="R1099" s="120"/>
    </row>
    <row r="1100" spans="1:18" ht="15">
      <c r="A1100" s="105">
        <v>4</v>
      </c>
      <c r="B1100" s="105"/>
      <c r="C1100" s="107" t="s">
        <v>1116</v>
      </c>
      <c r="D1100" s="107" t="s">
        <v>429</v>
      </c>
      <c r="E1100" s="120">
        <v>80698196.631766766</v>
      </c>
      <c r="F1100" s="120" t="s">
        <v>251</v>
      </c>
      <c r="G1100" s="120">
        <v>80698196.631766766</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4180555.2363643507</v>
      </c>
      <c r="F1101" s="120" t="s">
        <v>251</v>
      </c>
      <c r="G1101" s="120">
        <v>0</v>
      </c>
      <c r="H1101" s="120" t="s">
        <v>251</v>
      </c>
      <c r="I1101" s="120">
        <v>4180555.2363643507</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5307094.8024384826</v>
      </c>
      <c r="F1103" s="120" t="s">
        <v>251</v>
      </c>
      <c r="G1103" s="120">
        <v>0</v>
      </c>
      <c r="H1103" s="120" t="s">
        <v>251</v>
      </c>
      <c r="I1103" s="120">
        <v>0</v>
      </c>
      <c r="J1103" s="120">
        <v>5307094.8024384826</v>
      </c>
      <c r="K1103" s="120" t="s">
        <v>251</v>
      </c>
      <c r="L1103" s="120" t="s">
        <v>251</v>
      </c>
      <c r="M1103" s="120">
        <v>0</v>
      </c>
      <c r="N1103" s="120" t="s">
        <v>251</v>
      </c>
      <c r="O1103" s="120">
        <v>5307094.8024384826</v>
      </c>
      <c r="P1103" s="120">
        <v>1688116.9674431635</v>
      </c>
      <c r="Q1103" s="120">
        <v>3618977.8349953191</v>
      </c>
      <c r="R1103" s="120"/>
    </row>
    <row r="1104" spans="1:18" ht="15">
      <c r="A1104" s="105">
        <v>8</v>
      </c>
      <c r="B1104" s="105"/>
      <c r="C1104" s="107" t="s">
        <v>1123</v>
      </c>
      <c r="D1104" s="107" t="s">
        <v>1124</v>
      </c>
      <c r="E1104" s="120">
        <v>-930205</v>
      </c>
      <c r="F1104" s="120" t="s">
        <v>251</v>
      </c>
      <c r="G1104" s="120">
        <v>-870641</v>
      </c>
      <c r="H1104" s="120" t="s">
        <v>251</v>
      </c>
      <c r="I1104" s="120">
        <v>0</v>
      </c>
      <c r="J1104" s="120">
        <v>-59564</v>
      </c>
      <c r="K1104" s="120" t="s">
        <v>251</v>
      </c>
      <c r="L1104" s="120" t="s">
        <v>251</v>
      </c>
      <c r="M1104" s="120">
        <v>-71</v>
      </c>
      <c r="N1104" s="120" t="s">
        <v>251</v>
      </c>
      <c r="O1104" s="120">
        <v>-59493</v>
      </c>
      <c r="P1104" s="120">
        <v>-18612</v>
      </c>
      <c r="Q1104" s="120">
        <v>-40881</v>
      </c>
      <c r="R1104" s="120"/>
    </row>
    <row r="1105" spans="1:18" ht="15">
      <c r="A1105" s="105">
        <v>9</v>
      </c>
      <c r="B1105" s="105"/>
      <c r="C1105" s="107" t="s">
        <v>1125</v>
      </c>
      <c r="D1105" s="107" t="s">
        <v>728</v>
      </c>
      <c r="E1105" s="120">
        <v>166364035.72483212</v>
      </c>
      <c r="F1105" s="120" t="s">
        <v>251</v>
      </c>
      <c r="G1105" s="120">
        <v>158295174.61989397</v>
      </c>
      <c r="H1105" s="120" t="s">
        <v>251</v>
      </c>
      <c r="I1105" s="120">
        <v>8056198.3286994351</v>
      </c>
      <c r="J1105" s="120">
        <v>12662.776238722263</v>
      </c>
      <c r="K1105" s="120" t="s">
        <v>251</v>
      </c>
      <c r="L1105" s="120" t="s">
        <v>251</v>
      </c>
      <c r="M1105" s="120">
        <v>12662.776238722263</v>
      </c>
      <c r="N1105" s="120" t="s">
        <v>251</v>
      </c>
      <c r="O1105" s="120">
        <v>0</v>
      </c>
      <c r="P1105" s="120">
        <v>0</v>
      </c>
      <c r="Q1105" s="120">
        <v>0</v>
      </c>
      <c r="R1105" s="120"/>
    </row>
    <row r="1106" spans="1:18" ht="15">
      <c r="A1106" s="105">
        <v>10</v>
      </c>
      <c r="B1106" s="105"/>
      <c r="C1106" s="107" t="s">
        <v>1126</v>
      </c>
      <c r="D1106" s="107" t="s">
        <v>457</v>
      </c>
      <c r="E1106" s="120">
        <v>1007191158.0001969</v>
      </c>
      <c r="F1106" s="120" t="s">
        <v>251</v>
      </c>
      <c r="G1106" s="120">
        <v>962211709.98807085</v>
      </c>
      <c r="H1106" s="120" t="s">
        <v>251</v>
      </c>
      <c r="I1106" s="120">
        <v>44976359.446580812</v>
      </c>
      <c r="J1106" s="120">
        <v>3088.5655453170402</v>
      </c>
      <c r="K1106" s="120" t="s">
        <v>251</v>
      </c>
      <c r="L1106" s="120" t="s">
        <v>251</v>
      </c>
      <c r="M1106" s="120">
        <v>3088.5655453170402</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636753081.76955485</v>
      </c>
      <c r="F1130" s="120" t="s">
        <v>251</v>
      </c>
      <c r="G1130" s="120">
        <v>599717522.08920252</v>
      </c>
      <c r="H1130" s="120" t="s">
        <v>251</v>
      </c>
      <c r="I1130" s="120">
        <v>37031853.000352375</v>
      </c>
      <c r="J1130" s="120">
        <v>3706.6799999999994</v>
      </c>
      <c r="K1130" s="120" t="s">
        <v>251</v>
      </c>
      <c r="L1130" s="120" t="s">
        <v>251</v>
      </c>
      <c r="M1130" s="120">
        <v>3706.6799999999994</v>
      </c>
      <c r="N1130" s="120" t="s">
        <v>251</v>
      </c>
      <c r="O1130" s="120">
        <v>0</v>
      </c>
      <c r="P1130" s="120">
        <v>0</v>
      </c>
      <c r="Q1130" s="120">
        <v>0</v>
      </c>
      <c r="R1130" s="120"/>
    </row>
    <row r="1131" spans="1:18" ht="15">
      <c r="A1131" s="105">
        <v>2</v>
      </c>
      <c r="B1131" s="105"/>
      <c r="C1131" s="107" t="s">
        <v>1129</v>
      </c>
      <c r="D1131" s="107" t="s">
        <v>251</v>
      </c>
      <c r="E1131" s="120">
        <v>398308301.55015475</v>
      </c>
      <c r="F1131" s="120" t="s">
        <v>251</v>
      </c>
      <c r="G1131" s="120">
        <v>380413107.33968878</v>
      </c>
      <c r="H1131" s="120" t="s">
        <v>251</v>
      </c>
      <c r="I1131" s="120">
        <v>17895194.210465994</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392835581.57234752</v>
      </c>
      <c r="F1133" s="120" t="s">
        <v>251</v>
      </c>
      <c r="G1133" s="120">
        <v>383939431.15113562</v>
      </c>
      <c r="H1133" s="120" t="s">
        <v>251</v>
      </c>
      <c r="I1133" s="120">
        <v>8896150.4212119058</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12435514.400482675</v>
      </c>
      <c r="F1135" s="120" t="s">
        <v>251</v>
      </c>
      <c r="G1135" s="120">
        <v>12045894.309630739</v>
      </c>
      <c r="H1135" s="120" t="s">
        <v>251</v>
      </c>
      <c r="I1135" s="120">
        <v>389620.09085193585</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130145506.19812074</v>
      </c>
      <c r="F1136" s="120" t="s">
        <v>251</v>
      </c>
      <c r="G1136" s="120">
        <v>123359791.43385044</v>
      </c>
      <c r="H1136" s="120" t="s">
        <v>251</v>
      </c>
      <c r="I1136" s="120">
        <v>6785714.7642702982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111592441.68546264</v>
      </c>
      <c r="F1138" s="120" t="s">
        <v>251</v>
      </c>
      <c r="G1138" s="120">
        <v>0</v>
      </c>
      <c r="H1138" s="120" t="s">
        <v>251</v>
      </c>
      <c r="I1138" s="120">
        <v>0</v>
      </c>
      <c r="J1138" s="120">
        <v>111592441.68546264</v>
      </c>
      <c r="K1138" s="120" t="s">
        <v>251</v>
      </c>
      <c r="L1138" s="120" t="s">
        <v>251</v>
      </c>
      <c r="M1138" s="120">
        <v>0</v>
      </c>
      <c r="N1138" s="120" t="s">
        <v>251</v>
      </c>
      <c r="O1138" s="120">
        <v>111592441.68546264</v>
      </c>
      <c r="P1138" s="120">
        <v>34576695.387562007</v>
      </c>
      <c r="Q1138" s="120">
        <v>77015746.297900632</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07" t="s">
        <v>251</v>
      </c>
      <c r="F1141" s="107" t="s">
        <v>251</v>
      </c>
      <c r="G1141" s="107" t="s">
        <v>251</v>
      </c>
      <c r="H1141" s="107" t="s">
        <v>251</v>
      </c>
      <c r="I1141" s="107" t="s">
        <v>251</v>
      </c>
      <c r="J1141" s="107" t="s">
        <v>251</v>
      </c>
      <c r="K1141" s="107" t="s">
        <v>251</v>
      </c>
      <c r="L1141" s="107" t="s">
        <v>251</v>
      </c>
      <c r="M1141" s="107" t="s">
        <v>251</v>
      </c>
      <c r="N1141" s="107" t="s">
        <v>251</v>
      </c>
      <c r="O1141" s="107" t="s">
        <v>251</v>
      </c>
      <c r="P1141" s="107" t="s">
        <v>251</v>
      </c>
      <c r="Q1141" s="107" t="s">
        <v>251</v>
      </c>
      <c r="R1141" s="107"/>
    </row>
    <row r="1142" spans="1:18" ht="15">
      <c r="A1142" s="105">
        <v>13</v>
      </c>
      <c r="B1142" s="105"/>
      <c r="C1142" s="107" t="s">
        <v>251</v>
      </c>
      <c r="D1142" s="107" t="s">
        <v>251</v>
      </c>
      <c r="E1142" s="124" t="s">
        <v>251</v>
      </c>
      <c r="F1142" s="124" t="s">
        <v>251</v>
      </c>
      <c r="G1142" s="124" t="s">
        <v>251</v>
      </c>
      <c r="H1142" s="124" t="s">
        <v>251</v>
      </c>
      <c r="I1142" s="124" t="s">
        <v>251</v>
      </c>
      <c r="J1142" s="124" t="s">
        <v>251</v>
      </c>
      <c r="K1142" s="124" t="s">
        <v>251</v>
      </c>
      <c r="L1142" s="124" t="s">
        <v>251</v>
      </c>
      <c r="M1142" s="124" t="s">
        <v>251</v>
      </c>
      <c r="N1142" s="124" t="s">
        <v>251</v>
      </c>
      <c r="O1142" s="124" t="s">
        <v>251</v>
      </c>
      <c r="P1142" s="124" t="s">
        <v>251</v>
      </c>
      <c r="Q1142" s="124" t="s">
        <v>251</v>
      </c>
      <c r="R1142" s="124"/>
    </row>
    <row r="1143" spans="1:18" ht="15">
      <c r="A1143" s="105" t="s">
        <v>251</v>
      </c>
      <c r="B1143" s="105"/>
      <c r="C1143" s="107" t="s">
        <v>251</v>
      </c>
      <c r="D1143" s="107" t="s">
        <v>251</v>
      </c>
      <c r="E1143" s="124" t="s">
        <v>251</v>
      </c>
      <c r="F1143" s="124" t="s">
        <v>251</v>
      </c>
      <c r="G1143" s="124" t="s">
        <v>251</v>
      </c>
      <c r="H1143" s="124" t="s">
        <v>251</v>
      </c>
      <c r="I1143" s="124" t="s">
        <v>251</v>
      </c>
      <c r="J1143" s="124" t="s">
        <v>251</v>
      </c>
      <c r="K1143" s="124" t="s">
        <v>251</v>
      </c>
      <c r="L1143" s="124" t="s">
        <v>251</v>
      </c>
      <c r="M1143" s="124" t="s">
        <v>251</v>
      </c>
      <c r="N1143" s="124" t="s">
        <v>251</v>
      </c>
      <c r="O1143" s="124" t="s">
        <v>251</v>
      </c>
      <c r="P1143" s="124" t="s">
        <v>251</v>
      </c>
      <c r="Q1143" s="124" t="s">
        <v>251</v>
      </c>
      <c r="R1143" s="124"/>
    </row>
    <row r="1144" spans="1:18" ht="15">
      <c r="A1144" s="105" t="s">
        <v>251</v>
      </c>
      <c r="B1144" s="105"/>
      <c r="C1144" s="107" t="s">
        <v>251</v>
      </c>
      <c r="D1144" s="107" t="s">
        <v>251</v>
      </c>
      <c r="E1144" s="124" t="s">
        <v>251</v>
      </c>
      <c r="F1144" s="124" t="s">
        <v>251</v>
      </c>
      <c r="G1144" s="124" t="s">
        <v>251</v>
      </c>
      <c r="H1144" s="124" t="s">
        <v>251</v>
      </c>
      <c r="I1144" s="124" t="s">
        <v>251</v>
      </c>
      <c r="J1144" s="124" t="s">
        <v>251</v>
      </c>
      <c r="K1144" s="124" t="s">
        <v>251</v>
      </c>
      <c r="L1144" s="124" t="s">
        <v>251</v>
      </c>
      <c r="M1144" s="124" t="s">
        <v>251</v>
      </c>
      <c r="N1144" s="124" t="s">
        <v>251</v>
      </c>
      <c r="O1144" s="124" t="s">
        <v>251</v>
      </c>
      <c r="P1144" s="124" t="s">
        <v>251</v>
      </c>
      <c r="Q1144" s="124" t="s">
        <v>251</v>
      </c>
      <c r="R1144" s="124"/>
    </row>
    <row r="1145" spans="1:18" ht="15">
      <c r="A1145" s="105" t="s">
        <v>251</v>
      </c>
      <c r="B1145" s="105"/>
      <c r="C1145" s="107" t="s">
        <v>251</v>
      </c>
      <c r="D1145" s="107" t="s">
        <v>251</v>
      </c>
      <c r="E1145" s="124" t="s">
        <v>251</v>
      </c>
      <c r="F1145" s="124" t="s">
        <v>251</v>
      </c>
      <c r="G1145" s="124" t="s">
        <v>251</v>
      </c>
      <c r="H1145" s="124" t="s">
        <v>251</v>
      </c>
      <c r="I1145" s="124" t="s">
        <v>251</v>
      </c>
      <c r="J1145" s="124" t="s">
        <v>251</v>
      </c>
      <c r="K1145" s="124" t="s">
        <v>251</v>
      </c>
      <c r="L1145" s="124" t="s">
        <v>251</v>
      </c>
      <c r="M1145" s="124" t="s">
        <v>251</v>
      </c>
      <c r="N1145" s="124" t="s">
        <v>251</v>
      </c>
      <c r="O1145" s="124" t="s">
        <v>251</v>
      </c>
      <c r="P1145" s="124" t="s">
        <v>251</v>
      </c>
      <c r="Q1145" s="124" t="s">
        <v>251</v>
      </c>
      <c r="R1145" s="124"/>
    </row>
    <row r="1146" spans="1:18" ht="15">
      <c r="A1146" s="105" t="s">
        <v>251</v>
      </c>
      <c r="B1146" s="105"/>
      <c r="C1146" s="107" t="s">
        <v>251</v>
      </c>
      <c r="D1146" s="107" t="s">
        <v>251</v>
      </c>
      <c r="E1146" s="124" t="s">
        <v>251</v>
      </c>
      <c r="F1146" s="124" t="s">
        <v>251</v>
      </c>
      <c r="G1146" s="124" t="s">
        <v>251</v>
      </c>
      <c r="H1146" s="124" t="s">
        <v>251</v>
      </c>
      <c r="I1146" s="124" t="s">
        <v>251</v>
      </c>
      <c r="J1146" s="124" t="s">
        <v>251</v>
      </c>
      <c r="K1146" s="124" t="s">
        <v>251</v>
      </c>
      <c r="L1146" s="124" t="s">
        <v>251</v>
      </c>
      <c r="M1146" s="124" t="s">
        <v>251</v>
      </c>
      <c r="N1146" s="124" t="s">
        <v>251</v>
      </c>
      <c r="O1146" s="124" t="s">
        <v>251</v>
      </c>
      <c r="P1146" s="124" t="s">
        <v>251</v>
      </c>
      <c r="Q1146" s="124" t="s">
        <v>251</v>
      </c>
      <c r="R1146" s="124"/>
    </row>
    <row r="1147" spans="1:18" ht="15">
      <c r="A1147" s="105" t="s">
        <v>251</v>
      </c>
      <c r="B1147" s="105"/>
      <c r="C1147" s="107" t="s">
        <v>251</v>
      </c>
      <c r="D1147" s="107" t="s">
        <v>251</v>
      </c>
      <c r="E1147" s="124" t="s">
        <v>251</v>
      </c>
      <c r="F1147" s="124" t="s">
        <v>251</v>
      </c>
      <c r="G1147" s="124" t="s">
        <v>251</v>
      </c>
      <c r="H1147" s="124" t="s">
        <v>251</v>
      </c>
      <c r="I1147" s="124" t="s">
        <v>251</v>
      </c>
      <c r="J1147" s="124" t="s">
        <v>251</v>
      </c>
      <c r="K1147" s="124" t="s">
        <v>251</v>
      </c>
      <c r="L1147" s="124" t="s">
        <v>251</v>
      </c>
      <c r="M1147" s="124" t="s">
        <v>251</v>
      </c>
      <c r="N1147" s="124" t="s">
        <v>251</v>
      </c>
      <c r="O1147" s="124" t="s">
        <v>251</v>
      </c>
      <c r="P1147" s="124" t="s">
        <v>251</v>
      </c>
      <c r="Q1147" s="124" t="s">
        <v>251</v>
      </c>
      <c r="R1147" s="124"/>
    </row>
    <row r="1148" spans="1:18" ht="15">
      <c r="A1148" s="105" t="s">
        <v>251</v>
      </c>
      <c r="B1148" s="105"/>
      <c r="C1148" s="107" t="s">
        <v>1139</v>
      </c>
      <c r="D1148" s="107" t="s">
        <v>251</v>
      </c>
      <c r="E1148" s="124" t="s">
        <v>251</v>
      </c>
      <c r="F1148" s="124" t="s">
        <v>251</v>
      </c>
      <c r="G1148" s="124" t="s">
        <v>251</v>
      </c>
      <c r="H1148" s="124" t="s">
        <v>251</v>
      </c>
      <c r="I1148" s="124" t="s">
        <v>251</v>
      </c>
      <c r="J1148" s="124" t="s">
        <v>251</v>
      </c>
      <c r="K1148" s="124" t="s">
        <v>251</v>
      </c>
      <c r="L1148" s="124" t="s">
        <v>251</v>
      </c>
      <c r="M1148" s="124" t="s">
        <v>251</v>
      </c>
      <c r="N1148" s="124" t="s">
        <v>251</v>
      </c>
      <c r="O1148" s="124" t="s">
        <v>251</v>
      </c>
      <c r="P1148" s="124" t="s">
        <v>251</v>
      </c>
      <c r="Q1148" s="124" t="s">
        <v>251</v>
      </c>
      <c r="R1148" s="124"/>
    </row>
    <row r="1149" spans="1:18" ht="15">
      <c r="A1149" s="105" t="s">
        <v>251</v>
      </c>
      <c r="B1149" s="105"/>
      <c r="C1149" s="107" t="s">
        <v>251</v>
      </c>
      <c r="D1149" s="107" t="s">
        <v>251</v>
      </c>
      <c r="E1149" s="124" t="s">
        <v>251</v>
      </c>
      <c r="F1149" s="124" t="s">
        <v>251</v>
      </c>
      <c r="G1149" s="124" t="s">
        <v>251</v>
      </c>
      <c r="H1149" s="124" t="s">
        <v>251</v>
      </c>
      <c r="I1149" s="124" t="s">
        <v>251</v>
      </c>
      <c r="J1149" s="124" t="s">
        <v>251</v>
      </c>
      <c r="K1149" s="124" t="s">
        <v>251</v>
      </c>
      <c r="L1149" s="124" t="s">
        <v>251</v>
      </c>
      <c r="M1149" s="124" t="s">
        <v>251</v>
      </c>
      <c r="N1149" s="124" t="s">
        <v>251</v>
      </c>
      <c r="O1149" s="124" t="s">
        <v>251</v>
      </c>
      <c r="P1149" s="124" t="s">
        <v>251</v>
      </c>
      <c r="Q1149" s="124" t="s">
        <v>251</v>
      </c>
      <c r="R1149" s="124"/>
    </row>
    <row r="1150" spans="1:18" ht="15">
      <c r="A1150" s="105" t="s">
        <v>251</v>
      </c>
      <c r="B1150" s="105"/>
      <c r="C1150" s="107" t="s">
        <v>1140</v>
      </c>
      <c r="D1150" s="107" t="s">
        <v>251</v>
      </c>
      <c r="E1150" s="124" t="s">
        <v>251</v>
      </c>
      <c r="F1150" s="124" t="s">
        <v>251</v>
      </c>
      <c r="G1150" s="124" t="s">
        <v>251</v>
      </c>
      <c r="H1150" s="124" t="s">
        <v>251</v>
      </c>
      <c r="I1150" s="124" t="s">
        <v>251</v>
      </c>
      <c r="J1150" s="124" t="s">
        <v>251</v>
      </c>
      <c r="K1150" s="124" t="s">
        <v>251</v>
      </c>
      <c r="L1150" s="124" t="s">
        <v>251</v>
      </c>
      <c r="M1150" s="124" t="s">
        <v>251</v>
      </c>
      <c r="N1150" s="124" t="s">
        <v>251</v>
      </c>
      <c r="O1150" s="124" t="s">
        <v>251</v>
      </c>
      <c r="P1150" s="124" t="s">
        <v>251</v>
      </c>
      <c r="Q1150" s="124" t="s">
        <v>251</v>
      </c>
      <c r="R1150" s="124"/>
    </row>
    <row r="1151" spans="1:18" ht="15">
      <c r="A1151" s="105" t="s">
        <v>251</v>
      </c>
      <c r="B1151" s="105"/>
      <c r="C1151" s="107" t="s">
        <v>920</v>
      </c>
      <c r="D1151" s="107" t="s">
        <v>251</v>
      </c>
      <c r="E1151" s="124" t="s">
        <v>251</v>
      </c>
      <c r="F1151" s="124" t="s">
        <v>251</v>
      </c>
      <c r="G1151" s="124" t="s">
        <v>251</v>
      </c>
      <c r="H1151" s="124" t="s">
        <v>251</v>
      </c>
      <c r="I1151" s="124" t="s">
        <v>251</v>
      </c>
      <c r="J1151" s="124" t="s">
        <v>251</v>
      </c>
      <c r="K1151" s="124" t="s">
        <v>251</v>
      </c>
      <c r="L1151" s="124" t="s">
        <v>251</v>
      </c>
      <c r="M1151" s="124" t="s">
        <v>251</v>
      </c>
      <c r="N1151" s="124" t="s">
        <v>251</v>
      </c>
      <c r="O1151" s="124" t="s">
        <v>251</v>
      </c>
      <c r="P1151" s="124" t="s">
        <v>251</v>
      </c>
      <c r="Q1151" s="124" t="s">
        <v>251</v>
      </c>
      <c r="R1151" s="124"/>
    </row>
    <row r="1152" spans="1:18" ht="15">
      <c r="A1152" s="105" t="s">
        <v>251</v>
      </c>
      <c r="B1152" s="105"/>
      <c r="C1152" s="107" t="s">
        <v>921</v>
      </c>
      <c r="D1152" s="107" t="s">
        <v>251</v>
      </c>
      <c r="E1152" s="124" t="s">
        <v>251</v>
      </c>
      <c r="F1152" s="124" t="s">
        <v>251</v>
      </c>
      <c r="G1152" s="124" t="s">
        <v>251</v>
      </c>
      <c r="H1152" s="124" t="s">
        <v>251</v>
      </c>
      <c r="I1152" s="124" t="s">
        <v>251</v>
      </c>
      <c r="J1152" s="124" t="s">
        <v>251</v>
      </c>
      <c r="K1152" s="124" t="s">
        <v>251</v>
      </c>
      <c r="L1152" s="124" t="s">
        <v>251</v>
      </c>
      <c r="M1152" s="124" t="s">
        <v>251</v>
      </c>
      <c r="N1152" s="124" t="s">
        <v>251</v>
      </c>
      <c r="O1152" s="124" t="s">
        <v>251</v>
      </c>
      <c r="P1152" s="124" t="s">
        <v>251</v>
      </c>
      <c r="Q1152" s="124" t="s">
        <v>251</v>
      </c>
      <c r="R1152" s="124"/>
    </row>
    <row r="1153" spans="1:18" ht="15">
      <c r="A1153" s="105">
        <v>1</v>
      </c>
      <c r="B1153" s="105"/>
      <c r="C1153" s="107" t="s">
        <v>922</v>
      </c>
      <c r="D1153" s="107" t="s">
        <v>304</v>
      </c>
      <c r="E1153" s="124">
        <v>1</v>
      </c>
      <c r="F1153" s="124" t="s">
        <v>251</v>
      </c>
      <c r="G1153" s="124">
        <v>0.87673530496058716</v>
      </c>
      <c r="H1153" s="124" t="s">
        <v>251</v>
      </c>
      <c r="I1153" s="124">
        <v>4.0146788577732379E-2</v>
      </c>
      <c r="J1153" s="124">
        <v>8.3117906461680463E-2</v>
      </c>
      <c r="K1153" s="124" t="s">
        <v>251</v>
      </c>
      <c r="L1153" s="124" t="s">
        <v>251</v>
      </c>
      <c r="M1153" s="124">
        <v>2.8141981927219206E-6</v>
      </c>
      <c r="N1153" s="124" t="s">
        <v>251</v>
      </c>
      <c r="O1153" s="124">
        <v>8.3115092263487747E-2</v>
      </c>
      <c r="P1153" s="124">
        <v>2.5639596894250875E-2</v>
      </c>
      <c r="Q1153" s="124">
        <v>5.7475495369236872E-2</v>
      </c>
      <c r="R1153" s="124"/>
    </row>
    <row r="1154" spans="1:18" ht="15">
      <c r="A1154" s="105">
        <v>2</v>
      </c>
      <c r="B1154" s="105"/>
      <c r="C1154" s="107" t="s">
        <v>923</v>
      </c>
      <c r="D1154" s="107" t="s">
        <v>312</v>
      </c>
      <c r="E1154" s="124">
        <v>1</v>
      </c>
      <c r="F1154" s="124" t="s">
        <v>251</v>
      </c>
      <c r="G1154" s="124">
        <v>0</v>
      </c>
      <c r="H1154" s="124" t="s">
        <v>251</v>
      </c>
      <c r="I1154" s="124">
        <v>0.32570319634703199</v>
      </c>
      <c r="J1154" s="124">
        <v>0.67429680365296807</v>
      </c>
      <c r="K1154" s="124" t="s">
        <v>251</v>
      </c>
      <c r="L1154" s="124" t="s">
        <v>251</v>
      </c>
      <c r="M1154" s="124">
        <v>0</v>
      </c>
      <c r="N1154" s="124" t="s">
        <v>251</v>
      </c>
      <c r="O1154" s="124">
        <v>0.67429680365296807</v>
      </c>
      <c r="P1154" s="124">
        <v>0.20800913242009134</v>
      </c>
      <c r="Q1154" s="124">
        <v>0.46628767123287673</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0.91340828476618874</v>
      </c>
      <c r="H1156" s="124" t="s">
        <v>251</v>
      </c>
      <c r="I1156" s="124">
        <v>0</v>
      </c>
      <c r="J1156" s="124">
        <v>8.6591715233811289E-2</v>
      </c>
      <c r="K1156" s="124" t="s">
        <v>251</v>
      </c>
      <c r="L1156" s="124" t="s">
        <v>251</v>
      </c>
      <c r="M1156" s="124">
        <v>0</v>
      </c>
      <c r="N1156" s="124" t="s">
        <v>251</v>
      </c>
      <c r="O1156" s="124">
        <v>8.6591715233811289E-2</v>
      </c>
      <c r="P1156" s="124">
        <v>2.6712076140616908E-2</v>
      </c>
      <c r="Q1156" s="124">
        <v>5.9879639093194381E-2</v>
      </c>
      <c r="R1156" s="124"/>
    </row>
    <row r="1157" spans="1:18" ht="15">
      <c r="A1157" s="105">
        <v>5</v>
      </c>
      <c r="B1157" s="105"/>
      <c r="C1157" s="107" t="s">
        <v>926</v>
      </c>
      <c r="D1157" s="107" t="s">
        <v>314</v>
      </c>
      <c r="E1157" s="124">
        <v>1</v>
      </c>
      <c r="F1157" s="124" t="s">
        <v>251</v>
      </c>
      <c r="G1157" s="124">
        <v>0</v>
      </c>
      <c r="H1157" s="124" t="s">
        <v>251</v>
      </c>
      <c r="I1157" s="124">
        <v>0</v>
      </c>
      <c r="J1157" s="124">
        <v>1</v>
      </c>
      <c r="K1157" s="124" t="s">
        <v>251</v>
      </c>
      <c r="L1157" s="124" t="s">
        <v>251</v>
      </c>
      <c r="M1157" s="124">
        <v>0</v>
      </c>
      <c r="N1157" s="124" t="s">
        <v>251</v>
      </c>
      <c r="O1157" s="124">
        <v>1</v>
      </c>
      <c r="P1157" s="124">
        <v>0.30848304677289379</v>
      </c>
      <c r="Q1157" s="124">
        <v>0.69151695322710616</v>
      </c>
      <c r="R1157" s="124"/>
    </row>
    <row r="1158" spans="1:18" ht="15">
      <c r="A1158" s="105">
        <v>6</v>
      </c>
      <c r="B1158" s="105"/>
      <c r="C1158" s="107" t="s">
        <v>927</v>
      </c>
      <c r="D1158" s="107" t="s">
        <v>928</v>
      </c>
      <c r="E1158" s="124">
        <v>1</v>
      </c>
      <c r="F1158" s="124" t="s">
        <v>251</v>
      </c>
      <c r="G1158" s="124">
        <v>0.91340560674009719</v>
      </c>
      <c r="H1158" s="124" t="s">
        <v>251</v>
      </c>
      <c r="I1158" s="124">
        <v>0</v>
      </c>
      <c r="J1158" s="124">
        <v>8.6594393259902799E-2</v>
      </c>
      <c r="K1158" s="124" t="s">
        <v>251</v>
      </c>
      <c r="L1158" s="124" t="s">
        <v>251</v>
      </c>
      <c r="M1158" s="124">
        <v>2.9319047529694331E-6</v>
      </c>
      <c r="N1158" s="124" t="s">
        <v>251</v>
      </c>
      <c r="O1158" s="124">
        <v>8.6591461355149835E-2</v>
      </c>
      <c r="P1158" s="124">
        <v>2.6711997823353911E-2</v>
      </c>
      <c r="Q1158" s="124">
        <v>5.9879463531795921E-2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0.87673530496058716</v>
      </c>
      <c r="H1160" s="124" t="s">
        <v>251</v>
      </c>
      <c r="I1160" s="124">
        <v>4.0146788577732379E-2</v>
      </c>
      <c r="J1160" s="124">
        <v>8.3117906461680463E-2</v>
      </c>
      <c r="K1160" s="124" t="s">
        <v>251</v>
      </c>
      <c r="L1160" s="124" t="s">
        <v>251</v>
      </c>
      <c r="M1160" s="124">
        <v>2.8141981927219206E-6</v>
      </c>
      <c r="N1160" s="124" t="s">
        <v>251</v>
      </c>
      <c r="O1160" s="124">
        <v>8.3115092263487747E-2</v>
      </c>
      <c r="P1160" s="124">
        <v>2.5639596894250875E-2</v>
      </c>
      <c r="Q1160" s="124">
        <v>5.7475495369236872E-2</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0.32570319634703199</v>
      </c>
      <c r="J1163" s="124">
        <v>0.67429680365296807</v>
      </c>
      <c r="K1163" s="124" t="s">
        <v>251</v>
      </c>
      <c r="L1163" s="124" t="s">
        <v>251</v>
      </c>
      <c r="M1163" s="124">
        <v>0</v>
      </c>
      <c r="N1163" s="124" t="s">
        <v>251</v>
      </c>
      <c r="O1163" s="124">
        <v>0.67429680365296807</v>
      </c>
      <c r="P1163" s="124">
        <v>0.20800913242009134</v>
      </c>
      <c r="Q1163" s="124">
        <v>0.46628767123287673</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0.99900244778853997</v>
      </c>
      <c r="H1167" s="124" t="s">
        <v>251</v>
      </c>
      <c r="I1167" s="124">
        <v>0</v>
      </c>
      <c r="J1167" s="124">
        <v>9.9755221146006655E-4</v>
      </c>
      <c r="K1167" s="124" t="s">
        <v>251</v>
      </c>
      <c r="L1167" s="124" t="s">
        <v>251</v>
      </c>
      <c r="M1167" s="124">
        <v>0</v>
      </c>
      <c r="N1167" s="124" t="s">
        <v>251</v>
      </c>
      <c r="O1167" s="124">
        <v>9.9755221146006655E-4</v>
      </c>
      <c r="P1167" s="124">
        <v>9.9755221146006655E-4</v>
      </c>
      <c r="Q1167" s="124">
        <v>0</v>
      </c>
      <c r="R1167" s="124"/>
    </row>
    <row r="1168" spans="1:18" ht="15">
      <c r="A1168" s="105">
        <v>13</v>
      </c>
      <c r="B1168" s="105"/>
      <c r="C1168" s="107" t="s">
        <v>938</v>
      </c>
      <c r="D1168" s="107" t="s">
        <v>363</v>
      </c>
      <c r="E1168" s="124">
        <v>1</v>
      </c>
      <c r="F1168" s="124" t="s">
        <v>251</v>
      </c>
      <c r="G1168" s="124">
        <v>0.98241797145821541</v>
      </c>
      <c r="H1168" s="124" t="s">
        <v>251</v>
      </c>
      <c r="I1168" s="124">
        <v>0</v>
      </c>
      <c r="J1168" s="124">
        <v>1.7582028541784544E-2</v>
      </c>
      <c r="K1168" s="124" t="s">
        <v>251</v>
      </c>
      <c r="L1168" s="124" t="s">
        <v>251</v>
      </c>
      <c r="M1168" s="124">
        <v>0</v>
      </c>
      <c r="N1168" s="124" t="s">
        <v>251</v>
      </c>
      <c r="O1168" s="124">
        <v>1.7582028541784544E-2</v>
      </c>
      <c r="P1168" s="124">
        <v>1.7582028541784544E-2</v>
      </c>
      <c r="Q1168" s="124">
        <v>0</v>
      </c>
      <c r="R1168" s="124"/>
    </row>
    <row r="1169" spans="1:18" ht="15">
      <c r="A1169" s="105">
        <v>14</v>
      </c>
      <c r="B1169" s="105"/>
      <c r="C1169" s="107" t="s">
        <v>939</v>
      </c>
      <c r="D1169" s="107" t="s">
        <v>365</v>
      </c>
      <c r="E1169" s="124">
        <v>1</v>
      </c>
      <c r="F1169" s="124" t="s">
        <v>251</v>
      </c>
      <c r="G1169" s="124">
        <v>0.98596554072711895</v>
      </c>
      <c r="H1169" s="124" t="s">
        <v>251</v>
      </c>
      <c r="I1169" s="124">
        <v>0</v>
      </c>
      <c r="J1169" s="124">
        <v>1.4034459272881038E-2</v>
      </c>
      <c r="K1169" s="124" t="s">
        <v>251</v>
      </c>
      <c r="L1169" s="124" t="s">
        <v>251</v>
      </c>
      <c r="M1169" s="124">
        <v>0</v>
      </c>
      <c r="N1169" s="124" t="s">
        <v>251</v>
      </c>
      <c r="O1169" s="124">
        <v>1.4034459272881038E-2</v>
      </c>
      <c r="P1169" s="124">
        <v>1.4034459272881038E-2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0.7797452328090192</v>
      </c>
      <c r="H1179" s="124" t="s">
        <v>251</v>
      </c>
      <c r="I1179" s="124">
        <v>0.2202547671909808</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0.99628535181843247</v>
      </c>
      <c r="J1193" s="124">
        <v>3.7146481815675315E-3</v>
      </c>
      <c r="K1193" s="124" t="s">
        <v>251</v>
      </c>
      <c r="L1193" s="124" t="s">
        <v>251</v>
      </c>
      <c r="M1193" s="124">
        <v>3.7146481815675315E-3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0.88932441827924213</v>
      </c>
      <c r="H1197" s="124" t="s">
        <v>251</v>
      </c>
      <c r="I1197" s="124">
        <v>0.10972122870878179</v>
      </c>
      <c r="J1197" s="124">
        <v>9.5435301197607987E-4</v>
      </c>
      <c r="K1197" s="124" t="s">
        <v>251</v>
      </c>
      <c r="L1197" s="124" t="s">
        <v>251</v>
      </c>
      <c r="M1197" s="124">
        <v>1.6271352253551385E-5</v>
      </c>
      <c r="N1197" s="124" t="s">
        <v>251</v>
      </c>
      <c r="O1197" s="124">
        <v>9.3808165972252846E-4</v>
      </c>
      <c r="P1197" s="124">
        <v>9.3808165972252846E-4</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0.88026422050572484</v>
      </c>
      <c r="H1210" s="124" t="s">
        <v>251</v>
      </c>
      <c r="I1210" s="124">
        <v>3.5910765359497526E-2</v>
      </c>
      <c r="J1210" s="124">
        <v>8.3825014134777651E-2</v>
      </c>
      <c r="K1210" s="124" t="s">
        <v>251</v>
      </c>
      <c r="L1210" s="124" t="s">
        <v>251</v>
      </c>
      <c r="M1210" s="124">
        <v>3.9395816032884391E-6</v>
      </c>
      <c r="N1210" s="124" t="s">
        <v>251</v>
      </c>
      <c r="O1210" s="124">
        <v>8.3821074553174363E-2</v>
      </c>
      <c r="P1210" s="124">
        <v>2.6820312880168468E-2</v>
      </c>
      <c r="Q1210" s="124">
        <v>5.7000761673005891E-2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0.99558113479196875</v>
      </c>
      <c r="H1218" s="124" t="s">
        <v>251</v>
      </c>
      <c r="I1218" s="124">
        <v>0</v>
      </c>
      <c r="J1218" s="124">
        <v>4.4188652080312339E-3</v>
      </c>
      <c r="K1218" s="124" t="s">
        <v>251</v>
      </c>
      <c r="L1218" s="124" t="s">
        <v>251</v>
      </c>
      <c r="M1218" s="124">
        <v>0</v>
      </c>
      <c r="N1218" s="124" t="s">
        <v>251</v>
      </c>
      <c r="O1218" s="124">
        <v>4.4188652080312339E-3</v>
      </c>
      <c r="P1218" s="124">
        <v>8.1762942698913573E-4</v>
      </c>
      <c r="Q1218" s="124">
        <v>3.6012357810420986E-3</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0.94943492291049292</v>
      </c>
      <c r="H1223" s="124" t="s">
        <v>251</v>
      </c>
      <c r="I1223" s="124">
        <v>4.9653258630981009E-2</v>
      </c>
      <c r="J1223" s="124">
        <v>9.1181845852609557E-4</v>
      </c>
      <c r="K1223" s="124" t="s">
        <v>251</v>
      </c>
      <c r="L1223" s="124" t="s">
        <v>251</v>
      </c>
      <c r="M1223" s="124">
        <v>6.5882836598706323E-6</v>
      </c>
      <c r="N1223" s="124" t="s">
        <v>251</v>
      </c>
      <c r="O1223" s="124">
        <v>9.0523017486622494E-4</v>
      </c>
      <c r="P1223" s="124">
        <v>4.6908579658278904E-4</v>
      </c>
      <c r="Q1223" s="124">
        <v>4.3614437828343584E-4</v>
      </c>
      <c r="R1223" s="124"/>
    </row>
    <row r="1224" spans="1:18" ht="15">
      <c r="A1224" s="105">
        <v>8</v>
      </c>
      <c r="B1224" s="105"/>
      <c r="C1224" s="107" t="s">
        <v>983</v>
      </c>
      <c r="D1224" s="107" t="s">
        <v>689</v>
      </c>
      <c r="E1224" s="124">
        <v>1</v>
      </c>
      <c r="F1224" s="124" t="s">
        <v>251</v>
      </c>
      <c r="G1224" s="124">
        <v>0.94943492291049292</v>
      </c>
      <c r="H1224" s="124" t="s">
        <v>251</v>
      </c>
      <c r="I1224" s="124">
        <v>4.9653258630981009E-2</v>
      </c>
      <c r="J1224" s="124">
        <v>9.1181845852609557E-4</v>
      </c>
      <c r="K1224" s="124" t="s">
        <v>251</v>
      </c>
      <c r="L1224" s="124" t="s">
        <v>251</v>
      </c>
      <c r="M1224" s="124">
        <v>6.5882836598706323E-6</v>
      </c>
      <c r="N1224" s="124" t="s">
        <v>251</v>
      </c>
      <c r="O1224" s="124">
        <v>9.0523017486622494E-4</v>
      </c>
      <c r="P1224" s="124">
        <v>4.6908579658278904E-4</v>
      </c>
      <c r="Q1224" s="124">
        <v>4.3614437828343584E-4</v>
      </c>
      <c r="R1224" s="124"/>
    </row>
    <row r="1225" spans="1:18" ht="15">
      <c r="A1225" s="105">
        <v>9</v>
      </c>
      <c r="B1225" s="105"/>
      <c r="C1225" s="107" t="s">
        <v>984</v>
      </c>
      <c r="D1225" s="107" t="s">
        <v>691</v>
      </c>
      <c r="E1225" s="124">
        <v>1</v>
      </c>
      <c r="F1225" s="124" t="s">
        <v>251</v>
      </c>
      <c r="G1225" s="124">
        <v>0.94943492291049292</v>
      </c>
      <c r="H1225" s="124" t="s">
        <v>251</v>
      </c>
      <c r="I1225" s="124">
        <v>4.9653258630981009E-2</v>
      </c>
      <c r="J1225" s="124">
        <v>9.1181845852609557E-4</v>
      </c>
      <c r="K1225" s="124" t="s">
        <v>251</v>
      </c>
      <c r="L1225" s="124" t="s">
        <v>251</v>
      </c>
      <c r="M1225" s="124">
        <v>6.5882836598706323E-6</v>
      </c>
      <c r="N1225" s="124" t="s">
        <v>251</v>
      </c>
      <c r="O1225" s="124">
        <v>9.0523017486622494E-4</v>
      </c>
      <c r="P1225" s="124">
        <v>4.6908579658278904E-4</v>
      </c>
      <c r="Q1225" s="124">
        <v>4.3614437828343584E-4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1</v>
      </c>
      <c r="F1235" s="124" t="s">
        <v>251</v>
      </c>
      <c r="G1235" s="124">
        <v>0.9330507437020743</v>
      </c>
      <c r="H1235" s="124" t="s">
        <v>251</v>
      </c>
      <c r="I1235" s="124">
        <v>6.6949256297925669E-2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1</v>
      </c>
      <c r="F1236" s="124" t="s">
        <v>251</v>
      </c>
      <c r="G1236" s="124">
        <v>0.9609385304841308</v>
      </c>
      <c r="H1236" s="124" t="s">
        <v>251</v>
      </c>
      <c r="I1236" s="124">
        <v>3.9030214866681977E-2</v>
      </c>
      <c r="J1236" s="124">
        <v>3.1254649187290624E-5</v>
      </c>
      <c r="K1236" s="124" t="s">
        <v>251</v>
      </c>
      <c r="L1236" s="124" t="s">
        <v>251</v>
      </c>
      <c r="M1236" s="124">
        <v>0</v>
      </c>
      <c r="N1236" s="124" t="s">
        <v>251</v>
      </c>
      <c r="O1236" s="124">
        <v>3.1254649187290624E-5</v>
      </c>
      <c r="P1236" s="124">
        <v>7.0153464105600997E-6</v>
      </c>
      <c r="Q1236" s="124">
        <v>2.4239302776730526E-5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v>
      </c>
      <c r="F1245" s="124" t="s">
        <v>251</v>
      </c>
      <c r="G1245" s="124">
        <v>0.89020970434593893</v>
      </c>
      <c r="H1245" s="124" t="s">
        <v>251</v>
      </c>
      <c r="I1245" s="124">
        <v>4.8887283743739345E-2</v>
      </c>
      <c r="J1245" s="124">
        <v>6.0903011910321735E-2</v>
      </c>
      <c r="K1245" s="124" t="s">
        <v>251</v>
      </c>
      <c r="L1245" s="124" t="s">
        <v>251</v>
      </c>
      <c r="M1245" s="124">
        <v>7.2791684507868764E-5</v>
      </c>
      <c r="N1245" s="124" t="s">
        <v>251</v>
      </c>
      <c r="O1245" s="124">
        <v>6.0830220225813865E-2</v>
      </c>
      <c r="P1245" s="124">
        <v>1.9030551572744393E-2</v>
      </c>
      <c r="Q1245" s="124">
        <v>4.1799668653069472E-2</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1</v>
      </c>
      <c r="F1247" s="124" t="s">
        <v>251</v>
      </c>
      <c r="G1247" s="124">
        <v>0.90503374622094968</v>
      </c>
      <c r="H1247" s="124" t="s">
        <v>251</v>
      </c>
      <c r="I1247" s="124">
        <v>4.6060351310326549E-2</v>
      </c>
      <c r="J1247" s="124">
        <v>4.8905902468723839E-2</v>
      </c>
      <c r="K1247" s="124" t="s">
        <v>251</v>
      </c>
      <c r="L1247" s="124" t="s">
        <v>251</v>
      </c>
      <c r="M1247" s="124">
        <v>7.2397910071531351E-5</v>
      </c>
      <c r="N1247" s="124" t="s">
        <v>251</v>
      </c>
      <c r="O1247" s="124">
        <v>4.8833504558652305E-2</v>
      </c>
      <c r="P1247" s="124">
        <v>1.5561078465645056E-2</v>
      </c>
      <c r="Q1247" s="124">
        <v>3.3272426093007249E-2</v>
      </c>
      <c r="R1247" s="124"/>
    </row>
    <row r="1248" spans="1:18" ht="15">
      <c r="A1248" s="105">
        <v>4</v>
      </c>
      <c r="B1248" s="105"/>
      <c r="C1248" s="107" t="s">
        <v>1000</v>
      </c>
      <c r="D1248" s="107" t="s">
        <v>904</v>
      </c>
      <c r="E1248" s="124">
        <v>1</v>
      </c>
      <c r="F1248" s="124" t="s">
        <v>251</v>
      </c>
      <c r="G1248" s="124">
        <v>0.90503374622094956</v>
      </c>
      <c r="H1248" s="124" t="s">
        <v>251</v>
      </c>
      <c r="I1248" s="124">
        <v>4.6060351310326549E-2</v>
      </c>
      <c r="J1248" s="124">
        <v>4.8905902468723839E-2</v>
      </c>
      <c r="K1248" s="124" t="s">
        <v>251</v>
      </c>
      <c r="L1248" s="124" t="s">
        <v>251</v>
      </c>
      <c r="M1248" s="124">
        <v>7.2397910071531351E-5</v>
      </c>
      <c r="N1248" s="124" t="s">
        <v>251</v>
      </c>
      <c r="O1248" s="124">
        <v>4.8833504558652305E-2</v>
      </c>
      <c r="P1248" s="124">
        <v>1.5561078465645056E-2</v>
      </c>
      <c r="Q1248" s="124">
        <v>3.3272426093007249E-2</v>
      </c>
      <c r="R1248" s="124"/>
    </row>
    <row r="1249" spans="1:18" ht="15">
      <c r="A1249" s="105">
        <v>5</v>
      </c>
      <c r="B1249" s="105"/>
      <c r="C1249" s="107" t="s">
        <v>1001</v>
      </c>
      <c r="D1249" s="107" t="s">
        <v>444</v>
      </c>
      <c r="E1249" s="124">
        <v>1</v>
      </c>
      <c r="F1249" s="124" t="s">
        <v>251</v>
      </c>
      <c r="G1249" s="124">
        <v>0.87673530496058716</v>
      </c>
      <c r="H1249" s="124" t="s">
        <v>251</v>
      </c>
      <c r="I1249" s="124">
        <v>4.0146788577732365E-2</v>
      </c>
      <c r="J1249" s="124">
        <v>8.3117906461680449E-2</v>
      </c>
      <c r="K1249" s="124" t="s">
        <v>251</v>
      </c>
      <c r="L1249" s="124" t="s">
        <v>251</v>
      </c>
      <c r="M1249" s="124">
        <v>2.8141981927219206E-6</v>
      </c>
      <c r="N1249" s="124" t="s">
        <v>251</v>
      </c>
      <c r="O1249" s="124">
        <v>8.3115092263487733E-2</v>
      </c>
      <c r="P1249" s="124">
        <v>2.5639596894250875E-2</v>
      </c>
      <c r="Q1249" s="124">
        <v>5.7475495369236851E-2</v>
      </c>
      <c r="R1249" s="124"/>
    </row>
    <row r="1250" spans="1:18" ht="15">
      <c r="A1250" s="105">
        <v>6</v>
      </c>
      <c r="B1250" s="105"/>
      <c r="C1250" s="107" t="s">
        <v>1003</v>
      </c>
      <c r="D1250" s="107" t="s">
        <v>449</v>
      </c>
      <c r="E1250" s="124">
        <v>1</v>
      </c>
      <c r="F1250" s="124" t="s">
        <v>251</v>
      </c>
      <c r="G1250" s="124">
        <v>0.87673530496058716</v>
      </c>
      <c r="H1250" s="124" t="s">
        <v>251</v>
      </c>
      <c r="I1250" s="124">
        <v>4.0146788577732372E-2</v>
      </c>
      <c r="J1250" s="124">
        <v>8.3117906461680449E-2</v>
      </c>
      <c r="K1250" s="124" t="s">
        <v>251</v>
      </c>
      <c r="L1250" s="124" t="s">
        <v>251</v>
      </c>
      <c r="M1250" s="124">
        <v>2.8141981927219206E-6</v>
      </c>
      <c r="N1250" s="124" t="s">
        <v>251</v>
      </c>
      <c r="O1250" s="124">
        <v>8.3115092263487733E-2</v>
      </c>
      <c r="P1250" s="124">
        <v>2.5639596894250875E-2</v>
      </c>
      <c r="Q1250" s="124">
        <v>5.7475495369236865E-2</v>
      </c>
      <c r="R1250" s="124"/>
    </row>
    <row r="1251" spans="1:18" ht="15">
      <c r="A1251" s="105">
        <v>7</v>
      </c>
      <c r="B1251" s="105"/>
      <c r="C1251" s="107" t="s">
        <v>1004</v>
      </c>
      <c r="D1251" s="107" t="s">
        <v>452</v>
      </c>
      <c r="E1251" s="124">
        <v>0.99999999999999989</v>
      </c>
      <c r="F1251" s="124" t="s">
        <v>251</v>
      </c>
      <c r="G1251" s="124">
        <v>0.87673530496058705</v>
      </c>
      <c r="H1251" s="124" t="s">
        <v>251</v>
      </c>
      <c r="I1251" s="124">
        <v>4.0146788577732379E-2</v>
      </c>
      <c r="J1251" s="124">
        <v>8.3117906461680449E-2</v>
      </c>
      <c r="K1251" s="124" t="s">
        <v>251</v>
      </c>
      <c r="L1251" s="124" t="s">
        <v>251</v>
      </c>
      <c r="M1251" s="124">
        <v>2.8141981927219206E-6</v>
      </c>
      <c r="N1251" s="124" t="s">
        <v>251</v>
      </c>
      <c r="O1251" s="124">
        <v>8.3115092263487733E-2</v>
      </c>
      <c r="P1251" s="124">
        <v>2.5639596894250872E-2</v>
      </c>
      <c r="Q1251" s="124">
        <v>5.7475495369236865E-2</v>
      </c>
      <c r="R1251" s="124"/>
    </row>
    <row r="1252" spans="1:18" ht="15">
      <c r="A1252" s="105">
        <v>8</v>
      </c>
      <c r="B1252" s="105"/>
      <c r="C1252" s="107" t="s">
        <v>1005</v>
      </c>
      <c r="D1252" s="107" t="s">
        <v>1006</v>
      </c>
      <c r="E1252" s="124">
        <v>1</v>
      </c>
      <c r="F1252" s="124" t="s">
        <v>251</v>
      </c>
      <c r="G1252" s="124">
        <v>0.9522071248992201</v>
      </c>
      <c r="H1252" s="124" t="s">
        <v>251</v>
      </c>
      <c r="I1252" s="124">
        <v>4.4508718271152138E-2</v>
      </c>
      <c r="J1252" s="124">
        <v>3.2841568296277787E-3</v>
      </c>
      <c r="K1252" s="124" t="s">
        <v>251</v>
      </c>
      <c r="L1252" s="124" t="s">
        <v>251</v>
      </c>
      <c r="M1252" s="124">
        <v>3.0564522209001091E-6</v>
      </c>
      <c r="N1252" s="124" t="s">
        <v>251</v>
      </c>
      <c r="O1252" s="124">
        <v>3.2811003774068787E-3</v>
      </c>
      <c r="P1252" s="124">
        <v>1.0121638411901657E-3</v>
      </c>
      <c r="Q1252" s="124">
        <v>2.268936536216713E-3</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1</v>
      </c>
      <c r="F1254" s="124" t="s">
        <v>251</v>
      </c>
      <c r="G1254" s="124">
        <v>0.12268550952560241</v>
      </c>
      <c r="H1254" s="124" t="s">
        <v>251</v>
      </c>
      <c r="I1254" s="124">
        <v>0.87731409667100313</v>
      </c>
      <c r="J1254" s="124">
        <v>3.9380339450986203E-7</v>
      </c>
      <c r="K1254" s="124" t="s">
        <v>251</v>
      </c>
      <c r="L1254" s="124" t="s">
        <v>251</v>
      </c>
      <c r="M1254" s="124">
        <v>3.9380339450986203E-7</v>
      </c>
      <c r="N1254" s="124" t="s">
        <v>251</v>
      </c>
      <c r="O1254" s="124">
        <v>0</v>
      </c>
      <c r="P1254" s="124">
        <v>0</v>
      </c>
      <c r="Q1254" s="124">
        <v>0</v>
      </c>
      <c r="R1254" s="124"/>
    </row>
    <row r="1255" spans="1:18" ht="15">
      <c r="A1255" s="105">
        <v>11</v>
      </c>
      <c r="B1255" s="105"/>
      <c r="C1255" s="107" t="s">
        <v>416</v>
      </c>
      <c r="D1255" s="107" t="s">
        <v>502</v>
      </c>
      <c r="E1255" s="124">
        <v>1</v>
      </c>
      <c r="F1255" s="124" t="s">
        <v>251</v>
      </c>
      <c r="G1255" s="124">
        <v>0.94773016852277148</v>
      </c>
      <c r="H1255" s="124" t="s">
        <v>251</v>
      </c>
      <c r="I1255" s="124">
        <v>4.9897714514266243E-2</v>
      </c>
      <c r="J1255" s="124">
        <v>2.3721169629622413E-3</v>
      </c>
      <c r="K1255" s="124" t="s">
        <v>251</v>
      </c>
      <c r="L1255" s="124" t="s">
        <v>251</v>
      </c>
      <c r="M1255" s="124">
        <v>3.4184351589664478E-4</v>
      </c>
      <c r="N1255" s="124" t="s">
        <v>251</v>
      </c>
      <c r="O1255" s="124">
        <v>2.0302734470655963E-3</v>
      </c>
      <c r="P1255" s="124">
        <v>1.8876183040998332E-3</v>
      </c>
      <c r="Q1255" s="124">
        <v>1.4265514296576295E-4</v>
      </c>
      <c r="R1255" s="124"/>
    </row>
    <row r="1256" spans="1:18" ht="15">
      <c r="A1256" s="105">
        <v>12</v>
      </c>
      <c r="B1256" s="105"/>
      <c r="C1256" s="107" t="s">
        <v>1010</v>
      </c>
      <c r="D1256" s="107" t="s">
        <v>466</v>
      </c>
      <c r="E1256" s="124">
        <v>1</v>
      </c>
      <c r="F1256" s="124" t="s">
        <v>251</v>
      </c>
      <c r="G1256" s="124">
        <v>0.99786233100753829</v>
      </c>
      <c r="H1256" s="124" t="s">
        <v>251</v>
      </c>
      <c r="I1256" s="124">
        <v>0</v>
      </c>
      <c r="J1256" s="124">
        <v>2.1376689924616533E-3</v>
      </c>
      <c r="K1256" s="124" t="s">
        <v>251</v>
      </c>
      <c r="L1256" s="124" t="s">
        <v>251</v>
      </c>
      <c r="M1256" s="124">
        <v>0</v>
      </c>
      <c r="N1256" s="124" t="s">
        <v>251</v>
      </c>
      <c r="O1256" s="124">
        <v>2.1376689924616533E-3</v>
      </c>
      <c r="P1256" s="124">
        <v>1.9874678083926568E-3</v>
      </c>
      <c r="Q1256" s="124">
        <v>1.5020118406899649E-4</v>
      </c>
      <c r="R1256" s="124"/>
    </row>
    <row r="1257" spans="1:18" ht="15">
      <c r="A1257" s="105">
        <v>13</v>
      </c>
      <c r="B1257" s="105"/>
      <c r="C1257" s="107" t="s">
        <v>1011</v>
      </c>
      <c r="D1257" s="107" t="s">
        <v>468</v>
      </c>
      <c r="E1257" s="124">
        <v>0.99999999999999989</v>
      </c>
      <c r="F1257" s="124" t="s">
        <v>251</v>
      </c>
      <c r="G1257" s="124">
        <v>0.90848299807617483</v>
      </c>
      <c r="H1257" s="124" t="s">
        <v>251</v>
      </c>
      <c r="I1257" s="124">
        <v>4.4387401753117381E-2</v>
      </c>
      <c r="J1257" s="124">
        <v>4.7129600170707643E-2</v>
      </c>
      <c r="K1257" s="124" t="s">
        <v>251</v>
      </c>
      <c r="L1257" s="124" t="s">
        <v>251</v>
      </c>
      <c r="M1257" s="124">
        <v>6.9768358881593212E-5</v>
      </c>
      <c r="N1257" s="124" t="s">
        <v>251</v>
      </c>
      <c r="O1257" s="124">
        <v>4.7059831811826047E-2</v>
      </c>
      <c r="P1257" s="124">
        <v>1.4995887393753219E-2</v>
      </c>
      <c r="Q1257" s="124">
        <v>3.206394441807283E-2</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0.89020970434593893</v>
      </c>
      <c r="H1259" s="124" t="s">
        <v>251</v>
      </c>
      <c r="I1259" s="124">
        <v>4.8887283743739345E-2</v>
      </c>
      <c r="J1259" s="124">
        <v>6.0903011910321728E-2</v>
      </c>
      <c r="K1259" s="124" t="s">
        <v>251</v>
      </c>
      <c r="L1259" s="124" t="s">
        <v>251</v>
      </c>
      <c r="M1259" s="124">
        <v>7.2791684507868764E-5</v>
      </c>
      <c r="N1259" s="124" t="s">
        <v>251</v>
      </c>
      <c r="O1259" s="124">
        <v>6.0830220225813858E-2</v>
      </c>
      <c r="P1259" s="124">
        <v>1.903055157274439E-2</v>
      </c>
      <c r="Q1259" s="124">
        <v>4.1799668653069465E-2</v>
      </c>
      <c r="R1259" s="124"/>
    </row>
    <row r="1260" spans="1:18" ht="15">
      <c r="A1260" s="105">
        <v>16</v>
      </c>
      <c r="B1260" s="105"/>
      <c r="C1260" s="107" t="s">
        <v>1014</v>
      </c>
      <c r="D1260" s="107" t="s">
        <v>478</v>
      </c>
      <c r="E1260" s="124">
        <v>1</v>
      </c>
      <c r="F1260" s="124" t="s">
        <v>251</v>
      </c>
      <c r="G1260" s="124">
        <v>0.87673530496058716</v>
      </c>
      <c r="H1260" s="124" t="s">
        <v>251</v>
      </c>
      <c r="I1260" s="124">
        <v>4.0146788577732385E-2</v>
      </c>
      <c r="J1260" s="124">
        <v>8.3117906461680463E-2</v>
      </c>
      <c r="K1260" s="124" t="s">
        <v>251</v>
      </c>
      <c r="L1260" s="124" t="s">
        <v>251</v>
      </c>
      <c r="M1260" s="124">
        <v>2.8141981927219214E-6</v>
      </c>
      <c r="N1260" s="124" t="s">
        <v>251</v>
      </c>
      <c r="O1260" s="124">
        <v>8.3115092263487747E-2</v>
      </c>
      <c r="P1260" s="124">
        <v>2.5639596894250882E-2</v>
      </c>
      <c r="Q1260" s="124">
        <v>5.7475495369236865E-2</v>
      </c>
      <c r="R1260" s="124"/>
    </row>
    <row r="1261" spans="1:18" ht="15">
      <c r="A1261" s="105">
        <v>17</v>
      </c>
      <c r="B1261" s="105"/>
      <c r="C1261" s="107" t="s">
        <v>336</v>
      </c>
      <c r="D1261" s="107" t="s">
        <v>498</v>
      </c>
      <c r="E1261" s="124">
        <v>1</v>
      </c>
      <c r="F1261" s="124" t="s">
        <v>251</v>
      </c>
      <c r="G1261" s="124">
        <v>0.87037987585411303</v>
      </c>
      <c r="H1261" s="124" t="s">
        <v>251</v>
      </c>
      <c r="I1261" s="124">
        <v>4.0708892909980234E-2</v>
      </c>
      <c r="J1261" s="124">
        <v>8.8911231235906787E-2</v>
      </c>
      <c r="K1261" s="124" t="s">
        <v>251</v>
      </c>
      <c r="L1261" s="124" t="s">
        <v>251</v>
      </c>
      <c r="M1261" s="124">
        <v>2.7937981506519643E-6</v>
      </c>
      <c r="N1261" s="124" t="s">
        <v>251</v>
      </c>
      <c r="O1261" s="124">
        <v>8.890843743775613E-2</v>
      </c>
      <c r="P1261" s="124">
        <v>2.7426745664616236E-2</v>
      </c>
      <c r="Q1261" s="124">
        <v>6.1481691773139897E-2</v>
      </c>
      <c r="R1261" s="124"/>
    </row>
    <row r="1262" spans="1:18" ht="15">
      <c r="A1262" s="105">
        <v>18</v>
      </c>
      <c r="B1262" s="105"/>
      <c r="C1262" s="107" t="s">
        <v>357</v>
      </c>
      <c r="D1262" s="107" t="s">
        <v>1015</v>
      </c>
      <c r="E1262" s="124">
        <v>1</v>
      </c>
      <c r="F1262" s="124" t="s">
        <v>251</v>
      </c>
      <c r="G1262" s="124">
        <v>0.90056535284139505</v>
      </c>
      <c r="H1262" s="124" t="s">
        <v>251</v>
      </c>
      <c r="I1262" s="124">
        <v>9.6354920615722955E-2</v>
      </c>
      <c r="J1262" s="124">
        <v>3.0797265428819981E-3</v>
      </c>
      <c r="K1262" s="124" t="s">
        <v>251</v>
      </c>
      <c r="L1262" s="124" t="s">
        <v>251</v>
      </c>
      <c r="M1262" s="124">
        <v>2.8906893267040988E-6</v>
      </c>
      <c r="N1262" s="124" t="s">
        <v>251</v>
      </c>
      <c r="O1262" s="124">
        <v>3.0768358535552941E-3</v>
      </c>
      <c r="P1262" s="124">
        <v>9.4915169852481424E-4</v>
      </c>
      <c r="Q1262" s="124">
        <v>2.1276841550304797E-3</v>
      </c>
      <c r="R1262" s="124"/>
    </row>
    <row r="1263" spans="1:18" ht="15">
      <c r="A1263" s="105">
        <v>19</v>
      </c>
      <c r="B1263" s="105"/>
      <c r="C1263" s="107" t="s">
        <v>1016</v>
      </c>
      <c r="D1263" s="107" t="s">
        <v>500</v>
      </c>
      <c r="E1263" s="124">
        <v>1</v>
      </c>
      <c r="F1263" s="124" t="s">
        <v>251</v>
      </c>
      <c r="G1263" s="124">
        <v>0.90334479649938704</v>
      </c>
      <c r="H1263" s="124" t="s">
        <v>251</v>
      </c>
      <c r="I1263" s="124">
        <v>9.6652303889659383E-2</v>
      </c>
      <c r="J1263" s="124">
        <v>2.8996109536476439E-6</v>
      </c>
      <c r="K1263" s="124" t="s">
        <v>251</v>
      </c>
      <c r="L1263" s="124" t="s">
        <v>251</v>
      </c>
      <c r="M1263" s="124">
        <v>2.8996109536476439E-6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0.88827240123189766</v>
      </c>
      <c r="H1264" s="124" t="s">
        <v>251</v>
      </c>
      <c r="I1264" s="124">
        <v>5.3304937354144502E-2</v>
      </c>
      <c r="J1264" s="124">
        <v>5.8422661413957883E-2</v>
      </c>
      <c r="K1264" s="124" t="s">
        <v>251</v>
      </c>
      <c r="L1264" s="124" t="s">
        <v>251</v>
      </c>
      <c r="M1264" s="124">
        <v>5.2163779395184109E-5</v>
      </c>
      <c r="N1264" s="124" t="s">
        <v>251</v>
      </c>
      <c r="O1264" s="124">
        <v>5.8370497634562701E-2</v>
      </c>
      <c r="P1264" s="124">
        <v>1.8189893112289055E-2</v>
      </c>
      <c r="Q1264" s="124">
        <v>4.018060452227365E-2</v>
      </c>
      <c r="R1264" s="124"/>
    </row>
    <row r="1265" spans="1:18" ht="15">
      <c r="A1265" s="105">
        <v>21</v>
      </c>
      <c r="B1265" s="105"/>
      <c r="C1265" s="107" t="s">
        <v>1018</v>
      </c>
      <c r="D1265" s="107" t="s">
        <v>510</v>
      </c>
      <c r="E1265" s="124">
        <v>1</v>
      </c>
      <c r="F1265" s="124" t="s">
        <v>251</v>
      </c>
      <c r="G1265" s="124">
        <v>0.89638134513413836</v>
      </c>
      <c r="H1265" s="124" t="s">
        <v>251</v>
      </c>
      <c r="I1265" s="124">
        <v>4.7706876021230603E-2</v>
      </c>
      <c r="J1265" s="124">
        <v>5.5911778844631069E-2</v>
      </c>
      <c r="K1265" s="124" t="s">
        <v>251</v>
      </c>
      <c r="L1265" s="124" t="s">
        <v>251</v>
      </c>
      <c r="M1265" s="124">
        <v>7.2619043452877178E-5</v>
      </c>
      <c r="N1265" s="124" t="s">
        <v>251</v>
      </c>
      <c r="O1265" s="124">
        <v>5.5839159801178193E-2</v>
      </c>
      <c r="P1265" s="124">
        <v>1.7586948223919988E-2</v>
      </c>
      <c r="Q1265" s="124">
        <v>3.8252211577258201E-2</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0.3084830467728939</v>
      </c>
      <c r="Q1267" s="124">
        <v>0.69151695322710605</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0.30848304677289379</v>
      </c>
      <c r="Q1269" s="124">
        <v>0.69151695322710627</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0.30848304677289379</v>
      </c>
      <c r="Q1270" s="124">
        <v>0.69151695322710616</v>
      </c>
      <c r="R1270" s="124"/>
    </row>
    <row r="1271" spans="1:18" ht="15">
      <c r="A1271" s="105">
        <v>27</v>
      </c>
      <c r="B1271" s="105"/>
      <c r="C1271" s="107" t="s">
        <v>1027</v>
      </c>
      <c r="D1271" s="107" t="s">
        <v>1028</v>
      </c>
      <c r="E1271" s="124">
        <v>1</v>
      </c>
      <c r="F1271" s="124" t="s">
        <v>251</v>
      </c>
      <c r="G1271" s="124">
        <v>0.9522071248992201</v>
      </c>
      <c r="H1271" s="124" t="s">
        <v>251</v>
      </c>
      <c r="I1271" s="124">
        <v>4.4508718271152138E-2</v>
      </c>
      <c r="J1271" s="124">
        <v>3.2841568296277787E-3</v>
      </c>
      <c r="K1271" s="124" t="s">
        <v>251</v>
      </c>
      <c r="L1271" s="124" t="s">
        <v>251</v>
      </c>
      <c r="M1271" s="124">
        <v>3.0564522209001091E-6</v>
      </c>
      <c r="N1271" s="124" t="s">
        <v>251</v>
      </c>
      <c r="O1271" s="124">
        <v>3.2811003774068787E-3</v>
      </c>
      <c r="P1271" s="124">
        <v>1.0121638411901657E-3</v>
      </c>
      <c r="Q1271" s="124">
        <v>2.268936536216713E-3</v>
      </c>
      <c r="R1271" s="124"/>
    </row>
    <row r="1272" spans="1:18" ht="15">
      <c r="A1272" s="105">
        <v>28</v>
      </c>
      <c r="B1272" s="105"/>
      <c r="C1272" s="107" t="s">
        <v>1154</v>
      </c>
      <c r="D1272" s="107" t="s">
        <v>459</v>
      </c>
      <c r="E1272" s="124">
        <v>1</v>
      </c>
      <c r="F1272" s="124" t="s">
        <v>251</v>
      </c>
      <c r="G1272" s="124">
        <v>0.12268550952560241</v>
      </c>
      <c r="H1272" s="124" t="s">
        <v>251</v>
      </c>
      <c r="I1272" s="124">
        <v>0.87731409667100313</v>
      </c>
      <c r="J1272" s="124">
        <v>3.9380339450986203E-7</v>
      </c>
      <c r="K1272" s="124" t="s">
        <v>251</v>
      </c>
      <c r="L1272" s="124" t="s">
        <v>251</v>
      </c>
      <c r="M1272" s="124">
        <v>3.9380339450986203E-7</v>
      </c>
      <c r="N1272" s="124" t="s">
        <v>251</v>
      </c>
      <c r="O1272" s="124">
        <v>0</v>
      </c>
      <c r="P1272" s="124">
        <v>0</v>
      </c>
      <c r="Q1272" s="124">
        <v>0</v>
      </c>
      <c r="R1272" s="124"/>
    </row>
    <row r="1273" spans="1:18" ht="15">
      <c r="A1273" s="105">
        <v>29</v>
      </c>
      <c r="B1273" s="105"/>
      <c r="C1273" s="107" t="s">
        <v>1030</v>
      </c>
      <c r="D1273" s="107" t="s">
        <v>659</v>
      </c>
      <c r="E1273" s="124">
        <v>1.0000000000000002</v>
      </c>
      <c r="F1273" s="124" t="s">
        <v>251</v>
      </c>
      <c r="G1273" s="124">
        <v>0.92885603580226939</v>
      </c>
      <c r="H1273" s="124" t="s">
        <v>251</v>
      </c>
      <c r="I1273" s="124">
        <v>7.1028992834000423E-2</v>
      </c>
      <c r="J1273" s="124">
        <v>1.1497136373032401E-4</v>
      </c>
      <c r="K1273" s="124" t="s">
        <v>251</v>
      </c>
      <c r="L1273" s="124" t="s">
        <v>251</v>
      </c>
      <c r="M1273" s="124">
        <v>1.1497136373032401E-4</v>
      </c>
      <c r="N1273" s="124" t="s">
        <v>251</v>
      </c>
      <c r="O1273" s="124">
        <v>0</v>
      </c>
      <c r="P1273" s="124">
        <v>0</v>
      </c>
      <c r="Q1273" s="124">
        <v>0</v>
      </c>
      <c r="R1273" s="124"/>
    </row>
    <row r="1274" spans="1:18" ht="15">
      <c r="A1274" s="105">
        <v>30</v>
      </c>
      <c r="B1274" s="105"/>
      <c r="C1274" s="107" t="s">
        <v>439</v>
      </c>
      <c r="D1274" s="107" t="s">
        <v>717</v>
      </c>
      <c r="E1274" s="124">
        <v>1</v>
      </c>
      <c r="F1274" s="124" t="s">
        <v>251</v>
      </c>
      <c r="G1274" s="124">
        <v>0.89021033187191001</v>
      </c>
      <c r="H1274" s="124" t="s">
        <v>251</v>
      </c>
      <c r="I1274" s="124">
        <v>4.8887004319770028E-2</v>
      </c>
      <c r="J1274" s="124">
        <v>6.0902663808319997E-2</v>
      </c>
      <c r="K1274" s="124" t="s">
        <v>251</v>
      </c>
      <c r="L1274" s="124" t="s">
        <v>251</v>
      </c>
      <c r="M1274" s="124">
        <v>7.2791268454043298E-5</v>
      </c>
      <c r="N1274" s="124" t="s">
        <v>251</v>
      </c>
      <c r="O1274" s="124">
        <v>6.0829872539865951E-2</v>
      </c>
      <c r="P1274" s="124">
        <v>1.9030442800240556E-2</v>
      </c>
      <c r="Q1274" s="124">
        <v>4.1799429739625395E-2</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0.93596695231278726</v>
      </c>
      <c r="H1276" s="124" t="s">
        <v>251</v>
      </c>
      <c r="I1276" s="124">
        <v>0</v>
      </c>
      <c r="J1276" s="124">
        <v>6.403304768721281E-2</v>
      </c>
      <c r="K1276" s="124" t="s">
        <v>251</v>
      </c>
      <c r="L1276" s="124" t="s">
        <v>251</v>
      </c>
      <c r="M1276" s="124">
        <v>7.6532724066064774E-5</v>
      </c>
      <c r="N1276" s="124" t="s">
        <v>251</v>
      </c>
      <c r="O1276" s="124">
        <v>6.3956514963146749E-2</v>
      </c>
      <c r="P1276" s="124">
        <v>2.0008603485256876E-2</v>
      </c>
      <c r="Q1276" s="124">
        <v>4.3947911477889866E-2</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1</v>
      </c>
      <c r="F1278" s="124" t="s">
        <v>251</v>
      </c>
      <c r="G1278" s="124">
        <v>0.86992665182713402</v>
      </c>
      <c r="H1278" s="124" t="s">
        <v>251</v>
      </c>
      <c r="I1278" s="124">
        <v>4.0861287681321509E-2</v>
      </c>
      <c r="J1278" s="124">
        <v>8.9212060491544579E-2</v>
      </c>
      <c r="K1278" s="124" t="s">
        <v>251</v>
      </c>
      <c r="L1278" s="124" t="s">
        <v>251</v>
      </c>
      <c r="M1278" s="124">
        <v>2.7923433646630736E-6</v>
      </c>
      <c r="N1278" s="124" t="s">
        <v>251</v>
      </c>
      <c r="O1278" s="124">
        <v>8.9209268148179921E-2</v>
      </c>
      <c r="P1278" s="124">
        <v>2.7519546838730619E-2</v>
      </c>
      <c r="Q1278" s="124">
        <v>6.1689721309449302E-2</v>
      </c>
      <c r="R1278" s="124"/>
    </row>
    <row r="1279" spans="1:18" ht="15">
      <c r="A1279" s="105">
        <v>35</v>
      </c>
      <c r="B1279" s="105"/>
      <c r="C1279" s="107" t="s">
        <v>1035</v>
      </c>
      <c r="D1279" s="107" t="s">
        <v>600</v>
      </c>
      <c r="E1279" s="124">
        <v>0.99999999999999989</v>
      </c>
      <c r="F1279" s="124" t="s">
        <v>251</v>
      </c>
      <c r="G1279" s="124">
        <v>0.87460987347947672</v>
      </c>
      <c r="H1279" s="124" t="s">
        <v>251</v>
      </c>
      <c r="I1279" s="124">
        <v>4.0055561569659441E-2</v>
      </c>
      <c r="J1279" s="124">
        <v>8.5334564950863806E-2</v>
      </c>
      <c r="K1279" s="124" t="s">
        <v>251</v>
      </c>
      <c r="L1279" s="124" t="s">
        <v>251</v>
      </c>
      <c r="M1279" s="124">
        <v>2.807375853757067E-6</v>
      </c>
      <c r="N1279" s="124" t="s">
        <v>251</v>
      </c>
      <c r="O1279" s="124">
        <v>8.5331757575010048E-2</v>
      </c>
      <c r="P1279" s="124">
        <v>2.6323400563225064E-2</v>
      </c>
      <c r="Q1279" s="124">
        <v>5.9008357011784987E-2</v>
      </c>
      <c r="R1279" s="124"/>
    </row>
    <row r="1280" spans="1:18" ht="15">
      <c r="A1280" s="105">
        <v>36</v>
      </c>
      <c r="B1280" s="105"/>
      <c r="C1280" s="107" t="s">
        <v>1036</v>
      </c>
      <c r="D1280" s="107" t="s">
        <v>615</v>
      </c>
      <c r="E1280" s="124">
        <v>1</v>
      </c>
      <c r="F1280" s="124" t="s">
        <v>251</v>
      </c>
      <c r="G1280" s="124">
        <v>0.87252523790764758</v>
      </c>
      <c r="H1280" s="124" t="s">
        <v>251</v>
      </c>
      <c r="I1280" s="124">
        <v>3.9954611387855207E-2</v>
      </c>
      <c r="J1280" s="124">
        <v>8.7520150704497215E-2</v>
      </c>
      <c r="K1280" s="124" t="s">
        <v>251</v>
      </c>
      <c r="L1280" s="124" t="s">
        <v>251</v>
      </c>
      <c r="M1280" s="124">
        <v>2.8006844639778121E-6</v>
      </c>
      <c r="N1280" s="124" t="s">
        <v>251</v>
      </c>
      <c r="O1280" s="124">
        <v>8.7517350020033233E-2</v>
      </c>
      <c r="P1280" s="124">
        <v>2.6997618779669628E-2</v>
      </c>
      <c r="Q1280" s="124">
        <v>6.0519731240363604E-2</v>
      </c>
      <c r="R1280" s="124"/>
    </row>
    <row r="1281" spans="1:18" ht="15">
      <c r="A1281" s="105">
        <v>37</v>
      </c>
      <c r="B1281" s="105"/>
      <c r="C1281" s="107" t="s">
        <v>1037</v>
      </c>
      <c r="D1281" s="107" t="s">
        <v>656</v>
      </c>
      <c r="E1281" s="124">
        <v>1</v>
      </c>
      <c r="F1281" s="124" t="s">
        <v>251</v>
      </c>
      <c r="G1281" s="124">
        <v>0.94918700662957922</v>
      </c>
      <c r="H1281" s="124" t="s">
        <v>251</v>
      </c>
      <c r="I1281" s="124">
        <v>3.540114767685177E-2</v>
      </c>
      <c r="J1281" s="124">
        <v>1.5411845693569012E-2</v>
      </c>
      <c r="K1281" s="124" t="s">
        <v>251</v>
      </c>
      <c r="L1281" s="124" t="s">
        <v>251</v>
      </c>
      <c r="M1281" s="124">
        <v>2.0801556433218769E-3</v>
      </c>
      <c r="N1281" s="124" t="s">
        <v>251</v>
      </c>
      <c r="O1281" s="124">
        <v>1.3331690050247135E-2</v>
      </c>
      <c r="P1281" s="124">
        <v>1.3331690050247135E-2</v>
      </c>
      <c r="Q1281" s="124">
        <v>0</v>
      </c>
      <c r="R1281" s="124"/>
    </row>
    <row r="1282" spans="1:18" ht="15">
      <c r="A1282" s="105">
        <v>38</v>
      </c>
      <c r="B1282" s="105"/>
      <c r="C1282" s="107" t="s">
        <v>1038</v>
      </c>
      <c r="D1282" s="107" t="s">
        <v>661</v>
      </c>
      <c r="E1282" s="124">
        <v>1</v>
      </c>
      <c r="F1282" s="124" t="s">
        <v>251</v>
      </c>
      <c r="G1282" s="124">
        <v>0.97771549792152235</v>
      </c>
      <c r="H1282" s="124" t="s">
        <v>251</v>
      </c>
      <c r="I1282" s="124">
        <v>2.2284502078477642E-2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0.97004902752683242</v>
      </c>
      <c r="H1283" s="124" t="s">
        <v>251</v>
      </c>
      <c r="I1283" s="124">
        <v>2.9950972473167629E-2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0.94904375548119257</v>
      </c>
      <c r="H1284" s="124" t="s">
        <v>251</v>
      </c>
      <c r="I1284" s="124">
        <v>4.6692112692405453E-2</v>
      </c>
      <c r="J1284" s="124">
        <v>4.2641318264019989E-3</v>
      </c>
      <c r="K1284" s="124" t="s">
        <v>251</v>
      </c>
      <c r="L1284" s="124" t="s">
        <v>251</v>
      </c>
      <c r="M1284" s="124">
        <v>5.1821764026785209E-5</v>
      </c>
      <c r="N1284" s="124" t="s">
        <v>251</v>
      </c>
      <c r="O1284" s="124">
        <v>4.2123100623752139E-3</v>
      </c>
      <c r="P1284" s="124">
        <v>7.794102106443054E-4</v>
      </c>
      <c r="Q1284" s="124">
        <v>3.4328998517309086E-3</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1.0000000000000002</v>
      </c>
      <c r="F1286" s="124" t="s">
        <v>251</v>
      </c>
      <c r="G1286" s="124">
        <v>0.96539489459625016</v>
      </c>
      <c r="H1286" s="124" t="s">
        <v>251</v>
      </c>
      <c r="I1286" s="124">
        <v>3.4595409541601958E-2</v>
      </c>
      <c r="J1286" s="124">
        <v>9.6958621480122186E-6</v>
      </c>
      <c r="K1286" s="124" t="s">
        <v>251</v>
      </c>
      <c r="L1286" s="124" t="s">
        <v>251</v>
      </c>
      <c r="M1286" s="124">
        <v>9.6958621480122186E-6</v>
      </c>
      <c r="N1286" s="124" t="s">
        <v>251</v>
      </c>
      <c r="O1286" s="124">
        <v>0</v>
      </c>
      <c r="P1286" s="124">
        <v>0</v>
      </c>
      <c r="Q1286" s="124">
        <v>0</v>
      </c>
      <c r="R1286" s="124"/>
    </row>
    <row r="1287" spans="1:18" ht="15">
      <c r="A1287" s="105">
        <v>43</v>
      </c>
      <c r="B1287" s="105"/>
      <c r="C1287" s="107" t="s">
        <v>1043</v>
      </c>
      <c r="D1287" s="107" t="s">
        <v>693</v>
      </c>
      <c r="E1287" s="124">
        <v>1</v>
      </c>
      <c r="F1287" s="124" t="s">
        <v>251</v>
      </c>
      <c r="G1287" s="124">
        <v>0.94943492291049292</v>
      </c>
      <c r="H1287" s="124" t="s">
        <v>251</v>
      </c>
      <c r="I1287" s="124">
        <v>4.9653258630981009E-2</v>
      </c>
      <c r="J1287" s="124">
        <v>9.1181845852609557E-4</v>
      </c>
      <c r="K1287" s="124" t="s">
        <v>251</v>
      </c>
      <c r="L1287" s="124" t="s">
        <v>251</v>
      </c>
      <c r="M1287" s="124">
        <v>6.5882836598706323E-6</v>
      </c>
      <c r="N1287" s="124" t="s">
        <v>251</v>
      </c>
      <c r="O1287" s="124">
        <v>9.0523017486622494E-4</v>
      </c>
      <c r="P1287" s="124">
        <v>4.6908579658278904E-4</v>
      </c>
      <c r="Q1287" s="124">
        <v>4.3614437828343584E-4</v>
      </c>
      <c r="R1287" s="124"/>
    </row>
    <row r="1288" spans="1:18" ht="15">
      <c r="A1288" s="105">
        <v>44</v>
      </c>
      <c r="B1288" s="105"/>
      <c r="C1288" s="107" t="s">
        <v>1044</v>
      </c>
      <c r="D1288" s="107" t="s">
        <v>703</v>
      </c>
      <c r="E1288" s="124">
        <v>1</v>
      </c>
      <c r="F1288" s="124" t="s">
        <v>251</v>
      </c>
      <c r="G1288" s="124">
        <v>0.99817548500525233</v>
      </c>
      <c r="H1288" s="124" t="s">
        <v>251</v>
      </c>
      <c r="I1288" s="124">
        <v>1.8243203867342975E-3</v>
      </c>
      <c r="J1288" s="124">
        <v>1.9460801337705411E-7</v>
      </c>
      <c r="K1288" s="124" t="s">
        <v>251</v>
      </c>
      <c r="L1288" s="124" t="s">
        <v>251</v>
      </c>
      <c r="M1288" s="124">
        <v>1.9460801337705411E-7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0.93094295067354349</v>
      </c>
      <c r="H1289" s="124" t="s">
        <v>251</v>
      </c>
      <c r="I1289" s="124">
        <v>6.6433075211108528E-2</v>
      </c>
      <c r="J1289" s="124">
        <v>2.6239741153480656E-3</v>
      </c>
      <c r="K1289" s="124" t="s">
        <v>251</v>
      </c>
      <c r="L1289" s="124" t="s">
        <v>251</v>
      </c>
      <c r="M1289" s="124">
        <v>2.212011502255749E-4</v>
      </c>
      <c r="N1289" s="124" t="s">
        <v>251</v>
      </c>
      <c r="O1289" s="124">
        <v>2.4027729651224907E-3</v>
      </c>
      <c r="P1289" s="124">
        <v>1.5535929692306839E-3</v>
      </c>
      <c r="Q1289" s="124">
        <v>8.4917999589180656E-4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5.1073574787019398E-2</v>
      </c>
      <c r="J1292" s="124">
        <v>5.4482354073554811E-6</v>
      </c>
      <c r="K1292" s="124" t="s">
        <v>251</v>
      </c>
      <c r="L1292" s="124" t="s">
        <v>251</v>
      </c>
      <c r="M1292" s="124">
        <v>5.4482354073554811E-6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0.30999462542603756</v>
      </c>
      <c r="Q1293" s="124">
        <v>0.69000537457396249</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0.89131621775160141</v>
      </c>
      <c r="H1295" s="124" t="s">
        <v>251</v>
      </c>
      <c r="I1295" s="124">
        <v>4.2138393437768401E-2</v>
      </c>
      <c r="J1295" s="124">
        <v>6.6545388810630171E-2</v>
      </c>
      <c r="K1295" s="124" t="s">
        <v>251</v>
      </c>
      <c r="L1295" s="124" t="s">
        <v>251</v>
      </c>
      <c r="M1295" s="124">
        <v>2.2235977496383359E-6</v>
      </c>
      <c r="N1295" s="124" t="s">
        <v>251</v>
      </c>
      <c r="O1295" s="124">
        <v>6.6543165212880534E-2</v>
      </c>
      <c r="P1295" s="124">
        <v>2.0628023574829832E-2</v>
      </c>
      <c r="Q1295" s="124">
        <v>4.5915141638050695E-2</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0.95485531257036804</v>
      </c>
      <c r="H1297" s="124" t="s">
        <v>251</v>
      </c>
      <c r="I1297" s="124">
        <v>4.514230531867959E-2</v>
      </c>
      <c r="J1297" s="124">
        <v>2.3821109522921226E-6</v>
      </c>
      <c r="K1297" s="124" t="s">
        <v>251</v>
      </c>
      <c r="L1297" s="124" t="s">
        <v>251</v>
      </c>
      <c r="M1297" s="124">
        <v>2.3821109522921226E-6</v>
      </c>
      <c r="N1297" s="124" t="s">
        <v>251</v>
      </c>
      <c r="O1297" s="124">
        <v>0</v>
      </c>
      <c r="P1297" s="124">
        <v>0</v>
      </c>
      <c r="Q1297" s="124">
        <v>0</v>
      </c>
      <c r="R1297" s="124"/>
    </row>
    <row r="1298" spans="1:18" ht="15">
      <c r="A1298" s="105">
        <v>7</v>
      </c>
      <c r="B1298" s="105"/>
      <c r="C1298" s="107" t="s">
        <v>1056</v>
      </c>
      <c r="D1298" s="107" t="s">
        <v>747</v>
      </c>
      <c r="E1298" s="124">
        <v>1</v>
      </c>
      <c r="F1298" s="124" t="s">
        <v>251</v>
      </c>
      <c r="G1298" s="124">
        <v>0.99786233100753829</v>
      </c>
      <c r="H1298" s="124" t="s">
        <v>251</v>
      </c>
      <c r="I1298" s="124">
        <v>0</v>
      </c>
      <c r="J1298" s="124">
        <v>2.1376689924616533E-3</v>
      </c>
      <c r="K1298" s="124" t="s">
        <v>251</v>
      </c>
      <c r="L1298" s="124" t="s">
        <v>251</v>
      </c>
      <c r="M1298" s="124">
        <v>0</v>
      </c>
      <c r="N1298" s="124" t="s">
        <v>251</v>
      </c>
      <c r="O1298" s="124">
        <v>2.1376689924616533E-3</v>
      </c>
      <c r="P1298" s="124">
        <v>1.9874678083926568E-3</v>
      </c>
      <c r="Q1298" s="124">
        <v>1.5020118406899649E-4</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1</v>
      </c>
      <c r="F1301" s="124" t="s">
        <v>251</v>
      </c>
      <c r="G1301" s="124">
        <v>0.8939043841548967</v>
      </c>
      <c r="H1301" s="124" t="s">
        <v>251</v>
      </c>
      <c r="I1301" s="124">
        <v>4.6328017304256529E-2</v>
      </c>
      <c r="J1301" s="124">
        <v>5.9767598540846831E-2</v>
      </c>
      <c r="K1301" s="124" t="s">
        <v>251</v>
      </c>
      <c r="L1301" s="124" t="s">
        <v>251</v>
      </c>
      <c r="M1301" s="124">
        <v>8.5980958697316696E-5</v>
      </c>
      <c r="N1301" s="124" t="s">
        <v>251</v>
      </c>
      <c r="O1301" s="124">
        <v>5.9681617582149515E-2</v>
      </c>
      <c r="P1301" s="124">
        <v>1.8674072018361219E-2</v>
      </c>
      <c r="Q1301" s="124">
        <v>4.1007545563788293E-2</v>
      </c>
      <c r="R1301" s="124"/>
    </row>
    <row r="1302" spans="1:18" ht="15">
      <c r="A1302" s="105">
        <v>11</v>
      </c>
      <c r="B1302" s="105"/>
      <c r="C1302" s="107" t="s">
        <v>547</v>
      </c>
      <c r="D1302" s="107" t="s">
        <v>782</v>
      </c>
      <c r="E1302" s="124">
        <v>0.999999999999997</v>
      </c>
      <c r="F1302" s="124" t="s">
        <v>251</v>
      </c>
      <c r="G1302" s="124">
        <v>0.89287084438291997</v>
      </c>
      <c r="H1302" s="124" t="s">
        <v>251</v>
      </c>
      <c r="I1302" s="124">
        <v>4.5467361092526214E-2</v>
      </c>
      <c r="J1302" s="124">
        <v>6.166179452455442E-2</v>
      </c>
      <c r="K1302" s="124" t="s">
        <v>251</v>
      </c>
      <c r="L1302" s="124" t="s">
        <v>251</v>
      </c>
      <c r="M1302" s="124">
        <v>8.3150358938964815E-5</v>
      </c>
      <c r="N1302" s="124" t="s">
        <v>251</v>
      </c>
      <c r="O1302" s="124">
        <v>6.1578644165615412E-2</v>
      </c>
      <c r="P1302" s="124">
        <v>1.9263095290536113E-2</v>
      </c>
      <c r="Q1302" s="124">
        <v>4.2315548875079351E-2</v>
      </c>
      <c r="R1302" s="124"/>
    </row>
    <row r="1303" spans="1:18" ht="15">
      <c r="A1303" s="105">
        <v>12</v>
      </c>
      <c r="B1303" s="105"/>
      <c r="C1303" s="107" t="s">
        <v>1059</v>
      </c>
      <c r="D1303" s="107" t="s">
        <v>786</v>
      </c>
      <c r="E1303" s="124">
        <v>1</v>
      </c>
      <c r="F1303" s="124" t="s">
        <v>251</v>
      </c>
      <c r="G1303" s="124">
        <v>0</v>
      </c>
      <c r="H1303" s="124" t="s">
        <v>251</v>
      </c>
      <c r="I1303" s="124">
        <v>0</v>
      </c>
      <c r="J1303" s="124">
        <v>1</v>
      </c>
      <c r="K1303" s="124" t="s">
        <v>251</v>
      </c>
      <c r="L1303" s="124" t="s">
        <v>251</v>
      </c>
      <c r="M1303" s="124">
        <v>0</v>
      </c>
      <c r="N1303" s="124" t="s">
        <v>251</v>
      </c>
      <c r="O1303" s="124">
        <v>1</v>
      </c>
      <c r="P1303" s="124">
        <v>0.30848304677289384</v>
      </c>
      <c r="Q1303" s="124">
        <v>0.69151695322710627</v>
      </c>
      <c r="R1303" s="124"/>
    </row>
    <row r="1304" spans="1:18" ht="15">
      <c r="A1304" s="105">
        <v>13</v>
      </c>
      <c r="B1304" s="105"/>
      <c r="C1304" s="107" t="s">
        <v>1155</v>
      </c>
      <c r="D1304" s="107" t="s">
        <v>1061</v>
      </c>
      <c r="E1304" s="124">
        <v>1</v>
      </c>
      <c r="F1304" s="124" t="s">
        <v>251</v>
      </c>
      <c r="G1304" s="124">
        <v>0.8942249295165815</v>
      </c>
      <c r="H1304" s="124" t="s">
        <v>251</v>
      </c>
      <c r="I1304" s="124">
        <v>4.4597792954799029E-2</v>
      </c>
      <c r="J1304" s="124">
        <v>6.1177277528619463E-2</v>
      </c>
      <c r="K1304" s="124" t="s">
        <v>251</v>
      </c>
      <c r="L1304" s="124" t="s">
        <v>251</v>
      </c>
      <c r="M1304" s="124">
        <v>7.3098456830267934E-5</v>
      </c>
      <c r="N1304" s="124" t="s">
        <v>251</v>
      </c>
      <c r="O1304" s="124">
        <v>6.1104179071789194E-2</v>
      </c>
      <c r="P1304" s="124">
        <v>1.9116236827304376E-2</v>
      </c>
      <c r="Q1304" s="124">
        <v>4.1987942244484815E-2</v>
      </c>
      <c r="R1304" s="124"/>
    </row>
    <row r="1305" spans="1:18" ht="15">
      <c r="A1305" s="105">
        <v>14</v>
      </c>
      <c r="B1305" s="105"/>
      <c r="C1305" s="107" t="s">
        <v>1062</v>
      </c>
      <c r="D1305" s="107" t="s">
        <v>1063</v>
      </c>
      <c r="E1305" s="124">
        <v>1</v>
      </c>
      <c r="F1305" s="124" t="s">
        <v>251</v>
      </c>
      <c r="G1305" s="124">
        <v>0.8788229498595701</v>
      </c>
      <c r="H1305" s="124" t="s">
        <v>251</v>
      </c>
      <c r="I1305" s="124">
        <v>3.6622670551307371E-2</v>
      </c>
      <c r="J1305" s="124">
        <v>8.4554379589122527E-2</v>
      </c>
      <c r="K1305" s="124" t="s">
        <v>251</v>
      </c>
      <c r="L1305" s="124" t="s">
        <v>251</v>
      </c>
      <c r="M1305" s="124">
        <v>3.8099048970920827E-6</v>
      </c>
      <c r="N1305" s="124" t="s">
        <v>251</v>
      </c>
      <c r="O1305" s="124">
        <v>8.4550569684225432E-2</v>
      </c>
      <c r="P1305" s="124">
        <v>2.6919266026523642E-2</v>
      </c>
      <c r="Q1305" s="124">
        <v>5.7631303657701791E-2</v>
      </c>
      <c r="R1305" s="124"/>
    </row>
    <row r="1306" spans="1:18" ht="15">
      <c r="A1306" s="105">
        <v>15</v>
      </c>
      <c r="B1306" s="105"/>
      <c r="C1306" s="107" t="s">
        <v>1064</v>
      </c>
      <c r="D1306" s="107" t="s">
        <v>1065</v>
      </c>
      <c r="E1306" s="124">
        <v>1</v>
      </c>
      <c r="F1306" s="124" t="s">
        <v>251</v>
      </c>
      <c r="G1306" s="124">
        <v>0.87411207166641081</v>
      </c>
      <c r="H1306" s="124" t="s">
        <v>251</v>
      </c>
      <c r="I1306" s="124">
        <v>3.8095155790386775E-2</v>
      </c>
      <c r="J1306" s="124">
        <v>8.7792772543202335E-2</v>
      </c>
      <c r="K1306" s="124" t="s">
        <v>251</v>
      </c>
      <c r="L1306" s="124" t="s">
        <v>251</v>
      </c>
      <c r="M1306" s="124">
        <v>2.5608459052058693E-6</v>
      </c>
      <c r="N1306" s="124" t="s">
        <v>251</v>
      </c>
      <c r="O1306" s="124">
        <v>8.779021169729713E-2</v>
      </c>
      <c r="P1306" s="124">
        <v>2.7902522272874569E-2</v>
      </c>
      <c r="Q1306" s="124">
        <v>5.988768942442256E-2</v>
      </c>
      <c r="R1306" s="124"/>
    </row>
    <row r="1307" spans="1:18" ht="15">
      <c r="A1307" s="105">
        <v>16</v>
      </c>
      <c r="B1307" s="105"/>
      <c r="C1307" s="107" t="s">
        <v>1066</v>
      </c>
      <c r="D1307" s="107" t="s">
        <v>1067</v>
      </c>
      <c r="E1307" s="124">
        <v>0.99999999999999989</v>
      </c>
      <c r="F1307" s="124" t="s">
        <v>251</v>
      </c>
      <c r="G1307" s="124">
        <v>0.87460987347947672</v>
      </c>
      <c r="H1307" s="124" t="s">
        <v>251</v>
      </c>
      <c r="I1307" s="124">
        <v>4.0055561569659441E-2</v>
      </c>
      <c r="J1307" s="124">
        <v>8.5334564950863806E-2</v>
      </c>
      <c r="K1307" s="124" t="s">
        <v>251</v>
      </c>
      <c r="L1307" s="124" t="s">
        <v>251</v>
      </c>
      <c r="M1307" s="124">
        <v>2.807375853757067E-6</v>
      </c>
      <c r="N1307" s="124" t="s">
        <v>251</v>
      </c>
      <c r="O1307" s="124">
        <v>8.5331757575010048E-2</v>
      </c>
      <c r="P1307" s="124">
        <v>2.6323400563225068E-2</v>
      </c>
      <c r="Q1307" s="124">
        <v>5.9008357011784987E-2</v>
      </c>
      <c r="R1307" s="124"/>
    </row>
    <row r="1308" spans="1:18" ht="15">
      <c r="A1308" s="105">
        <v>17</v>
      </c>
      <c r="B1308" s="105"/>
      <c r="C1308" s="107" t="s">
        <v>1068</v>
      </c>
      <c r="D1308" s="107" t="s">
        <v>1069</v>
      </c>
      <c r="E1308" s="124">
        <v>0.99999999999999989</v>
      </c>
      <c r="F1308" s="124" t="s">
        <v>251</v>
      </c>
      <c r="G1308" s="124">
        <v>0.87593148829504908</v>
      </c>
      <c r="H1308" s="124" t="s">
        <v>251</v>
      </c>
      <c r="I1308" s="124">
        <v>3.9086780549773333E-2</v>
      </c>
      <c r="J1308" s="124">
        <v>8.4981731155177445E-2</v>
      </c>
      <c r="K1308" s="124" t="s">
        <v>251</v>
      </c>
      <c r="L1308" s="124" t="s">
        <v>251</v>
      </c>
      <c r="M1308" s="124">
        <v>3.0720111663600615E-6</v>
      </c>
      <c r="N1308" s="124" t="s">
        <v>251</v>
      </c>
      <c r="O1308" s="124">
        <v>8.4978659144011079E-2</v>
      </c>
      <c r="P1308" s="124">
        <v>2.6439546013276891E-2</v>
      </c>
      <c r="Q1308" s="124">
        <v>5.8539113130734191E-2</v>
      </c>
      <c r="R1308" s="124"/>
    </row>
    <row r="1309" spans="1:18" ht="15">
      <c r="A1309" s="105">
        <v>18</v>
      </c>
      <c r="B1309" s="105"/>
      <c r="C1309" s="107" t="s">
        <v>1070</v>
      </c>
      <c r="D1309" s="107" t="s">
        <v>1071</v>
      </c>
      <c r="E1309" s="124">
        <v>1.0000000000000002</v>
      </c>
      <c r="F1309" s="124" t="s">
        <v>251</v>
      </c>
      <c r="G1309" s="124">
        <v>0.88022817828363753</v>
      </c>
      <c r="H1309" s="124" t="s">
        <v>251</v>
      </c>
      <c r="I1309" s="124">
        <v>3.592959848062089E-2</v>
      </c>
      <c r="J1309" s="124">
        <v>8.3842223235741656E-2</v>
      </c>
      <c r="K1309" s="124" t="s">
        <v>251</v>
      </c>
      <c r="L1309" s="124" t="s">
        <v>251</v>
      </c>
      <c r="M1309" s="124">
        <v>3.9342774973404672E-6</v>
      </c>
      <c r="N1309" s="124" t="s">
        <v>251</v>
      </c>
      <c r="O1309" s="124">
        <v>8.3838288958244314E-2</v>
      </c>
      <c r="P1309" s="124">
        <v>2.6821138634526513E-2</v>
      </c>
      <c r="Q1309" s="124">
        <v>5.7017150323717798E-2</v>
      </c>
      <c r="R1309" s="124"/>
    </row>
    <row r="1310" spans="1:18" ht="15">
      <c r="A1310" s="105">
        <v>19</v>
      </c>
      <c r="B1310" s="105"/>
      <c r="C1310" s="107" t="s">
        <v>1072</v>
      </c>
      <c r="D1310" s="107" t="s">
        <v>1073</v>
      </c>
      <c r="E1310" s="124">
        <v>1</v>
      </c>
      <c r="F1310" s="124" t="s">
        <v>251</v>
      </c>
      <c r="G1310" s="124">
        <v>0.87666514478318225</v>
      </c>
      <c r="H1310" s="124" t="s">
        <v>251</v>
      </c>
      <c r="I1310" s="124">
        <v>3.8654174623993988E-2</v>
      </c>
      <c r="J1310" s="124">
        <v>8.4680680592823701E-2</v>
      </c>
      <c r="K1310" s="124" t="s">
        <v>251</v>
      </c>
      <c r="L1310" s="124" t="s">
        <v>251</v>
      </c>
      <c r="M1310" s="124">
        <v>2.1874396459895532E-6</v>
      </c>
      <c r="N1310" s="124" t="s">
        <v>251</v>
      </c>
      <c r="O1310" s="124">
        <v>8.4678493153177714E-2</v>
      </c>
      <c r="P1310" s="124">
        <v>2.6121879564029886E-2</v>
      </c>
      <c r="Q1310" s="124">
        <v>5.8556613589147821E-2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v>
      </c>
      <c r="F1317" s="124" t="s">
        <v>251</v>
      </c>
      <c r="G1317" s="124">
        <v>0.90334479649938704</v>
      </c>
      <c r="H1317" s="124" t="s">
        <v>251</v>
      </c>
      <c r="I1317" s="124">
        <v>9.6652303889659383E-2</v>
      </c>
      <c r="J1317" s="124">
        <v>2.8996109536476435E-6</v>
      </c>
      <c r="K1317" s="124" t="s">
        <v>251</v>
      </c>
      <c r="L1317" s="124" t="s">
        <v>251</v>
      </c>
      <c r="M1317" s="124">
        <v>2.8996109536476435E-6</v>
      </c>
      <c r="N1317" s="124" t="s">
        <v>251</v>
      </c>
      <c r="O1317" s="124">
        <v>0</v>
      </c>
      <c r="P1317" s="124">
        <v>0</v>
      </c>
      <c r="Q1317" s="124">
        <v>0</v>
      </c>
      <c r="R1317" s="124"/>
    </row>
    <row r="1318" spans="1:18" ht="15">
      <c r="A1318" s="105">
        <v>27</v>
      </c>
      <c r="B1318" s="105"/>
      <c r="C1318" s="107" t="s">
        <v>1088</v>
      </c>
      <c r="D1318" s="107" t="s">
        <v>1089</v>
      </c>
      <c r="E1318" s="124">
        <v>1</v>
      </c>
      <c r="F1318" s="124" t="s">
        <v>251</v>
      </c>
      <c r="G1318" s="124">
        <v>0.9038273578822752</v>
      </c>
      <c r="H1318" s="124" t="s">
        <v>251</v>
      </c>
      <c r="I1318" s="124">
        <v>9.6169756983387297E-2</v>
      </c>
      <c r="J1318" s="124">
        <v>2.88513433758402E-6</v>
      </c>
      <c r="K1318" s="124" t="s">
        <v>251</v>
      </c>
      <c r="L1318" s="124" t="s">
        <v>251</v>
      </c>
      <c r="M1318" s="124">
        <v>2.88513433758402E-6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0.90334479649938704</v>
      </c>
      <c r="H1319" s="124" t="s">
        <v>251</v>
      </c>
      <c r="I1319" s="124">
        <v>9.6652303889659383E-2</v>
      </c>
      <c r="J1319" s="124">
        <v>2.8996109536476439E-6</v>
      </c>
      <c r="K1319" s="124" t="s">
        <v>251</v>
      </c>
      <c r="L1319" s="124" t="s">
        <v>251</v>
      </c>
      <c r="M1319" s="124">
        <v>2.8996109536476439E-6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0.94343446119847041</v>
      </c>
      <c r="H1321" s="124" t="s">
        <v>251</v>
      </c>
      <c r="I1321" s="124">
        <v>5.3065571787789707E-2</v>
      </c>
      <c r="J1321" s="124">
        <v>3.4999670137399524E-3</v>
      </c>
      <c r="K1321" s="124" t="s">
        <v>251</v>
      </c>
      <c r="L1321" s="124" t="s">
        <v>251</v>
      </c>
      <c r="M1321" s="124">
        <v>3.1973991458920524E-4</v>
      </c>
      <c r="N1321" s="124" t="s">
        <v>251</v>
      </c>
      <c r="O1321" s="124">
        <v>3.1802270991507474E-3</v>
      </c>
      <c r="P1321" s="124">
        <v>1.9233506011082093E-3</v>
      </c>
      <c r="Q1321" s="124">
        <v>1.2568764980425379E-3</v>
      </c>
      <c r="R1321" s="124"/>
    </row>
    <row r="1322" spans="1:18" ht="15">
      <c r="A1322" s="105">
        <v>31</v>
      </c>
      <c r="B1322" s="105"/>
      <c r="C1322" s="107" t="s">
        <v>1095</v>
      </c>
      <c r="D1322" s="107" t="s">
        <v>1096</v>
      </c>
      <c r="E1322" s="124">
        <v>1</v>
      </c>
      <c r="F1322" s="124" t="s">
        <v>251</v>
      </c>
      <c r="G1322" s="124">
        <v>0.94250430879615688</v>
      </c>
      <c r="H1322" s="124" t="s">
        <v>251</v>
      </c>
      <c r="I1322" s="124">
        <v>5.6820624597767787E-2</v>
      </c>
      <c r="J1322" s="124">
        <v>6.7506660607529411E-4</v>
      </c>
      <c r="K1322" s="124" t="s">
        <v>251</v>
      </c>
      <c r="L1322" s="124" t="s">
        <v>251</v>
      </c>
      <c r="M1322" s="124">
        <v>1.6780750209847815E-4</v>
      </c>
      <c r="N1322" s="124" t="s">
        <v>251</v>
      </c>
      <c r="O1322" s="124">
        <v>5.0725910397681601E-4</v>
      </c>
      <c r="P1322" s="124">
        <v>5.0611888866508223E-4</v>
      </c>
      <c r="Q1322" s="124">
        <v>1.1402153117337637E-6</v>
      </c>
      <c r="R1322" s="124"/>
    </row>
    <row r="1323" spans="1:18" ht="15">
      <c r="A1323" s="105">
        <v>32</v>
      </c>
      <c r="B1323" s="105"/>
      <c r="C1323" s="107" t="s">
        <v>1097</v>
      </c>
      <c r="D1323" s="107" t="s">
        <v>1098</v>
      </c>
      <c r="E1323" s="124">
        <v>1</v>
      </c>
      <c r="F1323" s="124" t="s">
        <v>251</v>
      </c>
      <c r="G1323" s="124">
        <v>0.94773016852277148</v>
      </c>
      <c r="H1323" s="124" t="s">
        <v>251</v>
      </c>
      <c r="I1323" s="124">
        <v>4.9897714514266243E-2</v>
      </c>
      <c r="J1323" s="124">
        <v>2.3721169629622417E-3</v>
      </c>
      <c r="K1323" s="124" t="s">
        <v>251</v>
      </c>
      <c r="L1323" s="124" t="s">
        <v>251</v>
      </c>
      <c r="M1323" s="124">
        <v>3.4184351589664478E-4</v>
      </c>
      <c r="N1323" s="124" t="s">
        <v>251</v>
      </c>
      <c r="O1323" s="124">
        <v>2.0302734470655968E-3</v>
      </c>
      <c r="P1323" s="124">
        <v>1.8876183040998338E-3</v>
      </c>
      <c r="Q1323" s="124">
        <v>1.4265514296576298E-4</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0.94943492291049292</v>
      </c>
      <c r="H1325" s="124" t="s">
        <v>251</v>
      </c>
      <c r="I1325" s="124">
        <v>4.9653258630981002E-2</v>
      </c>
      <c r="J1325" s="124">
        <v>9.1181845852609535E-4</v>
      </c>
      <c r="K1325" s="124" t="s">
        <v>251</v>
      </c>
      <c r="L1325" s="124" t="s">
        <v>251</v>
      </c>
      <c r="M1325" s="124">
        <v>6.5882836598706315E-6</v>
      </c>
      <c r="N1325" s="124" t="s">
        <v>251</v>
      </c>
      <c r="O1325" s="124">
        <v>9.0523017486622472E-4</v>
      </c>
      <c r="P1325" s="124">
        <v>4.6908579658278899E-4</v>
      </c>
      <c r="Q1325" s="124">
        <v>4.3614437828343573E-4</v>
      </c>
      <c r="R1325" s="124"/>
    </row>
    <row r="1326" spans="1:18" ht="15">
      <c r="A1326" s="105">
        <v>35</v>
      </c>
      <c r="B1326" s="105"/>
      <c r="C1326" s="107" t="s">
        <v>1102</v>
      </c>
      <c r="D1326" s="107" t="s">
        <v>685</v>
      </c>
      <c r="E1326" s="124">
        <v>1</v>
      </c>
      <c r="F1326" s="124" t="s">
        <v>251</v>
      </c>
      <c r="G1326" s="124">
        <v>0.94943492291049292</v>
      </c>
      <c r="H1326" s="124" t="s">
        <v>251</v>
      </c>
      <c r="I1326" s="124">
        <v>4.9653258630981002E-2</v>
      </c>
      <c r="J1326" s="124">
        <v>9.1181845852609535E-4</v>
      </c>
      <c r="K1326" s="124" t="s">
        <v>251</v>
      </c>
      <c r="L1326" s="124" t="s">
        <v>251</v>
      </c>
      <c r="M1326" s="124">
        <v>6.5882836598706315E-6</v>
      </c>
      <c r="N1326" s="124" t="s">
        <v>251</v>
      </c>
      <c r="O1326" s="124">
        <v>9.0523017486622472E-4</v>
      </c>
      <c r="P1326" s="124">
        <v>4.6908579658278893E-4</v>
      </c>
      <c r="Q1326" s="124">
        <v>4.3614437828343573E-4</v>
      </c>
      <c r="R1326" s="124"/>
    </row>
    <row r="1327" spans="1:18" ht="15">
      <c r="A1327" s="105">
        <v>36</v>
      </c>
      <c r="B1327" s="105"/>
      <c r="C1327" s="107" t="s">
        <v>1162</v>
      </c>
      <c r="D1327" s="107" t="s">
        <v>893</v>
      </c>
      <c r="E1327" s="124">
        <v>1</v>
      </c>
      <c r="F1327" s="124" t="s">
        <v>251</v>
      </c>
      <c r="G1327" s="124">
        <v>0.99546919494031882</v>
      </c>
      <c r="H1327" s="124" t="s">
        <v>251</v>
      </c>
      <c r="I1327" s="124">
        <v>4.5303217909909979E-3</v>
      </c>
      <c r="J1327" s="124">
        <v>4.8326869014589446E-7</v>
      </c>
      <c r="K1327" s="124" t="s">
        <v>251</v>
      </c>
      <c r="L1327" s="124" t="s">
        <v>251</v>
      </c>
      <c r="M1327" s="124">
        <v>4.8326869014589446E-7</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0.94943492291049292</v>
      </c>
      <c r="H1328" s="124" t="s">
        <v>251</v>
      </c>
      <c r="I1328" s="124">
        <v>4.9653258630981002E-2</v>
      </c>
      <c r="J1328" s="124">
        <v>9.1181845852609535E-4</v>
      </c>
      <c r="K1328" s="124" t="s">
        <v>251</v>
      </c>
      <c r="L1328" s="124" t="s">
        <v>251</v>
      </c>
      <c r="M1328" s="124">
        <v>6.5882836598706315E-6</v>
      </c>
      <c r="N1328" s="124" t="s">
        <v>251</v>
      </c>
      <c r="O1328" s="124">
        <v>9.0523017486622472E-4</v>
      </c>
      <c r="P1328" s="124">
        <v>4.6908579658278893E-4</v>
      </c>
      <c r="Q1328" s="124">
        <v>4.3614437828343573E-4</v>
      </c>
      <c r="R1328" s="124"/>
    </row>
    <row r="1329" spans="1:18" ht="15">
      <c r="A1329" s="105">
        <v>38</v>
      </c>
      <c r="B1329" s="105"/>
      <c r="C1329" s="107" t="s">
        <v>1106</v>
      </c>
      <c r="D1329" s="107" t="s">
        <v>1107</v>
      </c>
      <c r="E1329" s="124">
        <v>1</v>
      </c>
      <c r="F1329" s="124" t="s">
        <v>251</v>
      </c>
      <c r="G1329" s="124">
        <v>0.94892097697757327</v>
      </c>
      <c r="H1329" s="124" t="s">
        <v>251</v>
      </c>
      <c r="I1329" s="124">
        <v>5.1073574787019398E-2</v>
      </c>
      <c r="J1329" s="124">
        <v>5.4482354073554811E-6</v>
      </c>
      <c r="K1329" s="124" t="s">
        <v>251</v>
      </c>
      <c r="L1329" s="124" t="s">
        <v>251</v>
      </c>
      <c r="M1329" s="124">
        <v>5.4482354073554811E-6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0.99546919494031882</v>
      </c>
      <c r="H1330" s="124" t="s">
        <v>251</v>
      </c>
      <c r="I1330" s="124">
        <v>4.5303217909909979E-3</v>
      </c>
      <c r="J1330" s="124">
        <v>4.8326869014589446E-7</v>
      </c>
      <c r="K1330" s="124" t="s">
        <v>251</v>
      </c>
      <c r="L1330" s="124" t="s">
        <v>251</v>
      </c>
      <c r="M1330" s="124">
        <v>4.8326869014589446E-7</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0.9004648727724891</v>
      </c>
      <c r="H1331" s="124" t="s">
        <v>251</v>
      </c>
      <c r="I1331" s="124">
        <v>4.8722964284334008E-2</v>
      </c>
      <c r="J1331" s="124">
        <v>5.0812162943176947E-2</v>
      </c>
      <c r="K1331" s="124" t="s">
        <v>251</v>
      </c>
      <c r="L1331" s="124" t="s">
        <v>251</v>
      </c>
      <c r="M1331" s="124">
        <v>7.1695159538128229E-5</v>
      </c>
      <c r="N1331" s="124" t="s">
        <v>251</v>
      </c>
      <c r="O1331" s="124">
        <v>5.0740467783638818E-2</v>
      </c>
      <c r="P1331" s="124">
        <v>1.6151236773552836E-2</v>
      </c>
      <c r="Q1331" s="124">
        <v>3.4589231010085986E-2</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0.99999999999999978</v>
      </c>
      <c r="F1335" s="124" t="s">
        <v>251</v>
      </c>
      <c r="G1335" s="124">
        <v>0.90729427075260005</v>
      </c>
      <c r="H1335" s="124" t="s">
        <v>251</v>
      </c>
      <c r="I1335" s="124">
        <v>4.5123516112413067E-2</v>
      </c>
      <c r="J1335" s="124">
        <v>4.7582213134986708E-2</v>
      </c>
      <c r="K1335" s="124" t="s">
        <v>251</v>
      </c>
      <c r="L1335" s="124" t="s">
        <v>251</v>
      </c>
      <c r="M1335" s="124">
        <v>7.0925387425027351E-5</v>
      </c>
      <c r="N1335" s="124" t="s">
        <v>251</v>
      </c>
      <c r="O1335" s="124">
        <v>4.7511287747561678E-2</v>
      </c>
      <c r="P1335" s="124">
        <v>1.5139746436909249E-2</v>
      </c>
      <c r="Q1335" s="124">
        <v>3.2371541310652431E-2</v>
      </c>
      <c r="R1335" s="124"/>
    </row>
    <row r="1336" spans="1:18" ht="15">
      <c r="A1336" s="105">
        <v>2</v>
      </c>
      <c r="B1336" s="105"/>
      <c r="C1336" s="107" t="s">
        <v>1113</v>
      </c>
      <c r="D1336" s="107" t="s">
        <v>1114</v>
      </c>
      <c r="E1336" s="124">
        <v>1</v>
      </c>
      <c r="F1336" s="124" t="s">
        <v>251</v>
      </c>
      <c r="G1336" s="124">
        <v>0.99808470725497245</v>
      </c>
      <c r="H1336" s="124" t="s">
        <v>251</v>
      </c>
      <c r="I1336" s="124">
        <v>1.9150884543984109E-3</v>
      </c>
      <c r="J1336" s="124">
        <v>2.0429062913612462E-7</v>
      </c>
      <c r="K1336" s="124" t="s">
        <v>251</v>
      </c>
      <c r="L1336" s="124" t="s">
        <v>251</v>
      </c>
      <c r="M1336" s="124">
        <v>2.0429062913612462E-7</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0.99750330359246575</v>
      </c>
      <c r="H1337" s="124" t="s">
        <v>251</v>
      </c>
      <c r="I1337" s="124">
        <v>0</v>
      </c>
      <c r="J1337" s="124">
        <v>2.4966964075341753E-3</v>
      </c>
      <c r="K1337" s="124" t="s">
        <v>251</v>
      </c>
      <c r="L1337" s="124" t="s">
        <v>251</v>
      </c>
      <c r="M1337" s="124">
        <v>3.5979654098177382E-4</v>
      </c>
      <c r="N1337" s="124" t="s">
        <v>251</v>
      </c>
      <c r="O1337" s="124">
        <v>2.1368998665524013E-3</v>
      </c>
      <c r="P1337" s="124">
        <v>1.9867527243498844E-3</v>
      </c>
      <c r="Q1337" s="124">
        <v>1.5014714220251709E-4</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0.31808683098472523</v>
      </c>
      <c r="Q1341" s="124">
        <v>0.68191316901527477</v>
      </c>
      <c r="R1341" s="124"/>
    </row>
    <row r="1342" spans="1:18" ht="15">
      <c r="A1342" s="105">
        <v>8</v>
      </c>
      <c r="B1342" s="105"/>
      <c r="C1342" s="107" t="s">
        <v>1123</v>
      </c>
      <c r="D1342" s="107" t="s">
        <v>1124</v>
      </c>
      <c r="E1342" s="124">
        <v>1</v>
      </c>
      <c r="F1342" s="124" t="s">
        <v>251</v>
      </c>
      <c r="G1342" s="124">
        <v>0.93596680301653934</v>
      </c>
      <c r="H1342" s="124" t="s">
        <v>251</v>
      </c>
      <c r="I1342" s="124">
        <v>0</v>
      </c>
      <c r="J1342" s="124">
        <v>6.4033196983460633E-2</v>
      </c>
      <c r="K1342" s="124" t="s">
        <v>251</v>
      </c>
      <c r="L1342" s="124" t="s">
        <v>251</v>
      </c>
      <c r="M1342" s="124">
        <v>7.6327261195112905E-5</v>
      </c>
      <c r="N1342" s="124" t="s">
        <v>251</v>
      </c>
      <c r="O1342" s="124">
        <v>6.3956869722265525E-2</v>
      </c>
      <c r="P1342" s="124">
        <v>2.0008492751597766E-2</v>
      </c>
      <c r="Q1342" s="124">
        <v>4.3948376970667759E-2</v>
      </c>
      <c r="R1342" s="124"/>
    </row>
    <row r="1343" spans="1:18" ht="15">
      <c r="A1343" s="105">
        <v>9</v>
      </c>
      <c r="B1343" s="105"/>
      <c r="C1343" s="107" t="s">
        <v>1125</v>
      </c>
      <c r="D1343" s="107" t="s">
        <v>728</v>
      </c>
      <c r="E1343" s="124">
        <v>1</v>
      </c>
      <c r="F1343" s="124" t="s">
        <v>251</v>
      </c>
      <c r="G1343" s="124">
        <v>0.95149876552475476</v>
      </c>
      <c r="H1343" s="124" t="s">
        <v>251</v>
      </c>
      <c r="I1343" s="124">
        <v>4.8425119609531914E-2</v>
      </c>
      <c r="J1343" s="124">
        <v>7.6114865713324185E-5</v>
      </c>
      <c r="K1343" s="124" t="s">
        <v>251</v>
      </c>
      <c r="L1343" s="124" t="s">
        <v>251</v>
      </c>
      <c r="M1343" s="124">
        <v>7.6114865713324185E-5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0.95534169690147608</v>
      </c>
      <c r="H1344" s="124" t="s">
        <v>251</v>
      </c>
      <c r="I1344" s="124">
        <v>4.46552365847636E-2</v>
      </c>
      <c r="J1344" s="124">
        <v>3.0665137603565383E-6</v>
      </c>
      <c r="K1344" s="124" t="s">
        <v>251</v>
      </c>
      <c r="L1344" s="124" t="s">
        <v>251</v>
      </c>
      <c r="M1344" s="124">
        <v>3.0665137603565383E-6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C1346" s="104" t="s">
        <v>251</v>
      </c>
      <c r="D1346" s="104" t="s">
        <v>251</v>
      </c>
      <c r="E1346" s="104" t="s">
        <v>251</v>
      </c>
      <c r="F1346" s="104" t="s">
        <v>251</v>
      </c>
      <c r="G1346" s="104" t="s">
        <v>251</v>
      </c>
      <c r="H1346" s="104" t="s">
        <v>251</v>
      </c>
      <c r="I1346" s="104" t="s">
        <v>251</v>
      </c>
      <c r="J1346" s="104" t="s">
        <v>251</v>
      </c>
      <c r="K1346" s="104" t="s">
        <v>251</v>
      </c>
      <c r="L1346" s="104" t="s">
        <v>251</v>
      </c>
      <c r="M1346" s="104" t="s">
        <v>251</v>
      </c>
      <c r="N1346" s="104" t="s">
        <v>251</v>
      </c>
      <c r="O1346" s="104" t="s">
        <v>251</v>
      </c>
      <c r="P1346" s="104" t="s">
        <v>251</v>
      </c>
      <c r="Q1346" s="104" t="s">
        <v>251</v>
      </c>
    </row>
    <row r="1347" spans="1:18" ht="15">
      <c r="A1347" s="105">
        <v>13</v>
      </c>
      <c r="C1347" s="104" t="s">
        <v>251</v>
      </c>
      <c r="D1347" s="104" t="s">
        <v>251</v>
      </c>
      <c r="E1347" s="104" t="s">
        <v>251</v>
      </c>
      <c r="F1347" s="104" t="s">
        <v>251</v>
      </c>
      <c r="G1347" s="104" t="s">
        <v>251</v>
      </c>
      <c r="H1347" s="104" t="s">
        <v>251</v>
      </c>
      <c r="I1347" s="104" t="s">
        <v>251</v>
      </c>
      <c r="J1347" s="104" t="s">
        <v>251</v>
      </c>
      <c r="K1347" s="104" t="s">
        <v>251</v>
      </c>
      <c r="L1347" s="104" t="s">
        <v>251</v>
      </c>
      <c r="M1347" s="104" t="s">
        <v>251</v>
      </c>
      <c r="N1347" s="104" t="s">
        <v>251</v>
      </c>
      <c r="O1347" s="104" t="s">
        <v>251</v>
      </c>
      <c r="P1347" s="104" t="s">
        <v>251</v>
      </c>
      <c r="Q1347" s="104" t="s">
        <v>251</v>
      </c>
    </row>
    <row r="1350" spans="1:18" ht="15">
      <c r="B1350" s="125"/>
      <c r="C1350" s="107"/>
      <c r="D1350" s="119"/>
      <c r="E1350" s="126"/>
      <c r="F1350" s="126"/>
      <c r="G1350" s="126"/>
      <c r="H1350" s="126"/>
      <c r="I1350" s="126"/>
      <c r="J1350" s="126"/>
      <c r="K1350" s="126"/>
      <c r="L1350" s="126"/>
      <c r="M1350" s="126"/>
      <c r="N1350" s="126"/>
      <c r="O1350" s="126"/>
      <c r="P1350" s="126"/>
      <c r="Q1350" s="126"/>
      <c r="R1350" s="126"/>
    </row>
    <row r="1351" spans="1:18" ht="15">
      <c r="B1351" s="125"/>
      <c r="C1351" s="107"/>
      <c r="D1351" s="119"/>
      <c r="E1351" s="126"/>
      <c r="F1351" s="126"/>
      <c r="G1351" s="126"/>
      <c r="H1351" s="126"/>
      <c r="I1351" s="126"/>
      <c r="J1351" s="126"/>
      <c r="K1351" s="126"/>
      <c r="L1351" s="126"/>
      <c r="M1351" s="126"/>
      <c r="N1351" s="126"/>
      <c r="O1351" s="126"/>
      <c r="P1351" s="126"/>
      <c r="Q1351" s="126"/>
      <c r="R1351" s="126"/>
    </row>
    <row r="1352" spans="1:18" ht="15">
      <c r="B1352" s="125"/>
      <c r="C1352" s="107"/>
      <c r="D1352" s="119"/>
      <c r="E1352" s="126"/>
      <c r="F1352" s="126"/>
      <c r="G1352" s="126"/>
      <c r="H1352" s="126"/>
      <c r="I1352" s="126"/>
      <c r="J1352" s="126"/>
      <c r="K1352" s="126"/>
      <c r="L1352" s="126"/>
      <c r="M1352" s="126"/>
      <c r="N1352" s="126"/>
      <c r="O1352" s="126"/>
      <c r="P1352" s="126"/>
      <c r="Q1352" s="126"/>
      <c r="R1352" s="126"/>
    </row>
    <row r="1353" spans="1:18">
      <c r="E1353" s="128"/>
      <c r="F1353" s="128"/>
      <c r="G1353" s="128"/>
      <c r="H1353" s="128"/>
      <c r="I1353" s="128"/>
      <c r="J1353" s="128"/>
      <c r="K1353" s="128"/>
      <c r="L1353" s="128"/>
      <c r="M1353" s="128"/>
      <c r="N1353" s="128"/>
      <c r="O1353" s="128"/>
      <c r="P1353" s="128"/>
      <c r="Q1353" s="128"/>
      <c r="R1353" s="128"/>
    </row>
    <row r="1354" spans="1:18">
      <c r="E1354" s="128"/>
      <c r="F1354" s="128"/>
      <c r="G1354" s="128"/>
      <c r="H1354" s="128"/>
      <c r="I1354" s="128"/>
      <c r="J1354" s="128"/>
      <c r="K1354" s="128"/>
      <c r="L1354" s="128"/>
      <c r="M1354" s="128"/>
      <c r="N1354" s="128"/>
      <c r="O1354" s="128"/>
      <c r="P1354" s="128"/>
      <c r="Q1354" s="128"/>
      <c r="R1354" s="128"/>
    </row>
    <row r="1355" spans="1:18">
      <c r="E1355" s="128"/>
      <c r="F1355" s="128"/>
      <c r="G1355" s="128"/>
      <c r="H1355" s="128"/>
      <c r="I1355" s="128"/>
      <c r="J1355" s="128"/>
      <c r="K1355" s="128"/>
      <c r="L1355" s="128"/>
      <c r="M1355" s="128"/>
      <c r="N1355" s="128"/>
      <c r="O1355" s="128"/>
      <c r="P1355" s="128"/>
      <c r="Q1355" s="128"/>
      <c r="R1355" s="128"/>
    </row>
    <row r="1356" spans="1:18">
      <c r="E1356" s="128"/>
      <c r="F1356" s="128"/>
      <c r="G1356" s="128"/>
      <c r="H1356" s="128"/>
      <c r="I1356" s="128"/>
      <c r="J1356" s="128"/>
      <c r="K1356" s="128"/>
      <c r="L1356" s="128"/>
      <c r="M1356" s="128"/>
      <c r="N1356" s="128"/>
      <c r="O1356" s="128"/>
      <c r="P1356" s="128"/>
      <c r="Q1356" s="128"/>
      <c r="R1356" s="128"/>
    </row>
    <row r="1357" spans="1:18">
      <c r="E1357" s="128"/>
      <c r="F1357" s="128"/>
      <c r="G1357" s="128"/>
      <c r="H1357" s="128"/>
      <c r="I1357" s="128"/>
      <c r="J1357" s="128"/>
      <c r="K1357" s="128"/>
      <c r="L1357" s="128"/>
      <c r="M1357" s="128"/>
      <c r="N1357" s="128"/>
      <c r="O1357" s="128"/>
      <c r="P1357" s="128"/>
      <c r="Q1357" s="128"/>
      <c r="R1357" s="128"/>
    </row>
    <row r="1358" spans="1:18">
      <c r="E1358" s="128"/>
      <c r="F1358" s="128"/>
      <c r="G1358" s="128"/>
      <c r="H1358" s="128"/>
      <c r="I1358" s="128"/>
      <c r="J1358" s="128"/>
      <c r="K1358" s="128"/>
      <c r="L1358" s="128"/>
      <c r="M1358" s="128"/>
      <c r="N1358" s="128"/>
      <c r="O1358" s="128"/>
      <c r="P1358" s="128"/>
      <c r="Q1358" s="128"/>
      <c r="R1358" s="128"/>
    </row>
    <row r="1359" spans="1:18">
      <c r="E1359" s="128"/>
      <c r="F1359" s="128"/>
      <c r="G1359" s="128"/>
      <c r="H1359" s="128"/>
      <c r="I1359" s="128"/>
      <c r="J1359" s="128"/>
      <c r="K1359" s="128"/>
      <c r="L1359" s="128"/>
      <c r="M1359" s="128"/>
      <c r="N1359" s="128"/>
      <c r="O1359" s="128"/>
      <c r="P1359" s="128"/>
      <c r="Q1359" s="128"/>
      <c r="R1359" s="128"/>
    </row>
    <row r="1360" spans="1:18">
      <c r="E1360" s="128"/>
      <c r="F1360" s="128"/>
      <c r="G1360" s="128"/>
      <c r="H1360" s="128"/>
      <c r="I1360" s="128"/>
      <c r="J1360" s="128"/>
      <c r="K1360" s="128"/>
      <c r="L1360" s="128"/>
      <c r="M1360" s="128"/>
      <c r="N1360" s="128"/>
      <c r="O1360" s="128"/>
      <c r="P1360" s="128"/>
      <c r="Q1360" s="128"/>
      <c r="R1360" s="128"/>
    </row>
    <row r="1361" spans="1:18" ht="15">
      <c r="A1361" s="125"/>
      <c r="E1361" s="128"/>
      <c r="F1361" s="128"/>
      <c r="G1361" s="128"/>
      <c r="H1361" s="128"/>
      <c r="I1361" s="128"/>
      <c r="J1361" s="128"/>
      <c r="K1361" s="128"/>
      <c r="L1361" s="128"/>
      <c r="M1361" s="128"/>
      <c r="N1361" s="128"/>
      <c r="O1361" s="128"/>
      <c r="P1361" s="128"/>
      <c r="Q1361" s="128"/>
      <c r="R1361" s="128"/>
    </row>
    <row r="1362" spans="1:18" ht="15">
      <c r="A1362" s="125"/>
      <c r="E1362" s="128"/>
      <c r="F1362" s="128"/>
      <c r="G1362" s="128"/>
      <c r="H1362" s="128"/>
      <c r="I1362" s="128"/>
      <c r="J1362" s="128"/>
      <c r="K1362" s="128"/>
      <c r="L1362" s="128"/>
      <c r="M1362" s="128"/>
      <c r="N1362" s="128"/>
      <c r="O1362" s="128"/>
      <c r="P1362" s="128"/>
      <c r="Q1362" s="128"/>
      <c r="R1362" s="128"/>
    </row>
    <row r="1363" spans="1:18" ht="15">
      <c r="A1363" s="125"/>
      <c r="E1363" s="128"/>
      <c r="F1363" s="128"/>
      <c r="G1363" s="128"/>
      <c r="H1363" s="128"/>
      <c r="I1363" s="128"/>
      <c r="J1363" s="128"/>
      <c r="K1363" s="128"/>
      <c r="L1363" s="128"/>
      <c r="M1363" s="128"/>
      <c r="N1363" s="128"/>
      <c r="O1363" s="128"/>
      <c r="P1363" s="128"/>
      <c r="Q1363" s="128"/>
      <c r="R1363" s="128"/>
    </row>
    <row r="1364" spans="1:18">
      <c r="E1364" s="128"/>
      <c r="F1364" s="128"/>
      <c r="G1364" s="128"/>
      <c r="H1364" s="128"/>
      <c r="I1364" s="128"/>
      <c r="J1364" s="128"/>
      <c r="K1364" s="128"/>
      <c r="L1364" s="128"/>
      <c r="M1364" s="128"/>
      <c r="N1364" s="128"/>
      <c r="O1364" s="128"/>
      <c r="P1364" s="128"/>
      <c r="Q1364" s="128"/>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sheetData>
  <sheetProtection selectLockedCells="1" selectUnlockedCells="1"/>
  <pageMargins left="0.5" right="0.25" top="1" bottom="0.19" header="1" footer="0.4"/>
  <pageSetup scale="41" pageOrder="overThenDown" orientation="landscape" r:id="rId1"/>
  <headerFooter alignWithMargins="0"/>
  <rowBreaks count="29" manualBreakCount="29">
    <brk id="66" min="4" max="16" man="1"/>
    <brk id="116" min="4" max="16" man="1"/>
    <brk id="155" min="4" max="16" man="1"/>
    <brk id="208" min="4" max="16" man="1"/>
    <brk id="235" min="4" max="16" man="1"/>
    <brk id="280" min="4" max="16" man="1"/>
    <brk id="334" min="4" max="16" man="1"/>
    <brk id="381" min="4" max="16" man="1"/>
    <brk id="419" min="4" max="16" man="1"/>
    <brk id="473" min="4" max="16" man="1"/>
    <brk id="533" min="4" max="16" man="1"/>
    <brk id="594" min="4" max="16" man="1"/>
    <brk id="642" min="4" max="16" man="1"/>
    <brk id="690" min="4" max="16" man="1"/>
    <brk id="716" min="4" max="16" man="1"/>
    <brk id="776" min="4" max="16" man="1"/>
    <brk id="821" min="4" max="16" man="1"/>
    <brk id="864" min="4" max="16" man="1"/>
    <brk id="907" min="4" max="16" man="1"/>
    <brk id="966" min="4" max="16" man="1"/>
    <brk id="1001" min="4" max="16" man="1"/>
    <brk id="1050" min="4" max="16" man="1"/>
    <brk id="1093" min="4" max="16" man="1"/>
    <brk id="1125" max="16383" man="1"/>
    <brk id="1146" min="4" max="16" man="1"/>
    <brk id="1205" min="4" max="16" man="1"/>
    <brk id="1241" min="4" max="16" man="1"/>
    <brk id="1289" min="4" max="16" man="1"/>
    <brk id="1331" min="4"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400"/>
  <sheetViews>
    <sheetView view="pageBreakPreview" zoomScale="55" zoomScaleNormal="75" zoomScaleSheetLayoutView="55" workbookViewId="0">
      <selection activeCell="F31" sqref="F31"/>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522"/>
      <c r="D2" s="107"/>
      <c r="E2" s="107"/>
      <c r="G2" s="108" t="s">
        <v>229</v>
      </c>
      <c r="H2" s="107"/>
      <c r="I2" s="107"/>
      <c r="J2" s="107"/>
      <c r="K2" s="107"/>
      <c r="L2" s="107"/>
      <c r="M2" s="107"/>
      <c r="N2" s="103" t="s">
        <v>229</v>
      </c>
      <c r="O2" s="107"/>
      <c r="P2" s="107"/>
      <c r="Q2" s="523"/>
      <c r="R2" s="107"/>
      <c r="S2" s="107"/>
      <c r="T2" s="107"/>
    </row>
    <row r="3" spans="1:20" ht="15">
      <c r="A3" s="105"/>
      <c r="B3" s="105"/>
      <c r="C3" s="524"/>
      <c r="D3" s="107"/>
      <c r="E3" s="107"/>
      <c r="G3" s="108" t="s">
        <v>230</v>
      </c>
      <c r="H3" s="107"/>
      <c r="I3" s="107"/>
      <c r="J3" s="110"/>
      <c r="K3" s="107"/>
      <c r="L3" s="107"/>
      <c r="M3" s="107"/>
      <c r="N3" s="103" t="s">
        <v>230</v>
      </c>
      <c r="O3" s="107"/>
      <c r="P3" s="107"/>
      <c r="Q3" s="525"/>
      <c r="S3" s="107"/>
      <c r="T3" s="107"/>
    </row>
    <row r="4" spans="1:20" ht="15">
      <c r="A4" s="105"/>
      <c r="B4" s="105"/>
      <c r="C4" s="107"/>
      <c r="D4" s="107"/>
      <c r="E4" s="107"/>
      <c r="G4" s="108" t="s">
        <v>231</v>
      </c>
      <c r="H4" s="107"/>
      <c r="I4" s="107"/>
      <c r="J4" s="107"/>
      <c r="K4" s="107"/>
      <c r="L4" s="107"/>
      <c r="M4" s="107"/>
      <c r="N4" s="103" t="s">
        <v>231</v>
      </c>
      <c r="O4" s="107"/>
      <c r="P4" s="107"/>
      <c r="Q4" s="107"/>
      <c r="R4" s="107"/>
      <c r="S4" s="107"/>
      <c r="T4" s="107"/>
    </row>
    <row r="5" spans="1:20" ht="15">
      <c r="A5" s="105"/>
      <c r="B5" s="105"/>
      <c r="C5" s="110" t="s">
        <v>2675</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2549</v>
      </c>
      <c r="H6" s="107"/>
      <c r="I6" s="107"/>
      <c r="J6" s="107"/>
      <c r="K6" s="107"/>
      <c r="L6" s="107"/>
      <c r="M6" s="107"/>
      <c r="N6" s="103" t="s">
        <v>2549</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526">
        <v>-3</v>
      </c>
      <c r="J11" s="526">
        <v>-4</v>
      </c>
      <c r="K11" s="107"/>
      <c r="L11" s="107"/>
      <c r="M11" s="526">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10080695046.917683</v>
      </c>
      <c r="F17" s="120" t="s">
        <v>251</v>
      </c>
      <c r="G17" s="120">
        <v>9425469470.6105957</v>
      </c>
      <c r="H17" s="120" t="s">
        <v>251</v>
      </c>
      <c r="I17" s="120">
        <v>508660146.68823594</v>
      </c>
      <c r="J17" s="120">
        <v>146565429.61885062</v>
      </c>
      <c r="K17" s="120" t="s">
        <v>251</v>
      </c>
      <c r="L17" s="120" t="s">
        <v>251</v>
      </c>
      <c r="M17" s="120">
        <v>711694.75584535592</v>
      </c>
      <c r="N17" s="120" t="s">
        <v>251</v>
      </c>
      <c r="O17" s="120">
        <v>145853734.86300525</v>
      </c>
      <c r="P17" s="120">
        <v>75807020.555096</v>
      </c>
      <c r="Q17" s="120">
        <v>70046714.30790925</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3497188448.2267771</v>
      </c>
      <c r="F19" s="120" t="s">
        <v>251</v>
      </c>
      <c r="G19" s="120">
        <v>3249389114.0657554</v>
      </c>
      <c r="H19" s="120" t="s">
        <v>251</v>
      </c>
      <c r="I19" s="120">
        <v>195146564.82873458</v>
      </c>
      <c r="J19" s="120">
        <v>52652769.332287349</v>
      </c>
      <c r="K19" s="120" t="s">
        <v>251</v>
      </c>
      <c r="L19" s="120" t="s">
        <v>251</v>
      </c>
      <c r="M19" s="120">
        <v>170248.71866064827</v>
      </c>
      <c r="N19" s="120" t="s">
        <v>251</v>
      </c>
      <c r="O19" s="120">
        <v>52482520.613626704</v>
      </c>
      <c r="P19" s="120">
        <v>27263603.382662892</v>
      </c>
      <c r="Q19" s="120">
        <v>25218917.230963811</v>
      </c>
      <c r="R19" s="120"/>
      <c r="S19" s="120"/>
      <c r="T19" s="107"/>
    </row>
    <row r="20" spans="1:20" ht="15">
      <c r="A20" s="105">
        <v>3</v>
      </c>
      <c r="B20" s="105"/>
      <c r="C20" s="107" t="s">
        <v>256</v>
      </c>
      <c r="D20" s="107" t="s">
        <v>251</v>
      </c>
      <c r="E20" s="120">
        <v>6583506598.6909037</v>
      </c>
      <c r="F20" s="120" t="s">
        <v>251</v>
      </c>
      <c r="G20" s="120">
        <v>6176080356.5448399</v>
      </c>
      <c r="H20" s="120" t="s">
        <v>251</v>
      </c>
      <c r="I20" s="120">
        <v>313513581.85950136</v>
      </c>
      <c r="J20" s="120">
        <v>93912660.286563247</v>
      </c>
      <c r="K20" s="120" t="s">
        <v>251</v>
      </c>
      <c r="L20" s="120" t="s">
        <v>251</v>
      </c>
      <c r="M20" s="120">
        <v>541446.03718470759</v>
      </c>
      <c r="N20" s="120" t="s">
        <v>251</v>
      </c>
      <c r="O20" s="120">
        <v>93371214.249378547</v>
      </c>
      <c r="P20" s="120">
        <v>48543417.172433108</v>
      </c>
      <c r="Q20" s="120">
        <v>44827797.076945439</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238614173.85720006</v>
      </c>
      <c r="F22" s="120" t="s">
        <v>251</v>
      </c>
      <c r="G22" s="120">
        <v>222778375.43355778</v>
      </c>
      <c r="H22" s="120" t="s">
        <v>251</v>
      </c>
      <c r="I22" s="120">
        <v>12835579.242854822</v>
      </c>
      <c r="J22" s="120">
        <v>3000219.1807874544</v>
      </c>
      <c r="K22" s="120" t="s">
        <v>251</v>
      </c>
      <c r="L22" s="120" t="s">
        <v>251</v>
      </c>
      <c r="M22" s="120">
        <v>2168.6294365222516</v>
      </c>
      <c r="N22" s="120" t="s">
        <v>251</v>
      </c>
      <c r="O22" s="120">
        <v>2998050.5513509321</v>
      </c>
      <c r="P22" s="120">
        <v>1524395.9972412861</v>
      </c>
      <c r="Q22" s="120">
        <v>1473654.554109646</v>
      </c>
      <c r="R22" s="120"/>
      <c r="S22" s="120"/>
      <c r="T22" s="107"/>
    </row>
    <row r="23" spans="1:20" ht="15">
      <c r="A23" s="105">
        <v>5</v>
      </c>
      <c r="B23" s="105"/>
      <c r="C23" s="107" t="s">
        <v>258</v>
      </c>
      <c r="D23" s="107" t="s">
        <v>251</v>
      </c>
      <c r="E23" s="120">
        <v>6822120772.5481043</v>
      </c>
      <c r="F23" s="120" t="s">
        <v>251</v>
      </c>
      <c r="G23" s="120">
        <v>6398858731.9783974</v>
      </c>
      <c r="H23" s="120" t="s">
        <v>251</v>
      </c>
      <c r="I23" s="120">
        <v>326349161.1023562</v>
      </c>
      <c r="J23" s="120">
        <v>96912879.467350706</v>
      </c>
      <c r="K23" s="120" t="s">
        <v>251</v>
      </c>
      <c r="L23" s="120" t="s">
        <v>251</v>
      </c>
      <c r="M23" s="120">
        <v>543614.66662122984</v>
      </c>
      <c r="N23" s="120" t="s">
        <v>251</v>
      </c>
      <c r="O23" s="120">
        <v>96369264.800729483</v>
      </c>
      <c r="P23" s="120">
        <v>50067813.169674397</v>
      </c>
      <c r="Q23" s="120">
        <v>46301451.631055087</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60204949</v>
      </c>
      <c r="F26" s="120" t="s">
        <v>251</v>
      </c>
      <c r="G26" s="120">
        <v>56084636.798406467</v>
      </c>
      <c r="H26" s="120" t="s">
        <v>251</v>
      </c>
      <c r="I26" s="120">
        <v>3279783.3207973223</v>
      </c>
      <c r="J26" s="120">
        <v>840528.88079620863</v>
      </c>
      <c r="K26" s="120" t="s">
        <v>251</v>
      </c>
      <c r="L26" s="120" t="s">
        <v>251</v>
      </c>
      <c r="M26" s="120">
        <v>3023.6233394026872</v>
      </c>
      <c r="N26" s="120" t="s">
        <v>251</v>
      </c>
      <c r="O26" s="120">
        <v>837505.25745680591</v>
      </c>
      <c r="P26" s="120">
        <v>432422.89569136029</v>
      </c>
      <c r="Q26" s="120">
        <v>405082.36176544562</v>
      </c>
      <c r="R26" s="120"/>
      <c r="S26" s="121"/>
    </row>
    <row r="27" spans="1:20" ht="15">
      <c r="A27" s="105">
        <v>7</v>
      </c>
      <c r="B27" s="105"/>
      <c r="C27" s="107" t="s">
        <v>261</v>
      </c>
      <c r="D27" s="107" t="s">
        <v>251</v>
      </c>
      <c r="E27" s="120">
        <v>62955456.000000007</v>
      </c>
      <c r="F27" s="120" t="s">
        <v>251</v>
      </c>
      <c r="G27" s="120">
        <v>59241660.740988947</v>
      </c>
      <c r="H27" s="120" t="s">
        <v>251</v>
      </c>
      <c r="I27" s="120">
        <v>2416789.5602463312</v>
      </c>
      <c r="J27" s="120">
        <v>1297005.6987647284</v>
      </c>
      <c r="K27" s="120" t="s">
        <v>251</v>
      </c>
      <c r="L27" s="120" t="s">
        <v>251</v>
      </c>
      <c r="M27" s="120">
        <v>265.13329903306823</v>
      </c>
      <c r="N27" s="120" t="s">
        <v>251</v>
      </c>
      <c r="O27" s="120">
        <v>1296740.5654656952</v>
      </c>
      <c r="P27" s="120">
        <v>656679.3526504836</v>
      </c>
      <c r="Q27" s="120">
        <v>640061.2128152115</v>
      </c>
      <c r="R27" s="120"/>
      <c r="S27" s="121"/>
    </row>
    <row r="28" spans="1:20" ht="15">
      <c r="A28" s="105">
        <v>8</v>
      </c>
      <c r="B28" s="105"/>
      <c r="C28" s="107" t="s">
        <v>262</v>
      </c>
      <c r="D28" s="107" t="s">
        <v>251</v>
      </c>
      <c r="E28" s="120">
        <v>15827969.641744697</v>
      </c>
      <c r="F28" s="120" t="s">
        <v>251</v>
      </c>
      <c r="G28" s="120">
        <v>15605033.931140801</v>
      </c>
      <c r="H28" s="120" t="s">
        <v>251</v>
      </c>
      <c r="I28" s="120">
        <v>0</v>
      </c>
      <c r="J28" s="120">
        <v>222935.7106038967</v>
      </c>
      <c r="K28" s="120" t="s">
        <v>251</v>
      </c>
      <c r="L28" s="120" t="s">
        <v>251</v>
      </c>
      <c r="M28" s="120">
        <v>1163.9364484895309</v>
      </c>
      <c r="N28" s="120" t="s">
        <v>251</v>
      </c>
      <c r="O28" s="120">
        <v>221771.77415540718</v>
      </c>
      <c r="P28" s="120">
        <v>115396.90264337357</v>
      </c>
      <c r="Q28" s="120">
        <v>106374.87151203361</v>
      </c>
      <c r="R28" s="120"/>
      <c r="S28" s="121"/>
    </row>
    <row r="29" spans="1:20" ht="15">
      <c r="A29" s="105">
        <v>9</v>
      </c>
      <c r="B29" s="105"/>
      <c r="C29" s="107" t="s">
        <v>263</v>
      </c>
      <c r="D29" s="107" t="s">
        <v>251</v>
      </c>
      <c r="E29" s="120">
        <v>106088753.94732079</v>
      </c>
      <c r="F29" s="120" t="s">
        <v>251</v>
      </c>
      <c r="G29" s="120">
        <v>97134648.882647425</v>
      </c>
      <c r="H29" s="120" t="s">
        <v>251</v>
      </c>
      <c r="I29" s="120">
        <v>7165285.0791509133</v>
      </c>
      <c r="J29" s="120">
        <v>1788819.9855224532</v>
      </c>
      <c r="K29" s="120" t="s">
        <v>251</v>
      </c>
      <c r="L29" s="120" t="s">
        <v>251</v>
      </c>
      <c r="M29" s="120">
        <v>3192.818508687782</v>
      </c>
      <c r="N29" s="120" t="s">
        <v>251</v>
      </c>
      <c r="O29" s="120">
        <v>1785627.1670137653</v>
      </c>
      <c r="P29" s="120">
        <v>910888.79298492882</v>
      </c>
      <c r="Q29" s="120">
        <v>874738.37402883638</v>
      </c>
      <c r="R29" s="120"/>
      <c r="S29" s="121"/>
    </row>
    <row r="30" spans="1:20" ht="15">
      <c r="A30" s="105">
        <v>10</v>
      </c>
      <c r="B30" s="105"/>
      <c r="C30" s="107" t="s">
        <v>264</v>
      </c>
      <c r="D30" s="107" t="s">
        <v>251</v>
      </c>
      <c r="E30" s="120">
        <v>129522</v>
      </c>
      <c r="F30" s="120" t="s">
        <v>251</v>
      </c>
      <c r="G30" s="120">
        <v>121415.99914063678</v>
      </c>
      <c r="H30" s="120" t="s">
        <v>251</v>
      </c>
      <c r="I30" s="120">
        <v>5559.7880225348144</v>
      </c>
      <c r="J30" s="120">
        <v>2546.2128368284079</v>
      </c>
      <c r="K30" s="120" t="s">
        <v>251</v>
      </c>
      <c r="L30" s="120" t="s">
        <v>251</v>
      </c>
      <c r="M30" s="120">
        <v>0.3897284430270167</v>
      </c>
      <c r="N30" s="120" t="s">
        <v>251</v>
      </c>
      <c r="O30" s="120">
        <v>2545.8231083853811</v>
      </c>
      <c r="P30" s="120">
        <v>1291.1703317485064</v>
      </c>
      <c r="Q30" s="120">
        <v>1254.6527766368747</v>
      </c>
      <c r="R30" s="120"/>
      <c r="S30" s="121"/>
    </row>
    <row r="31" spans="1:20" ht="15">
      <c r="A31" s="105">
        <v>11</v>
      </c>
      <c r="B31" s="105"/>
      <c r="C31" s="107" t="s">
        <v>2496</v>
      </c>
      <c r="D31" s="107" t="s">
        <v>251</v>
      </c>
      <c r="E31" s="120">
        <v>101937692.82886787</v>
      </c>
      <c r="F31" s="120" t="s">
        <v>251</v>
      </c>
      <c r="G31" s="120">
        <v>96343596</v>
      </c>
      <c r="H31" s="120" t="s">
        <v>251</v>
      </c>
      <c r="I31" s="120">
        <v>3332590.8360824827</v>
      </c>
      <c r="J31" s="120">
        <v>2261505.9927853812</v>
      </c>
      <c r="K31" s="120" t="s">
        <v>251</v>
      </c>
      <c r="L31" s="120" t="s">
        <v>251</v>
      </c>
      <c r="M31" s="120">
        <v>346.15064252144873</v>
      </c>
      <c r="N31" s="120" t="s">
        <v>251</v>
      </c>
      <c r="O31" s="120">
        <v>2261159.8421428595</v>
      </c>
      <c r="P31" s="120">
        <v>1146797.0786735597</v>
      </c>
      <c r="Q31" s="120">
        <v>1114362.7634692998</v>
      </c>
      <c r="R31" s="120"/>
      <c r="S31" s="121"/>
    </row>
    <row r="32" spans="1:20" ht="15">
      <c r="A32" s="105">
        <v>12</v>
      </c>
      <c r="B32" s="105"/>
      <c r="C32" s="107" t="s">
        <v>265</v>
      </c>
      <c r="D32" s="107" t="s">
        <v>251</v>
      </c>
      <c r="E32" s="120">
        <v>347144343.41793329</v>
      </c>
      <c r="F32" s="120" t="s">
        <v>251</v>
      </c>
      <c r="G32" s="120">
        <v>324530992.35232425</v>
      </c>
      <c r="H32" s="120" t="s">
        <v>251</v>
      </c>
      <c r="I32" s="120">
        <v>16200008.584299585</v>
      </c>
      <c r="J32" s="120">
        <v>6413342.4813094959</v>
      </c>
      <c r="K32" s="120" t="s">
        <v>251</v>
      </c>
      <c r="L32" s="120" t="s">
        <v>251</v>
      </c>
      <c r="M32" s="120">
        <v>7992.0519665775437</v>
      </c>
      <c r="N32" s="120" t="s">
        <v>251</v>
      </c>
      <c r="O32" s="120">
        <v>6405350.4293429181</v>
      </c>
      <c r="P32" s="120">
        <v>3263476.1929754545</v>
      </c>
      <c r="Q32" s="120">
        <v>3141874.2363674636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1404997153</v>
      </c>
      <c r="F35" s="120" t="s">
        <v>251</v>
      </c>
      <c r="G35" s="120">
        <v>1318146331.5784707</v>
      </c>
      <c r="H35" s="120" t="s">
        <v>251</v>
      </c>
      <c r="I35" s="120">
        <v>67529331.626886949</v>
      </c>
      <c r="J35" s="120">
        <v>19321489.794642441</v>
      </c>
      <c r="K35" s="120" t="s">
        <v>251</v>
      </c>
      <c r="L35" s="120" t="s">
        <v>251</v>
      </c>
      <c r="M35" s="120">
        <v>100563.72075053999</v>
      </c>
      <c r="N35" s="120" t="s">
        <v>251</v>
      </c>
      <c r="O35" s="120">
        <v>19220926.0738919</v>
      </c>
      <c r="P35" s="120">
        <v>10007568.864104772</v>
      </c>
      <c r="Q35" s="120">
        <v>9213357.2097871266</v>
      </c>
      <c r="R35" s="120"/>
      <c r="S35" s="121"/>
    </row>
    <row r="36" spans="1:19" ht="15">
      <c r="A36" s="105">
        <v>14</v>
      </c>
      <c r="B36" s="105"/>
      <c r="C36" s="107" t="s">
        <v>268</v>
      </c>
      <c r="D36" s="107" t="s">
        <v>251</v>
      </c>
      <c r="E36" s="120">
        <v>89931576</v>
      </c>
      <c r="F36" s="120" t="s">
        <v>251</v>
      </c>
      <c r="G36" s="120">
        <v>84144326.90693669</v>
      </c>
      <c r="H36" s="120" t="s">
        <v>251</v>
      </c>
      <c r="I36" s="120">
        <v>3907846.0523916194</v>
      </c>
      <c r="J36" s="120">
        <v>1879403.0406716915</v>
      </c>
      <c r="K36" s="120" t="s">
        <v>251</v>
      </c>
      <c r="L36" s="120" t="s">
        <v>251</v>
      </c>
      <c r="M36" s="120">
        <v>268.6903877332623</v>
      </c>
      <c r="N36" s="120" t="s">
        <v>251</v>
      </c>
      <c r="O36" s="120">
        <v>1879134.3502839583</v>
      </c>
      <c r="P36" s="120">
        <v>953044.42577511061</v>
      </c>
      <c r="Q36" s="120">
        <v>926089.92450884765</v>
      </c>
      <c r="R36" s="120"/>
      <c r="S36" s="121"/>
    </row>
    <row r="37" spans="1:19" ht="15">
      <c r="A37" s="105">
        <v>15</v>
      </c>
      <c r="B37" s="105"/>
      <c r="C37" s="107" t="s">
        <v>269</v>
      </c>
      <c r="D37" s="107" t="s">
        <v>251</v>
      </c>
      <c r="E37" s="120">
        <v>980981.36999999965</v>
      </c>
      <c r="F37" s="120" t="s">
        <v>251</v>
      </c>
      <c r="G37" s="120">
        <v>951646.55364259344</v>
      </c>
      <c r="H37" s="120" t="s">
        <v>251</v>
      </c>
      <c r="I37" s="120">
        <v>29334.816357406231</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-91173</v>
      </c>
      <c r="F39" s="120" t="s">
        <v>251</v>
      </c>
      <c r="G39" s="120">
        <v>0</v>
      </c>
      <c r="H39" s="120" t="s">
        <v>251</v>
      </c>
      <c r="I39" s="120">
        <v>-91173</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18730630.045384593</v>
      </c>
      <c r="F40" s="120" t="s">
        <v>251</v>
      </c>
      <c r="G40" s="120">
        <v>0</v>
      </c>
      <c r="H40" s="120" t="s">
        <v>251</v>
      </c>
      <c r="I40" s="120">
        <v>886419.9952795289</v>
      </c>
      <c r="J40" s="120">
        <v>9.983713851556715E-13</v>
      </c>
      <c r="K40" s="120" t="s">
        <v>251</v>
      </c>
      <c r="L40" s="120" t="s">
        <v>251</v>
      </c>
      <c r="M40" s="120">
        <v>0</v>
      </c>
      <c r="N40" s="120" t="s">
        <v>251</v>
      </c>
      <c r="O40" s="120">
        <v>9.983713851556715E-13</v>
      </c>
      <c r="P40" s="120">
        <v>0</v>
      </c>
      <c r="Q40" s="120">
        <v>0</v>
      </c>
      <c r="R40" s="120"/>
      <c r="S40" s="121"/>
    </row>
    <row r="41" spans="1:19" ht="15">
      <c r="A41" s="105">
        <v>19</v>
      </c>
      <c r="B41" s="105"/>
      <c r="C41" s="107" t="s">
        <v>273</v>
      </c>
      <c r="D41" s="107" t="s">
        <v>251</v>
      </c>
      <c r="E41" s="120">
        <v>6921646.9999999981</v>
      </c>
      <c r="F41" s="120" t="s">
        <v>251</v>
      </c>
      <c r="G41" s="120">
        <v>0</v>
      </c>
      <c r="H41" s="120" t="s">
        <v>251</v>
      </c>
      <c r="I41" s="120">
        <v>0</v>
      </c>
      <c r="J41" s="120">
        <v>82420.366306762357</v>
      </c>
      <c r="K41" s="120" t="s">
        <v>251</v>
      </c>
      <c r="L41" s="120" t="s">
        <v>251</v>
      </c>
      <c r="M41" s="120">
        <v>0</v>
      </c>
      <c r="N41" s="120" t="s">
        <v>251</v>
      </c>
      <c r="O41" s="120">
        <v>82420.366306762357</v>
      </c>
      <c r="P41" s="120">
        <v>42960.284559247972</v>
      </c>
      <c r="Q41" s="120">
        <v>39460.081747514385</v>
      </c>
      <c r="R41" s="120"/>
      <c r="S41" s="121"/>
    </row>
    <row r="42" spans="1:19" ht="15">
      <c r="A42" s="105">
        <v>20</v>
      </c>
      <c r="B42" s="105"/>
      <c r="C42" s="107" t="s">
        <v>274</v>
      </c>
      <c r="D42" s="107" t="s">
        <v>251</v>
      </c>
      <c r="E42" s="120">
        <v>6465681.3499999996</v>
      </c>
      <c r="F42" s="120" t="s">
        <v>251</v>
      </c>
      <c r="G42" s="120">
        <v>0</v>
      </c>
      <c r="H42" s="120" t="s">
        <v>251</v>
      </c>
      <c r="I42" s="120">
        <v>0</v>
      </c>
      <c r="J42" s="120">
        <v>76990.899028771877</v>
      </c>
      <c r="K42" s="120" t="s">
        <v>251</v>
      </c>
      <c r="L42" s="120" t="s">
        <v>251</v>
      </c>
      <c r="M42" s="120">
        <v>0</v>
      </c>
      <c r="N42" s="120" t="s">
        <v>251</v>
      </c>
      <c r="O42" s="120">
        <v>76990.899028771877</v>
      </c>
      <c r="P42" s="120">
        <v>40130.262445545493</v>
      </c>
      <c r="Q42" s="120">
        <v>36860.636583226391</v>
      </c>
      <c r="R42" s="120"/>
      <c r="S42" s="121"/>
    </row>
    <row r="43" spans="1:19" ht="15">
      <c r="A43" s="105">
        <v>21</v>
      </c>
      <c r="B43" s="105"/>
      <c r="C43" s="107" t="s">
        <v>275</v>
      </c>
      <c r="D43" s="107" t="s">
        <v>251</v>
      </c>
      <c r="E43" s="120">
        <v>1944142.0800000003</v>
      </c>
      <c r="F43" s="120" t="s">
        <v>251</v>
      </c>
      <c r="G43" s="120">
        <v>0</v>
      </c>
      <c r="H43" s="120" t="s">
        <v>251</v>
      </c>
      <c r="I43" s="120">
        <v>0</v>
      </c>
      <c r="J43" s="120">
        <v>23150.111871638492</v>
      </c>
      <c r="K43" s="120" t="s">
        <v>251</v>
      </c>
      <c r="L43" s="120" t="s">
        <v>251</v>
      </c>
      <c r="M43" s="120">
        <v>0</v>
      </c>
      <c r="N43" s="120" t="s">
        <v>251</v>
      </c>
      <c r="O43" s="120">
        <v>23150.111871638492</v>
      </c>
      <c r="P43" s="120">
        <v>12066.621857544638</v>
      </c>
      <c r="Q43" s="120">
        <v>11083.490014093853</v>
      </c>
      <c r="R43" s="120"/>
      <c r="S43" s="121"/>
    </row>
    <row r="44" spans="1:19" ht="15">
      <c r="A44" s="105">
        <v>22</v>
      </c>
      <c r="B44" s="105"/>
      <c r="C44" s="107" t="s">
        <v>276</v>
      </c>
      <c r="D44" s="107" t="s">
        <v>251</v>
      </c>
      <c r="E44" s="120">
        <v>1560779031.2153842</v>
      </c>
      <c r="F44" s="120" t="s">
        <v>251</v>
      </c>
      <c r="G44" s="120">
        <v>1403242305.0390499</v>
      </c>
      <c r="H44" s="120" t="s">
        <v>251</v>
      </c>
      <c r="I44" s="120">
        <v>73972301.93308942</v>
      </c>
      <c r="J44" s="120">
        <v>21383454.222623929</v>
      </c>
      <c r="K44" s="120" t="s">
        <v>251</v>
      </c>
      <c r="L44" s="120" t="s">
        <v>251</v>
      </c>
      <c r="M44" s="120">
        <v>100832.41113827325</v>
      </c>
      <c r="N44" s="120" t="s">
        <v>251</v>
      </c>
      <c r="O44" s="120">
        <v>21282621.811485656</v>
      </c>
      <c r="P44" s="120">
        <v>11055770.468844846</v>
      </c>
      <c r="Q44" s="120">
        <v>10226851.342640808</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5608486084.7506533</v>
      </c>
      <c r="F46" s="120" t="s">
        <v>251</v>
      </c>
      <c r="G46" s="120">
        <v>5320147419.2916718</v>
      </c>
      <c r="H46" s="120" t="s">
        <v>251</v>
      </c>
      <c r="I46" s="120">
        <v>268576867.75356632</v>
      </c>
      <c r="J46" s="120">
        <v>81942767.72603628</v>
      </c>
      <c r="K46" s="120" t="s">
        <v>251</v>
      </c>
      <c r="L46" s="120" t="s">
        <v>251</v>
      </c>
      <c r="M46" s="120">
        <v>450774.30744953413</v>
      </c>
      <c r="N46" s="120" t="s">
        <v>251</v>
      </c>
      <c r="O46" s="120">
        <v>81491993.418586746</v>
      </c>
      <c r="P46" s="120">
        <v>42275518.893805005</v>
      </c>
      <c r="Q46" s="120">
        <v>39216474.524781741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1736087696.9857175</v>
      </c>
      <c r="F49" s="120" t="s">
        <v>251</v>
      </c>
      <c r="G49" s="120">
        <v>1637036502.0309165</v>
      </c>
      <c r="H49" s="120" t="s">
        <v>251</v>
      </c>
      <c r="I49" s="120">
        <v>73646268.174997061</v>
      </c>
      <c r="J49" s="120">
        <v>25404926.779804032</v>
      </c>
      <c r="K49" s="120" t="s">
        <v>251</v>
      </c>
      <c r="L49" s="120" t="s">
        <v>251</v>
      </c>
      <c r="M49" s="120">
        <v>172.13271890353676</v>
      </c>
      <c r="N49" s="120" t="s">
        <v>251</v>
      </c>
      <c r="O49" s="120">
        <v>25404754.64708513</v>
      </c>
      <c r="P49" s="120">
        <v>12946042.706812311</v>
      </c>
      <c r="Q49" s="120">
        <v>12458711.940272819</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938986321.69972622</v>
      </c>
      <c r="F52" s="120" t="s">
        <v>251</v>
      </c>
      <c r="G52" s="120">
        <v>880934432.22617733</v>
      </c>
      <c r="H52" s="120" t="s">
        <v>251</v>
      </c>
      <c r="I52" s="120">
        <v>42557095.398338728</v>
      </c>
      <c r="J52" s="120">
        <v>15494794.075210219</v>
      </c>
      <c r="K52" s="120" t="s">
        <v>251</v>
      </c>
      <c r="L52" s="120" t="s">
        <v>251</v>
      </c>
      <c r="M52" s="120">
        <v>25772.401961122789</v>
      </c>
      <c r="N52" s="120" t="s">
        <v>251</v>
      </c>
      <c r="O52" s="120">
        <v>15469021.673249096</v>
      </c>
      <c r="P52" s="120">
        <v>7886881.1591330906</v>
      </c>
      <c r="Q52" s="120">
        <v>7582140.514116006</v>
      </c>
      <c r="R52" s="120"/>
      <c r="S52" s="121"/>
    </row>
    <row r="53" spans="1:19" ht="15">
      <c r="A53" s="105">
        <v>26</v>
      </c>
      <c r="B53" s="105"/>
      <c r="C53" s="107" t="s">
        <v>282</v>
      </c>
      <c r="D53" s="107" t="s">
        <v>251</v>
      </c>
      <c r="E53" s="120">
        <v>358688938.99594986</v>
      </c>
      <c r="F53" s="120" t="s">
        <v>251</v>
      </c>
      <c r="G53" s="120">
        <v>335708968.71872461</v>
      </c>
      <c r="H53" s="120" t="s">
        <v>251</v>
      </c>
      <c r="I53" s="120">
        <v>17300826.845050648</v>
      </c>
      <c r="J53" s="120">
        <v>5679143.4321746202</v>
      </c>
      <c r="K53" s="120" t="s">
        <v>251</v>
      </c>
      <c r="L53" s="120" t="s">
        <v>251</v>
      </c>
      <c r="M53" s="120">
        <v>7281.3980993861051</v>
      </c>
      <c r="N53" s="120" t="s">
        <v>251</v>
      </c>
      <c r="O53" s="120">
        <v>5671862.0340752341</v>
      </c>
      <c r="P53" s="120">
        <v>2925873.983901965</v>
      </c>
      <c r="Q53" s="120">
        <v>2745988.0501732696</v>
      </c>
      <c r="R53" s="120"/>
      <c r="S53" s="121"/>
    </row>
    <row r="54" spans="1:19" ht="15">
      <c r="A54" s="105">
        <v>27</v>
      </c>
      <c r="B54" s="105"/>
      <c r="C54" s="107" t="s">
        <v>2234</v>
      </c>
      <c r="D54" s="107" t="s">
        <v>251</v>
      </c>
      <c r="E54" s="120">
        <v>9627285.11531399</v>
      </c>
      <c r="F54" s="120" t="s">
        <v>251</v>
      </c>
      <c r="G54" s="120">
        <v>8493973.3153139893</v>
      </c>
      <c r="H54" s="120" t="s">
        <v>251</v>
      </c>
      <c r="I54" s="120">
        <v>1133311.8</v>
      </c>
      <c r="J54" s="120">
        <v>0</v>
      </c>
      <c r="K54" s="120" t="s">
        <v>251</v>
      </c>
      <c r="L54" s="120" t="s">
        <v>251</v>
      </c>
      <c r="M54" s="120">
        <v>0</v>
      </c>
      <c r="N54" s="120" t="s">
        <v>251</v>
      </c>
      <c r="O54" s="120">
        <v>0</v>
      </c>
      <c r="P54" s="120">
        <v>0</v>
      </c>
      <c r="Q54" s="120">
        <v>0</v>
      </c>
      <c r="R54" s="120"/>
      <c r="S54" s="121"/>
    </row>
    <row r="55" spans="1:19" ht="15">
      <c r="A55" s="105">
        <v>28</v>
      </c>
      <c r="B55" s="105"/>
      <c r="C55" s="107" t="s">
        <v>283</v>
      </c>
      <c r="D55" s="107" t="s">
        <v>251</v>
      </c>
      <c r="E55" s="120">
        <v>48372322.519000001</v>
      </c>
      <c r="F55" s="120" t="s">
        <v>251</v>
      </c>
      <c r="G55" s="120">
        <v>45617135.703077905</v>
      </c>
      <c r="H55" s="120" t="s">
        <v>251</v>
      </c>
      <c r="I55" s="120">
        <v>2138140.2391470009</v>
      </c>
      <c r="J55" s="120">
        <v>617046.57677509822</v>
      </c>
      <c r="K55" s="120" t="s">
        <v>251</v>
      </c>
      <c r="L55" s="120" t="s">
        <v>251</v>
      </c>
      <c r="M55" s="120">
        <v>3558.048778408498</v>
      </c>
      <c r="N55" s="120" t="s">
        <v>251</v>
      </c>
      <c r="O55" s="120">
        <v>613488.52799668978</v>
      </c>
      <c r="P55" s="120">
        <v>319120.45491045073</v>
      </c>
      <c r="Q55" s="120">
        <v>294368.07308623899</v>
      </c>
      <c r="R55" s="120"/>
      <c r="S55" s="121"/>
    </row>
    <row r="56" spans="1:19" ht="15">
      <c r="A56" s="105">
        <v>29</v>
      </c>
      <c r="B56" s="105"/>
      <c r="C56" s="107" t="s">
        <v>284</v>
      </c>
      <c r="D56" s="107" t="s">
        <v>251</v>
      </c>
      <c r="E56" s="120">
        <v>47442653.850000001</v>
      </c>
      <c r="F56" s="120" t="s">
        <v>251</v>
      </c>
      <c r="G56" s="120">
        <v>46746420.399113953</v>
      </c>
      <c r="H56" s="120" t="s">
        <v>251</v>
      </c>
      <c r="I56" s="120">
        <v>666442.07039620786</v>
      </c>
      <c r="J56" s="120">
        <v>243657.01471726946</v>
      </c>
      <c r="K56" s="120" t="s">
        <v>251</v>
      </c>
      <c r="L56" s="120" t="s">
        <v>251</v>
      </c>
      <c r="M56" s="120">
        <v>-12634.376721942688</v>
      </c>
      <c r="N56" s="120" t="s">
        <v>251</v>
      </c>
      <c r="O56" s="120">
        <v>256291.39143921214</v>
      </c>
      <c r="P56" s="120">
        <v>112701.0435556585</v>
      </c>
      <c r="Q56" s="120">
        <v>143590.34788355362</v>
      </c>
      <c r="R56" s="120"/>
      <c r="S56" s="121"/>
    </row>
    <row r="57" spans="1:19" ht="15">
      <c r="A57" s="105">
        <v>30</v>
      </c>
      <c r="B57" s="105"/>
      <c r="C57" s="107" t="s">
        <v>285</v>
      </c>
      <c r="D57" s="107" t="s">
        <v>251</v>
      </c>
      <c r="E57" s="120">
        <v>0</v>
      </c>
      <c r="F57" s="120" t="s">
        <v>251</v>
      </c>
      <c r="G57" s="120">
        <v>0</v>
      </c>
      <c r="H57" s="120" t="s">
        <v>251</v>
      </c>
      <c r="I57" s="120">
        <v>0</v>
      </c>
      <c r="J57" s="120">
        <v>0</v>
      </c>
      <c r="K57" s="120"/>
      <c r="L57" s="120"/>
      <c r="M57" s="120">
        <v>0</v>
      </c>
      <c r="N57" s="120" t="s">
        <v>251</v>
      </c>
      <c r="O57" s="120">
        <v>0</v>
      </c>
      <c r="P57" s="120">
        <v>0</v>
      </c>
      <c r="Q57" s="120">
        <v>0</v>
      </c>
      <c r="R57" s="120"/>
      <c r="S57" s="121"/>
    </row>
    <row r="58" spans="1:19" ht="15">
      <c r="A58" s="105">
        <v>31</v>
      </c>
      <c r="B58" s="105"/>
      <c r="C58" s="107" t="s">
        <v>286</v>
      </c>
      <c r="D58" s="107" t="s">
        <v>251</v>
      </c>
      <c r="E58" s="120">
        <v>0</v>
      </c>
      <c r="F58" s="120" t="s">
        <v>251</v>
      </c>
      <c r="G58" s="120">
        <v>0</v>
      </c>
      <c r="H58" s="120" t="s">
        <v>251</v>
      </c>
      <c r="I58" s="120">
        <v>0</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1123628.06</v>
      </c>
      <c r="F59" s="120" t="s">
        <v>251</v>
      </c>
      <c r="G59" s="120">
        <v>0</v>
      </c>
      <c r="H59" s="120" t="s">
        <v>251</v>
      </c>
      <c r="I59" s="120">
        <v>26587.636860794541</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435510.9</v>
      </c>
      <c r="F60" s="120" t="s">
        <v>251</v>
      </c>
      <c r="G60" s="120">
        <v>0</v>
      </c>
      <c r="H60" s="120" t="s">
        <v>251</v>
      </c>
      <c r="I60" s="120">
        <v>21902.279497089981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1404676661.1399901</v>
      </c>
      <c r="F62" s="120" t="s">
        <v>251</v>
      </c>
      <c r="G62" s="120">
        <v>1317500930.3624077</v>
      </c>
      <c r="H62" s="120" t="s">
        <v>251</v>
      </c>
      <c r="I62" s="120">
        <v>63844306.269290462</v>
      </c>
      <c r="J62" s="120">
        <v>22034641.09887721</v>
      </c>
      <c r="K62" s="120" t="s">
        <v>251</v>
      </c>
      <c r="L62" s="120" t="s">
        <v>251</v>
      </c>
      <c r="M62" s="120">
        <v>23977.472116974706</v>
      </c>
      <c r="N62" s="120" t="s">
        <v>251</v>
      </c>
      <c r="O62" s="120">
        <v>22010663.626760237</v>
      </c>
      <c r="P62" s="120">
        <v>11244576.641501166</v>
      </c>
      <c r="Q62" s="120">
        <v>10766086.985259069</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331411035.84572744</v>
      </c>
      <c r="F64" s="120" t="s">
        <v>251</v>
      </c>
      <c r="G64" s="120">
        <v>319535571.66850877</v>
      </c>
      <c r="H64" s="120" t="s">
        <v>251</v>
      </c>
      <c r="I64" s="120">
        <v>9801961.9057065994</v>
      </c>
      <c r="J64" s="120">
        <v>3370285.680926824</v>
      </c>
      <c r="K64" s="120" t="s">
        <v>251</v>
      </c>
      <c r="L64" s="120" t="s">
        <v>251</v>
      </c>
      <c r="M64" s="120">
        <v>-23805.33939807117</v>
      </c>
      <c r="N64" s="120" t="s">
        <v>251</v>
      </c>
      <c r="O64" s="120">
        <v>3394091.0203248952</v>
      </c>
      <c r="P64" s="120">
        <v>1701466.065311145</v>
      </c>
      <c r="Q64" s="120">
        <v>1692624.9550137501</v>
      </c>
      <c r="R64" s="122"/>
      <c r="S64" s="121"/>
    </row>
    <row r="65" spans="1:19" ht="15">
      <c r="A65" s="105">
        <v>37</v>
      </c>
      <c r="B65" s="105"/>
      <c r="C65" s="107" t="s">
        <v>292</v>
      </c>
      <c r="D65" s="107" t="s">
        <v>251</v>
      </c>
      <c r="E65" s="527">
        <v>5.9090997256251832E-2</v>
      </c>
      <c r="F65" s="527" t="s">
        <v>251</v>
      </c>
      <c r="G65" s="527">
        <v>6.006141305592843E-2</v>
      </c>
      <c r="H65" s="527" t="s">
        <v>251</v>
      </c>
      <c r="I65" s="527">
        <v>3.6495927544662653E-2</v>
      </c>
      <c r="J65" s="527">
        <v>4.1129751587045286E-2</v>
      </c>
      <c r="K65" s="527" t="s">
        <v>251</v>
      </c>
      <c r="L65" s="527" t="s">
        <v>251</v>
      </c>
      <c r="M65" s="527">
        <v>-5.2809885134671893E-2</v>
      </c>
      <c r="N65" s="527" t="s">
        <v>251</v>
      </c>
      <c r="O65" s="527">
        <v>4.164938023900111E-2</v>
      </c>
      <c r="P65" s="527">
        <v>4.0247077027846384E-2</v>
      </c>
      <c r="Q65" s="527">
        <v>4.3161068798883075E-2</v>
      </c>
      <c r="R65" s="120"/>
      <c r="S65" s="121"/>
    </row>
    <row r="66" spans="1:19" ht="15">
      <c r="A66" s="105" t="s">
        <v>251</v>
      </c>
      <c r="B66" s="105"/>
      <c r="C66" s="107" t="s">
        <v>251</v>
      </c>
      <c r="D66" s="107" t="s">
        <v>251</v>
      </c>
      <c r="E66" s="120" t="s">
        <v>251</v>
      </c>
      <c r="F66" s="120" t="s">
        <v>251</v>
      </c>
      <c r="G66" s="527"/>
      <c r="H66" s="527"/>
      <c r="I66" s="527"/>
      <c r="J66" s="527"/>
      <c r="K66" s="527"/>
      <c r="L66" s="527"/>
      <c r="M66" s="527"/>
      <c r="N66" s="527"/>
      <c r="O66" s="527"/>
      <c r="P66" s="527"/>
      <c r="Q66" s="527"/>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74" si="1">MID(C72,2,3)</f>
        <v>301</v>
      </c>
      <c r="C72" s="107" t="s">
        <v>295</v>
      </c>
      <c r="D72" s="107" t="s">
        <v>296</v>
      </c>
      <c r="E72" s="120">
        <v>44455.580000000009</v>
      </c>
      <c r="F72" s="120" t="s">
        <v>251</v>
      </c>
      <c r="G72" s="120">
        <v>41566.037714491024</v>
      </c>
      <c r="H72" s="120" t="s">
        <v>251</v>
      </c>
      <c r="I72" s="120">
        <v>2243.1893014506018</v>
      </c>
      <c r="J72" s="120">
        <v>646.35298405838432</v>
      </c>
      <c r="K72" s="120" t="s">
        <v>251</v>
      </c>
      <c r="L72" s="120" t="s">
        <v>251</v>
      </c>
      <c r="M72" s="120">
        <v>3.1385711512981853</v>
      </c>
      <c r="N72" s="120" t="s">
        <v>251</v>
      </c>
      <c r="O72" s="120">
        <v>643.21441290708617</v>
      </c>
      <c r="P72" s="120">
        <v>334.30867071302652</v>
      </c>
      <c r="Q72" s="120">
        <v>308.90574219405971</v>
      </c>
      <c r="R72" s="120"/>
      <c r="S72" s="121"/>
    </row>
    <row r="73" spans="1:19" ht="15">
      <c r="A73" s="105">
        <v>2</v>
      </c>
      <c r="B73" s="129" t="str">
        <f t="shared" si="1"/>
        <v>302</v>
      </c>
      <c r="C73" s="107" t="s">
        <v>297</v>
      </c>
      <c r="D73" s="107" t="s">
        <v>298</v>
      </c>
      <c r="E73" s="120">
        <v>55918.829999999994</v>
      </c>
      <c r="F73" s="120" t="s">
        <v>251</v>
      </c>
      <c r="G73" s="120">
        <v>55918.829999999994</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97903191.244615391</v>
      </c>
      <c r="F74" s="120" t="s">
        <v>251</v>
      </c>
      <c r="G74" s="120">
        <v>91539638.885438219</v>
      </c>
      <c r="H74" s="120" t="s">
        <v>251</v>
      </c>
      <c r="I74" s="120">
        <v>4940108.5573013201</v>
      </c>
      <c r="J74" s="120">
        <v>1423443.8018758465</v>
      </c>
      <c r="K74" s="120" t="s">
        <v>251</v>
      </c>
      <c r="L74" s="120" t="s">
        <v>251</v>
      </c>
      <c r="M74" s="120">
        <v>6911.9811654775149</v>
      </c>
      <c r="N74" s="120" t="s">
        <v>251</v>
      </c>
      <c r="O74" s="120">
        <v>1416531.8207103689</v>
      </c>
      <c r="P74" s="120">
        <v>736237.96435791813</v>
      </c>
      <c r="Q74" s="120">
        <v>680293.85635245068</v>
      </c>
      <c r="R74" s="120"/>
      <c r="S74" s="121"/>
    </row>
    <row r="75" spans="1:19" ht="15">
      <c r="A75" s="105">
        <v>4</v>
      </c>
      <c r="B75" s="105"/>
      <c r="C75" s="107" t="s">
        <v>300</v>
      </c>
      <c r="D75" s="107" t="s">
        <v>251</v>
      </c>
      <c r="E75" s="120">
        <v>98003565.654615387</v>
      </c>
      <c r="F75" s="120" t="s">
        <v>251</v>
      </c>
      <c r="G75" s="120">
        <v>91637123.753152713</v>
      </c>
      <c r="H75" s="120" t="s">
        <v>251</v>
      </c>
      <c r="I75" s="120">
        <v>4942351.7466027709</v>
      </c>
      <c r="J75" s="120">
        <v>1424090.1548599047</v>
      </c>
      <c r="K75" s="120" t="s">
        <v>251</v>
      </c>
      <c r="L75" s="120" t="s">
        <v>251</v>
      </c>
      <c r="M75" s="120">
        <v>6915.1197366288134</v>
      </c>
      <c r="N75" s="120" t="s">
        <v>251</v>
      </c>
      <c r="O75" s="120">
        <v>1417175.0351232758</v>
      </c>
      <c r="P75" s="120">
        <v>736572.27302863111</v>
      </c>
      <c r="Q75" s="120">
        <v>680602.76209464471</v>
      </c>
      <c r="R75" s="120"/>
      <c r="S75" s="121"/>
    </row>
    <row r="76" spans="1:19" ht="15">
      <c r="A76" s="105" t="s">
        <v>251</v>
      </c>
      <c r="B76" s="105"/>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05"/>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ref="B79:B85" si="2">MID(C79,2,3)</f>
        <v>310</v>
      </c>
      <c r="C79" s="107" t="s">
        <v>303</v>
      </c>
      <c r="D79" s="107" t="s">
        <v>304</v>
      </c>
      <c r="E79" s="120">
        <v>24447347.8899999</v>
      </c>
      <c r="F79" s="120" t="s">
        <v>251</v>
      </c>
      <c r="G79" s="120">
        <v>22917335.822509505</v>
      </c>
      <c r="H79" s="120" t="s">
        <v>251</v>
      </c>
      <c r="I79" s="120">
        <v>1049413.0107747193</v>
      </c>
      <c r="J79" s="120">
        <v>480599.05671567487</v>
      </c>
      <c r="K79" s="120" t="s">
        <v>251</v>
      </c>
      <c r="L79" s="120" t="s">
        <v>251</v>
      </c>
      <c r="M79" s="120">
        <v>73.561455423090152</v>
      </c>
      <c r="N79" s="120" t="s">
        <v>251</v>
      </c>
      <c r="O79" s="120">
        <v>480525.4952602518</v>
      </c>
      <c r="P79" s="120">
        <v>243709.10181669769</v>
      </c>
      <c r="Q79" s="120">
        <v>236816.39344355412</v>
      </c>
      <c r="R79" s="120"/>
      <c r="S79" s="121"/>
    </row>
    <row r="80" spans="1:19" ht="15">
      <c r="A80" s="105">
        <v>6</v>
      </c>
      <c r="B80" s="129" t="str">
        <f t="shared" si="2"/>
        <v>311</v>
      </c>
      <c r="C80" s="107" t="s">
        <v>305</v>
      </c>
      <c r="D80" s="107" t="s">
        <v>304</v>
      </c>
      <c r="E80" s="120">
        <v>352826073.25999981</v>
      </c>
      <c r="F80" s="120" t="s">
        <v>251</v>
      </c>
      <c r="G80" s="120">
        <v>330744817.15639341</v>
      </c>
      <c r="H80" s="120" t="s">
        <v>251</v>
      </c>
      <c r="I80" s="120">
        <v>15145212.212202853</v>
      </c>
      <c r="J80" s="120">
        <v>6936043.8914035596</v>
      </c>
      <c r="K80" s="120" t="s">
        <v>251</v>
      </c>
      <c r="L80" s="120" t="s">
        <v>251</v>
      </c>
      <c r="M80" s="120">
        <v>1061.6447876882371</v>
      </c>
      <c r="N80" s="120" t="s">
        <v>251</v>
      </c>
      <c r="O80" s="120">
        <v>6934982.2466158718</v>
      </c>
      <c r="P80" s="120">
        <v>3517229.18161113</v>
      </c>
      <c r="Q80" s="120">
        <v>3417753.0650047418</v>
      </c>
      <c r="R80" s="120"/>
      <c r="S80" s="121"/>
    </row>
    <row r="81" spans="1:19" ht="15">
      <c r="A81" s="105">
        <v>7</v>
      </c>
      <c r="B81" s="129" t="str">
        <f t="shared" si="2"/>
        <v>312</v>
      </c>
      <c r="C81" s="107" t="s">
        <v>306</v>
      </c>
      <c r="D81" s="107" t="s">
        <v>304</v>
      </c>
      <c r="E81" s="120">
        <v>4240453115.0284548</v>
      </c>
      <c r="F81" s="120" t="s">
        <v>251</v>
      </c>
      <c r="G81" s="120">
        <v>3975068727.8624897</v>
      </c>
      <c r="H81" s="120" t="s">
        <v>251</v>
      </c>
      <c r="I81" s="120">
        <v>182023289.00924665</v>
      </c>
      <c r="J81" s="120">
        <v>83361098.156718254</v>
      </c>
      <c r="K81" s="120" t="s">
        <v>251</v>
      </c>
      <c r="L81" s="120" t="s">
        <v>251</v>
      </c>
      <c r="M81" s="120">
        <v>12759.416857746965</v>
      </c>
      <c r="N81" s="120" t="s">
        <v>251</v>
      </c>
      <c r="O81" s="120">
        <v>83348338.739860505</v>
      </c>
      <c r="P81" s="120">
        <v>42271948.049715698</v>
      </c>
      <c r="Q81" s="120">
        <v>41076390.6901448</v>
      </c>
      <c r="R81" s="120"/>
      <c r="S81" s="121"/>
    </row>
    <row r="82" spans="1:19" ht="15">
      <c r="A82" s="105">
        <v>8</v>
      </c>
      <c r="B82" s="129" t="str">
        <f t="shared" si="2"/>
        <v>314</v>
      </c>
      <c r="C82" s="107" t="s">
        <v>307</v>
      </c>
      <c r="D82" s="107" t="s">
        <v>304</v>
      </c>
      <c r="E82" s="120">
        <v>331109910.30923021</v>
      </c>
      <c r="F82" s="120" t="s">
        <v>251</v>
      </c>
      <c r="G82" s="120">
        <v>310387737.87898439</v>
      </c>
      <c r="H82" s="120" t="s">
        <v>251</v>
      </c>
      <c r="I82" s="120">
        <v>14213036.499435114</v>
      </c>
      <c r="J82" s="120">
        <v>6509135.9308107104</v>
      </c>
      <c r="K82" s="120" t="s">
        <v>251</v>
      </c>
      <c r="L82" s="120" t="s">
        <v>251</v>
      </c>
      <c r="M82" s="120">
        <v>996.30139911081847</v>
      </c>
      <c r="N82" s="120" t="s">
        <v>251</v>
      </c>
      <c r="O82" s="120">
        <v>6508139.6294115996</v>
      </c>
      <c r="P82" s="120">
        <v>3300746.5352541418</v>
      </c>
      <c r="Q82" s="120">
        <v>3207393.0941574578</v>
      </c>
      <c r="R82" s="120"/>
      <c r="S82" s="121"/>
    </row>
    <row r="83" spans="1:19" ht="15">
      <c r="A83" s="105">
        <v>9</v>
      </c>
      <c r="B83" s="129" t="str">
        <f t="shared" si="2"/>
        <v>315</v>
      </c>
      <c r="C83" s="107" t="s">
        <v>308</v>
      </c>
      <c r="D83" s="107" t="s">
        <v>304</v>
      </c>
      <c r="E83" s="120">
        <v>250862166.48615283</v>
      </c>
      <c r="F83" s="120" t="s">
        <v>251</v>
      </c>
      <c r="G83" s="120">
        <v>235162216.38409701</v>
      </c>
      <c r="H83" s="120" t="s">
        <v>251</v>
      </c>
      <c r="I83" s="120">
        <v>10768367.293099605</v>
      </c>
      <c r="J83" s="120">
        <v>4931582.8089562207</v>
      </c>
      <c r="K83" s="120" t="s">
        <v>251</v>
      </c>
      <c r="L83" s="120" t="s">
        <v>251</v>
      </c>
      <c r="M83" s="120">
        <v>754.83795462572061</v>
      </c>
      <c r="N83" s="120" t="s">
        <v>251</v>
      </c>
      <c r="O83" s="120">
        <v>4930827.9710015953</v>
      </c>
      <c r="P83" s="120">
        <v>2500778.1436750125</v>
      </c>
      <c r="Q83" s="120">
        <v>2430049.8273265823</v>
      </c>
      <c r="R83" s="120"/>
      <c r="S83" s="121"/>
    </row>
    <row r="84" spans="1:19" ht="15">
      <c r="A84" s="105">
        <v>10</v>
      </c>
      <c r="B84" s="129" t="str">
        <f t="shared" si="2"/>
        <v>316</v>
      </c>
      <c r="C84" s="107" t="s">
        <v>309</v>
      </c>
      <c r="D84" s="107" t="s">
        <v>304</v>
      </c>
      <c r="E84" s="120">
        <v>43389200.439999901</v>
      </c>
      <c r="F84" s="120" t="s">
        <v>251</v>
      </c>
      <c r="G84" s="120">
        <v>40673732.055835649</v>
      </c>
      <c r="H84" s="120" t="s">
        <v>251</v>
      </c>
      <c r="I84" s="120">
        <v>1862500.2463957763</v>
      </c>
      <c r="J84" s="120">
        <v>852968.13776847604</v>
      </c>
      <c r="K84" s="120" t="s">
        <v>251</v>
      </c>
      <c r="L84" s="120" t="s">
        <v>251</v>
      </c>
      <c r="M84" s="120">
        <v>130.55701372483676</v>
      </c>
      <c r="N84" s="120" t="s">
        <v>251</v>
      </c>
      <c r="O84" s="120">
        <v>852837.58075475122</v>
      </c>
      <c r="P84" s="120">
        <v>432535.38647038426</v>
      </c>
      <c r="Q84" s="120">
        <v>420302.19428436697</v>
      </c>
      <c r="R84" s="120"/>
      <c r="S84" s="121"/>
    </row>
    <row r="85" spans="1:19" ht="15">
      <c r="A85" s="105">
        <v>11</v>
      </c>
      <c r="B85" s="129" t="str">
        <f t="shared" si="2"/>
        <v>317</v>
      </c>
      <c r="C85" s="107" t="s">
        <v>310</v>
      </c>
      <c r="D85" s="107" t="s">
        <v>304</v>
      </c>
      <c r="E85" s="120">
        <v>178310652.40384617</v>
      </c>
      <c r="F85" s="120" t="s">
        <v>251</v>
      </c>
      <c r="G85" s="120">
        <v>167151264.02488977</v>
      </c>
      <c r="H85" s="120" t="s">
        <v>251</v>
      </c>
      <c r="I85" s="120">
        <v>7654062.0861727931</v>
      </c>
      <c r="J85" s="120">
        <v>3505326.2927836305</v>
      </c>
      <c r="K85" s="120" t="s">
        <v>251</v>
      </c>
      <c r="L85" s="120" t="s">
        <v>251</v>
      </c>
      <c r="M85" s="120">
        <v>536.53227201929053</v>
      </c>
      <c r="N85" s="120" t="s">
        <v>251</v>
      </c>
      <c r="O85" s="120">
        <v>3504789.7605116111</v>
      </c>
      <c r="P85" s="120">
        <v>1777531.4171999095</v>
      </c>
      <c r="Q85" s="120">
        <v>1727258.3433117017</v>
      </c>
      <c r="R85" s="120"/>
      <c r="S85" s="121"/>
    </row>
    <row r="86" spans="1:19" ht="15">
      <c r="A86" s="105">
        <v>12</v>
      </c>
      <c r="B86" s="105"/>
      <c r="C86" s="107" t="s">
        <v>311</v>
      </c>
      <c r="D86" s="107" t="s">
        <v>312</v>
      </c>
      <c r="E86" s="120">
        <v>16782672.030000001</v>
      </c>
      <c r="F86" s="120" t="s">
        <v>251</v>
      </c>
      <c r="G86" s="120">
        <v>8813546.6613437664</v>
      </c>
      <c r="H86" s="120" t="s">
        <v>251</v>
      </c>
      <c r="I86" s="120">
        <v>5466169.9234149326</v>
      </c>
      <c r="J86" s="120">
        <v>2502955.4452413013</v>
      </c>
      <c r="K86" s="120" t="s">
        <v>251</v>
      </c>
      <c r="L86" s="120" t="s">
        <v>251</v>
      </c>
      <c r="M86" s="120">
        <v>0</v>
      </c>
      <c r="N86" s="120" t="s">
        <v>251</v>
      </c>
      <c r="O86" s="120">
        <v>2502955.4452413013</v>
      </c>
      <c r="P86" s="120">
        <v>1269429.0510363015</v>
      </c>
      <c r="Q86" s="120">
        <v>1233526.394205</v>
      </c>
      <c r="R86" s="120"/>
      <c r="S86" s="121"/>
    </row>
    <row r="87" spans="1:19" ht="15">
      <c r="A87" s="105">
        <v>13</v>
      </c>
      <c r="B87" s="105"/>
      <c r="C87" s="107" t="s">
        <v>313</v>
      </c>
      <c r="D87" s="107" t="s">
        <v>314</v>
      </c>
      <c r="E87" s="120">
        <v>24580305.350000001</v>
      </c>
      <c r="F87" s="120" t="s">
        <v>251</v>
      </c>
      <c r="G87" s="120">
        <v>19143695.296644736</v>
      </c>
      <c r="H87" s="120" t="s">
        <v>251</v>
      </c>
      <c r="I87" s="120">
        <v>0</v>
      </c>
      <c r="J87" s="120">
        <v>5436610.0533552635</v>
      </c>
      <c r="K87" s="120" t="s">
        <v>251</v>
      </c>
      <c r="L87" s="120" t="s">
        <v>251</v>
      </c>
      <c r="M87" s="120">
        <v>0</v>
      </c>
      <c r="N87" s="120" t="s">
        <v>251</v>
      </c>
      <c r="O87" s="120">
        <v>5436610.0533552635</v>
      </c>
      <c r="P87" s="120">
        <v>2757296.680612646</v>
      </c>
      <c r="Q87" s="120">
        <v>2679313.3727426175</v>
      </c>
      <c r="R87" s="120"/>
      <c r="S87" s="121"/>
    </row>
    <row r="88" spans="1:19" ht="15">
      <c r="A88" s="105">
        <v>14</v>
      </c>
      <c r="B88" s="105"/>
      <c r="C88" s="107" t="s">
        <v>315</v>
      </c>
      <c r="D88" s="107" t="s">
        <v>251</v>
      </c>
      <c r="E88" s="120">
        <v>5462761443.1976843</v>
      </c>
      <c r="F88" s="120" t="s">
        <v>251</v>
      </c>
      <c r="G88" s="120">
        <v>5110063073.1431885</v>
      </c>
      <c r="H88" s="120" t="s">
        <v>251</v>
      </c>
      <c r="I88" s="120">
        <v>238182050.28074247</v>
      </c>
      <c r="J88" s="120">
        <v>114516319.77375309</v>
      </c>
      <c r="K88" s="120" t="s">
        <v>251</v>
      </c>
      <c r="L88" s="120" t="s">
        <v>251</v>
      </c>
      <c r="M88" s="120">
        <v>16312.851740338956</v>
      </c>
      <c r="N88" s="120" t="s">
        <v>251</v>
      </c>
      <c r="O88" s="120">
        <v>114500006.92201275</v>
      </c>
      <c r="P88" s="120">
        <v>58071203.547391921</v>
      </c>
      <c r="Q88" s="120">
        <v>56428803.374620818</v>
      </c>
      <c r="R88" s="120"/>
      <c r="S88" s="121"/>
    </row>
    <row r="89" spans="1:19" ht="15">
      <c r="A89" s="105" t="s">
        <v>251</v>
      </c>
      <c r="B89" s="105"/>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ref="B91:B98" si="3">MID(C91,2,3)</f>
        <v>330</v>
      </c>
      <c r="C91" s="107" t="s">
        <v>317</v>
      </c>
      <c r="D91" s="107" t="s">
        <v>304</v>
      </c>
      <c r="E91" s="120">
        <v>855636.47000000009</v>
      </c>
      <c r="F91" s="120" t="s">
        <v>251</v>
      </c>
      <c r="G91" s="120">
        <v>802087.34351089003</v>
      </c>
      <c r="H91" s="120" t="s">
        <v>251</v>
      </c>
      <c r="I91" s="120">
        <v>36728.56655664651</v>
      </c>
      <c r="J91" s="120">
        <v>16820.559932463562</v>
      </c>
      <c r="K91" s="120" t="s">
        <v>251</v>
      </c>
      <c r="L91" s="120" t="s">
        <v>251</v>
      </c>
      <c r="M91" s="120">
        <v>2.5745886355231753</v>
      </c>
      <c r="N91" s="120" t="s">
        <v>251</v>
      </c>
      <c r="O91" s="120">
        <v>16817.985343828041</v>
      </c>
      <c r="P91" s="120">
        <v>8529.6121494882809</v>
      </c>
      <c r="Q91" s="120">
        <v>8288.3731943397579</v>
      </c>
      <c r="R91" s="120"/>
      <c r="S91" s="121"/>
    </row>
    <row r="92" spans="1:19" ht="15">
      <c r="A92" s="105">
        <v>16</v>
      </c>
      <c r="B92" s="129" t="str">
        <f t="shared" si="3"/>
        <v>331</v>
      </c>
      <c r="C92" s="107" t="s">
        <v>318</v>
      </c>
      <c r="D92" s="107" t="s">
        <v>304</v>
      </c>
      <c r="E92" s="120">
        <v>4492231.7246153848</v>
      </c>
      <c r="F92" s="120" t="s">
        <v>251</v>
      </c>
      <c r="G92" s="120">
        <v>4211090.0327005666</v>
      </c>
      <c r="H92" s="120" t="s">
        <v>251</v>
      </c>
      <c r="I92" s="120">
        <v>192830.99501990026</v>
      </c>
      <c r="J92" s="120">
        <v>88310.696894917535</v>
      </c>
      <c r="K92" s="120" t="s">
        <v>251</v>
      </c>
      <c r="L92" s="120" t="s">
        <v>251</v>
      </c>
      <c r="M92" s="120">
        <v>13.517012366632105</v>
      </c>
      <c r="N92" s="120" t="s">
        <v>251</v>
      </c>
      <c r="O92" s="120">
        <v>88297.179882550903</v>
      </c>
      <c r="P92" s="120">
        <v>44781.861970652164</v>
      </c>
      <c r="Q92" s="120">
        <v>43515.317911898732</v>
      </c>
      <c r="R92" s="120"/>
      <c r="S92" s="121"/>
    </row>
    <row r="93" spans="1:19" ht="15">
      <c r="A93" s="105">
        <v>17</v>
      </c>
      <c r="B93" s="129" t="str">
        <f t="shared" si="3"/>
        <v>332</v>
      </c>
      <c r="C93" s="107" t="s">
        <v>319</v>
      </c>
      <c r="D93" s="107" t="s">
        <v>304</v>
      </c>
      <c r="E93" s="120">
        <v>21842694.049999993</v>
      </c>
      <c r="F93" s="120" t="s">
        <v>251</v>
      </c>
      <c r="G93" s="120">
        <v>20475691.558221702</v>
      </c>
      <c r="H93" s="120" t="s">
        <v>251</v>
      </c>
      <c r="I93" s="120">
        <v>937607.11507761164</v>
      </c>
      <c r="J93" s="120">
        <v>429395.37670068</v>
      </c>
      <c r="K93" s="120" t="s">
        <v>251</v>
      </c>
      <c r="L93" s="120" t="s">
        <v>251</v>
      </c>
      <c r="M93" s="120">
        <v>65.724117475193239</v>
      </c>
      <c r="N93" s="120" t="s">
        <v>251</v>
      </c>
      <c r="O93" s="120">
        <v>429329.65258320479</v>
      </c>
      <c r="P93" s="120">
        <v>217744.00119531521</v>
      </c>
      <c r="Q93" s="120">
        <v>211585.65138788958</v>
      </c>
      <c r="R93" s="120"/>
      <c r="S93" s="121"/>
    </row>
    <row r="94" spans="1:19" ht="15">
      <c r="A94" s="105">
        <v>18</v>
      </c>
      <c r="B94" s="129" t="str">
        <f t="shared" si="3"/>
        <v>333</v>
      </c>
      <c r="C94" s="107" t="s">
        <v>320</v>
      </c>
      <c r="D94" s="107" t="s">
        <v>304</v>
      </c>
      <c r="E94" s="120">
        <v>13988241.579999998</v>
      </c>
      <c r="F94" s="120" t="s">
        <v>251</v>
      </c>
      <c r="G94" s="120">
        <v>13112801.899725912</v>
      </c>
      <c r="H94" s="120" t="s">
        <v>251</v>
      </c>
      <c r="I94" s="120">
        <v>600451.33639696322</v>
      </c>
      <c r="J94" s="120">
        <v>274988.34387712431</v>
      </c>
      <c r="K94" s="120" t="s">
        <v>251</v>
      </c>
      <c r="L94" s="120" t="s">
        <v>251</v>
      </c>
      <c r="M94" s="120">
        <v>42.090267380515868</v>
      </c>
      <c r="N94" s="120" t="s">
        <v>251</v>
      </c>
      <c r="O94" s="120">
        <v>274946.25360974378</v>
      </c>
      <c r="P94" s="120">
        <v>139445.05583164908</v>
      </c>
      <c r="Q94" s="120">
        <v>135501.19777809471</v>
      </c>
      <c r="R94" s="120"/>
      <c r="S94" s="121"/>
    </row>
    <row r="95" spans="1:19" ht="15">
      <c r="A95" s="105">
        <v>19</v>
      </c>
      <c r="B95" s="129" t="str">
        <f t="shared" si="3"/>
        <v>334</v>
      </c>
      <c r="C95" s="107" t="s">
        <v>321</v>
      </c>
      <c r="D95" s="107" t="s">
        <v>304</v>
      </c>
      <c r="E95" s="120">
        <v>1377986.23</v>
      </c>
      <c r="F95" s="120" t="s">
        <v>251</v>
      </c>
      <c r="G95" s="120">
        <v>1291746.3822168382</v>
      </c>
      <c r="H95" s="120" t="s">
        <v>251</v>
      </c>
      <c r="I95" s="120">
        <v>59150.656543073019</v>
      </c>
      <c r="J95" s="120">
        <v>27089.191240088814</v>
      </c>
      <c r="K95" s="120" t="s">
        <v>251</v>
      </c>
      <c r="L95" s="120" t="s">
        <v>251</v>
      </c>
      <c r="M95" s="120">
        <v>4.1463259363704124</v>
      </c>
      <c r="N95" s="120" t="s">
        <v>251</v>
      </c>
      <c r="O95" s="120">
        <v>27085.044914152444</v>
      </c>
      <c r="P95" s="120">
        <v>13736.777827195176</v>
      </c>
      <c r="Q95" s="120">
        <v>13348.267086957267</v>
      </c>
      <c r="R95" s="120"/>
      <c r="S95" s="121"/>
    </row>
    <row r="96" spans="1:19" ht="15">
      <c r="A96" s="105">
        <v>20</v>
      </c>
      <c r="B96" s="129" t="str">
        <f t="shared" si="3"/>
        <v>335</v>
      </c>
      <c r="C96" s="107" t="s">
        <v>322</v>
      </c>
      <c r="D96" s="107" t="s">
        <v>304</v>
      </c>
      <c r="E96" s="120">
        <v>328554.18</v>
      </c>
      <c r="F96" s="120" t="s">
        <v>251</v>
      </c>
      <c r="G96" s="120">
        <v>307991.95531672315</v>
      </c>
      <c r="H96" s="120" t="s">
        <v>251</v>
      </c>
      <c r="I96" s="120">
        <v>14103.33066751399</v>
      </c>
      <c r="J96" s="120">
        <v>6458.894015762814</v>
      </c>
      <c r="K96" s="120" t="s">
        <v>251</v>
      </c>
      <c r="L96" s="120" t="s">
        <v>251</v>
      </c>
      <c r="M96" s="120">
        <v>0.98861127083752698</v>
      </c>
      <c r="N96" s="120" t="s">
        <v>251</v>
      </c>
      <c r="O96" s="120">
        <v>6457.9054044919767</v>
      </c>
      <c r="P96" s="120">
        <v>3275.2691402847267</v>
      </c>
      <c r="Q96" s="120">
        <v>3182.63626420725</v>
      </c>
      <c r="R96" s="120"/>
      <c r="S96" s="121"/>
    </row>
    <row r="97" spans="1:19" ht="15">
      <c r="A97" s="105">
        <v>21</v>
      </c>
      <c r="B97" s="129" t="str">
        <f t="shared" si="3"/>
        <v>336</v>
      </c>
      <c r="C97" s="107" t="s">
        <v>323</v>
      </c>
      <c r="D97" s="107" t="s">
        <v>304</v>
      </c>
      <c r="E97" s="120">
        <v>234509.12999999998</v>
      </c>
      <c r="F97" s="120" t="s">
        <v>251</v>
      </c>
      <c r="G97" s="120">
        <v>219832.6178298009</v>
      </c>
      <c r="H97" s="120" t="s">
        <v>251</v>
      </c>
      <c r="I97" s="120">
        <v>10066.406109765594</v>
      </c>
      <c r="J97" s="120">
        <v>4610.1060604334534</v>
      </c>
      <c r="K97" s="120" t="s">
        <v>251</v>
      </c>
      <c r="L97" s="120" t="s">
        <v>251</v>
      </c>
      <c r="M97" s="120">
        <v>0.70563207880144097</v>
      </c>
      <c r="N97" s="120" t="s">
        <v>251</v>
      </c>
      <c r="O97" s="120">
        <v>4609.4004283546519</v>
      </c>
      <c r="P97" s="120">
        <v>2337.7590770691736</v>
      </c>
      <c r="Q97" s="120">
        <v>2271.6413512854783</v>
      </c>
      <c r="R97" s="120"/>
      <c r="S97" s="121"/>
    </row>
    <row r="98" spans="1:19" ht="15">
      <c r="A98" s="105">
        <v>22</v>
      </c>
      <c r="B98" s="129" t="str">
        <f t="shared" si="3"/>
        <v>337</v>
      </c>
      <c r="C98" s="107" t="s">
        <v>324</v>
      </c>
      <c r="D98" s="107" t="s">
        <v>304</v>
      </c>
      <c r="E98" s="120">
        <v>645787.98999999987</v>
      </c>
      <c r="F98" s="120" t="s">
        <v>251</v>
      </c>
      <c r="G98" s="120">
        <v>605372.01432091487</v>
      </c>
      <c r="H98" s="120" t="s">
        <v>251</v>
      </c>
      <c r="I98" s="120">
        <v>27720.7295432346</v>
      </c>
      <c r="J98" s="120">
        <v>12695.246135850399</v>
      </c>
      <c r="K98" s="120" t="s">
        <v>251</v>
      </c>
      <c r="L98" s="120" t="s">
        <v>251</v>
      </c>
      <c r="M98" s="120">
        <v>1.9431598328333919</v>
      </c>
      <c r="N98" s="120" t="s">
        <v>251</v>
      </c>
      <c r="O98" s="120">
        <v>12693.302976017565</v>
      </c>
      <c r="P98" s="120">
        <v>6437.6885261770276</v>
      </c>
      <c r="Q98" s="120">
        <v>6255.6144498405374</v>
      </c>
      <c r="R98" s="120"/>
      <c r="S98" s="121"/>
    </row>
    <row r="99" spans="1:19" ht="15">
      <c r="A99" s="105">
        <v>23</v>
      </c>
      <c r="B99" s="105"/>
      <c r="C99" s="107" t="s">
        <v>311</v>
      </c>
      <c r="D99" s="107" t="s">
        <v>312</v>
      </c>
      <c r="E99" s="120">
        <v>820.00000000000023</v>
      </c>
      <c r="F99" s="120" t="s">
        <v>251</v>
      </c>
      <c r="G99" s="120">
        <v>430.62917808219186</v>
      </c>
      <c r="H99" s="120" t="s">
        <v>251</v>
      </c>
      <c r="I99" s="120">
        <v>267.07662100456628</v>
      </c>
      <c r="J99" s="120">
        <v>122.29420091324204</v>
      </c>
      <c r="K99" s="120" t="s">
        <v>251</v>
      </c>
      <c r="L99" s="120" t="s">
        <v>251</v>
      </c>
      <c r="M99" s="120">
        <v>0</v>
      </c>
      <c r="N99" s="120" t="s">
        <v>251</v>
      </c>
      <c r="O99" s="120">
        <v>122.29420091324204</v>
      </c>
      <c r="P99" s="120">
        <v>62.024200913242026</v>
      </c>
      <c r="Q99" s="120">
        <v>60.27000000000001</v>
      </c>
      <c r="R99" s="120"/>
      <c r="S99" s="121"/>
    </row>
    <row r="100" spans="1:19" ht="15">
      <c r="A100" s="105">
        <v>24</v>
      </c>
      <c r="B100" s="105"/>
      <c r="C100" s="107" t="s">
        <v>313</v>
      </c>
      <c r="D100" s="107" t="s">
        <v>314</v>
      </c>
      <c r="E100" s="120">
        <v>105336.75999999998</v>
      </c>
      <c r="F100" s="120" t="s">
        <v>251</v>
      </c>
      <c r="G100" s="120">
        <v>82038.640621516737</v>
      </c>
      <c r="H100" s="120" t="s">
        <v>251</v>
      </c>
      <c r="I100" s="120">
        <v>0</v>
      </c>
      <c r="J100" s="120">
        <v>23298.11937848325</v>
      </c>
      <c r="K100" s="120" t="s">
        <v>251</v>
      </c>
      <c r="L100" s="120" t="s">
        <v>251</v>
      </c>
      <c r="M100" s="120">
        <v>0</v>
      </c>
      <c r="N100" s="120" t="s">
        <v>251</v>
      </c>
      <c r="O100" s="120">
        <v>23298.11937848325</v>
      </c>
      <c r="P100" s="120">
        <v>11816.155029762107</v>
      </c>
      <c r="Q100" s="120">
        <v>11481.964348721143</v>
      </c>
      <c r="R100" s="120"/>
      <c r="S100" s="121"/>
    </row>
    <row r="101" spans="1:19" ht="15">
      <c r="A101" s="105">
        <v>25</v>
      </c>
      <c r="B101" s="105"/>
      <c r="C101" s="107" t="s">
        <v>325</v>
      </c>
      <c r="D101" s="107" t="s">
        <v>251</v>
      </c>
      <c r="E101" s="120">
        <v>43871798.114615381</v>
      </c>
      <c r="F101" s="120" t="s">
        <v>251</v>
      </c>
      <c r="G101" s="120">
        <v>41109083.073642947</v>
      </c>
      <c r="H101" s="120" t="s">
        <v>251</v>
      </c>
      <c r="I101" s="120">
        <v>1878926.2125357133</v>
      </c>
      <c r="J101" s="120">
        <v>883788.82843671739</v>
      </c>
      <c r="K101" s="120" t="s">
        <v>251</v>
      </c>
      <c r="L101" s="120" t="s">
        <v>251</v>
      </c>
      <c r="M101" s="120">
        <v>131.68971497670719</v>
      </c>
      <c r="N101" s="120" t="s">
        <v>251</v>
      </c>
      <c r="O101" s="120">
        <v>883657.13872174069</v>
      </c>
      <c r="P101" s="120">
        <v>448166.2049485062</v>
      </c>
      <c r="Q101" s="120">
        <v>435490.93377323449</v>
      </c>
      <c r="R101" s="120"/>
      <c r="S101" s="121"/>
    </row>
    <row r="102" spans="1:19" ht="15">
      <c r="A102" s="105" t="s">
        <v>251</v>
      </c>
      <c r="B102" s="105"/>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t="str">
        <f t="shared" ref="B103:B111" si="4">MID(C103,2,3)</f>
        <v>THE</v>
      </c>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4"/>
        <v>340</v>
      </c>
      <c r="C104" s="107" t="s">
        <v>327</v>
      </c>
      <c r="D104" s="107" t="s">
        <v>304</v>
      </c>
      <c r="E104" s="120">
        <v>903501.17</v>
      </c>
      <c r="F104" s="120" t="s">
        <v>251</v>
      </c>
      <c r="G104" s="120">
        <v>846956.48060008592</v>
      </c>
      <c r="H104" s="120" t="s">
        <v>251</v>
      </c>
      <c r="I104" s="120">
        <v>38783.179562639481</v>
      </c>
      <c r="J104" s="120">
        <v>17761.50983727464</v>
      </c>
      <c r="K104" s="120" t="s">
        <v>251</v>
      </c>
      <c r="L104" s="120" t="s">
        <v>251</v>
      </c>
      <c r="M104" s="120">
        <v>2.7186123149518071</v>
      </c>
      <c r="N104" s="120" t="s">
        <v>251</v>
      </c>
      <c r="O104" s="120">
        <v>17758.791224959688</v>
      </c>
      <c r="P104" s="120">
        <v>9006.7625994353366</v>
      </c>
      <c r="Q104" s="120">
        <v>8752.0286255243518</v>
      </c>
      <c r="R104" s="120"/>
      <c r="S104" s="121"/>
    </row>
    <row r="105" spans="1:19" ht="15">
      <c r="A105" s="105">
        <v>27</v>
      </c>
      <c r="B105" s="129" t="str">
        <f t="shared" si="4"/>
        <v>341</v>
      </c>
      <c r="C105" s="107" t="s">
        <v>328</v>
      </c>
      <c r="D105" s="107" t="s">
        <v>304</v>
      </c>
      <c r="E105" s="120">
        <v>86594098.539999887</v>
      </c>
      <c r="F105" s="120" t="s">
        <v>251</v>
      </c>
      <c r="G105" s="120">
        <v>81174696.143642336</v>
      </c>
      <c r="H105" s="120" t="s">
        <v>251</v>
      </c>
      <c r="I105" s="120">
        <v>3717089.2349167774</v>
      </c>
      <c r="J105" s="120">
        <v>1702313.1614407732</v>
      </c>
      <c r="K105" s="120" t="s">
        <v>251</v>
      </c>
      <c r="L105" s="120" t="s">
        <v>251</v>
      </c>
      <c r="M105" s="120">
        <v>260.55946634025275</v>
      </c>
      <c r="N105" s="120" t="s">
        <v>251</v>
      </c>
      <c r="O105" s="120">
        <v>1702052.6019744328</v>
      </c>
      <c r="P105" s="120">
        <v>863233.51198525738</v>
      </c>
      <c r="Q105" s="120">
        <v>838819.08998917555</v>
      </c>
      <c r="R105" s="120"/>
      <c r="S105" s="121"/>
    </row>
    <row r="106" spans="1:19" ht="15">
      <c r="A106" s="105">
        <v>28</v>
      </c>
      <c r="B106" s="129" t="str">
        <f t="shared" si="4"/>
        <v>342</v>
      </c>
      <c r="C106" s="107" t="s">
        <v>329</v>
      </c>
      <c r="D106" s="107" t="s">
        <v>304</v>
      </c>
      <c r="E106" s="120">
        <v>75636808.567692265</v>
      </c>
      <c r="F106" s="120" t="s">
        <v>251</v>
      </c>
      <c r="G106" s="120">
        <v>70903156.869531304</v>
      </c>
      <c r="H106" s="120" t="s">
        <v>251</v>
      </c>
      <c r="I106" s="120">
        <v>3246742.810776656</v>
      </c>
      <c r="J106" s="120">
        <v>1486908.8873843127</v>
      </c>
      <c r="K106" s="120" t="s">
        <v>251</v>
      </c>
      <c r="L106" s="120" t="s">
        <v>251</v>
      </c>
      <c r="M106" s="120">
        <v>227.58925617747735</v>
      </c>
      <c r="N106" s="120" t="s">
        <v>251</v>
      </c>
      <c r="O106" s="120">
        <v>1486681.2981281353</v>
      </c>
      <c r="P106" s="120">
        <v>754003.20571598248</v>
      </c>
      <c r="Q106" s="120">
        <v>732678.09241215279</v>
      </c>
      <c r="R106" s="120"/>
      <c r="S106" s="121"/>
    </row>
    <row r="107" spans="1:19" ht="15">
      <c r="A107" s="105">
        <v>29</v>
      </c>
      <c r="B107" s="129" t="str">
        <f t="shared" si="4"/>
        <v>343</v>
      </c>
      <c r="C107" s="107" t="s">
        <v>330</v>
      </c>
      <c r="D107" s="107" t="s">
        <v>304</v>
      </c>
      <c r="E107" s="120">
        <v>677390096.08307576</v>
      </c>
      <c r="F107" s="120" t="s">
        <v>251</v>
      </c>
      <c r="G107" s="120">
        <v>634996335.17007613</v>
      </c>
      <c r="H107" s="120" t="s">
        <v>251</v>
      </c>
      <c r="I107" s="120">
        <v>29077263.65240185</v>
      </c>
      <c r="J107" s="120">
        <v>13316497.260597864</v>
      </c>
      <c r="K107" s="120" t="s">
        <v>251</v>
      </c>
      <c r="L107" s="120" t="s">
        <v>251</v>
      </c>
      <c r="M107" s="120">
        <v>2038.2497758556724</v>
      </c>
      <c r="N107" s="120" t="s">
        <v>251</v>
      </c>
      <c r="O107" s="120">
        <v>13314459.010822009</v>
      </c>
      <c r="P107" s="120">
        <v>6752721.5074098427</v>
      </c>
      <c r="Q107" s="120">
        <v>6561737.5034121657</v>
      </c>
      <c r="R107" s="120"/>
      <c r="S107" s="121"/>
    </row>
    <row r="108" spans="1:19" ht="15">
      <c r="A108" s="105">
        <v>30</v>
      </c>
      <c r="B108" s="129" t="str">
        <f t="shared" si="4"/>
        <v>344</v>
      </c>
      <c r="C108" s="107" t="s">
        <v>331</v>
      </c>
      <c r="D108" s="107" t="s">
        <v>304</v>
      </c>
      <c r="E108" s="120">
        <v>131727985.57384613</v>
      </c>
      <c r="F108" s="120" t="s">
        <v>251</v>
      </c>
      <c r="G108" s="120">
        <v>123483925.38126276</v>
      </c>
      <c r="H108" s="120" t="s">
        <v>251</v>
      </c>
      <c r="I108" s="120">
        <v>5654480.9100084044</v>
      </c>
      <c r="J108" s="120">
        <v>2589579.2825749633</v>
      </c>
      <c r="K108" s="120" t="s">
        <v>251</v>
      </c>
      <c r="L108" s="120" t="s">
        <v>251</v>
      </c>
      <c r="M108" s="120">
        <v>396.36619818085245</v>
      </c>
      <c r="N108" s="120" t="s">
        <v>251</v>
      </c>
      <c r="O108" s="120">
        <v>2589182.9163767826</v>
      </c>
      <c r="P108" s="120">
        <v>1313161.2145731642</v>
      </c>
      <c r="Q108" s="120">
        <v>1276021.7018036181</v>
      </c>
      <c r="R108" s="120"/>
      <c r="S108" s="121"/>
    </row>
    <row r="109" spans="1:19" ht="15">
      <c r="A109" s="105">
        <v>31</v>
      </c>
      <c r="B109" s="129" t="str">
        <f t="shared" si="4"/>
        <v>345</v>
      </c>
      <c r="C109" s="107" t="s">
        <v>332</v>
      </c>
      <c r="D109" s="107" t="s">
        <v>304</v>
      </c>
      <c r="E109" s="120">
        <v>79009719.183845937</v>
      </c>
      <c r="F109" s="120" t="s">
        <v>251</v>
      </c>
      <c r="G109" s="120">
        <v>74064977.351552561</v>
      </c>
      <c r="H109" s="120" t="s">
        <v>251</v>
      </c>
      <c r="I109" s="120">
        <v>3391526.4617762677</v>
      </c>
      <c r="J109" s="120">
        <v>1553215.3705171035</v>
      </c>
      <c r="K109" s="120" t="s">
        <v>251</v>
      </c>
      <c r="L109" s="120" t="s">
        <v>251</v>
      </c>
      <c r="M109" s="120">
        <v>237.73825945802326</v>
      </c>
      <c r="N109" s="120" t="s">
        <v>251</v>
      </c>
      <c r="O109" s="120">
        <v>1552977.6322576455</v>
      </c>
      <c r="P109" s="120">
        <v>787626.85358443111</v>
      </c>
      <c r="Q109" s="120">
        <v>765350.77867321426</v>
      </c>
      <c r="R109" s="120"/>
      <c r="S109" s="121"/>
    </row>
    <row r="110" spans="1:19" ht="15">
      <c r="A110" s="105">
        <v>32</v>
      </c>
      <c r="B110" s="129" t="str">
        <f t="shared" si="4"/>
        <v>346</v>
      </c>
      <c r="C110" s="107" t="s">
        <v>333</v>
      </c>
      <c r="D110" s="107" t="s">
        <v>304</v>
      </c>
      <c r="E110" s="120">
        <v>12702225.203846153</v>
      </c>
      <c r="F110" s="120" t="s">
        <v>251</v>
      </c>
      <c r="G110" s="120">
        <v>11907269.532854335</v>
      </c>
      <c r="H110" s="120" t="s">
        <v>251</v>
      </c>
      <c r="I110" s="120">
        <v>545248.52571674064</v>
      </c>
      <c r="J110" s="120">
        <v>249707.14527507618</v>
      </c>
      <c r="K110" s="120" t="s">
        <v>251</v>
      </c>
      <c r="L110" s="120" t="s">
        <v>251</v>
      </c>
      <c r="M110" s="120">
        <v>38.220676423105658</v>
      </c>
      <c r="N110" s="120" t="s">
        <v>251</v>
      </c>
      <c r="O110" s="120">
        <v>249668.92459865307</v>
      </c>
      <c r="P110" s="120">
        <v>126625.10098974904</v>
      </c>
      <c r="Q110" s="120">
        <v>123043.82360890403</v>
      </c>
      <c r="R110" s="120"/>
      <c r="S110" s="121"/>
    </row>
    <row r="111" spans="1:19" ht="15">
      <c r="A111" s="105">
        <v>33</v>
      </c>
      <c r="B111" s="129" t="str">
        <f t="shared" si="4"/>
        <v>347</v>
      </c>
      <c r="C111" s="107" t="s">
        <v>334</v>
      </c>
      <c r="D111" s="107" t="s">
        <v>304</v>
      </c>
      <c r="E111" s="120">
        <v>406991.12</v>
      </c>
      <c r="F111" s="120" t="s">
        <v>251</v>
      </c>
      <c r="G111" s="120">
        <v>381520.00027923286</v>
      </c>
      <c r="H111" s="120" t="s">
        <v>251</v>
      </c>
      <c r="I111" s="120">
        <v>17470.270334414457</v>
      </c>
      <c r="J111" s="120">
        <v>8000.8493863526746</v>
      </c>
      <c r="K111" s="120" t="s">
        <v>251</v>
      </c>
      <c r="L111" s="120" t="s">
        <v>251</v>
      </c>
      <c r="M111" s="120">
        <v>1.2246260521256753</v>
      </c>
      <c r="N111" s="120" t="s">
        <v>251</v>
      </c>
      <c r="O111" s="120">
        <v>7999.6247603005486</v>
      </c>
      <c r="P111" s="120">
        <v>4057.1861106923625</v>
      </c>
      <c r="Q111" s="120">
        <v>3942.4386496081861</v>
      </c>
      <c r="R111" s="120"/>
      <c r="S111" s="121"/>
    </row>
    <row r="112" spans="1:19" ht="15">
      <c r="A112" s="105">
        <v>34</v>
      </c>
      <c r="B112" s="105"/>
      <c r="C112" s="107" t="s">
        <v>311</v>
      </c>
      <c r="D112" s="107" t="s">
        <v>312</v>
      </c>
      <c r="E112" s="120">
        <v>1934.2600000000002</v>
      </c>
      <c r="F112" s="120" t="s">
        <v>251</v>
      </c>
      <c r="G112" s="120">
        <v>1015.7912121917808</v>
      </c>
      <c r="H112" s="120" t="s">
        <v>251</v>
      </c>
      <c r="I112" s="120">
        <v>629.99466456621019</v>
      </c>
      <c r="J112" s="120">
        <v>288.47412324200917</v>
      </c>
      <c r="K112" s="120" t="s">
        <v>251</v>
      </c>
      <c r="L112" s="120" t="s">
        <v>251</v>
      </c>
      <c r="M112" s="120">
        <v>0</v>
      </c>
      <c r="N112" s="120" t="s">
        <v>251</v>
      </c>
      <c r="O112" s="120">
        <v>288.47412324200917</v>
      </c>
      <c r="P112" s="120">
        <v>146.30601324200916</v>
      </c>
      <c r="Q112" s="120">
        <v>142.16811000000001</v>
      </c>
      <c r="R112" s="120"/>
      <c r="S112" s="121"/>
    </row>
    <row r="113" spans="1:19" ht="15">
      <c r="A113" s="105">
        <v>35</v>
      </c>
      <c r="B113" s="105"/>
      <c r="C113" s="107" t="s">
        <v>313</v>
      </c>
      <c r="D113" s="107" t="s">
        <v>314</v>
      </c>
      <c r="E113" s="120">
        <v>4982273.580000001</v>
      </c>
      <c r="F113" s="120" t="s">
        <v>251</v>
      </c>
      <c r="G113" s="120">
        <v>3880306.8530653282</v>
      </c>
      <c r="H113" s="120" t="s">
        <v>251</v>
      </c>
      <c r="I113" s="120">
        <v>0</v>
      </c>
      <c r="J113" s="120">
        <v>1101966.7269346728</v>
      </c>
      <c r="K113" s="120" t="s">
        <v>251</v>
      </c>
      <c r="L113" s="120" t="s">
        <v>251</v>
      </c>
      <c r="M113" s="120">
        <v>0</v>
      </c>
      <c r="N113" s="120" t="s">
        <v>251</v>
      </c>
      <c r="O113" s="120">
        <v>1101966.7269346728</v>
      </c>
      <c r="P113" s="120">
        <v>558886.72693148977</v>
      </c>
      <c r="Q113" s="120">
        <v>543080.00000318291</v>
      </c>
      <c r="R113" s="120"/>
      <c r="S113" s="121"/>
    </row>
    <row r="114" spans="1:19" ht="15">
      <c r="A114" s="105">
        <v>36</v>
      </c>
      <c r="B114" s="105"/>
      <c r="C114" s="107" t="s">
        <v>335</v>
      </c>
      <c r="D114" s="107" t="s">
        <v>251</v>
      </c>
      <c r="E114" s="120">
        <v>1069355633.2823062</v>
      </c>
      <c r="F114" s="120" t="s">
        <v>251</v>
      </c>
      <c r="G114" s="120">
        <v>1001640159.5740763</v>
      </c>
      <c r="H114" s="120" t="s">
        <v>251</v>
      </c>
      <c r="I114" s="120">
        <v>45689235.040158309</v>
      </c>
      <c r="J114" s="120">
        <v>22026238.668071635</v>
      </c>
      <c r="K114" s="120" t="s">
        <v>251</v>
      </c>
      <c r="L114" s="120" t="s">
        <v>251</v>
      </c>
      <c r="M114" s="120">
        <v>3202.6668708024608</v>
      </c>
      <c r="N114" s="120" t="s">
        <v>251</v>
      </c>
      <c r="O114" s="120">
        <v>22023036.001200832</v>
      </c>
      <c r="P114" s="120">
        <v>11169468.375913287</v>
      </c>
      <c r="Q114" s="120">
        <v>10853567.625287546</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6575988874.5946064</v>
      </c>
      <c r="F116" s="120" t="s">
        <v>251</v>
      </c>
      <c r="G116" s="120">
        <v>6152812315.7909079</v>
      </c>
      <c r="H116" s="120" t="s">
        <v>251</v>
      </c>
      <c r="I116" s="120">
        <v>285750211.53343648</v>
      </c>
      <c r="J116" s="120">
        <v>137426347.27026144</v>
      </c>
      <c r="K116" s="120" t="s">
        <v>251</v>
      </c>
      <c r="L116" s="120" t="s">
        <v>251</v>
      </c>
      <c r="M116" s="120">
        <v>19647.208326118125</v>
      </c>
      <c r="N116" s="120" t="s">
        <v>251</v>
      </c>
      <c r="O116" s="120">
        <v>137406700.06193531</v>
      </c>
      <c r="P116" s="120">
        <v>69688838.128253713</v>
      </c>
      <c r="Q116" s="120">
        <v>67717861.933681592</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t="str">
        <f t="shared" ref="B121:B130" si="5">MID(C121,2,3)</f>
        <v>ENT</v>
      </c>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si="5"/>
        <v>350</v>
      </c>
      <c r="C122" s="107" t="s">
        <v>340</v>
      </c>
      <c r="D122" s="107" t="s">
        <v>341</v>
      </c>
      <c r="E122" s="120">
        <v>29679524.520000007</v>
      </c>
      <c r="F122" s="120" t="s">
        <v>251</v>
      </c>
      <c r="G122" s="120">
        <v>28379883.627231851</v>
      </c>
      <c r="H122" s="120" t="s">
        <v>251</v>
      </c>
      <c r="I122" s="120">
        <v>1299549.7972952563</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5"/>
        <v>352</v>
      </c>
      <c r="C123" s="107" t="s">
        <v>342</v>
      </c>
      <c r="D123" s="107" t="s">
        <v>341</v>
      </c>
      <c r="E123" s="120">
        <v>27815317.919230778</v>
      </c>
      <c r="F123" s="120" t="s">
        <v>251</v>
      </c>
      <c r="G123" s="120">
        <v>26597309.032706365</v>
      </c>
      <c r="H123" s="120" t="s">
        <v>251</v>
      </c>
      <c r="I123" s="120">
        <v>1217923.5128676333</v>
      </c>
      <c r="J123" s="120">
        <v>85.373656778283262</v>
      </c>
      <c r="K123" s="120" t="s">
        <v>251</v>
      </c>
      <c r="L123" s="120" t="s">
        <v>251</v>
      </c>
      <c r="M123" s="120">
        <v>85.373656778283262</v>
      </c>
      <c r="N123" s="120" t="s">
        <v>251</v>
      </c>
      <c r="O123" s="120">
        <v>0</v>
      </c>
      <c r="P123" s="120">
        <v>0</v>
      </c>
      <c r="Q123" s="120">
        <v>0</v>
      </c>
      <c r="R123" s="120"/>
      <c r="S123" s="121"/>
    </row>
    <row r="124" spans="1:19" ht="15">
      <c r="A124" s="105">
        <v>3</v>
      </c>
      <c r="B124" s="129" t="str">
        <f t="shared" si="5"/>
        <v>353</v>
      </c>
      <c r="C124" s="107" t="s">
        <v>343</v>
      </c>
      <c r="D124" s="107" t="s">
        <v>341</v>
      </c>
      <c r="E124" s="120">
        <v>346294106.49461532</v>
      </c>
      <c r="F124" s="120" t="s">
        <v>251</v>
      </c>
      <c r="G124" s="120">
        <v>331130184.93577313</v>
      </c>
      <c r="H124" s="120" t="s">
        <v>251</v>
      </c>
      <c r="I124" s="120">
        <v>15162858.67707759</v>
      </c>
      <c r="J124" s="120">
        <v>1062.8817645752492</v>
      </c>
      <c r="K124" s="120" t="s">
        <v>251</v>
      </c>
      <c r="L124" s="120" t="s">
        <v>251</v>
      </c>
      <c r="M124" s="120">
        <v>1062.8817645752492</v>
      </c>
      <c r="N124" s="120" t="s">
        <v>251</v>
      </c>
      <c r="O124" s="120">
        <v>0</v>
      </c>
      <c r="P124" s="120">
        <v>0</v>
      </c>
      <c r="Q124" s="120">
        <v>0</v>
      </c>
      <c r="R124" s="120"/>
      <c r="S124" s="121"/>
    </row>
    <row r="125" spans="1:19" ht="15">
      <c r="A125" s="105">
        <v>4</v>
      </c>
      <c r="B125" s="129" t="str">
        <f t="shared" si="5"/>
        <v>354</v>
      </c>
      <c r="C125" s="107" t="s">
        <v>344</v>
      </c>
      <c r="D125" s="107" t="s">
        <v>341</v>
      </c>
      <c r="E125" s="120">
        <v>69889664.12000002</v>
      </c>
      <c r="F125" s="120" t="s">
        <v>251</v>
      </c>
      <c r="G125" s="120">
        <v>66829255.742804646</v>
      </c>
      <c r="H125" s="120" t="s">
        <v>251</v>
      </c>
      <c r="I125" s="120">
        <v>3060193.8645942817</v>
      </c>
      <c r="J125" s="120">
        <v>214.51260108751575</v>
      </c>
      <c r="K125" s="120" t="s">
        <v>251</v>
      </c>
      <c r="L125" s="120" t="s">
        <v>251</v>
      </c>
      <c r="M125" s="120">
        <v>214.51260108751575</v>
      </c>
      <c r="N125" s="120" t="s">
        <v>251</v>
      </c>
      <c r="O125" s="120">
        <v>0</v>
      </c>
      <c r="P125" s="120">
        <v>0</v>
      </c>
      <c r="Q125" s="120">
        <v>0</v>
      </c>
      <c r="R125" s="120"/>
      <c r="S125" s="121"/>
    </row>
    <row r="126" spans="1:19" ht="15">
      <c r="A126" s="105">
        <v>5</v>
      </c>
      <c r="B126" s="129" t="str">
        <f t="shared" si="5"/>
        <v>355</v>
      </c>
      <c r="C126" s="107" t="s">
        <v>345</v>
      </c>
      <c r="D126" s="107" t="s">
        <v>341</v>
      </c>
      <c r="E126" s="120">
        <v>420204776.06999999</v>
      </c>
      <c r="F126" s="120" t="s">
        <v>251</v>
      </c>
      <c r="G126" s="120">
        <v>401804369.7579295</v>
      </c>
      <c r="H126" s="120" t="s">
        <v>251</v>
      </c>
      <c r="I126" s="120">
        <v>18399116.576018073</v>
      </c>
      <c r="J126" s="120">
        <v>1289.7360523782804</v>
      </c>
      <c r="K126" s="120" t="s">
        <v>251</v>
      </c>
      <c r="L126" s="120" t="s">
        <v>251</v>
      </c>
      <c r="M126" s="120">
        <v>1289.7360523782804</v>
      </c>
      <c r="N126" s="120" t="s">
        <v>251</v>
      </c>
      <c r="O126" s="120">
        <v>0</v>
      </c>
      <c r="P126" s="120">
        <v>0</v>
      </c>
      <c r="Q126" s="120">
        <v>0</v>
      </c>
      <c r="R126" s="120"/>
      <c r="S126" s="121"/>
    </row>
    <row r="127" spans="1:19" ht="15">
      <c r="A127" s="105">
        <v>6</v>
      </c>
      <c r="B127" s="129" t="str">
        <f t="shared" si="5"/>
        <v>356</v>
      </c>
      <c r="C127" s="107" t="s">
        <v>346</v>
      </c>
      <c r="D127" s="107" t="s">
        <v>341</v>
      </c>
      <c r="E127" s="120">
        <v>169800695.9784607</v>
      </c>
      <c r="F127" s="120" t="s">
        <v>251</v>
      </c>
      <c r="G127" s="120">
        <v>162365269.31030798</v>
      </c>
      <c r="H127" s="120" t="s">
        <v>251</v>
      </c>
      <c r="I127" s="120">
        <v>7434905.4982570177</v>
      </c>
      <c r="J127" s="120">
        <v>521.16989571261468</v>
      </c>
      <c r="K127" s="120" t="s">
        <v>251</v>
      </c>
      <c r="L127" s="120" t="s">
        <v>251</v>
      </c>
      <c r="M127" s="120">
        <v>521.16989571261468</v>
      </c>
      <c r="N127" s="120" t="s">
        <v>251</v>
      </c>
      <c r="O127" s="120">
        <v>0</v>
      </c>
      <c r="P127" s="120">
        <v>0</v>
      </c>
      <c r="Q127" s="120">
        <v>0</v>
      </c>
      <c r="R127" s="120"/>
      <c r="S127" s="121"/>
    </row>
    <row r="128" spans="1:19" ht="15">
      <c r="A128" s="105">
        <v>7</v>
      </c>
      <c r="B128" s="129" t="str">
        <f t="shared" si="5"/>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5"/>
        <v>358</v>
      </c>
      <c r="C129" s="107" t="s">
        <v>348</v>
      </c>
      <c r="D129" s="107" t="s">
        <v>341</v>
      </c>
      <c r="E129" s="120">
        <v>4987826.9476922695</v>
      </c>
      <c r="F129" s="120" t="s">
        <v>251</v>
      </c>
      <c r="G129" s="120">
        <v>4769414.2887258632</v>
      </c>
      <c r="H129" s="120" t="s">
        <v>251</v>
      </c>
      <c r="I129" s="120">
        <v>218397.3498109566</v>
      </c>
      <c r="J129" s="120">
        <v>15.309155449463516</v>
      </c>
      <c r="K129" s="120" t="s">
        <v>251</v>
      </c>
      <c r="L129" s="120" t="s">
        <v>251</v>
      </c>
      <c r="M129" s="120">
        <v>15.309155449463516</v>
      </c>
      <c r="N129" s="120" t="s">
        <v>251</v>
      </c>
      <c r="O129" s="120">
        <v>0</v>
      </c>
      <c r="P129" s="120">
        <v>0</v>
      </c>
      <c r="Q129" s="120">
        <v>0</v>
      </c>
      <c r="R129" s="120"/>
      <c r="S129" s="121"/>
    </row>
    <row r="130" spans="1:19" ht="15">
      <c r="A130" s="105">
        <v>9</v>
      </c>
      <c r="B130" s="129" t="str">
        <f t="shared" si="5"/>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1476136.2507957534</v>
      </c>
      <c r="H131" s="120" t="s">
        <v>251</v>
      </c>
      <c r="I131" s="120">
        <v>915501.09019698645</v>
      </c>
      <c r="J131" s="120">
        <v>419207.31900726026</v>
      </c>
      <c r="K131" s="120" t="s">
        <v>251</v>
      </c>
      <c r="L131" s="120" t="s">
        <v>251</v>
      </c>
      <c r="M131" s="120">
        <v>0</v>
      </c>
      <c r="N131" s="120" t="s">
        <v>251</v>
      </c>
      <c r="O131" s="120">
        <v>419207.31900726026</v>
      </c>
      <c r="P131" s="120">
        <v>212610.23649726028</v>
      </c>
      <c r="Q131" s="120">
        <v>206597.08251000001</v>
      </c>
      <c r="R131" s="120"/>
      <c r="S131" s="121"/>
    </row>
    <row r="132" spans="1:19" ht="15">
      <c r="A132" s="105">
        <v>11</v>
      </c>
      <c r="B132" s="105"/>
      <c r="C132" s="107" t="s">
        <v>313</v>
      </c>
      <c r="D132" s="107" t="s">
        <v>314</v>
      </c>
      <c r="E132" s="120">
        <v>1420230.45</v>
      </c>
      <c r="F132" s="120" t="s">
        <v>251</v>
      </c>
      <c r="G132" s="120">
        <v>1106107.4546747499</v>
      </c>
      <c r="H132" s="120" t="s">
        <v>251</v>
      </c>
      <c r="I132" s="120">
        <v>0</v>
      </c>
      <c r="J132" s="120">
        <v>314122.99532525009</v>
      </c>
      <c r="K132" s="120" t="s">
        <v>251</v>
      </c>
      <c r="L132" s="120" t="s">
        <v>251</v>
      </c>
      <c r="M132" s="120">
        <v>0</v>
      </c>
      <c r="N132" s="120" t="s">
        <v>251</v>
      </c>
      <c r="O132" s="120">
        <v>314122.99532525009</v>
      </c>
      <c r="P132" s="120">
        <v>159314.40434648644</v>
      </c>
      <c r="Q132" s="120">
        <v>154808.59097876362</v>
      </c>
      <c r="R132" s="120"/>
      <c r="S132" s="121"/>
    </row>
    <row r="133" spans="1:19" ht="15">
      <c r="A133" s="105">
        <v>12</v>
      </c>
      <c r="B133" s="105"/>
      <c r="C133" s="107" t="s">
        <v>350</v>
      </c>
      <c r="D133" s="107" t="s">
        <v>251</v>
      </c>
      <c r="E133" s="120">
        <v>1073901674.299999</v>
      </c>
      <c r="F133" s="120" t="s">
        <v>251</v>
      </c>
      <c r="G133" s="120">
        <v>1025412885.8886671</v>
      </c>
      <c r="H133" s="120" t="s">
        <v>251</v>
      </c>
      <c r="I133" s="120">
        <v>47752174.953126453</v>
      </c>
      <c r="J133" s="120">
        <v>736613.45820547431</v>
      </c>
      <c r="K133" s="120" t="s">
        <v>251</v>
      </c>
      <c r="L133" s="120" t="s">
        <v>251</v>
      </c>
      <c r="M133" s="120">
        <v>3283.1438729639744</v>
      </c>
      <c r="N133" s="120" t="s">
        <v>251</v>
      </c>
      <c r="O133" s="120">
        <v>733330.31433251034</v>
      </c>
      <c r="P133" s="120">
        <v>371924.64084374672</v>
      </c>
      <c r="Q133" s="120">
        <v>361405.67348876363</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t="str">
        <f t="shared" ref="B135:B141" si="6">MID(C135,2,3)</f>
        <v>IRG</v>
      </c>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si="6"/>
        <v>350</v>
      </c>
      <c r="C136" s="107" t="s">
        <v>340</v>
      </c>
      <c r="D136" s="107" t="s">
        <v>352</v>
      </c>
      <c r="E136" s="120">
        <v>2106294.1423076922</v>
      </c>
      <c r="F136" s="120" t="s">
        <v>251</v>
      </c>
      <c r="G136" s="120">
        <v>0</v>
      </c>
      <c r="H136" s="120" t="s">
        <v>251</v>
      </c>
      <c r="I136" s="120">
        <v>2106294.1423076922</v>
      </c>
      <c r="J136" s="120">
        <v>0</v>
      </c>
      <c r="K136" s="120" t="s">
        <v>251</v>
      </c>
      <c r="L136" s="120" t="s">
        <v>251</v>
      </c>
      <c r="M136" s="120">
        <v>0</v>
      </c>
      <c r="N136" s="120" t="s">
        <v>251</v>
      </c>
      <c r="O136" s="120">
        <v>0</v>
      </c>
      <c r="P136" s="120">
        <v>0</v>
      </c>
      <c r="Q136" s="120">
        <v>0</v>
      </c>
      <c r="R136" s="120"/>
      <c r="S136" s="121"/>
    </row>
    <row r="137" spans="1:19" ht="15">
      <c r="A137" s="105">
        <v>14</v>
      </c>
      <c r="B137" s="129" t="str">
        <f t="shared" si="6"/>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6"/>
        <v>353</v>
      </c>
      <c r="C138" s="107" t="s">
        <v>343</v>
      </c>
      <c r="D138" s="107" t="s">
        <v>352</v>
      </c>
      <c r="E138" s="120">
        <v>22950562.109999996</v>
      </c>
      <c r="F138" s="120" t="s">
        <v>251</v>
      </c>
      <c r="G138" s="120">
        <v>0</v>
      </c>
      <c r="H138" s="120" t="s">
        <v>251</v>
      </c>
      <c r="I138" s="120">
        <v>22950562.109999996</v>
      </c>
      <c r="J138" s="120">
        <v>0</v>
      </c>
      <c r="K138" s="120" t="s">
        <v>251</v>
      </c>
      <c r="L138" s="120" t="s">
        <v>251</v>
      </c>
      <c r="M138" s="120">
        <v>0</v>
      </c>
      <c r="N138" s="120" t="s">
        <v>251</v>
      </c>
      <c r="O138" s="120">
        <v>0</v>
      </c>
      <c r="P138" s="120">
        <v>0</v>
      </c>
      <c r="Q138" s="120">
        <v>0</v>
      </c>
      <c r="R138" s="120"/>
      <c r="S138" s="121"/>
    </row>
    <row r="139" spans="1:19" ht="15">
      <c r="A139" s="105">
        <v>16</v>
      </c>
      <c r="B139" s="129" t="str">
        <f t="shared" si="6"/>
        <v>354</v>
      </c>
      <c r="C139" s="107" t="s">
        <v>344</v>
      </c>
      <c r="D139" s="107" t="s">
        <v>352</v>
      </c>
      <c r="E139" s="120">
        <v>2411758.4300000016</v>
      </c>
      <c r="F139" s="120" t="s">
        <v>251</v>
      </c>
      <c r="G139" s="120">
        <v>0</v>
      </c>
      <c r="H139" s="120" t="s">
        <v>251</v>
      </c>
      <c r="I139" s="120">
        <v>2411758.4300000016</v>
      </c>
      <c r="J139" s="120">
        <v>0</v>
      </c>
      <c r="K139" s="120" t="s">
        <v>251</v>
      </c>
      <c r="L139" s="120" t="s">
        <v>251</v>
      </c>
      <c r="M139" s="120">
        <v>0</v>
      </c>
      <c r="N139" s="120" t="s">
        <v>251</v>
      </c>
      <c r="O139" s="120">
        <v>0</v>
      </c>
      <c r="P139" s="120">
        <v>0</v>
      </c>
      <c r="Q139" s="120">
        <v>0</v>
      </c>
      <c r="R139" s="120"/>
      <c r="S139" s="121"/>
    </row>
    <row r="140" spans="1:19" ht="15">
      <c r="A140" s="105">
        <v>17</v>
      </c>
      <c r="B140" s="129" t="str">
        <f t="shared" si="6"/>
        <v>355</v>
      </c>
      <c r="C140" s="107" t="s">
        <v>345</v>
      </c>
      <c r="D140" s="107" t="s">
        <v>352</v>
      </c>
      <c r="E140" s="120">
        <v>14995536.116923079</v>
      </c>
      <c r="F140" s="120" t="s">
        <v>251</v>
      </c>
      <c r="G140" s="120">
        <v>0</v>
      </c>
      <c r="H140" s="120" t="s">
        <v>251</v>
      </c>
      <c r="I140" s="120">
        <v>14995536.116923079</v>
      </c>
      <c r="J140" s="120">
        <v>0</v>
      </c>
      <c r="K140" s="120" t="s">
        <v>251</v>
      </c>
      <c r="L140" s="120" t="s">
        <v>251</v>
      </c>
      <c r="M140" s="120">
        <v>0</v>
      </c>
      <c r="N140" s="120" t="s">
        <v>251</v>
      </c>
      <c r="O140" s="120">
        <v>0</v>
      </c>
      <c r="P140" s="120">
        <v>0</v>
      </c>
      <c r="Q140" s="120">
        <v>0</v>
      </c>
      <c r="R140" s="120"/>
      <c r="S140" s="121"/>
    </row>
    <row r="141" spans="1:19" ht="15">
      <c r="A141" s="105">
        <v>18</v>
      </c>
      <c r="B141" s="129" t="str">
        <f t="shared" si="6"/>
        <v>356</v>
      </c>
      <c r="C141" s="107" t="s">
        <v>346</v>
      </c>
      <c r="D141" s="107" t="s">
        <v>352</v>
      </c>
      <c r="E141" s="120">
        <v>15564837.119999995</v>
      </c>
      <c r="F141" s="120" t="s">
        <v>251</v>
      </c>
      <c r="G141" s="120">
        <v>0</v>
      </c>
      <c r="H141" s="120" t="s">
        <v>251</v>
      </c>
      <c r="I141" s="120">
        <v>15564837.119999995</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2.0000000000000009</v>
      </c>
      <c r="F142" s="120" t="s">
        <v>251</v>
      </c>
      <c r="G142" s="120">
        <v>0</v>
      </c>
      <c r="H142" s="120" t="s">
        <v>251</v>
      </c>
      <c r="I142" s="120">
        <v>2.0000000000000009</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4288.380000000001</v>
      </c>
      <c r="F143" s="120" t="s">
        <v>251</v>
      </c>
      <c r="G143" s="120">
        <v>0</v>
      </c>
      <c r="H143" s="120" t="s">
        <v>251</v>
      </c>
      <c r="I143" s="120">
        <v>4288.380000000001</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59776474.179230765</v>
      </c>
      <c r="F144" s="120" t="s">
        <v>251</v>
      </c>
      <c r="G144" s="120">
        <v>0</v>
      </c>
      <c r="H144" s="120" t="s">
        <v>251</v>
      </c>
      <c r="I144" s="120">
        <v>59776474.179230765</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t="str">
        <f t="shared" ref="B146:B150" si="7">MID(C146,2,3)</f>
        <v>IRG</v>
      </c>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si="7"/>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7"/>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7"/>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7"/>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1141908577.8892298</v>
      </c>
      <c r="F155" s="120" t="s">
        <v>251</v>
      </c>
      <c r="G155" s="120">
        <v>1033643288.8802201</v>
      </c>
      <c r="H155" s="120" t="s">
        <v>251</v>
      </c>
      <c r="I155" s="120">
        <v>107528649.13235721</v>
      </c>
      <c r="J155" s="120">
        <v>736639.87665251666</v>
      </c>
      <c r="K155" s="120" t="s">
        <v>251</v>
      </c>
      <c r="L155" s="120" t="s">
        <v>251</v>
      </c>
      <c r="M155" s="120">
        <v>3309.5623200062578</v>
      </c>
      <c r="N155" s="120" t="s">
        <v>251</v>
      </c>
      <c r="O155" s="120">
        <v>733330.31433251034</v>
      </c>
      <c r="P155" s="120">
        <v>371924.64084374672</v>
      </c>
      <c r="Q155" s="120">
        <v>361405.67348876363</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t="str">
        <f t="shared" ref="B160:B167" si="8">MID(C160,2,3)</f>
        <v>KEN</v>
      </c>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si="8"/>
        <v>360</v>
      </c>
      <c r="C161" s="107" t="s">
        <v>360</v>
      </c>
      <c r="D161" s="107" t="s">
        <v>361</v>
      </c>
      <c r="E161" s="120">
        <v>9294854.2499999888</v>
      </c>
      <c r="F161" s="120" t="s">
        <v>251</v>
      </c>
      <c r="G161" s="120">
        <v>9285697.2499999888</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8"/>
        <v>361</v>
      </c>
      <c r="C162" s="107" t="s">
        <v>362</v>
      </c>
      <c r="D162" s="107" t="s">
        <v>363</v>
      </c>
      <c r="E162" s="120">
        <v>28360265.465384614</v>
      </c>
      <c r="F162" s="120" t="s">
        <v>251</v>
      </c>
      <c r="G162" s="120">
        <v>28004853.465384614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8"/>
        <v>362</v>
      </c>
      <c r="C163" s="107" t="s">
        <v>364</v>
      </c>
      <c r="D163" s="107" t="s">
        <v>365</v>
      </c>
      <c r="E163" s="120">
        <v>246271632.29076874</v>
      </c>
      <c r="F163" s="120" t="s">
        <v>251</v>
      </c>
      <c r="G163" s="120">
        <v>243018549.29076874</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8"/>
        <v>364</v>
      </c>
      <c r="C164" s="107" t="s">
        <v>366</v>
      </c>
      <c r="D164" s="107" t="s">
        <v>367</v>
      </c>
      <c r="E164" s="120">
        <v>398398893.60384554</v>
      </c>
      <c r="F164" s="120" t="s">
        <v>251</v>
      </c>
      <c r="G164" s="120">
        <v>398398893.60384554</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8"/>
        <v>365</v>
      </c>
      <c r="C165" s="107" t="s">
        <v>368</v>
      </c>
      <c r="D165" s="107" t="s">
        <v>369</v>
      </c>
      <c r="E165" s="120">
        <v>400526272.49461544</v>
      </c>
      <c r="F165" s="120" t="s">
        <v>251</v>
      </c>
      <c r="G165" s="120">
        <v>400526272.49461544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8"/>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8"/>
        <v>367</v>
      </c>
      <c r="C167" s="107" t="s">
        <v>372</v>
      </c>
      <c r="D167" s="107" t="s">
        <v>373</v>
      </c>
      <c r="E167" s="120">
        <v>217404135.46846145</v>
      </c>
      <c r="F167" s="120" t="s">
        <v>251</v>
      </c>
      <c r="G167" s="120">
        <v>217404135.46846145</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310042206.07076925</v>
      </c>
      <c r="F170" s="120" t="s">
        <v>251</v>
      </c>
      <c r="G170" s="120">
        <v>310042206.07076925</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315974318.09076923</v>
      </c>
      <c r="F171" s="120" t="s">
        <v>251</v>
      </c>
      <c r="G171" s="120">
        <v>315974318.09076923</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9">MID(C172,2,3)</f>
        <v>369</v>
      </c>
      <c r="C172" s="107" t="s">
        <v>380</v>
      </c>
      <c r="D172" s="107" t="s">
        <v>381</v>
      </c>
      <c r="E172" s="120">
        <v>108672088.16153848</v>
      </c>
      <c r="F172" s="120" t="s">
        <v>251</v>
      </c>
      <c r="G172" s="120">
        <v>108672088.16153848</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9"/>
        <v>370</v>
      </c>
      <c r="C173" s="107" t="s">
        <v>382</v>
      </c>
      <c r="D173" s="107" t="s">
        <v>383</v>
      </c>
      <c r="E173" s="120">
        <v>78879628.828461438</v>
      </c>
      <c r="F173" s="120" t="s">
        <v>251</v>
      </c>
      <c r="G173" s="120">
        <v>78832320.828461438</v>
      </c>
      <c r="H173" s="120" t="s">
        <v>251</v>
      </c>
      <c r="I173" s="120">
        <v>0</v>
      </c>
      <c r="J173" s="120">
        <v>47308</v>
      </c>
      <c r="K173" s="120" t="s">
        <v>251</v>
      </c>
      <c r="L173" s="120" t="s">
        <v>251</v>
      </c>
      <c r="M173" s="120">
        <v>0</v>
      </c>
      <c r="N173" s="120" t="s">
        <v>251</v>
      </c>
      <c r="O173" s="120">
        <v>47308</v>
      </c>
      <c r="P173" s="120">
        <v>20456</v>
      </c>
      <c r="Q173" s="120">
        <v>26852</v>
      </c>
      <c r="R173" s="120"/>
      <c r="S173" s="121"/>
    </row>
    <row r="174" spans="1:19" ht="15">
      <c r="A174" s="105">
        <v>13</v>
      </c>
      <c r="B174" s="129" t="str">
        <f t="shared" si="9"/>
        <v>371</v>
      </c>
      <c r="C174" s="107" t="s">
        <v>384</v>
      </c>
      <c r="D174" s="107" t="s">
        <v>385</v>
      </c>
      <c r="E174" s="120">
        <v>148818.36999999903</v>
      </c>
      <c r="F174" s="120" t="s">
        <v>251</v>
      </c>
      <c r="G174" s="120">
        <v>148818.36999999903</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9"/>
        <v>373</v>
      </c>
      <c r="C175" s="107" t="s">
        <v>386</v>
      </c>
      <c r="D175" s="107" t="s">
        <v>387</v>
      </c>
      <c r="E175" s="120">
        <v>127240903.38000001</v>
      </c>
      <c r="F175" s="120" t="s">
        <v>251</v>
      </c>
      <c r="G175" s="120">
        <v>127240903.38000001</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9"/>
        <v>374</v>
      </c>
      <c r="C176" s="107" t="s">
        <v>388</v>
      </c>
      <c r="D176" s="107" t="s">
        <v>389</v>
      </c>
      <c r="E176" s="120">
        <v>658287.18999999994</v>
      </c>
      <c r="F176" s="120" t="s">
        <v>251</v>
      </c>
      <c r="G176" s="120">
        <v>658287.18999999994</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1934220203.6338449</v>
      </c>
      <c r="F177" s="120" t="s">
        <v>251</v>
      </c>
      <c r="G177" s="120">
        <v>1930555243.6338449</v>
      </c>
      <c r="H177" s="120" t="s">
        <v>251</v>
      </c>
      <c r="I177" s="120">
        <v>0</v>
      </c>
      <c r="J177" s="120">
        <v>3664960</v>
      </c>
      <c r="K177" s="120" t="s">
        <v>251</v>
      </c>
      <c r="L177" s="120" t="s">
        <v>251</v>
      </c>
      <c r="M177" s="120">
        <v>0</v>
      </c>
      <c r="N177" s="120" t="s">
        <v>251</v>
      </c>
      <c r="O177" s="120">
        <v>3664960</v>
      </c>
      <c r="P177" s="120">
        <v>3638108</v>
      </c>
      <c r="Q177" s="120">
        <v>26852</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t="str">
        <f t="shared" ref="B179:B185" si="10">MID(C179,2,3)</f>
        <v>VIR</v>
      </c>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si="10"/>
        <v>360</v>
      </c>
      <c r="C180" s="107" t="s">
        <v>360</v>
      </c>
      <c r="D180" s="107" t="s">
        <v>392</v>
      </c>
      <c r="E180" s="120">
        <v>318250.43999999989</v>
      </c>
      <c r="F180" s="120" t="s">
        <v>251</v>
      </c>
      <c r="G180" s="120">
        <v>0</v>
      </c>
      <c r="H180" s="120" t="s">
        <v>251</v>
      </c>
      <c r="I180" s="120">
        <v>318250.43999999989</v>
      </c>
      <c r="J180" s="120">
        <v>0</v>
      </c>
      <c r="K180" s="120" t="s">
        <v>251</v>
      </c>
      <c r="L180" s="120" t="s">
        <v>251</v>
      </c>
      <c r="M180" s="120">
        <v>0</v>
      </c>
      <c r="N180" s="120" t="s">
        <v>251</v>
      </c>
      <c r="O180" s="120">
        <v>0</v>
      </c>
      <c r="P180" s="120">
        <v>0</v>
      </c>
      <c r="Q180" s="120">
        <v>0</v>
      </c>
      <c r="R180" s="120"/>
      <c r="S180" s="121"/>
    </row>
    <row r="181" spans="1:19" ht="15">
      <c r="A181" s="105">
        <v>18</v>
      </c>
      <c r="B181" s="129" t="str">
        <f t="shared" si="10"/>
        <v>361</v>
      </c>
      <c r="C181" s="107" t="s">
        <v>362</v>
      </c>
      <c r="D181" s="107" t="s">
        <v>393</v>
      </c>
      <c r="E181" s="120">
        <v>774879.02999999991</v>
      </c>
      <c r="F181" s="120" t="s">
        <v>251</v>
      </c>
      <c r="G181" s="120">
        <v>0</v>
      </c>
      <c r="H181" s="120" t="s">
        <v>251</v>
      </c>
      <c r="I181" s="120">
        <v>774879.02999999991</v>
      </c>
      <c r="J181" s="120">
        <v>0</v>
      </c>
      <c r="K181" s="120" t="s">
        <v>251</v>
      </c>
      <c r="L181" s="120" t="s">
        <v>251</v>
      </c>
      <c r="M181" s="120">
        <v>0</v>
      </c>
      <c r="N181" s="120" t="s">
        <v>251</v>
      </c>
      <c r="O181" s="120">
        <v>0</v>
      </c>
      <c r="P181" s="120">
        <v>0</v>
      </c>
      <c r="Q181" s="120">
        <v>0</v>
      </c>
      <c r="R181" s="120"/>
      <c r="S181" s="121"/>
    </row>
    <row r="182" spans="1:19" ht="15">
      <c r="A182" s="105">
        <v>19</v>
      </c>
      <c r="B182" s="129" t="str">
        <f t="shared" si="10"/>
        <v>362</v>
      </c>
      <c r="C182" s="107" t="s">
        <v>364</v>
      </c>
      <c r="D182" s="107" t="s">
        <v>394</v>
      </c>
      <c r="E182" s="120">
        <v>8513231.9299999978</v>
      </c>
      <c r="F182" s="120" t="s">
        <v>251</v>
      </c>
      <c r="G182" s="120">
        <v>0</v>
      </c>
      <c r="H182" s="120" t="s">
        <v>251</v>
      </c>
      <c r="I182" s="120">
        <v>8513231.9299999978</v>
      </c>
      <c r="J182" s="120">
        <v>0</v>
      </c>
      <c r="K182" s="120" t="s">
        <v>251</v>
      </c>
      <c r="L182" s="120" t="s">
        <v>251</v>
      </c>
      <c r="M182" s="120">
        <v>0</v>
      </c>
      <c r="N182" s="120" t="s">
        <v>251</v>
      </c>
      <c r="O182" s="120">
        <v>0</v>
      </c>
      <c r="P182" s="120">
        <v>0</v>
      </c>
      <c r="Q182" s="120">
        <v>0</v>
      </c>
      <c r="R182" s="120"/>
      <c r="S182" s="121"/>
    </row>
    <row r="183" spans="1:19" ht="15">
      <c r="A183" s="105">
        <v>20</v>
      </c>
      <c r="B183" s="129" t="str">
        <f t="shared" si="10"/>
        <v>364</v>
      </c>
      <c r="C183" s="107" t="s">
        <v>366</v>
      </c>
      <c r="D183" s="107" t="s">
        <v>395</v>
      </c>
      <c r="E183" s="120">
        <v>30732362.571538366</v>
      </c>
      <c r="F183" s="120" t="s">
        <v>251</v>
      </c>
      <c r="G183" s="120">
        <v>0</v>
      </c>
      <c r="H183" s="120" t="s">
        <v>251</v>
      </c>
      <c r="I183" s="120">
        <v>30732362.571538366</v>
      </c>
      <c r="J183" s="120">
        <v>0</v>
      </c>
      <c r="K183" s="120" t="s">
        <v>251</v>
      </c>
      <c r="L183" s="120" t="s">
        <v>251</v>
      </c>
      <c r="M183" s="120">
        <v>0</v>
      </c>
      <c r="N183" s="120" t="s">
        <v>251</v>
      </c>
      <c r="O183" s="120">
        <v>0</v>
      </c>
      <c r="P183" s="120">
        <v>0</v>
      </c>
      <c r="Q183" s="120">
        <v>0</v>
      </c>
      <c r="R183" s="120"/>
      <c r="S183" s="121"/>
    </row>
    <row r="184" spans="1:19" ht="15">
      <c r="A184" s="105">
        <v>21</v>
      </c>
      <c r="B184" s="129" t="str">
        <f t="shared" si="10"/>
        <v>365</v>
      </c>
      <c r="C184" s="107" t="s">
        <v>368</v>
      </c>
      <c r="D184" s="107" t="s">
        <v>396</v>
      </c>
      <c r="E184" s="120">
        <v>29359960.575384516</v>
      </c>
      <c r="F184" s="120" t="s">
        <v>251</v>
      </c>
      <c r="G184" s="120">
        <v>0</v>
      </c>
      <c r="H184" s="120" t="s">
        <v>251</v>
      </c>
      <c r="I184" s="120">
        <v>29359960.575384516</v>
      </c>
      <c r="J184" s="120">
        <v>0</v>
      </c>
      <c r="K184" s="120" t="s">
        <v>251</v>
      </c>
      <c r="L184" s="120" t="s">
        <v>251</v>
      </c>
      <c r="M184" s="120">
        <v>0</v>
      </c>
      <c r="N184" s="120" t="s">
        <v>251</v>
      </c>
      <c r="O184" s="120">
        <v>0</v>
      </c>
      <c r="P184" s="120">
        <v>0</v>
      </c>
      <c r="Q184" s="120">
        <v>0</v>
      </c>
      <c r="R184" s="120"/>
      <c r="S184" s="121"/>
    </row>
    <row r="185" spans="1:19" ht="15">
      <c r="A185" s="105">
        <v>22</v>
      </c>
      <c r="B185" s="129" t="str">
        <f t="shared" si="10"/>
        <v>367</v>
      </c>
      <c r="C185" s="107" t="s">
        <v>372</v>
      </c>
      <c r="D185" s="107" t="s">
        <v>397</v>
      </c>
      <c r="E185" s="120">
        <v>5148669.6176923076</v>
      </c>
      <c r="F185" s="120" t="s">
        <v>251</v>
      </c>
      <c r="G185" s="120">
        <v>0</v>
      </c>
      <c r="H185" s="120" t="s">
        <v>251</v>
      </c>
      <c r="I185" s="120">
        <v>5148669.6176923076</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11051086.719230767</v>
      </c>
      <c r="F188" s="120" t="s">
        <v>251</v>
      </c>
      <c r="G188" s="120">
        <v>0</v>
      </c>
      <c r="H188" s="120" t="s">
        <v>251</v>
      </c>
      <c r="I188" s="120">
        <v>11051086.719230767</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11179114.279230768</v>
      </c>
      <c r="F189" s="120" t="s">
        <v>251</v>
      </c>
      <c r="G189" s="120">
        <v>0</v>
      </c>
      <c r="H189" s="120" t="s">
        <v>251</v>
      </c>
      <c r="I189" s="120">
        <v>11179114.279230768</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11">MID(C190,2,3)</f>
        <v>369</v>
      </c>
      <c r="C190" s="107" t="s">
        <v>380</v>
      </c>
      <c r="D190" s="107" t="s">
        <v>400</v>
      </c>
      <c r="E190" s="120">
        <v>5852947.5299999993</v>
      </c>
      <c r="F190" s="120" t="s">
        <v>251</v>
      </c>
      <c r="G190" s="120">
        <v>0</v>
      </c>
      <c r="H190" s="120" t="s">
        <v>251</v>
      </c>
      <c r="I190" s="120">
        <v>5852947.5299999993</v>
      </c>
      <c r="J190" s="120">
        <v>0</v>
      </c>
      <c r="K190" s="120" t="s">
        <v>251</v>
      </c>
      <c r="L190" s="120" t="s">
        <v>251</v>
      </c>
      <c r="M190" s="120">
        <v>0</v>
      </c>
      <c r="N190" s="120" t="s">
        <v>251</v>
      </c>
      <c r="O190" s="120">
        <v>0</v>
      </c>
      <c r="P190" s="120">
        <v>0</v>
      </c>
      <c r="Q190" s="120">
        <v>0</v>
      </c>
      <c r="R190" s="120"/>
      <c r="S190" s="121"/>
    </row>
    <row r="191" spans="1:19" ht="15">
      <c r="A191" s="105">
        <v>27</v>
      </c>
      <c r="B191" s="129" t="str">
        <f t="shared" si="11"/>
        <v>370</v>
      </c>
      <c r="C191" s="107" t="s">
        <v>382</v>
      </c>
      <c r="D191" s="107" t="s">
        <v>401</v>
      </c>
      <c r="E191" s="120">
        <v>3783545.2</v>
      </c>
      <c r="F191" s="120" t="s">
        <v>251</v>
      </c>
      <c r="G191" s="120">
        <v>0</v>
      </c>
      <c r="H191" s="120" t="s">
        <v>251</v>
      </c>
      <c r="I191" s="120">
        <v>3783545.2</v>
      </c>
      <c r="J191" s="120">
        <v>0</v>
      </c>
      <c r="K191" s="120" t="s">
        <v>251</v>
      </c>
      <c r="L191" s="120" t="s">
        <v>251</v>
      </c>
      <c r="M191" s="120">
        <v>0</v>
      </c>
      <c r="N191" s="120" t="s">
        <v>251</v>
      </c>
      <c r="O191" s="120">
        <v>0</v>
      </c>
      <c r="P191" s="120">
        <v>0</v>
      </c>
      <c r="Q191" s="120">
        <v>0</v>
      </c>
      <c r="R191" s="120"/>
      <c r="S191" s="121"/>
    </row>
    <row r="192" spans="1:19" ht="15">
      <c r="A192" s="105">
        <v>28</v>
      </c>
      <c r="B192" s="129" t="str">
        <f t="shared" si="11"/>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11"/>
        <v>373</v>
      </c>
      <c r="C193" s="107" t="s">
        <v>386</v>
      </c>
      <c r="D193" s="107" t="s">
        <v>403</v>
      </c>
      <c r="E193" s="120">
        <v>4004097.9446153841</v>
      </c>
      <c r="F193" s="120" t="s">
        <v>251</v>
      </c>
      <c r="G193" s="120">
        <v>0</v>
      </c>
      <c r="H193" s="120" t="s">
        <v>251</v>
      </c>
      <c r="I193" s="120">
        <v>4004097.9446153841</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99667059.118461341</v>
      </c>
      <c r="F194" s="120" t="s">
        <v>251</v>
      </c>
      <c r="G194" s="120">
        <v>0</v>
      </c>
      <c r="H194" s="120" t="s">
        <v>251</v>
      </c>
      <c r="I194" s="120">
        <v>99667059.118461341</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t="str">
        <f t="shared" ref="B196:B205" si="12">MID(C196,2,3)</f>
        <v>TEN</v>
      </c>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si="12"/>
        <v>360</v>
      </c>
      <c r="C197" s="107" t="s">
        <v>360</v>
      </c>
      <c r="D197" s="107" t="s">
        <v>406</v>
      </c>
      <c r="E197" s="120">
        <v>495040.22999999992</v>
      </c>
      <c r="F197" s="120" t="s">
        <v>251</v>
      </c>
      <c r="G197" s="120">
        <v>0</v>
      </c>
      <c r="H197" s="120" t="s">
        <v>251</v>
      </c>
      <c r="I197" s="120">
        <v>0</v>
      </c>
      <c r="J197" s="120">
        <v>495040.22999999992</v>
      </c>
      <c r="K197" s="120" t="s">
        <v>251</v>
      </c>
      <c r="L197" s="120" t="s">
        <v>251</v>
      </c>
      <c r="M197" s="120">
        <v>495040.22999999992</v>
      </c>
      <c r="N197" s="120" t="s">
        <v>251</v>
      </c>
      <c r="O197" s="120">
        <v>0</v>
      </c>
      <c r="P197" s="120">
        <v>0</v>
      </c>
      <c r="Q197" s="120">
        <v>0</v>
      </c>
      <c r="R197" s="120"/>
      <c r="S197" s="121"/>
    </row>
    <row r="198" spans="1:19" ht="15">
      <c r="A198" s="105">
        <v>32</v>
      </c>
      <c r="B198" s="129" t="str">
        <f t="shared" si="12"/>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12"/>
        <v>362</v>
      </c>
      <c r="C199" s="107" t="s">
        <v>364</v>
      </c>
      <c r="D199" s="107" t="s">
        <v>408</v>
      </c>
      <c r="E199" s="120">
        <v>66880.14999999998</v>
      </c>
      <c r="F199" s="120" t="s">
        <v>251</v>
      </c>
      <c r="G199" s="120">
        <v>0</v>
      </c>
      <c r="H199" s="120" t="s">
        <v>251</v>
      </c>
      <c r="I199" s="120">
        <v>0</v>
      </c>
      <c r="J199" s="120">
        <v>66880.14999999998</v>
      </c>
      <c r="K199" s="120" t="s">
        <v>251</v>
      </c>
      <c r="L199" s="120" t="s">
        <v>251</v>
      </c>
      <c r="M199" s="120">
        <v>66880.14999999998</v>
      </c>
      <c r="N199" s="120" t="s">
        <v>251</v>
      </c>
      <c r="O199" s="120">
        <v>0</v>
      </c>
      <c r="P199" s="120">
        <v>0</v>
      </c>
      <c r="Q199" s="120">
        <v>0</v>
      </c>
      <c r="R199" s="120"/>
      <c r="S199" s="121"/>
    </row>
    <row r="200" spans="1:19" ht="15">
      <c r="A200" s="105">
        <v>34</v>
      </c>
      <c r="B200" s="129" t="str">
        <f t="shared" si="12"/>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12"/>
        <v>365</v>
      </c>
      <c r="C201" s="107" t="s">
        <v>368</v>
      </c>
      <c r="D201" s="107" t="s">
        <v>410</v>
      </c>
      <c r="E201" s="120">
        <v>46763.22</v>
      </c>
      <c r="F201" s="120" t="s">
        <v>251</v>
      </c>
      <c r="G201" s="120">
        <v>0</v>
      </c>
      <c r="H201" s="120" t="s">
        <v>251</v>
      </c>
      <c r="I201" s="120">
        <v>0</v>
      </c>
      <c r="J201" s="120">
        <v>46763.22</v>
      </c>
      <c r="K201" s="120" t="s">
        <v>251</v>
      </c>
      <c r="L201" s="120" t="s">
        <v>251</v>
      </c>
      <c r="M201" s="120">
        <v>46763.22</v>
      </c>
      <c r="N201" s="120" t="s">
        <v>251</v>
      </c>
      <c r="O201" s="120">
        <v>0</v>
      </c>
      <c r="P201" s="120">
        <v>0</v>
      </c>
      <c r="Q201" s="120">
        <v>0</v>
      </c>
      <c r="R201" s="120"/>
      <c r="S201" s="121"/>
    </row>
    <row r="202" spans="1:19" ht="15">
      <c r="A202" s="105">
        <v>36</v>
      </c>
      <c r="B202" s="129" t="str">
        <f t="shared" si="12"/>
        <v>368</v>
      </c>
      <c r="C202" s="107" t="s">
        <v>374</v>
      </c>
      <c r="D202" s="107" t="s">
        <v>411</v>
      </c>
      <c r="E202" s="120">
        <v>3118.2799999999988</v>
      </c>
      <c r="F202" s="120" t="s">
        <v>251</v>
      </c>
      <c r="G202" s="120">
        <v>0</v>
      </c>
      <c r="H202" s="120" t="s">
        <v>251</v>
      </c>
      <c r="I202" s="120">
        <v>0</v>
      </c>
      <c r="J202" s="120">
        <v>3118.2799999999988</v>
      </c>
      <c r="K202" s="120" t="s">
        <v>251</v>
      </c>
      <c r="L202" s="120" t="s">
        <v>251</v>
      </c>
      <c r="M202" s="120">
        <v>3118.2799999999988</v>
      </c>
      <c r="N202" s="120" t="s">
        <v>251</v>
      </c>
      <c r="O202" s="120">
        <v>0</v>
      </c>
      <c r="P202" s="120">
        <v>0</v>
      </c>
      <c r="Q202" s="120">
        <v>0</v>
      </c>
      <c r="R202" s="120"/>
      <c r="S202" s="121"/>
    </row>
    <row r="203" spans="1:19" ht="15">
      <c r="A203" s="105">
        <v>37</v>
      </c>
      <c r="B203" s="129" t="str">
        <f t="shared" si="12"/>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12"/>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12"/>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666586.39999999979</v>
      </c>
      <c r="F206" s="120" t="s">
        <v>251</v>
      </c>
      <c r="G206" s="120">
        <v>0</v>
      </c>
      <c r="H206" s="120" t="s">
        <v>251</v>
      </c>
      <c r="I206" s="120">
        <v>0</v>
      </c>
      <c r="J206" s="120">
        <v>666586.39999999979</v>
      </c>
      <c r="K206" s="120" t="s">
        <v>251</v>
      </c>
      <c r="L206" s="120" t="s">
        <v>251</v>
      </c>
      <c r="M206" s="120">
        <v>666586.39999999979</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2034553849.1523063</v>
      </c>
      <c r="F208" s="120" t="s">
        <v>251</v>
      </c>
      <c r="G208" s="120">
        <v>1930555243.6338449</v>
      </c>
      <c r="H208" s="120" t="s">
        <v>251</v>
      </c>
      <c r="I208" s="120">
        <v>99667059.118461341</v>
      </c>
      <c r="J208" s="120">
        <v>4331546.3999999994</v>
      </c>
      <c r="K208" s="120" t="s">
        <v>251</v>
      </c>
      <c r="L208" s="120" t="s">
        <v>251</v>
      </c>
      <c r="M208" s="120">
        <v>666586.39999999979</v>
      </c>
      <c r="N208" s="120" t="s">
        <v>251</v>
      </c>
      <c r="O208" s="120">
        <v>3664960</v>
      </c>
      <c r="P208" s="120">
        <v>3638108</v>
      </c>
      <c r="Q208" s="120">
        <v>26852</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t="str">
        <f t="shared" ref="B212:B220" si="13">MID(C212,2,3)</f>
        <v>GEN</v>
      </c>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si="13"/>
        <v>389</v>
      </c>
      <c r="C213" s="107" t="s">
        <v>418</v>
      </c>
      <c r="D213" s="107" t="s">
        <v>419</v>
      </c>
      <c r="E213" s="120">
        <v>4425710.41153845</v>
      </c>
      <c r="F213" s="120" t="s">
        <v>251</v>
      </c>
      <c r="G213" s="120">
        <v>4163259.8308460773</v>
      </c>
      <c r="H213" s="120" t="s">
        <v>251</v>
      </c>
      <c r="I213" s="120">
        <v>209445.07433006237</v>
      </c>
      <c r="J213" s="120">
        <v>53005.506362310691</v>
      </c>
      <c r="K213" s="120" t="s">
        <v>251</v>
      </c>
      <c r="L213" s="120" t="s">
        <v>251</v>
      </c>
      <c r="M213" s="120">
        <v>305.81316983046025</v>
      </c>
      <c r="N213" s="120" t="s">
        <v>251</v>
      </c>
      <c r="O213" s="120">
        <v>52699.693192480234</v>
      </c>
      <c r="P213" s="120">
        <v>27468.863791597341</v>
      </c>
      <c r="Q213" s="120">
        <v>25230.829400882889</v>
      </c>
      <c r="R213" s="120"/>
      <c r="S213" s="121"/>
    </row>
    <row r="214" spans="1:19" ht="15">
      <c r="A214" s="105">
        <v>2</v>
      </c>
      <c r="B214" s="129" t="str">
        <f t="shared" si="13"/>
        <v>390</v>
      </c>
      <c r="C214" s="107" t="s">
        <v>420</v>
      </c>
      <c r="D214" s="107" t="s">
        <v>419</v>
      </c>
      <c r="E214" s="120">
        <v>82988551.647692308</v>
      </c>
      <c r="F214" s="120" t="s">
        <v>251</v>
      </c>
      <c r="G214" s="120">
        <v>78067218.902112901</v>
      </c>
      <c r="H214" s="120" t="s">
        <v>251</v>
      </c>
      <c r="I214" s="120">
        <v>3927401.8749801167</v>
      </c>
      <c r="J214" s="120">
        <v>993930.87059927848</v>
      </c>
      <c r="K214" s="120" t="s">
        <v>251</v>
      </c>
      <c r="L214" s="120" t="s">
        <v>251</v>
      </c>
      <c r="M214" s="120">
        <v>5734.4447962191643</v>
      </c>
      <c r="N214" s="120" t="s">
        <v>251</v>
      </c>
      <c r="O214" s="120">
        <v>988196.42580305936</v>
      </c>
      <c r="P214" s="120">
        <v>515081.42410971114</v>
      </c>
      <c r="Q214" s="120">
        <v>473115.00169334823</v>
      </c>
      <c r="R214" s="120"/>
      <c r="S214" s="121"/>
    </row>
    <row r="215" spans="1:19" ht="15">
      <c r="A215" s="105">
        <v>3</v>
      </c>
      <c r="B215" s="129" t="str">
        <f t="shared" si="13"/>
        <v>391</v>
      </c>
      <c r="C215" s="107" t="s">
        <v>421</v>
      </c>
      <c r="D215" s="107" t="s">
        <v>419</v>
      </c>
      <c r="E215" s="120">
        <v>43733664.389230743</v>
      </c>
      <c r="F215" s="120" t="s">
        <v>251</v>
      </c>
      <c r="G215" s="120">
        <v>41140199.262178056</v>
      </c>
      <c r="H215" s="120" t="s">
        <v>251</v>
      </c>
      <c r="I215" s="120">
        <v>2069679.1558814025</v>
      </c>
      <c r="J215" s="120">
        <v>523785.97117128409</v>
      </c>
      <c r="K215" s="120" t="s">
        <v>251</v>
      </c>
      <c r="L215" s="120" t="s">
        <v>251</v>
      </c>
      <c r="M215" s="120">
        <v>3021.9624176727443</v>
      </c>
      <c r="N215" s="120" t="s">
        <v>251</v>
      </c>
      <c r="O215" s="120">
        <v>520764.00875361136</v>
      </c>
      <c r="P215" s="120">
        <v>271439.82739657239</v>
      </c>
      <c r="Q215" s="120">
        <v>249324.18135703893</v>
      </c>
      <c r="R215" s="120"/>
      <c r="S215" s="121"/>
    </row>
    <row r="216" spans="1:19" ht="15">
      <c r="A216" s="105">
        <v>4</v>
      </c>
      <c r="B216" s="129" t="str">
        <f t="shared" si="13"/>
        <v>392</v>
      </c>
      <c r="C216" s="107" t="s">
        <v>422</v>
      </c>
      <c r="D216" s="107" t="s">
        <v>419</v>
      </c>
      <c r="E216" s="120">
        <v>7538271.7000000011</v>
      </c>
      <c r="F216" s="120" t="s">
        <v>251</v>
      </c>
      <c r="G216" s="120">
        <v>7091242.0480092494</v>
      </c>
      <c r="H216" s="120" t="s">
        <v>251</v>
      </c>
      <c r="I216" s="120">
        <v>356745.86218077247</v>
      </c>
      <c r="J216" s="120">
        <v>90283.789809979804</v>
      </c>
      <c r="K216" s="120" t="s">
        <v>251</v>
      </c>
      <c r="L216" s="120" t="s">
        <v>251</v>
      </c>
      <c r="M216" s="120">
        <v>520.88874988521695</v>
      </c>
      <c r="N216" s="120" t="s">
        <v>251</v>
      </c>
      <c r="O216" s="120">
        <v>89762.901060094591</v>
      </c>
      <c r="P216" s="120">
        <v>46787.462191719133</v>
      </c>
      <c r="Q216" s="120">
        <v>42975.438868375459</v>
      </c>
      <c r="R216" s="120"/>
      <c r="S216" s="121"/>
    </row>
    <row r="217" spans="1:19" ht="15">
      <c r="A217" s="105">
        <v>5</v>
      </c>
      <c r="B217" s="129" t="str">
        <f t="shared" si="13"/>
        <v>393</v>
      </c>
      <c r="C217" s="107" t="s">
        <v>423</v>
      </c>
      <c r="D217" s="107" t="s">
        <v>419</v>
      </c>
      <c r="E217" s="120">
        <v>910091.12307692319</v>
      </c>
      <c r="F217" s="120" t="s">
        <v>251</v>
      </c>
      <c r="G217" s="120">
        <v>856121.49526038405</v>
      </c>
      <c r="H217" s="120" t="s">
        <v>251</v>
      </c>
      <c r="I217" s="120">
        <v>43069.718801080679</v>
      </c>
      <c r="J217" s="120">
        <v>10899.909015458461</v>
      </c>
      <c r="K217" s="120" t="s">
        <v>251</v>
      </c>
      <c r="L217" s="120" t="s">
        <v>251</v>
      </c>
      <c r="M217" s="120">
        <v>62.886593405909153</v>
      </c>
      <c r="N217" s="120" t="s">
        <v>251</v>
      </c>
      <c r="O217" s="120">
        <v>10837.022422052552</v>
      </c>
      <c r="P217" s="120">
        <v>5648.6228815526429</v>
      </c>
      <c r="Q217" s="120">
        <v>5188.3995404999096</v>
      </c>
      <c r="R217" s="120"/>
      <c r="S217" s="121"/>
    </row>
    <row r="218" spans="1:19" ht="15">
      <c r="A218" s="105">
        <v>6</v>
      </c>
      <c r="B218" s="129" t="str">
        <f t="shared" si="13"/>
        <v>394</v>
      </c>
      <c r="C218" s="107" t="s">
        <v>424</v>
      </c>
      <c r="D218" s="107" t="s">
        <v>419</v>
      </c>
      <c r="E218" s="120">
        <v>17031591.320769224</v>
      </c>
      <c r="F218" s="120" t="s">
        <v>251</v>
      </c>
      <c r="G218" s="120">
        <v>16021595.045234054</v>
      </c>
      <c r="H218" s="120" t="s">
        <v>251</v>
      </c>
      <c r="I218" s="120">
        <v>806013.62909728743</v>
      </c>
      <c r="J218" s="120">
        <v>203982.64643788373</v>
      </c>
      <c r="K218" s="120" t="s">
        <v>251</v>
      </c>
      <c r="L218" s="120" t="s">
        <v>251</v>
      </c>
      <c r="M218" s="120">
        <v>1176.8698004917217</v>
      </c>
      <c r="N218" s="120" t="s">
        <v>251</v>
      </c>
      <c r="O218" s="120">
        <v>202805.776637392</v>
      </c>
      <c r="P218" s="120">
        <v>105709.23504724586</v>
      </c>
      <c r="Q218" s="120">
        <v>97096.541590146153</v>
      </c>
      <c r="R218" s="120"/>
      <c r="S218" s="121"/>
    </row>
    <row r="219" spans="1:19" ht="15">
      <c r="A219" s="105">
        <v>7</v>
      </c>
      <c r="B219" s="129" t="str">
        <f t="shared" si="13"/>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3"/>
        <v>396</v>
      </c>
      <c r="C220" s="107" t="s">
        <v>426</v>
      </c>
      <c r="D220" s="107" t="s">
        <v>419</v>
      </c>
      <c r="E220" s="120">
        <v>4137907.3999999994</v>
      </c>
      <c r="F220" s="120" t="s">
        <v>251</v>
      </c>
      <c r="G220" s="120">
        <v>3892523.9250329249</v>
      </c>
      <c r="H220" s="120" t="s">
        <v>251</v>
      </c>
      <c r="I220" s="120">
        <v>195824.90546701814</v>
      </c>
      <c r="J220" s="120">
        <v>49558.569500056612</v>
      </c>
      <c r="K220" s="120" t="s">
        <v>251</v>
      </c>
      <c r="L220" s="120" t="s">
        <v>251</v>
      </c>
      <c r="M220" s="120">
        <v>285.9262041094629</v>
      </c>
      <c r="N220" s="120" t="s">
        <v>251</v>
      </c>
      <c r="O220" s="120">
        <v>49272.643295947149</v>
      </c>
      <c r="P220" s="120">
        <v>25682.569391911777</v>
      </c>
      <c r="Q220" s="120">
        <v>23590.073904035373</v>
      </c>
      <c r="R220" s="120"/>
      <c r="S220" s="121"/>
    </row>
    <row r="221" spans="1:19" ht="15">
      <c r="A221" s="105" t="s">
        <v>251</v>
      </c>
      <c r="B221" s="105"/>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7971453.149230768</v>
      </c>
      <c r="F222" s="120" t="s">
        <v>251</v>
      </c>
      <c r="G222" s="120">
        <v>7971453.149230768</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59590018.735384494</v>
      </c>
      <c r="F223" s="120" t="s">
        <v>251</v>
      </c>
      <c r="G223" s="120">
        <v>56056250.46627298</v>
      </c>
      <c r="H223" s="120" t="s">
        <v>251</v>
      </c>
      <c r="I223" s="120">
        <v>2820075.1388575081</v>
      </c>
      <c r="J223" s="120">
        <v>713693.13025400916</v>
      </c>
      <c r="K223" s="120" t="s">
        <v>251</v>
      </c>
      <c r="L223" s="120" t="s">
        <v>251</v>
      </c>
      <c r="M223" s="120">
        <v>4117.6242512870795</v>
      </c>
      <c r="N223" s="120" t="s">
        <v>251</v>
      </c>
      <c r="O223" s="120">
        <v>709575.50600272208</v>
      </c>
      <c r="P223" s="120">
        <v>369854.77036939864</v>
      </c>
      <c r="Q223" s="120">
        <v>339720.73563332349</v>
      </c>
      <c r="R223" s="120"/>
      <c r="S223" s="121"/>
    </row>
    <row r="224" spans="1:19" ht="15">
      <c r="A224" s="105">
        <v>11</v>
      </c>
      <c r="B224" s="129">
        <v>397</v>
      </c>
      <c r="C224" s="107" t="s">
        <v>430</v>
      </c>
      <c r="D224" s="107" t="s">
        <v>251</v>
      </c>
      <c r="E224" s="120">
        <v>67561471.884615272</v>
      </c>
      <c r="F224" s="120" t="s">
        <v>251</v>
      </c>
      <c r="G224" s="120">
        <v>64027703.615503751</v>
      </c>
      <c r="H224" s="120" t="s">
        <v>251</v>
      </c>
      <c r="I224" s="120">
        <v>2820075.1388575081</v>
      </c>
      <c r="J224" s="120">
        <v>713693.13025400916</v>
      </c>
      <c r="K224" s="120" t="s">
        <v>251</v>
      </c>
      <c r="L224" s="120" t="s">
        <v>251</v>
      </c>
      <c r="M224" s="120">
        <v>4117.6242512870795</v>
      </c>
      <c r="N224" s="120" t="s">
        <v>251</v>
      </c>
      <c r="O224" s="120">
        <v>709575.50600272208</v>
      </c>
      <c r="P224" s="120">
        <v>369854.77036939864</v>
      </c>
      <c r="Q224" s="120">
        <v>339720.73563332349</v>
      </c>
      <c r="R224" s="120"/>
      <c r="S224" s="121"/>
    </row>
    <row r="225" spans="1:19" ht="15">
      <c r="A225" s="105">
        <v>12</v>
      </c>
      <c r="B225" s="129" t="str">
        <f t="shared" ref="B225" si="14">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228327259.87692291</v>
      </c>
      <c r="F226" s="120" t="s">
        <v>251</v>
      </c>
      <c r="G226" s="120">
        <v>215259864.1241774</v>
      </c>
      <c r="H226" s="120" t="s">
        <v>251</v>
      </c>
      <c r="I226" s="120">
        <v>10428255.359595247</v>
      </c>
      <c r="J226" s="120">
        <v>2639140.3931502611</v>
      </c>
      <c r="K226" s="120" t="s">
        <v>251</v>
      </c>
      <c r="L226" s="120" t="s">
        <v>251</v>
      </c>
      <c r="M226" s="120">
        <v>15226.415982901759</v>
      </c>
      <c r="N226" s="120" t="s">
        <v>251</v>
      </c>
      <c r="O226" s="120">
        <v>2623913.9771673596</v>
      </c>
      <c r="P226" s="120">
        <v>1367672.7751797088</v>
      </c>
      <c r="Q226" s="120">
        <v>1256241.2019876505</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309540.85000000003</v>
      </c>
      <c r="F229" s="120" t="s">
        <v>251</v>
      </c>
      <c r="G229" s="120">
        <v>290168.5549759267</v>
      </c>
      <c r="H229" s="120" t="s">
        <v>251</v>
      </c>
      <c r="I229" s="120">
        <v>13287.175231352554</v>
      </c>
      <c r="J229" s="120">
        <v>6085.1197927207468</v>
      </c>
      <c r="K229" s="120" t="s">
        <v>251</v>
      </c>
      <c r="L229" s="120" t="s">
        <v>251</v>
      </c>
      <c r="M229" s="120">
        <v>0.93140063868500578</v>
      </c>
      <c r="N229" s="120" t="s">
        <v>251</v>
      </c>
      <c r="O229" s="120">
        <v>6084.1883920820619</v>
      </c>
      <c r="P229" s="120">
        <v>3085.7303159634239</v>
      </c>
      <c r="Q229" s="120">
        <v>2998.4580761186385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1471422.5899999999</v>
      </c>
      <c r="F231" s="120" t="s">
        <v>251</v>
      </c>
      <c r="G231" s="120">
        <v>1147334.75</v>
      </c>
      <c r="H231" s="120" t="s">
        <v>251</v>
      </c>
      <c r="I231" s="120">
        <v>324087.83999999997</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131956.30999999997</v>
      </c>
      <c r="F232" s="120" t="s">
        <v>251</v>
      </c>
      <c r="G232" s="120">
        <v>124131.12331466416</v>
      </c>
      <c r="H232" s="120" t="s">
        <v>251</v>
      </c>
      <c r="I232" s="120">
        <v>6244.7825515685872</v>
      </c>
      <c r="J232" s="120">
        <v>1580.4041337672311</v>
      </c>
      <c r="K232" s="120" t="s">
        <v>251</v>
      </c>
      <c r="L232" s="120" t="s">
        <v>251</v>
      </c>
      <c r="M232" s="120">
        <v>9.1180790625212058</v>
      </c>
      <c r="N232" s="120" t="s">
        <v>251</v>
      </c>
      <c r="O232" s="120">
        <v>1571.2860547047098</v>
      </c>
      <c r="P232" s="120">
        <v>819.00747423096561</v>
      </c>
      <c r="Q232" s="120">
        <v>752.27858047374434</v>
      </c>
      <c r="R232" s="120"/>
      <c r="S232" s="121"/>
    </row>
    <row r="233" spans="1:19" ht="15">
      <c r="A233" s="105">
        <v>18</v>
      </c>
      <c r="B233" s="105"/>
      <c r="C233" s="107" t="s">
        <v>438</v>
      </c>
      <c r="D233" s="107" t="s">
        <v>251</v>
      </c>
      <c r="E233" s="120">
        <v>1912919.7499999998</v>
      </c>
      <c r="F233" s="120" t="s">
        <v>251</v>
      </c>
      <c r="G233" s="120">
        <v>1561634.4282905909</v>
      </c>
      <c r="H233" s="120" t="s">
        <v>251</v>
      </c>
      <c r="I233" s="120">
        <v>343619.79778292112</v>
      </c>
      <c r="J233" s="120">
        <v>7665.5239264879792</v>
      </c>
      <c r="K233" s="120" t="s">
        <v>251</v>
      </c>
      <c r="L233" s="120" t="s">
        <v>251</v>
      </c>
      <c r="M233" s="120">
        <v>10.049479701206211</v>
      </c>
      <c r="N233" s="120" t="s">
        <v>251</v>
      </c>
      <c r="O233" s="120">
        <v>7655.4744467867731</v>
      </c>
      <c r="P233" s="120">
        <v>3904.7377901943896</v>
      </c>
      <c r="Q233" s="120">
        <v>3750.736656592383</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10080695046.917683</v>
      </c>
      <c r="F235" s="120" t="s">
        <v>251</v>
      </c>
      <c r="G235" s="120">
        <v>9425469470.6105957</v>
      </c>
      <c r="H235" s="120" t="s">
        <v>251</v>
      </c>
      <c r="I235" s="120">
        <v>508660146.68823594</v>
      </c>
      <c r="J235" s="120">
        <v>146565429.61885062</v>
      </c>
      <c r="K235" s="120" t="s">
        <v>251</v>
      </c>
      <c r="L235" s="120" t="s">
        <v>251</v>
      </c>
      <c r="M235" s="120">
        <v>711694.75584535592</v>
      </c>
      <c r="N235" s="120" t="s">
        <v>251</v>
      </c>
      <c r="O235" s="120">
        <v>145853734.86300525</v>
      </c>
      <c r="P235" s="120">
        <v>75807020.555096</v>
      </c>
      <c r="Q235" s="120">
        <v>70046714.30790925</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1867154258.9368865</v>
      </c>
      <c r="F243" s="120" t="s">
        <v>251</v>
      </c>
      <c r="G243" s="120">
        <v>1750300334.2946937</v>
      </c>
      <c r="H243" s="120" t="s">
        <v>251</v>
      </c>
      <c r="I243" s="120">
        <v>80148406.332994923</v>
      </c>
      <c r="J243" s="120">
        <v>36705518.309197925</v>
      </c>
      <c r="K243" s="120" t="s">
        <v>251</v>
      </c>
      <c r="L243" s="120" t="s">
        <v>251</v>
      </c>
      <c r="M243" s="120">
        <v>5618.2202423274484</v>
      </c>
      <c r="N243" s="120" t="s">
        <v>251</v>
      </c>
      <c r="O243" s="120">
        <v>36699900.088955596</v>
      </c>
      <c r="P243" s="120">
        <v>18613163.662830841</v>
      </c>
      <c r="Q243" s="120">
        <v>18086736.426124755</v>
      </c>
      <c r="R243" s="120"/>
      <c r="S243" s="121"/>
    </row>
    <row r="244" spans="1:19" ht="15">
      <c r="A244" s="105">
        <v>2</v>
      </c>
      <c r="B244" s="105"/>
      <c r="C244" s="107" t="s">
        <v>445</v>
      </c>
      <c r="D244" s="107" t="s">
        <v>312</v>
      </c>
      <c r="E244" s="120">
        <v>18008590.653333403</v>
      </c>
      <c r="F244" s="120" t="s">
        <v>251</v>
      </c>
      <c r="G244" s="120">
        <v>9457347.0627604946</v>
      </c>
      <c r="H244" s="120" t="s">
        <v>251</v>
      </c>
      <c r="I244" s="120">
        <v>5865455.5374959754</v>
      </c>
      <c r="J244" s="120">
        <v>2685788.0530769359</v>
      </c>
      <c r="K244" s="120" t="s">
        <v>251</v>
      </c>
      <c r="L244" s="120" t="s">
        <v>251</v>
      </c>
      <c r="M244" s="120">
        <v>0</v>
      </c>
      <c r="N244" s="120" t="s">
        <v>251</v>
      </c>
      <c r="O244" s="120">
        <v>2685788.0530769359</v>
      </c>
      <c r="P244" s="120">
        <v>1362156.6400569309</v>
      </c>
      <c r="Q244" s="120">
        <v>1323631.4130200052</v>
      </c>
      <c r="R244" s="120"/>
      <c r="S244" s="121"/>
    </row>
    <row r="245" spans="1:19" ht="15">
      <c r="A245" s="105">
        <v>3</v>
      </c>
      <c r="B245" s="105"/>
      <c r="C245" s="107" t="s">
        <v>446</v>
      </c>
      <c r="D245" s="107" t="s">
        <v>314</v>
      </c>
      <c r="E245" s="120">
        <v>7410604.1733333375</v>
      </c>
      <c r="F245" s="120" t="s">
        <v>251</v>
      </c>
      <c r="G245" s="120">
        <v>5771545.3993876958</v>
      </c>
      <c r="H245" s="120" t="s">
        <v>251</v>
      </c>
      <c r="I245" s="120">
        <v>0</v>
      </c>
      <c r="J245" s="120">
        <v>1639058.7739456415</v>
      </c>
      <c r="K245" s="120" t="s">
        <v>251</v>
      </c>
      <c r="L245" s="120" t="s">
        <v>251</v>
      </c>
      <c r="M245" s="120">
        <v>0</v>
      </c>
      <c r="N245" s="120" t="s">
        <v>251</v>
      </c>
      <c r="O245" s="120">
        <v>1639058.7739456415</v>
      </c>
      <c r="P245" s="120">
        <v>831284.80291503912</v>
      </c>
      <c r="Q245" s="120">
        <v>807773.97103060235</v>
      </c>
      <c r="R245" s="120"/>
      <c r="S245" s="121"/>
    </row>
    <row r="246" spans="1:19" ht="15">
      <c r="A246" s="105">
        <v>4</v>
      </c>
      <c r="B246" s="105"/>
      <c r="C246" s="107" t="s">
        <v>447</v>
      </c>
      <c r="D246" s="107" t="s">
        <v>251</v>
      </c>
      <c r="E246" s="120">
        <v>1892573453.7635531</v>
      </c>
      <c r="F246" s="120" t="s">
        <v>251</v>
      </c>
      <c r="G246" s="120">
        <v>1765529226.7568419</v>
      </c>
      <c r="H246" s="120" t="s">
        <v>251</v>
      </c>
      <c r="I246" s="120">
        <v>86013861.870490894</v>
      </c>
      <c r="J246" s="120">
        <v>41030365.136220507</v>
      </c>
      <c r="K246" s="120" t="s">
        <v>251</v>
      </c>
      <c r="L246" s="120" t="s">
        <v>251</v>
      </c>
      <c r="M246" s="120">
        <v>5618.2202423274484</v>
      </c>
      <c r="N246" s="120" t="s">
        <v>251</v>
      </c>
      <c r="O246" s="120">
        <v>41024746.915978178</v>
      </c>
      <c r="P246" s="120">
        <v>20806605.105802812</v>
      </c>
      <c r="Q246" s="120">
        <v>20218141.810175363</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15260438.005224779</v>
      </c>
      <c r="F249" s="120" t="s">
        <v>251</v>
      </c>
      <c r="G249" s="120">
        <v>14305379.223051779</v>
      </c>
      <c r="H249" s="120" t="s">
        <v>251</v>
      </c>
      <c r="I249" s="120">
        <v>655060.91968996602</v>
      </c>
      <c r="J249" s="120">
        <v>299997.86248303321</v>
      </c>
      <c r="K249" s="120" t="s">
        <v>251</v>
      </c>
      <c r="L249" s="120" t="s">
        <v>251</v>
      </c>
      <c r="M249" s="120">
        <v>45.918274452884958</v>
      </c>
      <c r="N249" s="120" t="s">
        <v>251</v>
      </c>
      <c r="O249" s="120">
        <v>299951.9442085803</v>
      </c>
      <c r="P249" s="120">
        <v>152127.24326240784</v>
      </c>
      <c r="Q249" s="120">
        <v>147824.7009461725</v>
      </c>
      <c r="R249" s="120"/>
      <c r="S249" s="121"/>
    </row>
    <row r="250" spans="1:19" ht="15">
      <c r="A250" s="105">
        <v>6</v>
      </c>
      <c r="B250" s="105"/>
      <c r="C250" s="107" t="s">
        <v>445</v>
      </c>
      <c r="D250" s="107" t="s">
        <v>312</v>
      </c>
      <c r="E250" s="120">
        <v>3414.3333333333408</v>
      </c>
      <c r="F250" s="120" t="s">
        <v>251</v>
      </c>
      <c r="G250" s="120">
        <v>1793.0628744292276</v>
      </c>
      <c r="H250" s="120" t="s">
        <v>251</v>
      </c>
      <c r="I250" s="120">
        <v>1112.0592800608854</v>
      </c>
      <c r="J250" s="120">
        <v>509.21117884322786</v>
      </c>
      <c r="K250" s="120" t="s">
        <v>251</v>
      </c>
      <c r="L250" s="120" t="s">
        <v>251</v>
      </c>
      <c r="M250" s="120">
        <v>0</v>
      </c>
      <c r="N250" s="120" t="s">
        <v>251</v>
      </c>
      <c r="O250" s="120">
        <v>509.21117884322786</v>
      </c>
      <c r="P250" s="120">
        <v>258.25767884322732</v>
      </c>
      <c r="Q250" s="120">
        <v>250.95350000000053</v>
      </c>
      <c r="R250" s="120"/>
      <c r="S250" s="121"/>
    </row>
    <row r="251" spans="1:19" ht="15">
      <c r="A251" s="105">
        <v>7</v>
      </c>
      <c r="B251" s="105"/>
      <c r="C251" s="107" t="s">
        <v>446</v>
      </c>
      <c r="D251" s="107" t="s">
        <v>314</v>
      </c>
      <c r="E251" s="120">
        <v>21448.5</v>
      </c>
      <c r="F251" s="120" t="s">
        <v>251</v>
      </c>
      <c r="G251" s="120">
        <v>16704.574769250565</v>
      </c>
      <c r="H251" s="120" t="s">
        <v>251</v>
      </c>
      <c r="I251" s="120">
        <v>0</v>
      </c>
      <c r="J251" s="120">
        <v>4743.9252307494371</v>
      </c>
      <c r="K251" s="120" t="s">
        <v>251</v>
      </c>
      <c r="L251" s="120" t="s">
        <v>251</v>
      </c>
      <c r="M251" s="120">
        <v>0</v>
      </c>
      <c r="N251" s="120" t="s">
        <v>251</v>
      </c>
      <c r="O251" s="120">
        <v>4743.9252307494371</v>
      </c>
      <c r="P251" s="120">
        <v>2405.9862972418418</v>
      </c>
      <c r="Q251" s="120">
        <v>2337.9389335075948</v>
      </c>
      <c r="R251" s="120"/>
      <c r="S251" s="121"/>
    </row>
    <row r="252" spans="1:19" ht="15">
      <c r="A252" s="105">
        <v>8</v>
      </c>
      <c r="B252" s="105"/>
      <c r="C252" s="107" t="s">
        <v>450</v>
      </c>
      <c r="D252" s="107" t="s">
        <v>251</v>
      </c>
      <c r="E252" s="120">
        <v>15285300.838558111</v>
      </c>
      <c r="F252" s="120" t="s">
        <v>251</v>
      </c>
      <c r="G252" s="120">
        <v>14323876.860695459</v>
      </c>
      <c r="H252" s="120" t="s">
        <v>251</v>
      </c>
      <c r="I252" s="120">
        <v>656172.97897002695</v>
      </c>
      <c r="J252" s="120">
        <v>305250.99889262591</v>
      </c>
      <c r="K252" s="120" t="s">
        <v>251</v>
      </c>
      <c r="L252" s="120" t="s">
        <v>251</v>
      </c>
      <c r="M252" s="120">
        <v>45.918274452884958</v>
      </c>
      <c r="N252" s="120" t="s">
        <v>251</v>
      </c>
      <c r="O252" s="120">
        <v>305205.080618173</v>
      </c>
      <c r="P252" s="120">
        <v>154791.4872384929</v>
      </c>
      <c r="Q252" s="120">
        <v>150413.5933796801</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380255640.78208405</v>
      </c>
      <c r="F255" s="120" t="s">
        <v>251</v>
      </c>
      <c r="G255" s="120">
        <v>356457733.46937048</v>
      </c>
      <c r="H255" s="120" t="s">
        <v>251</v>
      </c>
      <c r="I255" s="120">
        <v>16322638.294046815</v>
      </c>
      <c r="J255" s="120">
        <v>7475269.018666747</v>
      </c>
      <c r="K255" s="120" t="s">
        <v>251</v>
      </c>
      <c r="L255" s="120" t="s">
        <v>251</v>
      </c>
      <c r="M255" s="120">
        <v>1144.1796670391295</v>
      </c>
      <c r="N255" s="120" t="s">
        <v>251</v>
      </c>
      <c r="O255" s="120">
        <v>7474124.8389997082</v>
      </c>
      <c r="P255" s="120">
        <v>3790667.2369006379</v>
      </c>
      <c r="Q255" s="120">
        <v>3683457.6020990703</v>
      </c>
      <c r="R255" s="120"/>
      <c r="S255" s="121"/>
    </row>
    <row r="256" spans="1:19" ht="15">
      <c r="A256" s="105">
        <v>10</v>
      </c>
      <c r="B256" s="105"/>
      <c r="C256" s="107" t="s">
        <v>445</v>
      </c>
      <c r="D256" s="107" t="s">
        <v>312</v>
      </c>
      <c r="E256" s="120">
        <v>1842.1566666666668</v>
      </c>
      <c r="F256" s="120" t="s">
        <v>251</v>
      </c>
      <c r="G256" s="120">
        <v>967.42245276255721</v>
      </c>
      <c r="H256" s="120" t="s">
        <v>251</v>
      </c>
      <c r="I256" s="120">
        <v>599.9963145053274</v>
      </c>
      <c r="J256" s="120">
        <v>274.73789939878236</v>
      </c>
      <c r="K256" s="120" t="s">
        <v>251</v>
      </c>
      <c r="L256" s="120" t="s">
        <v>251</v>
      </c>
      <c r="M256" s="120">
        <v>0</v>
      </c>
      <c r="N256" s="120" t="s">
        <v>251</v>
      </c>
      <c r="O256" s="120">
        <v>274.73789939878236</v>
      </c>
      <c r="P256" s="120">
        <v>139.33938439878236</v>
      </c>
      <c r="Q256" s="120">
        <v>135.398515</v>
      </c>
      <c r="R256" s="120"/>
      <c r="S256" s="121"/>
    </row>
    <row r="257" spans="1:19" ht="15">
      <c r="A257" s="105">
        <v>11</v>
      </c>
      <c r="B257" s="105"/>
      <c r="C257" s="107" t="s">
        <v>446</v>
      </c>
      <c r="D257" s="107" t="s">
        <v>314</v>
      </c>
      <c r="E257" s="120">
        <v>1868599.35</v>
      </c>
      <c r="F257" s="120" t="s">
        <v>251</v>
      </c>
      <c r="G257" s="120">
        <v>1455307.2501968904</v>
      </c>
      <c r="H257" s="120" t="s">
        <v>251</v>
      </c>
      <c r="I257" s="120">
        <v>0</v>
      </c>
      <c r="J257" s="120">
        <v>413292.09980310965</v>
      </c>
      <c r="K257" s="120" t="s">
        <v>251</v>
      </c>
      <c r="L257" s="120" t="s">
        <v>251</v>
      </c>
      <c r="M257" s="120">
        <v>0</v>
      </c>
      <c r="N257" s="120" t="s">
        <v>251</v>
      </c>
      <c r="O257" s="120">
        <v>413292.09980310965</v>
      </c>
      <c r="P257" s="120">
        <v>209610.20263118693</v>
      </c>
      <c r="Q257" s="120">
        <v>203681.89717192273</v>
      </c>
      <c r="R257" s="120"/>
      <c r="S257" s="121"/>
    </row>
    <row r="258" spans="1:19" ht="15">
      <c r="A258" s="105">
        <v>12</v>
      </c>
      <c r="B258" s="105"/>
      <c r="C258" s="107" t="s">
        <v>453</v>
      </c>
      <c r="D258" s="107" t="s">
        <v>251</v>
      </c>
      <c r="E258" s="120">
        <v>382126082.28875071</v>
      </c>
      <c r="F258" s="120" t="s">
        <v>251</v>
      </c>
      <c r="G258" s="120">
        <v>357914008.14202011</v>
      </c>
      <c r="H258" s="120" t="s">
        <v>251</v>
      </c>
      <c r="I258" s="120">
        <v>16323238.290361321</v>
      </c>
      <c r="J258" s="120">
        <v>7888835.856369256</v>
      </c>
      <c r="K258" s="120" t="s">
        <v>251</v>
      </c>
      <c r="L258" s="120" t="s">
        <v>251</v>
      </c>
      <c r="M258" s="120">
        <v>1144.1796670391295</v>
      </c>
      <c r="N258" s="120" t="s">
        <v>251</v>
      </c>
      <c r="O258" s="120">
        <v>7887691.6767022172</v>
      </c>
      <c r="P258" s="120">
        <v>4000416.7789162239</v>
      </c>
      <c r="Q258" s="120">
        <v>3887274.8977859933</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2289984836.8908615</v>
      </c>
      <c r="F260" s="120" t="s">
        <v>251</v>
      </c>
      <c r="G260" s="120">
        <v>2137767111.7595572</v>
      </c>
      <c r="H260" s="120" t="s">
        <v>251</v>
      </c>
      <c r="I260" s="120">
        <v>102993273.13982223</v>
      </c>
      <c r="J260" s="120">
        <v>49224451.991482385</v>
      </c>
      <c r="K260" s="120" t="s">
        <v>251</v>
      </c>
      <c r="L260" s="120" t="s">
        <v>251</v>
      </c>
      <c r="M260" s="120">
        <v>6808.3181838194632</v>
      </c>
      <c r="N260" s="120" t="s">
        <v>251</v>
      </c>
      <c r="O260" s="120">
        <v>49217643.673298568</v>
      </c>
      <c r="P260" s="120">
        <v>24961813.371957529</v>
      </c>
      <c r="Q260" s="120">
        <v>24255830.301341034</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329168995.33118629</v>
      </c>
      <c r="F263" s="120" t="s">
        <v>251</v>
      </c>
      <c r="G263" s="120">
        <v>314521138.58860999</v>
      </c>
      <c r="H263" s="120" t="s">
        <v>251</v>
      </c>
      <c r="I263" s="120">
        <v>14646849.715881679</v>
      </c>
      <c r="J263" s="120">
        <v>1007.0266945981828</v>
      </c>
      <c r="K263" s="120" t="s">
        <v>251</v>
      </c>
      <c r="L263" s="120" t="s">
        <v>251</v>
      </c>
      <c r="M263" s="120">
        <v>1007.0266945981828</v>
      </c>
      <c r="N263" s="120" t="s">
        <v>251</v>
      </c>
      <c r="O263" s="120">
        <v>0</v>
      </c>
      <c r="P263" s="120">
        <v>0</v>
      </c>
      <c r="Q263" s="120">
        <v>0</v>
      </c>
      <c r="R263" s="120"/>
      <c r="S263" s="121"/>
    </row>
    <row r="264" spans="1:19" ht="15">
      <c r="A264" s="105">
        <v>15</v>
      </c>
      <c r="B264" s="105"/>
      <c r="C264" s="107" t="s">
        <v>458</v>
      </c>
      <c r="D264" s="107" t="s">
        <v>459</v>
      </c>
      <c r="E264" s="120">
        <v>32680977.290894702</v>
      </c>
      <c r="F264" s="120" t="s">
        <v>251</v>
      </c>
      <c r="G264" s="120">
        <v>3955151.5958807445</v>
      </c>
      <c r="H264" s="120" t="s">
        <v>251</v>
      </c>
      <c r="I264" s="120">
        <v>28725812.999528319</v>
      </c>
      <c r="J264" s="120">
        <v>12.695485638700472</v>
      </c>
      <c r="K264" s="120" t="s">
        <v>251</v>
      </c>
      <c r="L264" s="120" t="s">
        <v>251</v>
      </c>
      <c r="M264" s="120">
        <v>12.695485638700472</v>
      </c>
      <c r="N264" s="120" t="s">
        <v>251</v>
      </c>
      <c r="O264" s="120">
        <v>0</v>
      </c>
      <c r="P264" s="120">
        <v>0</v>
      </c>
      <c r="Q264" s="120">
        <v>0</v>
      </c>
      <c r="R264" s="120"/>
      <c r="S264" s="121"/>
    </row>
    <row r="265" spans="1:19" ht="15">
      <c r="A265" s="105">
        <v>16</v>
      </c>
      <c r="B265" s="105"/>
      <c r="C265" s="107" t="s">
        <v>460</v>
      </c>
      <c r="D265" s="107" t="s">
        <v>312</v>
      </c>
      <c r="E265" s="120">
        <v>2703657.0133333327</v>
      </c>
      <c r="F265" s="120" t="s">
        <v>251</v>
      </c>
      <c r="G265" s="120">
        <v>1419845.8505705935</v>
      </c>
      <c r="H265" s="120" t="s">
        <v>251</v>
      </c>
      <c r="I265" s="120">
        <v>880589.73106873664</v>
      </c>
      <c r="J265" s="120">
        <v>403221.431694003</v>
      </c>
      <c r="K265" s="120" t="s">
        <v>251</v>
      </c>
      <c r="L265" s="120" t="s">
        <v>251</v>
      </c>
      <c r="M265" s="120">
        <v>0</v>
      </c>
      <c r="N265" s="120" t="s">
        <v>251</v>
      </c>
      <c r="O265" s="120">
        <v>403221.431694003</v>
      </c>
      <c r="P265" s="120">
        <v>204502.64121400303</v>
      </c>
      <c r="Q265" s="120">
        <v>198718.79047999997</v>
      </c>
      <c r="R265" s="120"/>
      <c r="S265" s="121"/>
    </row>
    <row r="266" spans="1:19" ht="15">
      <c r="A266" s="105">
        <v>17</v>
      </c>
      <c r="B266" s="105"/>
      <c r="C266" s="107" t="s">
        <v>461</v>
      </c>
      <c r="D266" s="107" t="s">
        <v>314</v>
      </c>
      <c r="E266" s="120">
        <v>355111.563333333</v>
      </c>
      <c r="F266" s="120" t="s">
        <v>251</v>
      </c>
      <c r="G266" s="120">
        <v>276568.88179253176</v>
      </c>
      <c r="H266" s="120" t="s">
        <v>251</v>
      </c>
      <c r="I266" s="120">
        <v>0</v>
      </c>
      <c r="J266" s="120">
        <v>78542.681540801219</v>
      </c>
      <c r="K266" s="120" t="s">
        <v>251</v>
      </c>
      <c r="L266" s="120" t="s">
        <v>251</v>
      </c>
      <c r="M266" s="120">
        <v>0</v>
      </c>
      <c r="N266" s="120" t="s">
        <v>251</v>
      </c>
      <c r="O266" s="120">
        <v>78542.681540801219</v>
      </c>
      <c r="P266" s="120">
        <v>39834.653023387538</v>
      </c>
      <c r="Q266" s="120">
        <v>38708.028517413673</v>
      </c>
      <c r="R266" s="120"/>
      <c r="S266" s="121"/>
    </row>
    <row r="267" spans="1:19" ht="15">
      <c r="A267" s="105">
        <v>18</v>
      </c>
      <c r="B267" s="105"/>
      <c r="C267" s="107" t="s">
        <v>462</v>
      </c>
      <c r="D267" s="107" t="s">
        <v>251</v>
      </c>
      <c r="E267" s="120">
        <v>364908741.19874769</v>
      </c>
      <c r="F267" s="120" t="s">
        <v>251</v>
      </c>
      <c r="G267" s="120">
        <v>320172704.9168539</v>
      </c>
      <c r="H267" s="120" t="s">
        <v>251</v>
      </c>
      <c r="I267" s="120">
        <v>44253252.446478732</v>
      </c>
      <c r="J267" s="120">
        <v>482783.83541504113</v>
      </c>
      <c r="K267" s="120" t="s">
        <v>251</v>
      </c>
      <c r="L267" s="120" t="s">
        <v>251</v>
      </c>
      <c r="M267" s="120">
        <v>1019.7221802368832</v>
      </c>
      <c r="N267" s="120" t="s">
        <v>251</v>
      </c>
      <c r="O267" s="120">
        <v>481764.11323480424</v>
      </c>
      <c r="P267" s="120">
        <v>244337.29423739057</v>
      </c>
      <c r="Q267" s="120">
        <v>237426.81899741365</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42400580.030656733</v>
      </c>
      <c r="F269" s="120" t="s">
        <v>251</v>
      </c>
      <c r="G269" s="120">
        <v>0</v>
      </c>
      <c r="H269" s="120" t="s">
        <v>251</v>
      </c>
      <c r="I269" s="120">
        <v>42246290.245874397</v>
      </c>
      <c r="J269" s="120">
        <v>154289.7847823358</v>
      </c>
      <c r="K269" s="120" t="s">
        <v>251</v>
      </c>
      <c r="L269" s="120" t="s">
        <v>251</v>
      </c>
      <c r="M269" s="120">
        <v>154289.7847823358</v>
      </c>
      <c r="N269" s="120" t="s">
        <v>251</v>
      </c>
      <c r="O269" s="120">
        <v>0</v>
      </c>
      <c r="P269" s="120">
        <v>0</v>
      </c>
      <c r="Q269" s="120">
        <v>0</v>
      </c>
      <c r="R269" s="120"/>
      <c r="S269" s="121"/>
    </row>
    <row r="270" spans="1:19" ht="15">
      <c r="A270" s="105">
        <v>20</v>
      </c>
      <c r="B270" s="105"/>
      <c r="C270" s="107" t="s">
        <v>465</v>
      </c>
      <c r="D270" s="107" t="s">
        <v>466</v>
      </c>
      <c r="E270" s="120">
        <v>680264464.41589546</v>
      </c>
      <c r="F270" s="120" t="s">
        <v>251</v>
      </c>
      <c r="G270" s="120">
        <v>678975499.46411705</v>
      </c>
      <c r="H270" s="120" t="s">
        <v>251</v>
      </c>
      <c r="I270" s="120">
        <v>0</v>
      </c>
      <c r="J270" s="120">
        <v>1288964.9517783867</v>
      </c>
      <c r="K270" s="120" t="s">
        <v>251</v>
      </c>
      <c r="L270" s="120" t="s">
        <v>251</v>
      </c>
      <c r="M270" s="120">
        <v>0</v>
      </c>
      <c r="N270" s="120" t="s">
        <v>251</v>
      </c>
      <c r="O270" s="120">
        <v>1288964.9517783867</v>
      </c>
      <c r="P270" s="120">
        <v>1279521.1142235012</v>
      </c>
      <c r="Q270" s="120">
        <v>9443.837554885522</v>
      </c>
      <c r="R270" s="120"/>
      <c r="S270" s="121"/>
    </row>
    <row r="271" spans="1:19" ht="15">
      <c r="A271" s="105">
        <v>21</v>
      </c>
      <c r="B271" s="105"/>
      <c r="C271" s="107" t="s">
        <v>467</v>
      </c>
      <c r="D271" s="107" t="s">
        <v>251</v>
      </c>
      <c r="E271" s="120">
        <v>722665044.44655216</v>
      </c>
      <c r="F271" s="120" t="s">
        <v>251</v>
      </c>
      <c r="G271" s="120">
        <v>678975499.46411705</v>
      </c>
      <c r="H271" s="120" t="s">
        <v>251</v>
      </c>
      <c r="I271" s="120">
        <v>42246290.245874397</v>
      </c>
      <c r="J271" s="120">
        <v>1443254.7365607226</v>
      </c>
      <c r="K271" s="120" t="s">
        <v>251</v>
      </c>
      <c r="L271" s="120" t="s">
        <v>251</v>
      </c>
      <c r="M271" s="120">
        <v>154289.7847823358</v>
      </c>
      <c r="N271" s="120" t="s">
        <v>251</v>
      </c>
      <c r="O271" s="120">
        <v>1288964.9517783867</v>
      </c>
      <c r="P271" s="120">
        <v>1279521.1142235012</v>
      </c>
      <c r="Q271" s="120">
        <v>9443.837554885522</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79173255.314442828</v>
      </c>
      <c r="F273" s="120" t="s">
        <v>251</v>
      </c>
      <c r="G273" s="120">
        <v>74642091.314206213</v>
      </c>
      <c r="H273" s="120" t="s">
        <v>251</v>
      </c>
      <c r="I273" s="120">
        <v>3616033.0768848727</v>
      </c>
      <c r="J273" s="120">
        <v>915130.92335175537</v>
      </c>
      <c r="K273" s="120" t="s">
        <v>251</v>
      </c>
      <c r="L273" s="120" t="s">
        <v>251</v>
      </c>
      <c r="M273" s="120">
        <v>5279.811621214295</v>
      </c>
      <c r="N273" s="120" t="s">
        <v>251</v>
      </c>
      <c r="O273" s="120">
        <v>909851.1117305411</v>
      </c>
      <c r="P273" s="120">
        <v>474245.1947011688</v>
      </c>
      <c r="Q273" s="120">
        <v>435605.9170293723</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73066.841372800001</v>
      </c>
      <c r="F275" s="120" t="s">
        <v>251</v>
      </c>
      <c r="G275" s="120">
        <v>73066.841372800001</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40383503.534799963</v>
      </c>
      <c r="F276" s="120" t="s">
        <v>251</v>
      </c>
      <c r="G276" s="120">
        <v>37758639.769648187</v>
      </c>
      <c r="H276" s="120" t="s">
        <v>251</v>
      </c>
      <c r="I276" s="120">
        <v>2037715.9196743318</v>
      </c>
      <c r="J276" s="120">
        <v>587147.8454774468</v>
      </c>
      <c r="K276" s="120" t="s">
        <v>251</v>
      </c>
      <c r="L276" s="120" t="s">
        <v>251</v>
      </c>
      <c r="M276" s="120">
        <v>2851.0818930418063</v>
      </c>
      <c r="N276" s="120" t="s">
        <v>251</v>
      </c>
      <c r="O276" s="120">
        <v>584296.76358440495</v>
      </c>
      <c r="P276" s="120">
        <v>303686.40754330013</v>
      </c>
      <c r="Q276" s="120">
        <v>280610.35604110477</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3497188448.2267771</v>
      </c>
      <c r="F278" s="120" t="s">
        <v>251</v>
      </c>
      <c r="G278" s="120">
        <v>3249389114.0657554</v>
      </c>
      <c r="H278" s="120" t="s">
        <v>251</v>
      </c>
      <c r="I278" s="120">
        <v>195146564.82873458</v>
      </c>
      <c r="J278" s="120">
        <v>52652769.332287349</v>
      </c>
      <c r="K278" s="120" t="s">
        <v>251</v>
      </c>
      <c r="L278" s="120" t="s">
        <v>251</v>
      </c>
      <c r="M278" s="120">
        <v>170248.71866064827</v>
      </c>
      <c r="N278" s="120" t="s">
        <v>251</v>
      </c>
      <c r="O278" s="120">
        <v>52482520.613626704</v>
      </c>
      <c r="P278" s="120">
        <v>27263603.382662892</v>
      </c>
      <c r="Q278" s="120">
        <v>25218917.230963811</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6583506598.6909037</v>
      </c>
      <c r="F280" s="120" t="s">
        <v>251</v>
      </c>
      <c r="G280" s="120">
        <v>6176080356.5448399</v>
      </c>
      <c r="H280" s="120" t="s">
        <v>251</v>
      </c>
      <c r="I280" s="120">
        <v>313513581.85950136</v>
      </c>
      <c r="J280" s="120">
        <v>93912660.286563247</v>
      </c>
      <c r="K280" s="120" t="s">
        <v>251</v>
      </c>
      <c r="L280" s="120" t="s">
        <v>251</v>
      </c>
      <c r="M280" s="120">
        <v>541446.03718470759</v>
      </c>
      <c r="N280" s="120" t="s">
        <v>251</v>
      </c>
      <c r="O280" s="120">
        <v>93371214.249378547</v>
      </c>
      <c r="P280" s="120">
        <v>48543417.172433108</v>
      </c>
      <c r="Q280" s="120">
        <v>44827797.076945439</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127711609.27796942</v>
      </c>
      <c r="F288" s="120" t="s">
        <v>251</v>
      </c>
      <c r="G288" s="120">
        <v>119718909.85580269</v>
      </c>
      <c r="H288" s="120" t="s">
        <v>251</v>
      </c>
      <c r="I288" s="120">
        <v>5482076.2156413607</v>
      </c>
      <c r="J288" s="120">
        <v>2510623.2065253756</v>
      </c>
      <c r="K288" s="120" t="s">
        <v>251</v>
      </c>
      <c r="L288" s="120" t="s">
        <v>251</v>
      </c>
      <c r="M288" s="120">
        <v>384.28102284073503</v>
      </c>
      <c r="N288" s="120" t="s">
        <v>251</v>
      </c>
      <c r="O288" s="120">
        <v>2510238.925502535</v>
      </c>
      <c r="P288" s="120">
        <v>1273123.0286713562</v>
      </c>
      <c r="Q288" s="120">
        <v>1237115.8968311788</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961676.92</v>
      </c>
      <c r="F290" s="120" t="s">
        <v>251</v>
      </c>
      <c r="G290" s="120">
        <v>748975.63997494429</v>
      </c>
      <c r="H290" s="120" t="s">
        <v>251</v>
      </c>
      <c r="I290" s="120">
        <v>0</v>
      </c>
      <c r="J290" s="120">
        <v>212701.28002505572</v>
      </c>
      <c r="K290" s="120" t="s">
        <v>251</v>
      </c>
      <c r="L290" s="120" t="s">
        <v>251</v>
      </c>
      <c r="M290" s="120">
        <v>0</v>
      </c>
      <c r="N290" s="120" t="s">
        <v>251</v>
      </c>
      <c r="O290" s="120">
        <v>212701.28002505572</v>
      </c>
      <c r="P290" s="120">
        <v>107876.14480703727</v>
      </c>
      <c r="Q290" s="120">
        <v>104825.13521801845</v>
      </c>
      <c r="R290" s="120"/>
      <c r="S290" s="121"/>
    </row>
    <row r="291" spans="1:19" ht="15">
      <c r="A291" s="105">
        <v>4</v>
      </c>
      <c r="B291" s="105"/>
      <c r="C291" s="107" t="s">
        <v>481</v>
      </c>
      <c r="D291" s="107" t="s">
        <v>251</v>
      </c>
      <c r="E291" s="120">
        <v>128673286.19796944</v>
      </c>
      <c r="F291" s="120" t="s">
        <v>251</v>
      </c>
      <c r="G291" s="120">
        <v>120467885.49577764</v>
      </c>
      <c r="H291" s="120" t="s">
        <v>251</v>
      </c>
      <c r="I291" s="120">
        <v>5482076.2156413607</v>
      </c>
      <c r="J291" s="120">
        <v>2723324.4865504312</v>
      </c>
      <c r="K291" s="120" t="s">
        <v>251</v>
      </c>
      <c r="L291" s="120" t="s">
        <v>251</v>
      </c>
      <c r="M291" s="120">
        <v>384.28102284073503</v>
      </c>
      <c r="N291" s="120" t="s">
        <v>251</v>
      </c>
      <c r="O291" s="120">
        <v>2722940.2055275906</v>
      </c>
      <c r="P291" s="120">
        <v>1380999.1734783933</v>
      </c>
      <c r="Q291" s="120">
        <v>1341941.0320491972</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61419122.710769147</v>
      </c>
      <c r="F294" s="120" t="s">
        <v>251</v>
      </c>
      <c r="G294" s="120">
        <v>58686002.266612828</v>
      </c>
      <c r="H294" s="120" t="s">
        <v>251</v>
      </c>
      <c r="I294" s="120">
        <v>2732932.5446365969</v>
      </c>
      <c r="J294" s="120">
        <v>187.89951971726947</v>
      </c>
      <c r="K294" s="120" t="s">
        <v>251</v>
      </c>
      <c r="L294" s="120" t="s">
        <v>251</v>
      </c>
      <c r="M294" s="120">
        <v>187.89951971726947</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3518072.8969230745</v>
      </c>
      <c r="F296" s="120" t="s">
        <v>251</v>
      </c>
      <c r="G296" s="120">
        <v>0</v>
      </c>
      <c r="H296" s="120" t="s">
        <v>251</v>
      </c>
      <c r="I296" s="120">
        <v>3518072.8969230745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64937195.607692219</v>
      </c>
      <c r="F299" s="120" t="s">
        <v>251</v>
      </c>
      <c r="G299" s="120">
        <v>58686002.266612828</v>
      </c>
      <c r="H299" s="120" t="s">
        <v>251</v>
      </c>
      <c r="I299" s="120">
        <v>6251005.4415596714</v>
      </c>
      <c r="J299" s="120">
        <v>187.89951971726947</v>
      </c>
      <c r="K299" s="120" t="s">
        <v>251</v>
      </c>
      <c r="L299" s="120" t="s">
        <v>251</v>
      </c>
      <c r="M299" s="120">
        <v>187.89951971726947</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9122.9692307694077</v>
      </c>
      <c r="F301" s="120" t="s">
        <v>251</v>
      </c>
      <c r="G301" s="120">
        <v>0</v>
      </c>
      <c r="H301" s="120" t="s">
        <v>251</v>
      </c>
      <c r="I301" s="120">
        <v>9122.9692307694077</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21055068.026923075</v>
      </c>
      <c r="F302" s="120" t="s">
        <v>251</v>
      </c>
      <c r="G302" s="120">
        <v>21055068.026923075</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21064190.996153846</v>
      </c>
      <c r="F303" s="120" t="s">
        <v>251</v>
      </c>
      <c r="G303" s="120">
        <v>21055068.026923075</v>
      </c>
      <c r="H303" s="120" t="s">
        <v>251</v>
      </c>
      <c r="I303" s="120">
        <v>9122.9692307694077</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23939501.055384547</v>
      </c>
      <c r="F305" s="120" t="s">
        <v>251</v>
      </c>
      <c r="G305" s="120">
        <v>22569419.64424422</v>
      </c>
      <c r="H305" s="120" t="s">
        <v>251</v>
      </c>
      <c r="I305" s="120">
        <v>1093374.6164230208</v>
      </c>
      <c r="J305" s="120">
        <v>276706.79471730586</v>
      </c>
      <c r="K305" s="120" t="s">
        <v>251</v>
      </c>
      <c r="L305" s="120" t="s">
        <v>251</v>
      </c>
      <c r="M305" s="120">
        <v>1596.448893964247</v>
      </c>
      <c r="N305" s="120" t="s">
        <v>251</v>
      </c>
      <c r="O305" s="120">
        <v>275110.34582334163</v>
      </c>
      <c r="P305" s="120">
        <v>143396.82376289286</v>
      </c>
      <c r="Q305" s="120">
        <v>131713.5220604488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238614173.85720006</v>
      </c>
      <c r="F307" s="120" t="s">
        <v>251</v>
      </c>
      <c r="G307" s="120">
        <v>222778375.43355778</v>
      </c>
      <c r="H307" s="120" t="s">
        <v>251</v>
      </c>
      <c r="I307" s="120">
        <v>12835579.242854822</v>
      </c>
      <c r="J307" s="120">
        <v>3000219.1807874544</v>
      </c>
      <c r="K307" s="120" t="s">
        <v>251</v>
      </c>
      <c r="L307" s="120" t="s">
        <v>251</v>
      </c>
      <c r="M307" s="120">
        <v>2168.6294365222516</v>
      </c>
      <c r="N307" s="120" t="s">
        <v>251</v>
      </c>
      <c r="O307" s="120">
        <v>2998050.5513509321</v>
      </c>
      <c r="P307" s="120">
        <v>1524395.9972412861</v>
      </c>
      <c r="Q307" s="120">
        <v>1473654.554109646</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62955456.000000007</v>
      </c>
      <c r="F311" s="120" t="s">
        <v>251</v>
      </c>
      <c r="G311" s="120">
        <v>59241660.740988947</v>
      </c>
      <c r="H311" s="120" t="s">
        <v>251</v>
      </c>
      <c r="I311" s="120">
        <v>2416789.5602463312</v>
      </c>
      <c r="J311" s="120">
        <v>1297005.6987647284</v>
      </c>
      <c r="K311" s="120" t="s">
        <v>251</v>
      </c>
      <c r="L311" s="120" t="s">
        <v>251</v>
      </c>
      <c r="M311" s="120">
        <v>265.13329903306823</v>
      </c>
      <c r="N311" s="120" t="s">
        <v>251</v>
      </c>
      <c r="O311" s="120">
        <v>1296740.5654656952</v>
      </c>
      <c r="P311" s="120">
        <v>656679.3526504836</v>
      </c>
      <c r="Q311" s="120">
        <v>640061.2128152115</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31487351.844800003</v>
      </c>
      <c r="F313" s="120" t="s">
        <v>251</v>
      </c>
      <c r="G313" s="120">
        <v>29461087.472353283</v>
      </c>
      <c r="H313" s="120" t="s">
        <v>251</v>
      </c>
      <c r="I313" s="120">
        <v>1368237.154066639</v>
      </c>
      <c r="J313" s="120">
        <v>658027.21838007716</v>
      </c>
      <c r="K313" s="120" t="s">
        <v>251</v>
      </c>
      <c r="L313" s="120" t="s">
        <v>251</v>
      </c>
      <c r="M313" s="120">
        <v>94.075397676484201</v>
      </c>
      <c r="N313" s="120" t="s">
        <v>251</v>
      </c>
      <c r="O313" s="120">
        <v>657933.14298240072</v>
      </c>
      <c r="P313" s="120">
        <v>333685.30268063227</v>
      </c>
      <c r="Q313" s="120">
        <v>324247.84030176851</v>
      </c>
      <c r="R313" s="120"/>
      <c r="S313" s="121"/>
    </row>
    <row r="314" spans="1:19" ht="15">
      <c r="A314" s="105">
        <v>18</v>
      </c>
      <c r="B314" s="105"/>
      <c r="C314" s="107" t="s">
        <v>499</v>
      </c>
      <c r="D314" s="107" t="s">
        <v>500</v>
      </c>
      <c r="E314" s="120">
        <v>9701208.754999999</v>
      </c>
      <c r="F314" s="120" t="s">
        <v>251</v>
      </c>
      <c r="G314" s="120">
        <v>8787072.2265851256</v>
      </c>
      <c r="H314" s="120" t="s">
        <v>251</v>
      </c>
      <c r="I314" s="120">
        <v>914108.39359945268</v>
      </c>
      <c r="J314" s="120">
        <v>28.134815421463653</v>
      </c>
      <c r="K314" s="120" t="s">
        <v>251</v>
      </c>
      <c r="L314" s="120" t="s">
        <v>251</v>
      </c>
      <c r="M314" s="120">
        <v>28.134815421463653</v>
      </c>
      <c r="N314" s="120" t="s">
        <v>251</v>
      </c>
      <c r="O314" s="120">
        <v>0</v>
      </c>
      <c r="P314" s="120">
        <v>0</v>
      </c>
      <c r="Q314" s="120">
        <v>0</v>
      </c>
      <c r="R314" s="120"/>
      <c r="S314" s="121"/>
    </row>
    <row r="315" spans="1:19" ht="15">
      <c r="A315" s="105">
        <v>19</v>
      </c>
      <c r="B315" s="105"/>
      <c r="C315" s="107" t="s">
        <v>501</v>
      </c>
      <c r="D315" s="107" t="s">
        <v>502</v>
      </c>
      <c r="E315" s="120">
        <v>7016203.400200001</v>
      </c>
      <c r="F315" s="120" t="s">
        <v>251</v>
      </c>
      <c r="G315" s="120">
        <v>6657561.9368842449</v>
      </c>
      <c r="H315" s="120" t="s">
        <v>251</v>
      </c>
      <c r="I315" s="120">
        <v>343704.03091873863</v>
      </c>
      <c r="J315" s="120">
        <v>14937.432397017379</v>
      </c>
      <c r="K315" s="120" t="s">
        <v>251</v>
      </c>
      <c r="L315" s="120" t="s">
        <v>251</v>
      </c>
      <c r="M315" s="120">
        <v>2298.7377641322701</v>
      </c>
      <c r="N315" s="120" t="s">
        <v>251</v>
      </c>
      <c r="O315" s="120">
        <v>12638.69463288511</v>
      </c>
      <c r="P315" s="120">
        <v>12546.094924216466</v>
      </c>
      <c r="Q315" s="120">
        <v>92.599708668643302</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12000185</v>
      </c>
      <c r="F317" s="120" t="s">
        <v>251</v>
      </c>
      <c r="G317" s="120">
        <v>11178915.162583817</v>
      </c>
      <c r="H317" s="120" t="s">
        <v>251</v>
      </c>
      <c r="I317" s="120">
        <v>653733.74221249181</v>
      </c>
      <c r="J317" s="120">
        <v>167536.0952036925</v>
      </c>
      <c r="K317" s="120" t="s">
        <v>251</v>
      </c>
      <c r="L317" s="120" t="s">
        <v>251</v>
      </c>
      <c r="M317" s="120">
        <v>602.67536217246914</v>
      </c>
      <c r="N317" s="120" t="s">
        <v>251</v>
      </c>
      <c r="O317" s="120">
        <v>166933.41984152002</v>
      </c>
      <c r="P317" s="120">
        <v>86191.498086511565</v>
      </c>
      <c r="Q317" s="120">
        <v>80741.921755008443</v>
      </c>
      <c r="R317" s="120"/>
      <c r="S317" s="121"/>
    </row>
    <row r="318" spans="1:19" ht="15">
      <c r="A318" s="105">
        <v>22</v>
      </c>
      <c r="B318" s="105"/>
      <c r="C318" s="107" t="s">
        <v>506</v>
      </c>
      <c r="D318" s="107" t="s">
        <v>251</v>
      </c>
      <c r="E318" s="120">
        <v>60204949</v>
      </c>
      <c r="F318" s="120" t="s">
        <v>251</v>
      </c>
      <c r="G318" s="120">
        <v>56084636.798406467</v>
      </c>
      <c r="H318" s="120" t="s">
        <v>251</v>
      </c>
      <c r="I318" s="120">
        <v>3279783.3207973223</v>
      </c>
      <c r="J318" s="120">
        <v>840528.88079620863</v>
      </c>
      <c r="K318" s="120" t="s">
        <v>251</v>
      </c>
      <c r="L318" s="120" t="s">
        <v>251</v>
      </c>
      <c r="M318" s="120">
        <v>3023.6233394026872</v>
      </c>
      <c r="N318" s="120" t="s">
        <v>251</v>
      </c>
      <c r="O318" s="120">
        <v>837505.25745680591</v>
      </c>
      <c r="P318" s="120">
        <v>432422.89569136029</v>
      </c>
      <c r="Q318" s="120">
        <v>405082.36176544562</v>
      </c>
      <c r="R318" s="120"/>
      <c r="S318" s="121"/>
    </row>
    <row r="319" spans="1:19" ht="15">
      <c r="A319" s="105">
        <v>23</v>
      </c>
      <c r="B319" s="105"/>
      <c r="C319" s="107" t="s">
        <v>507</v>
      </c>
      <c r="D319" s="107" t="s">
        <v>251</v>
      </c>
      <c r="E319" s="120">
        <v>123160405.00000001</v>
      </c>
      <c r="F319" s="120" t="s">
        <v>251</v>
      </c>
      <c r="G319" s="120">
        <v>115326297.53939542</v>
      </c>
      <c r="H319" s="120" t="s">
        <v>251</v>
      </c>
      <c r="I319" s="120">
        <v>5696572.8810436539</v>
      </c>
      <c r="J319" s="120">
        <v>2137534.5795609364</v>
      </c>
      <c r="K319" s="120" t="s">
        <v>251</v>
      </c>
      <c r="L319" s="120" t="s">
        <v>251</v>
      </c>
      <c r="M319" s="120">
        <v>3288.7566384357556</v>
      </c>
      <c r="N319" s="120" t="s">
        <v>251</v>
      </c>
      <c r="O319" s="120">
        <v>2134245.8229225008</v>
      </c>
      <c r="P319" s="120">
        <v>1089102.248341844</v>
      </c>
      <c r="Q319" s="120">
        <v>1045143.5745806571</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15827969.641744697</v>
      </c>
      <c r="F322" s="120" t="s">
        <v>251</v>
      </c>
      <c r="G322" s="120">
        <v>15605033.931140801</v>
      </c>
      <c r="H322" s="120" t="s">
        <v>251</v>
      </c>
      <c r="I322" s="120">
        <v>0</v>
      </c>
      <c r="J322" s="120">
        <v>222935.7106038967</v>
      </c>
      <c r="K322" s="120" t="s">
        <v>251</v>
      </c>
      <c r="L322" s="120" t="s">
        <v>251</v>
      </c>
      <c r="M322" s="120">
        <v>1163.9364484895309</v>
      </c>
      <c r="N322" s="120" t="s">
        <v>251</v>
      </c>
      <c r="O322" s="120">
        <v>221771.77415540718</v>
      </c>
      <c r="P322" s="120">
        <v>115396.90264337357</v>
      </c>
      <c r="Q322" s="120">
        <v>106374.87151203361</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15827969.641744697</v>
      </c>
      <c r="F324" s="120" t="s">
        <v>251</v>
      </c>
      <c r="G324" s="120">
        <v>15605033.931140801</v>
      </c>
      <c r="H324" s="120" t="s">
        <v>251</v>
      </c>
      <c r="I324" s="120">
        <v>0</v>
      </c>
      <c r="J324" s="120">
        <v>222935.7106038967</v>
      </c>
      <c r="K324" s="120" t="s">
        <v>251</v>
      </c>
      <c r="L324" s="120" t="s">
        <v>251</v>
      </c>
      <c r="M324" s="120">
        <v>1163.9364484895309</v>
      </c>
      <c r="N324" s="120" t="s">
        <v>251</v>
      </c>
      <c r="O324" s="120">
        <v>221771.77415540718</v>
      </c>
      <c r="P324" s="120">
        <v>115396.90264337357</v>
      </c>
      <c r="Q324" s="120">
        <v>106374.87151203361</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106088753.94732079</v>
      </c>
      <c r="F326" s="120" t="s">
        <v>251</v>
      </c>
      <c r="G326" s="120">
        <v>97134648.882647425</v>
      </c>
      <c r="H326" s="120" t="s">
        <v>251</v>
      </c>
      <c r="I326" s="120">
        <v>7165285.0791509133</v>
      </c>
      <c r="J326" s="120">
        <v>1788819.9855224532</v>
      </c>
      <c r="K326" s="120" t="s">
        <v>251</v>
      </c>
      <c r="L326" s="120" t="s">
        <v>251</v>
      </c>
      <c r="M326" s="120">
        <v>3192.818508687782</v>
      </c>
      <c r="N326" s="120" t="s">
        <v>251</v>
      </c>
      <c r="O326" s="120">
        <v>1785627.1670137653</v>
      </c>
      <c r="P326" s="120">
        <v>910888.79298492882</v>
      </c>
      <c r="Q326" s="120">
        <v>874738.37402883638</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245077128.58906546</v>
      </c>
      <c r="F328" s="120" t="s">
        <v>251</v>
      </c>
      <c r="G328" s="120">
        <v>228065980.35318363</v>
      </c>
      <c r="H328" s="120" t="s">
        <v>251</v>
      </c>
      <c r="I328" s="120">
        <v>12861857.960194567</v>
      </c>
      <c r="J328" s="120">
        <v>4149290.2756872866</v>
      </c>
      <c r="K328" s="120" t="s">
        <v>251</v>
      </c>
      <c r="L328" s="120" t="s">
        <v>251</v>
      </c>
      <c r="M328" s="120">
        <v>7645.5115956130685</v>
      </c>
      <c r="N328" s="120" t="s">
        <v>251</v>
      </c>
      <c r="O328" s="120">
        <v>4141644.7640916738</v>
      </c>
      <c r="P328" s="120">
        <v>2115387.9439701466</v>
      </c>
      <c r="Q328" s="120">
        <v>2026256.8201215272</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129522</v>
      </c>
      <c r="F330" s="120" t="s">
        <v>251</v>
      </c>
      <c r="G330" s="120">
        <v>121415.99914063678</v>
      </c>
      <c r="H330" s="120" t="s">
        <v>251</v>
      </c>
      <c r="I330" s="120">
        <v>5559.7880225348144</v>
      </c>
      <c r="J330" s="120">
        <v>2546.2128368284079</v>
      </c>
      <c r="K330" s="120" t="s">
        <v>251</v>
      </c>
      <c r="L330" s="120" t="s">
        <v>251</v>
      </c>
      <c r="M330" s="120">
        <v>0.3897284430270167</v>
      </c>
      <c r="N330" s="120" t="s">
        <v>251</v>
      </c>
      <c r="O330" s="120">
        <v>2545.8231083853811</v>
      </c>
      <c r="P330" s="120">
        <v>1291.1703317485064</v>
      </c>
      <c r="Q330" s="120">
        <v>1254.6527766368747</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101937692.82886787</v>
      </c>
      <c r="F332" s="120" t="s">
        <v>251</v>
      </c>
      <c r="G332" s="120">
        <v>96343596</v>
      </c>
      <c r="H332" s="120" t="s">
        <v>251</v>
      </c>
      <c r="I332" s="120">
        <v>3332590.8360824827</v>
      </c>
      <c r="J332" s="120">
        <v>2261505.9927853812</v>
      </c>
      <c r="K332" s="120" t="s">
        <v>251</v>
      </c>
      <c r="L332" s="120" t="s">
        <v>251</v>
      </c>
      <c r="M332" s="120">
        <v>346.15064252144873</v>
      </c>
      <c r="N332" s="120" t="s">
        <v>251</v>
      </c>
      <c r="O332" s="120">
        <v>2261159.8421428595</v>
      </c>
      <c r="P332" s="120">
        <v>1146797.0786735597</v>
      </c>
      <c r="Q332" s="120">
        <v>1114362.7634692998</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585758517.27513337</v>
      </c>
      <c r="F334" s="120" t="s">
        <v>251</v>
      </c>
      <c r="G334" s="120">
        <v>547309367.785882</v>
      </c>
      <c r="H334" s="120" t="s">
        <v>251</v>
      </c>
      <c r="I334" s="120">
        <v>29035587.827154405</v>
      </c>
      <c r="J334" s="120">
        <v>9413561.6620969512</v>
      </c>
      <c r="K334" s="120" t="s">
        <v>251</v>
      </c>
      <c r="L334" s="120" t="s">
        <v>251</v>
      </c>
      <c r="M334" s="120">
        <v>10160.681403099796</v>
      </c>
      <c r="N334" s="120" t="s">
        <v>251</v>
      </c>
      <c r="O334" s="120">
        <v>9403400.9806938507</v>
      </c>
      <c r="P334" s="120">
        <v>4787872.1902167406</v>
      </c>
      <c r="Q334" s="120">
        <v>4615528.7904771101</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907034720</v>
      </c>
      <c r="F342" s="120" t="s">
        <v>251</v>
      </c>
      <c r="G342" s="120">
        <v>850268887.01570177</v>
      </c>
      <c r="H342" s="120" t="s">
        <v>251</v>
      </c>
      <c r="I342" s="120">
        <v>38934858.72885856</v>
      </c>
      <c r="J342" s="120">
        <v>17830974.255439699</v>
      </c>
      <c r="K342" s="120" t="s">
        <v>251</v>
      </c>
      <c r="L342" s="120" t="s">
        <v>251</v>
      </c>
      <c r="M342" s="120">
        <v>2729.2446781013709</v>
      </c>
      <c r="N342" s="120" t="s">
        <v>251</v>
      </c>
      <c r="O342" s="120">
        <v>17828245.010761596</v>
      </c>
      <c r="P342" s="120">
        <v>9041987.6185498498</v>
      </c>
      <c r="Q342" s="120">
        <v>8786257.3922117483</v>
      </c>
      <c r="R342" s="120"/>
      <c r="S342" s="121"/>
    </row>
    <row r="343" spans="1:19" ht="15">
      <c r="A343" s="105">
        <v>2</v>
      </c>
      <c r="B343" s="105"/>
      <c r="C343" s="107" t="s">
        <v>479</v>
      </c>
      <c r="D343" s="107" t="s">
        <v>312</v>
      </c>
      <c r="E343" s="120">
        <v>17805</v>
      </c>
      <c r="F343" s="120" t="s">
        <v>251</v>
      </c>
      <c r="G343" s="120">
        <v>9350.4298972602737</v>
      </c>
      <c r="H343" s="120" t="s">
        <v>251</v>
      </c>
      <c r="I343" s="120">
        <v>5799.1454109589049</v>
      </c>
      <c r="J343" s="120">
        <v>2655.4246917808218</v>
      </c>
      <c r="K343" s="120" t="s">
        <v>251</v>
      </c>
      <c r="L343" s="120" t="s">
        <v>251</v>
      </c>
      <c r="M343" s="120">
        <v>0</v>
      </c>
      <c r="N343" s="120" t="s">
        <v>251</v>
      </c>
      <c r="O343" s="120">
        <v>2655.4246917808218</v>
      </c>
      <c r="P343" s="120">
        <v>1346.7571917808218</v>
      </c>
      <c r="Q343" s="120">
        <v>1308.6675</v>
      </c>
      <c r="R343" s="120"/>
      <c r="S343" s="121"/>
    </row>
    <row r="344" spans="1:19" ht="15">
      <c r="A344" s="105">
        <v>3</v>
      </c>
      <c r="B344" s="105"/>
      <c r="C344" s="107" t="s">
        <v>480</v>
      </c>
      <c r="D344" s="107" t="s">
        <v>314</v>
      </c>
      <c r="E344" s="120">
        <v>1891531</v>
      </c>
      <c r="F344" s="120" t="s">
        <v>251</v>
      </c>
      <c r="G344" s="120">
        <v>1473166.9355831544</v>
      </c>
      <c r="H344" s="120" t="s">
        <v>251</v>
      </c>
      <c r="I344" s="120">
        <v>0</v>
      </c>
      <c r="J344" s="120">
        <v>418364.06441684556</v>
      </c>
      <c r="K344" s="120" t="s">
        <v>251</v>
      </c>
      <c r="L344" s="120" t="s">
        <v>251</v>
      </c>
      <c r="M344" s="120">
        <v>0</v>
      </c>
      <c r="N344" s="120" t="s">
        <v>251</v>
      </c>
      <c r="O344" s="120">
        <v>418364.06441684556</v>
      </c>
      <c r="P344" s="120">
        <v>212182.56133567187</v>
      </c>
      <c r="Q344" s="120">
        <v>206181.50308117369</v>
      </c>
      <c r="R344" s="120"/>
      <c r="S344" s="121"/>
    </row>
    <row r="345" spans="1:19" ht="15">
      <c r="A345" s="105">
        <v>4</v>
      </c>
      <c r="B345" s="105"/>
      <c r="C345" s="107" t="s">
        <v>481</v>
      </c>
      <c r="D345" s="107" t="s">
        <v>251</v>
      </c>
      <c r="E345" s="120">
        <v>908944056</v>
      </c>
      <c r="F345" s="120" t="s">
        <v>251</v>
      </c>
      <c r="G345" s="120">
        <v>851751404.38118219</v>
      </c>
      <c r="H345" s="120" t="s">
        <v>251</v>
      </c>
      <c r="I345" s="120">
        <v>38940657.874269523</v>
      </c>
      <c r="J345" s="120">
        <v>18251993.744548328</v>
      </c>
      <c r="K345" s="120" t="s">
        <v>251</v>
      </c>
      <c r="L345" s="120" t="s">
        <v>251</v>
      </c>
      <c r="M345" s="120">
        <v>2729.2446781013709</v>
      </c>
      <c r="N345" s="120" t="s">
        <v>251</v>
      </c>
      <c r="O345" s="120">
        <v>18249264.499870226</v>
      </c>
      <c r="P345" s="120">
        <v>9255516.9370773025</v>
      </c>
      <c r="Q345" s="120">
        <v>8993747.5627929233</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167303751.99999997</v>
      </c>
      <c r="F348" s="120" t="s">
        <v>251</v>
      </c>
      <c r="G348" s="120">
        <v>159858818.16190916</v>
      </c>
      <c r="H348" s="120" t="s">
        <v>251</v>
      </c>
      <c r="I348" s="120">
        <v>7444422.0057288464</v>
      </c>
      <c r="J348" s="120">
        <v>511.83236197844894</v>
      </c>
      <c r="K348" s="120" t="s">
        <v>251</v>
      </c>
      <c r="L348" s="120" t="s">
        <v>251</v>
      </c>
      <c r="M348" s="120">
        <v>511.83236197844894</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7400204</v>
      </c>
      <c r="F350" s="120" t="s">
        <v>251</v>
      </c>
      <c r="G350" s="120">
        <v>0</v>
      </c>
      <c r="H350" s="120" t="s">
        <v>251</v>
      </c>
      <c r="I350" s="120">
        <v>7400204</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3142</v>
      </c>
      <c r="F351" s="120" t="s">
        <v>251</v>
      </c>
      <c r="G351" s="120">
        <v>1650.0449726027396</v>
      </c>
      <c r="H351" s="120" t="s">
        <v>251</v>
      </c>
      <c r="I351" s="120">
        <v>1023.3594429223745</v>
      </c>
      <c r="J351" s="120">
        <v>468.59558447488581</v>
      </c>
      <c r="K351" s="120" t="s">
        <v>251</v>
      </c>
      <c r="L351" s="120" t="s">
        <v>251</v>
      </c>
      <c r="M351" s="120">
        <v>0</v>
      </c>
      <c r="N351" s="120" t="s">
        <v>251</v>
      </c>
      <c r="O351" s="120">
        <v>468.59558447488581</v>
      </c>
      <c r="P351" s="120">
        <v>237.65858447488583</v>
      </c>
      <c r="Q351" s="120">
        <v>230.93699999999998</v>
      </c>
      <c r="R351" s="120"/>
      <c r="S351" s="121"/>
    </row>
    <row r="352" spans="1:19" ht="15">
      <c r="A352" s="105">
        <v>9</v>
      </c>
      <c r="B352" s="105"/>
      <c r="C352" s="107" t="s">
        <v>461</v>
      </c>
      <c r="D352" s="107" t="s">
        <v>314</v>
      </c>
      <c r="E352" s="120">
        <v>333800</v>
      </c>
      <c r="F352" s="120" t="s">
        <v>251</v>
      </c>
      <c r="G352" s="120">
        <v>259970.9563827698</v>
      </c>
      <c r="H352" s="120" t="s">
        <v>251</v>
      </c>
      <c r="I352" s="120">
        <v>0</v>
      </c>
      <c r="J352" s="120">
        <v>73829.0436172302</v>
      </c>
      <c r="K352" s="120" t="s">
        <v>251</v>
      </c>
      <c r="L352" s="120" t="s">
        <v>251</v>
      </c>
      <c r="M352" s="120">
        <v>0</v>
      </c>
      <c r="N352" s="120" t="s">
        <v>251</v>
      </c>
      <c r="O352" s="120">
        <v>73829.0436172302</v>
      </c>
      <c r="P352" s="120">
        <v>37444.027601898815</v>
      </c>
      <c r="Q352" s="120">
        <v>36385.016015331377</v>
      </c>
      <c r="R352" s="120"/>
      <c r="S352" s="121"/>
    </row>
    <row r="353" spans="1:19" ht="15">
      <c r="A353" s="105">
        <v>10</v>
      </c>
      <c r="B353" s="105"/>
      <c r="C353" s="107" t="s">
        <v>462</v>
      </c>
      <c r="D353" s="107" t="s">
        <v>251</v>
      </c>
      <c r="E353" s="120">
        <v>175040898</v>
      </c>
      <c r="F353" s="120" t="s">
        <v>251</v>
      </c>
      <c r="G353" s="120">
        <v>160120439.16326454</v>
      </c>
      <c r="H353" s="120" t="s">
        <v>251</v>
      </c>
      <c r="I353" s="120">
        <v>14845649.36517177</v>
      </c>
      <c r="J353" s="120">
        <v>74809.471563683532</v>
      </c>
      <c r="K353" s="120" t="s">
        <v>251</v>
      </c>
      <c r="L353" s="120" t="s">
        <v>251</v>
      </c>
      <c r="M353" s="120">
        <v>511.83236197844894</v>
      </c>
      <c r="N353" s="120" t="s">
        <v>251</v>
      </c>
      <c r="O353" s="120">
        <v>74297.639201705082</v>
      </c>
      <c r="P353" s="120">
        <v>37681.686186373699</v>
      </c>
      <c r="Q353" s="120">
        <v>36615.953015331375</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12255783</v>
      </c>
      <c r="F355" s="120" t="s">
        <v>251</v>
      </c>
      <c r="G355" s="120">
        <v>0</v>
      </c>
      <c r="H355" s="120" t="s">
        <v>251</v>
      </c>
      <c r="I355" s="120">
        <v>12255783</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276193179</v>
      </c>
      <c r="F356" s="120" t="s">
        <v>251</v>
      </c>
      <c r="G356" s="120">
        <v>275574877.41441673</v>
      </c>
      <c r="H356" s="120" t="s">
        <v>251</v>
      </c>
      <c r="I356" s="120">
        <v>0</v>
      </c>
      <c r="J356" s="120">
        <v>618301.58558324713</v>
      </c>
      <c r="K356" s="120" t="s">
        <v>251</v>
      </c>
      <c r="L356" s="120" t="s">
        <v>251</v>
      </c>
      <c r="M356" s="120">
        <v>95151.105399269974</v>
      </c>
      <c r="N356" s="120" t="s">
        <v>251</v>
      </c>
      <c r="O356" s="120">
        <v>523150.48018397711</v>
      </c>
      <c r="P356" s="120">
        <v>519317.52247259684</v>
      </c>
      <c r="Q356" s="120">
        <v>3832.9577113802475</v>
      </c>
      <c r="R356" s="120"/>
      <c r="S356" s="121"/>
    </row>
    <row r="357" spans="1:19" ht="15">
      <c r="A357" s="105">
        <v>13</v>
      </c>
      <c r="B357" s="105"/>
      <c r="C357" s="107" t="s">
        <v>467</v>
      </c>
      <c r="D357" s="107" t="s">
        <v>251</v>
      </c>
      <c r="E357" s="120">
        <v>288448962</v>
      </c>
      <c r="F357" s="120" t="s">
        <v>251</v>
      </c>
      <c r="G357" s="120">
        <v>275574877.41441673</v>
      </c>
      <c r="H357" s="120" t="s">
        <v>251</v>
      </c>
      <c r="I357" s="120">
        <v>12255783</v>
      </c>
      <c r="J357" s="120">
        <v>618301.58558324713</v>
      </c>
      <c r="K357" s="120" t="s">
        <v>251</v>
      </c>
      <c r="L357" s="120" t="s">
        <v>251</v>
      </c>
      <c r="M357" s="120">
        <v>95151.105399269974</v>
      </c>
      <c r="N357" s="120" t="s">
        <v>251</v>
      </c>
      <c r="O357" s="120">
        <v>523150.48018397711</v>
      </c>
      <c r="P357" s="120">
        <v>519317.52247259684</v>
      </c>
      <c r="Q357" s="120">
        <v>3832.9577113802475</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32563237.000000004</v>
      </c>
      <c r="F359" s="120" t="s">
        <v>251</v>
      </c>
      <c r="G359" s="120">
        <v>30699610.619607162</v>
      </c>
      <c r="H359" s="120" t="s">
        <v>251</v>
      </c>
      <c r="I359" s="120">
        <v>1487241.3874456584</v>
      </c>
      <c r="J359" s="120">
        <v>376384.9929471825</v>
      </c>
      <c r="K359" s="120" t="s">
        <v>251</v>
      </c>
      <c r="L359" s="120" t="s">
        <v>251</v>
      </c>
      <c r="M359" s="120">
        <v>2171.5383111901947</v>
      </c>
      <c r="N359" s="120" t="s">
        <v>251</v>
      </c>
      <c r="O359" s="120">
        <v>374213.4546359923</v>
      </c>
      <c r="P359" s="120">
        <v>195052.71836849922</v>
      </c>
      <c r="Q359" s="120">
        <v>179160.73626749305</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1404997153</v>
      </c>
      <c r="F361" s="120" t="s">
        <v>251</v>
      </c>
      <c r="G361" s="120">
        <v>1318146331.5784707</v>
      </c>
      <c r="H361" s="120" t="s">
        <v>251</v>
      </c>
      <c r="I361" s="120">
        <v>67529331.626886949</v>
      </c>
      <c r="J361" s="120">
        <v>19321489.794642441</v>
      </c>
      <c r="K361" s="120" t="s">
        <v>251</v>
      </c>
      <c r="L361" s="120" t="s">
        <v>251</v>
      </c>
      <c r="M361" s="120">
        <v>100563.72075053999</v>
      </c>
      <c r="N361" s="120" t="s">
        <v>251</v>
      </c>
      <c r="O361" s="120">
        <v>19220926.0738919</v>
      </c>
      <c r="P361" s="120">
        <v>10007568.864104772</v>
      </c>
      <c r="Q361" s="120">
        <v>9213357.2097871266</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89931576</v>
      </c>
      <c r="F364" s="120" t="s">
        <v>251</v>
      </c>
      <c r="G364" s="120">
        <v>84144326.90693669</v>
      </c>
      <c r="H364" s="120" t="s">
        <v>251</v>
      </c>
      <c r="I364" s="120">
        <v>3907846.0523916194</v>
      </c>
      <c r="J364" s="120">
        <v>1879403.0406716915</v>
      </c>
      <c r="K364" s="120" t="s">
        <v>251</v>
      </c>
      <c r="L364" s="120" t="s">
        <v>251</v>
      </c>
      <c r="M364" s="120">
        <v>268.6903877332623</v>
      </c>
      <c r="N364" s="120" t="s">
        <v>251</v>
      </c>
      <c r="O364" s="120">
        <v>1879134.3502839583</v>
      </c>
      <c r="P364" s="120">
        <v>953044.42577511061</v>
      </c>
      <c r="Q364" s="120">
        <v>926089.92450884765</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89931576</v>
      </c>
      <c r="F370" s="120" t="s">
        <v>251</v>
      </c>
      <c r="G370" s="120">
        <v>84144326.90693669</v>
      </c>
      <c r="H370" s="120" t="s">
        <v>251</v>
      </c>
      <c r="I370" s="120">
        <v>3907846.0523916194</v>
      </c>
      <c r="J370" s="120">
        <v>1879403.0406716915</v>
      </c>
      <c r="K370" s="120" t="s">
        <v>251</v>
      </c>
      <c r="L370" s="120" t="s">
        <v>251</v>
      </c>
      <c r="M370" s="120">
        <v>268.6903877332623</v>
      </c>
      <c r="N370" s="120" t="s">
        <v>251</v>
      </c>
      <c r="O370" s="120">
        <v>1879134.3502839583</v>
      </c>
      <c r="P370" s="120">
        <v>953044.42577511061</v>
      </c>
      <c r="Q370" s="120">
        <v>926089.92450884765</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980981.36999999965</v>
      </c>
      <c r="F372" s="120" t="s">
        <v>251</v>
      </c>
      <c r="G372" s="120">
        <v>951646.55364259344</v>
      </c>
      <c r="H372" s="120" t="s">
        <v>251</v>
      </c>
      <c r="I372" s="120">
        <v>29334.816357406231</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-91173</v>
      </c>
      <c r="F374" s="120" t="s">
        <v>251</v>
      </c>
      <c r="G374" s="120">
        <v>0</v>
      </c>
      <c r="H374" s="120" t="s">
        <v>251</v>
      </c>
      <c r="I374" s="120">
        <v>-91173</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18730630.045384593</v>
      </c>
      <c r="F375" s="120" t="s">
        <v>251</v>
      </c>
      <c r="G375" s="120">
        <v>0</v>
      </c>
      <c r="H375" s="120" t="s">
        <v>251</v>
      </c>
      <c r="I375" s="120">
        <v>886419.9952795289</v>
      </c>
      <c r="J375" s="120">
        <v>9.983713851556715E-13</v>
      </c>
      <c r="K375" s="120" t="s">
        <v>251</v>
      </c>
      <c r="L375" s="120" t="s">
        <v>251</v>
      </c>
      <c r="M375" s="120">
        <v>0</v>
      </c>
      <c r="N375" s="120" t="s">
        <v>251</v>
      </c>
      <c r="O375" s="120">
        <v>9.983713851556715E-13</v>
      </c>
      <c r="P375" s="120">
        <v>0</v>
      </c>
      <c r="Q375" s="120">
        <v>0</v>
      </c>
      <c r="R375" s="120"/>
      <c r="S375" s="121"/>
    </row>
    <row r="376" spans="1:19" ht="15">
      <c r="A376" s="105">
        <v>27</v>
      </c>
      <c r="B376" s="105"/>
      <c r="C376" s="107" t="s">
        <v>543</v>
      </c>
      <c r="D376" s="107" t="s">
        <v>419</v>
      </c>
      <c r="E376" s="120">
        <v>6921646.9999999981</v>
      </c>
      <c r="F376" s="120" t="s">
        <v>251</v>
      </c>
      <c r="G376" s="120">
        <v>0</v>
      </c>
      <c r="H376" s="120" t="s">
        <v>251</v>
      </c>
      <c r="I376" s="120">
        <v>0</v>
      </c>
      <c r="J376" s="120">
        <v>82420.366306762357</v>
      </c>
      <c r="K376" s="120" t="s">
        <v>251</v>
      </c>
      <c r="L376" s="120" t="s">
        <v>251</v>
      </c>
      <c r="M376" s="120">
        <v>0</v>
      </c>
      <c r="N376" s="120" t="s">
        <v>251</v>
      </c>
      <c r="O376" s="120">
        <v>82420.366306762357</v>
      </c>
      <c r="P376" s="120">
        <v>42960.284559247972</v>
      </c>
      <c r="Q376" s="120">
        <v>39460.081747514385</v>
      </c>
      <c r="R376" s="120"/>
      <c r="S376" s="121"/>
    </row>
    <row r="377" spans="1:19" ht="15">
      <c r="A377" s="105">
        <v>28</v>
      </c>
      <c r="B377" s="105"/>
      <c r="C377" s="107" t="s">
        <v>544</v>
      </c>
      <c r="D377" s="107" t="s">
        <v>419</v>
      </c>
      <c r="E377" s="120">
        <v>6465681.3499999996</v>
      </c>
      <c r="F377" s="120" t="s">
        <v>251</v>
      </c>
      <c r="G377" s="120">
        <v>0</v>
      </c>
      <c r="H377" s="120" t="s">
        <v>251</v>
      </c>
      <c r="I377" s="120">
        <v>0</v>
      </c>
      <c r="J377" s="120">
        <v>76990.899028771877</v>
      </c>
      <c r="K377" s="120" t="s">
        <v>251</v>
      </c>
      <c r="L377" s="120" t="s">
        <v>251</v>
      </c>
      <c r="M377" s="120">
        <v>0</v>
      </c>
      <c r="N377" s="120" t="s">
        <v>251</v>
      </c>
      <c r="O377" s="120">
        <v>76990.899028771877</v>
      </c>
      <c r="P377" s="120">
        <v>40130.262445545493</v>
      </c>
      <c r="Q377" s="120">
        <v>36860.636583226391</v>
      </c>
      <c r="R377" s="120"/>
      <c r="S377" s="121"/>
    </row>
    <row r="378" spans="1:19" ht="15">
      <c r="A378" s="105">
        <v>29</v>
      </c>
      <c r="B378" s="105"/>
      <c r="C378" s="107" t="s">
        <v>545</v>
      </c>
      <c r="D378" s="107" t="s">
        <v>419</v>
      </c>
      <c r="E378" s="120">
        <v>1944142.0800000003</v>
      </c>
      <c r="F378" s="120" t="s">
        <v>251</v>
      </c>
      <c r="G378" s="120">
        <v>0</v>
      </c>
      <c r="H378" s="120" t="s">
        <v>251</v>
      </c>
      <c r="I378" s="120">
        <v>0</v>
      </c>
      <c r="J378" s="120">
        <v>23150.111871638492</v>
      </c>
      <c r="K378" s="120" t="s">
        <v>251</v>
      </c>
      <c r="L378" s="120" t="s">
        <v>251</v>
      </c>
      <c r="M378" s="120">
        <v>0</v>
      </c>
      <c r="N378" s="120" t="s">
        <v>251</v>
      </c>
      <c r="O378" s="120">
        <v>23150.111871638492</v>
      </c>
      <c r="P378" s="120">
        <v>12066.621857544638</v>
      </c>
      <c r="Q378" s="120">
        <v>11083.490014093853</v>
      </c>
      <c r="R378" s="120"/>
      <c r="S378" s="121"/>
    </row>
    <row r="379" spans="1:19" ht="15">
      <c r="A379" s="105">
        <v>30</v>
      </c>
      <c r="B379" s="105"/>
      <c r="C379" s="107" t="s">
        <v>546</v>
      </c>
      <c r="D379" s="107" t="s">
        <v>251</v>
      </c>
      <c r="E379" s="120">
        <v>1560779031.2153842</v>
      </c>
      <c r="F379" s="120" t="s">
        <v>251</v>
      </c>
      <c r="G379" s="120">
        <v>1403242305.0390499</v>
      </c>
      <c r="H379" s="120" t="s">
        <v>251</v>
      </c>
      <c r="I379" s="120">
        <v>73972301.93308942</v>
      </c>
      <c r="J379" s="120">
        <v>21383454.222623929</v>
      </c>
      <c r="K379" s="120" t="s">
        <v>251</v>
      </c>
      <c r="L379" s="120" t="s">
        <v>251</v>
      </c>
      <c r="M379" s="120">
        <v>100832.41113827325</v>
      </c>
      <c r="N379" s="120" t="s">
        <v>251</v>
      </c>
      <c r="O379" s="120">
        <v>21282621.811485656</v>
      </c>
      <c r="P379" s="120">
        <v>11055770.468844846</v>
      </c>
      <c r="Q379" s="120">
        <v>10226851.342640808</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5608486084.7506523</v>
      </c>
      <c r="F381" s="120" t="s">
        <v>251</v>
      </c>
      <c r="G381" s="120">
        <v>5320147419.2916718</v>
      </c>
      <c r="H381" s="120" t="s">
        <v>251</v>
      </c>
      <c r="I381" s="120">
        <v>268576867.75356632</v>
      </c>
      <c r="J381" s="120">
        <v>81942767.72603628</v>
      </c>
      <c r="K381" s="120" t="s">
        <v>251</v>
      </c>
      <c r="L381" s="120" t="s">
        <v>251</v>
      </c>
      <c r="M381" s="120">
        <v>450774.30744953413</v>
      </c>
      <c r="N381" s="120" t="s">
        <v>251</v>
      </c>
      <c r="O381" s="120">
        <v>81491993.418586746</v>
      </c>
      <c r="P381" s="120">
        <v>42275518.893805005</v>
      </c>
      <c r="Q381" s="120">
        <v>39216474.524781741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5">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5"/>
        <v>440</v>
      </c>
      <c r="C387" s="107" t="s">
        <v>549</v>
      </c>
      <c r="D387" s="107" t="s">
        <v>251</v>
      </c>
      <c r="E387" s="120">
        <v>665768165.764902</v>
      </c>
      <c r="F387" s="120" t="s">
        <v>251</v>
      </c>
      <c r="G387" s="120">
        <v>627603230.20824051</v>
      </c>
      <c r="H387" s="120" t="s">
        <v>251</v>
      </c>
      <c r="I387" s="120">
        <v>38164935.556661539</v>
      </c>
      <c r="J387" s="120">
        <v>0</v>
      </c>
      <c r="K387" s="120" t="s">
        <v>251</v>
      </c>
      <c r="L387" s="120" t="s">
        <v>251</v>
      </c>
      <c r="M387" s="120">
        <v>0</v>
      </c>
      <c r="N387" s="120" t="s">
        <v>251</v>
      </c>
      <c r="O387" s="120">
        <v>0</v>
      </c>
      <c r="P387" s="120">
        <v>0</v>
      </c>
      <c r="Q387" s="120">
        <v>0</v>
      </c>
      <c r="R387" s="120"/>
      <c r="S387" s="121"/>
    </row>
    <row r="388" spans="1:19" ht="15">
      <c r="A388" s="105">
        <v>2</v>
      </c>
      <c r="B388" s="129" t="str">
        <f t="shared" si="15"/>
        <v>442</v>
      </c>
      <c r="C388" s="107" t="s">
        <v>550</v>
      </c>
      <c r="D388" s="107" t="s">
        <v>251</v>
      </c>
      <c r="E388" s="120">
        <v>416936627.96246159</v>
      </c>
      <c r="F388" s="120" t="s">
        <v>251</v>
      </c>
      <c r="G388" s="120">
        <v>399075052.97871023</v>
      </c>
      <c r="H388" s="120" t="s">
        <v>251</v>
      </c>
      <c r="I388" s="120">
        <v>17861574.983751338</v>
      </c>
      <c r="J388" s="120">
        <v>0</v>
      </c>
      <c r="K388" s="120" t="s">
        <v>251</v>
      </c>
      <c r="L388" s="120" t="s">
        <v>251</v>
      </c>
      <c r="M388" s="120">
        <v>0</v>
      </c>
      <c r="N388" s="120" t="s">
        <v>251</v>
      </c>
      <c r="O388" s="120">
        <v>0</v>
      </c>
      <c r="P388" s="120">
        <v>0</v>
      </c>
      <c r="Q388" s="120">
        <v>0</v>
      </c>
      <c r="R388" s="120"/>
      <c r="S388" s="121"/>
    </row>
    <row r="389" spans="1:19" ht="15">
      <c r="A389" s="105">
        <v>3</v>
      </c>
      <c r="B389" s="129" t="str">
        <f t="shared" si="15"/>
        <v>442</v>
      </c>
      <c r="C389" s="107" t="s">
        <v>551</v>
      </c>
      <c r="D389" s="107" t="s">
        <v>251</v>
      </c>
      <c r="E389" s="120">
        <v>432582971.44939744</v>
      </c>
      <c r="F389" s="120" t="s">
        <v>251</v>
      </c>
      <c r="G389" s="120">
        <v>424459179.00703847</v>
      </c>
      <c r="H389" s="120" t="s">
        <v>251</v>
      </c>
      <c r="I389" s="120">
        <v>8123792.442358966</v>
      </c>
      <c r="J389" s="120">
        <v>0</v>
      </c>
      <c r="K389" s="120" t="s">
        <v>251</v>
      </c>
      <c r="L389" s="120" t="s">
        <v>251</v>
      </c>
      <c r="M389" s="120">
        <v>0</v>
      </c>
      <c r="N389" s="120" t="s">
        <v>251</v>
      </c>
      <c r="O389" s="120">
        <v>0</v>
      </c>
      <c r="P389" s="120">
        <v>0</v>
      </c>
      <c r="Q389" s="120">
        <v>0</v>
      </c>
      <c r="R389" s="120"/>
      <c r="S389" s="121"/>
    </row>
    <row r="390" spans="1:19" ht="15">
      <c r="A390" s="105">
        <v>4</v>
      </c>
      <c r="B390" s="129" t="str">
        <f t="shared" si="15"/>
        <v>444</v>
      </c>
      <c r="C390" s="107" t="s">
        <v>552</v>
      </c>
      <c r="D390" s="107" t="s">
        <v>251</v>
      </c>
      <c r="E390" s="120">
        <v>13596477.613393851</v>
      </c>
      <c r="F390" s="120" t="s">
        <v>251</v>
      </c>
      <c r="G390" s="120">
        <v>13142281.488382259</v>
      </c>
      <c r="H390" s="120" t="s">
        <v>251</v>
      </c>
      <c r="I390" s="120">
        <v>454196.12501159054</v>
      </c>
      <c r="J390" s="120">
        <v>0</v>
      </c>
      <c r="K390" s="120" t="s">
        <v>251</v>
      </c>
      <c r="L390" s="120" t="s">
        <v>251</v>
      </c>
      <c r="M390" s="120">
        <v>0</v>
      </c>
      <c r="N390" s="120" t="s">
        <v>251</v>
      </c>
      <c r="O390" s="120">
        <v>0</v>
      </c>
      <c r="P390" s="120">
        <v>0</v>
      </c>
      <c r="Q390" s="120">
        <v>0</v>
      </c>
      <c r="R390" s="120"/>
      <c r="S390" s="121"/>
    </row>
    <row r="391" spans="1:19" ht="15">
      <c r="A391" s="105">
        <v>5</v>
      </c>
      <c r="B391" s="129" t="str">
        <f t="shared" si="15"/>
        <v>445</v>
      </c>
      <c r="C391" s="107" t="s">
        <v>553</v>
      </c>
      <c r="D391" s="107" t="s">
        <v>251</v>
      </c>
      <c r="E391" s="120">
        <v>130931034.2104449</v>
      </c>
      <c r="F391" s="120" t="s">
        <v>251</v>
      </c>
      <c r="G391" s="120">
        <v>124368330.20485443</v>
      </c>
      <c r="H391" s="120" t="s">
        <v>251</v>
      </c>
      <c r="I391" s="120">
        <v>6562704.0055904742</v>
      </c>
      <c r="J391" s="120">
        <v>0</v>
      </c>
      <c r="K391" s="120" t="s">
        <v>251</v>
      </c>
      <c r="L391" s="120" t="s">
        <v>251</v>
      </c>
      <c r="M391" s="120">
        <v>0</v>
      </c>
      <c r="N391" s="120" t="s">
        <v>251</v>
      </c>
      <c r="O391" s="120">
        <v>0</v>
      </c>
      <c r="P391" s="120">
        <v>0</v>
      </c>
      <c r="Q391" s="120">
        <v>0</v>
      </c>
      <c r="R391" s="120"/>
      <c r="S391" s="121"/>
    </row>
    <row r="392" spans="1:19" ht="15">
      <c r="A392" s="105">
        <v>6</v>
      </c>
      <c r="B392" s="129" t="str">
        <f t="shared" si="15"/>
        <v>447</v>
      </c>
      <c r="C392" s="107" t="s">
        <v>554</v>
      </c>
      <c r="D392" s="107" t="s">
        <v>251</v>
      </c>
      <c r="E392" s="120">
        <v>24857217.745995708</v>
      </c>
      <c r="F392" s="120" t="s">
        <v>251</v>
      </c>
      <c r="G392" s="120">
        <v>0</v>
      </c>
      <c r="H392" s="120" t="s">
        <v>251</v>
      </c>
      <c r="I392" s="120">
        <v>0</v>
      </c>
      <c r="J392" s="120">
        <v>24857217.745995708</v>
      </c>
      <c r="K392" s="120" t="s">
        <v>251</v>
      </c>
      <c r="L392" s="120" t="s">
        <v>251</v>
      </c>
      <c r="M392" s="120">
        <v>0</v>
      </c>
      <c r="N392" s="120" t="s">
        <v>251</v>
      </c>
      <c r="O392" s="120">
        <v>24857217.745995708</v>
      </c>
      <c r="P392" s="120">
        <v>12585764.562653359</v>
      </c>
      <c r="Q392" s="120">
        <v>12271453.183342351</v>
      </c>
      <c r="R392" s="120"/>
      <c r="S392" s="121"/>
    </row>
    <row r="393" spans="1:19" ht="15">
      <c r="A393" s="105">
        <v>7</v>
      </c>
      <c r="B393" s="129" t="str">
        <f t="shared" si="15"/>
        <v>447</v>
      </c>
      <c r="C393" s="107" t="s">
        <v>2236</v>
      </c>
      <c r="D393" s="107" t="s">
        <v>251</v>
      </c>
      <c r="E393" s="120">
        <v>2969.5068393167198</v>
      </c>
      <c r="F393" s="120" t="s">
        <v>251</v>
      </c>
      <c r="G393" s="120">
        <v>0</v>
      </c>
      <c r="H393" s="120" t="s">
        <v>251</v>
      </c>
      <c r="I393" s="120">
        <v>2969.5068393167198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5"/>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5"/>
        <v xml:space="preserve">   </v>
      </c>
      <c r="C396" s="107" t="s">
        <v>557</v>
      </c>
      <c r="D396" s="107" t="s">
        <v>495</v>
      </c>
      <c r="E396" s="120">
        <v>10135947.354481341</v>
      </c>
      <c r="F396" s="120" t="s">
        <v>251</v>
      </c>
      <c r="G396" s="120">
        <v>9538019.3014995866</v>
      </c>
      <c r="H396" s="120" t="s">
        <v>251</v>
      </c>
      <c r="I396" s="120">
        <v>389107.68511496321</v>
      </c>
      <c r="J396" s="120">
        <v>208820.36786679088</v>
      </c>
      <c r="K396" s="120" t="s">
        <v>251</v>
      </c>
      <c r="L396" s="120" t="s">
        <v>251</v>
      </c>
      <c r="M396" s="120">
        <v>42.686962046929459</v>
      </c>
      <c r="N396" s="120" t="s">
        <v>251</v>
      </c>
      <c r="O396" s="120">
        <v>208777.68090474396</v>
      </c>
      <c r="P396" s="120">
        <v>105726.6164070067</v>
      </c>
      <c r="Q396" s="120">
        <v>103051.06449773727</v>
      </c>
      <c r="R396" s="120"/>
      <c r="S396" s="121"/>
    </row>
    <row r="397" spans="1:19" ht="15">
      <c r="A397" s="105">
        <v>11</v>
      </c>
      <c r="B397" s="129">
        <v>447</v>
      </c>
      <c r="C397" s="107" t="s">
        <v>558</v>
      </c>
      <c r="D397" s="107" t="s">
        <v>251</v>
      </c>
      <c r="E397" s="120">
        <v>10135947.354481341</v>
      </c>
      <c r="F397" s="120" t="s">
        <v>251</v>
      </c>
      <c r="G397" s="120">
        <v>9538019.3014995866</v>
      </c>
      <c r="H397" s="120" t="s">
        <v>251</v>
      </c>
      <c r="I397" s="120">
        <v>389107.68511496321</v>
      </c>
      <c r="J397" s="120">
        <v>208820.36786679088</v>
      </c>
      <c r="K397" s="120" t="s">
        <v>251</v>
      </c>
      <c r="L397" s="120" t="s">
        <v>251</v>
      </c>
      <c r="M397" s="120">
        <v>42.686962046929459</v>
      </c>
      <c r="N397" s="120" t="s">
        <v>251</v>
      </c>
      <c r="O397" s="120">
        <v>208777.68090474396</v>
      </c>
      <c r="P397" s="120">
        <v>105726.6164070067</v>
      </c>
      <c r="Q397" s="120">
        <v>103051.06449773727</v>
      </c>
      <c r="R397" s="120"/>
      <c r="S397" s="121"/>
    </row>
    <row r="398" spans="1:19" ht="15">
      <c r="A398" s="105" t="s">
        <v>251</v>
      </c>
      <c r="B398" s="129" t="str">
        <f t="shared" si="15"/>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5"/>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5"/>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1694811411.6079164</v>
      </c>
      <c r="F401" s="120" t="s">
        <v>251</v>
      </c>
      <c r="G401" s="120">
        <v>1598186093.1887257</v>
      </c>
      <c r="H401" s="120" t="s">
        <v>251</v>
      </c>
      <c r="I401" s="120">
        <v>71559280.30532819</v>
      </c>
      <c r="J401" s="120">
        <v>25066038.1138625</v>
      </c>
      <c r="K401" s="120" t="s">
        <v>251</v>
      </c>
      <c r="L401" s="120" t="s">
        <v>251</v>
      </c>
      <c r="M401" s="120">
        <v>42.686962046929459</v>
      </c>
      <c r="N401" s="120" t="s">
        <v>251</v>
      </c>
      <c r="O401" s="120">
        <v>25065995.426900454</v>
      </c>
      <c r="P401" s="120">
        <v>12691491.179060366</v>
      </c>
      <c r="Q401" s="120">
        <v>12374504.247840088</v>
      </c>
      <c r="R401" s="120"/>
      <c r="S401" s="121"/>
    </row>
    <row r="402" spans="1:19" ht="15">
      <c r="A402" s="105" t="s">
        <v>251</v>
      </c>
      <c r="B402" s="129" t="str">
        <f t="shared" si="15"/>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5"/>
        <v>450</v>
      </c>
      <c r="C404" s="107" t="s">
        <v>562</v>
      </c>
      <c r="D404" s="107" t="s">
        <v>563</v>
      </c>
      <c r="E404" s="120">
        <v>3962819.9333333327</v>
      </c>
      <c r="F404" s="120" t="s">
        <v>251</v>
      </c>
      <c r="G404" s="120">
        <v>3803817.2532682326</v>
      </c>
      <c r="H404" s="120" t="s">
        <v>251</v>
      </c>
      <c r="I404" s="120">
        <v>158910.25599425804</v>
      </c>
      <c r="J404" s="120">
        <v>92.424070842210355</v>
      </c>
      <c r="K404" s="120" t="s">
        <v>251</v>
      </c>
      <c r="L404" s="120" t="s">
        <v>251</v>
      </c>
      <c r="M404" s="120">
        <v>0</v>
      </c>
      <c r="N404" s="120" t="s">
        <v>251</v>
      </c>
      <c r="O404" s="120">
        <v>92.424070842210355</v>
      </c>
      <c r="P404" s="120">
        <v>5.7637833968665726</v>
      </c>
      <c r="Q404" s="120">
        <v>86.660287445343783</v>
      </c>
      <c r="R404" s="120"/>
      <c r="S404" s="121"/>
    </row>
    <row r="405" spans="1:19" ht="15">
      <c r="A405" s="105">
        <v>15</v>
      </c>
      <c r="B405" s="129" t="str">
        <f t="shared" si="15"/>
        <v>451</v>
      </c>
      <c r="C405" s="107" t="s">
        <v>564</v>
      </c>
      <c r="D405" s="107" t="s">
        <v>565</v>
      </c>
      <c r="E405" s="120">
        <v>2253137.8000000003</v>
      </c>
      <c r="F405" s="120" t="s">
        <v>251</v>
      </c>
      <c r="G405" s="120">
        <v>2110069.1081305002</v>
      </c>
      <c r="H405" s="120" t="s">
        <v>251</v>
      </c>
      <c r="I405" s="120">
        <v>143068.69186950012</v>
      </c>
      <c r="J405" s="120">
        <v>0</v>
      </c>
      <c r="K405" s="120" t="s">
        <v>251</v>
      </c>
      <c r="L405" s="120" t="s">
        <v>251</v>
      </c>
      <c r="M405" s="120">
        <v>0</v>
      </c>
      <c r="N405" s="120" t="s">
        <v>251</v>
      </c>
      <c r="O405" s="120">
        <v>0</v>
      </c>
      <c r="P405" s="120">
        <v>0</v>
      </c>
      <c r="Q405" s="120">
        <v>0</v>
      </c>
      <c r="R405" s="120"/>
      <c r="S405" s="121"/>
    </row>
    <row r="406" spans="1:19" ht="15">
      <c r="A406" s="105">
        <v>16</v>
      </c>
      <c r="B406" s="129" t="str">
        <f t="shared" si="15"/>
        <v>451</v>
      </c>
      <c r="C406" s="107" t="s">
        <v>566</v>
      </c>
      <c r="D406" s="107" t="s">
        <v>567</v>
      </c>
      <c r="E406" s="120">
        <v>59718.7933333334</v>
      </c>
      <c r="F406" s="120" t="s">
        <v>251</v>
      </c>
      <c r="G406" s="120">
        <v>59264.561379314859</v>
      </c>
      <c r="H406" s="120" t="s">
        <v>251</v>
      </c>
      <c r="I406" s="120">
        <v>454.23195401854167</v>
      </c>
      <c r="J406" s="120">
        <v>0</v>
      </c>
      <c r="K406" s="120" t="s">
        <v>251</v>
      </c>
      <c r="L406" s="120" t="s">
        <v>251</v>
      </c>
      <c r="M406" s="120">
        <v>0</v>
      </c>
      <c r="N406" s="120" t="s">
        <v>251</v>
      </c>
      <c r="O406" s="120">
        <v>0</v>
      </c>
      <c r="P406" s="120">
        <v>0</v>
      </c>
      <c r="Q406" s="120">
        <v>0</v>
      </c>
      <c r="R406" s="120"/>
      <c r="S406" s="121"/>
    </row>
    <row r="407" spans="1:19" ht="15">
      <c r="A407" s="105">
        <v>17</v>
      </c>
      <c r="B407" s="129" t="str">
        <f t="shared" si="15"/>
        <v>454</v>
      </c>
      <c r="C407" s="107" t="s">
        <v>568</v>
      </c>
      <c r="D407" s="107" t="s">
        <v>569</v>
      </c>
      <c r="E407" s="120">
        <v>3695780.1399999964</v>
      </c>
      <c r="F407" s="120" t="s">
        <v>251</v>
      </c>
      <c r="G407" s="120">
        <v>3139768.4099999964</v>
      </c>
      <c r="H407" s="120" t="s">
        <v>251</v>
      </c>
      <c r="I407" s="120">
        <v>387734.87</v>
      </c>
      <c r="J407" s="120">
        <v>168276.86000000002</v>
      </c>
      <c r="K407" s="120" t="s">
        <v>251</v>
      </c>
      <c r="L407" s="120" t="s">
        <v>251</v>
      </c>
      <c r="M407" s="120">
        <v>57.5</v>
      </c>
      <c r="N407" s="120" t="s">
        <v>251</v>
      </c>
      <c r="O407" s="120">
        <v>168219.36000000002</v>
      </c>
      <c r="P407" s="120">
        <v>168219.36000000002</v>
      </c>
      <c r="Q407" s="120">
        <v>0</v>
      </c>
      <c r="R407" s="120"/>
      <c r="S407" s="121"/>
    </row>
    <row r="408" spans="1:19" ht="15">
      <c r="A408" s="105">
        <v>18</v>
      </c>
      <c r="B408" s="129" t="str">
        <f t="shared" si="15"/>
        <v>454</v>
      </c>
      <c r="C408" s="107" t="s">
        <v>2499</v>
      </c>
      <c r="D408" s="107" t="s">
        <v>512</v>
      </c>
      <c r="E408" s="120">
        <v>5720.6799999999994</v>
      </c>
      <c r="F408" s="120" t="s">
        <v>251</v>
      </c>
      <c r="G408" s="120">
        <v>5720.6799999999994</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5"/>
        <v>454</v>
      </c>
      <c r="C409" s="107" t="s">
        <v>2500</v>
      </c>
      <c r="D409" s="107" t="s">
        <v>733</v>
      </c>
      <c r="E409" s="120">
        <v>7379090.0399999991</v>
      </c>
      <c r="F409" s="120" t="s">
        <v>251</v>
      </c>
      <c r="G409" s="120">
        <v>6877843.4400000004</v>
      </c>
      <c r="H409" s="120" t="s">
        <v>251</v>
      </c>
      <c r="I409" s="120">
        <v>360291.24</v>
      </c>
      <c r="J409" s="120">
        <v>140955.35999999882</v>
      </c>
      <c r="K409" s="120" t="s">
        <v>251</v>
      </c>
      <c r="L409" s="120" t="s">
        <v>251</v>
      </c>
      <c r="M409" s="120">
        <v>0</v>
      </c>
      <c r="N409" s="120" t="s">
        <v>251</v>
      </c>
      <c r="O409" s="120">
        <v>140955.35999999882</v>
      </c>
      <c r="P409" s="120">
        <v>71368.847186842278</v>
      </c>
      <c r="Q409" s="120">
        <v>69586.512813156529</v>
      </c>
      <c r="R409" s="120"/>
      <c r="S409" s="121"/>
    </row>
    <row r="410" spans="1:19" ht="15">
      <c r="A410" s="105">
        <v>20</v>
      </c>
      <c r="B410" s="129" t="str">
        <f t="shared" si="15"/>
        <v>456</v>
      </c>
      <c r="C410" s="107" t="s">
        <v>570</v>
      </c>
      <c r="D410" s="107" t="s">
        <v>341</v>
      </c>
      <c r="E410" s="120">
        <v>21969461.876645327</v>
      </c>
      <c r="F410" s="120" t="s">
        <v>251</v>
      </c>
      <c r="G410" s="120">
        <v>21007438.006358631</v>
      </c>
      <c r="H410" s="120" t="s">
        <v>251</v>
      </c>
      <c r="I410" s="120">
        <v>961956.43933719886</v>
      </c>
      <c r="J410" s="120">
        <v>67.430949497203031</v>
      </c>
      <c r="K410" s="120" t="s">
        <v>251</v>
      </c>
      <c r="L410" s="120" t="s">
        <v>251</v>
      </c>
      <c r="M410" s="120">
        <v>67.430949497203031</v>
      </c>
      <c r="N410" s="120" t="s">
        <v>251</v>
      </c>
      <c r="O410" s="120">
        <v>0</v>
      </c>
      <c r="P410" s="120">
        <v>0</v>
      </c>
      <c r="Q410" s="120">
        <v>0</v>
      </c>
      <c r="R410" s="120"/>
      <c r="S410" s="121"/>
    </row>
    <row r="411" spans="1:19" ht="15">
      <c r="A411" s="105">
        <v>21</v>
      </c>
      <c r="B411" s="129" t="str">
        <f t="shared" si="15"/>
        <v>456</v>
      </c>
      <c r="C411" s="107" t="s">
        <v>571</v>
      </c>
      <c r="D411" s="107" t="s">
        <v>572</v>
      </c>
      <c r="E411" s="120">
        <v>1500447.0144977879</v>
      </c>
      <c r="F411" s="120" t="s">
        <v>251</v>
      </c>
      <c r="G411" s="120">
        <v>1406543.0847488027</v>
      </c>
      <c r="H411" s="120" t="s">
        <v>251</v>
      </c>
      <c r="I411" s="120">
        <v>64407.338827789259</v>
      </c>
      <c r="J411" s="120">
        <v>29496.590921195835</v>
      </c>
      <c r="K411" s="120" t="s">
        <v>251</v>
      </c>
      <c r="L411" s="120" t="s">
        <v>251</v>
      </c>
      <c r="M411" s="120">
        <v>4.5148073594042586</v>
      </c>
      <c r="N411" s="120" t="s">
        <v>251</v>
      </c>
      <c r="O411" s="120">
        <v>29492.076113836432</v>
      </c>
      <c r="P411" s="120">
        <v>14957.556781706307</v>
      </c>
      <c r="Q411" s="120">
        <v>14534.519332130127</v>
      </c>
      <c r="R411" s="120"/>
      <c r="S411" s="121"/>
    </row>
    <row r="412" spans="1:19" ht="15">
      <c r="A412" s="105">
        <v>22</v>
      </c>
      <c r="B412" s="129" t="str">
        <f t="shared" si="15"/>
        <v>456</v>
      </c>
      <c r="C412" s="107" t="s">
        <v>573</v>
      </c>
      <c r="D412" s="107" t="s">
        <v>512</v>
      </c>
      <c r="E412" s="120">
        <v>600</v>
      </c>
      <c r="F412" s="120" t="s">
        <v>251</v>
      </c>
      <c r="G412" s="120">
        <v>600</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5"/>
        <v>456</v>
      </c>
      <c r="C413" s="107" t="s">
        <v>574</v>
      </c>
      <c r="D413" s="107" t="s">
        <v>575</v>
      </c>
      <c r="E413" s="120">
        <v>162426.66666666718</v>
      </c>
      <c r="F413" s="120" t="s">
        <v>251</v>
      </c>
      <c r="G413" s="120">
        <v>162426.66666666718</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5"/>
        <v>456</v>
      </c>
      <c r="C414" s="107" t="s">
        <v>576</v>
      </c>
      <c r="D414" s="107" t="s">
        <v>577</v>
      </c>
      <c r="E414" s="120">
        <v>72900.206666669401</v>
      </c>
      <c r="F414" s="120" t="s">
        <v>251</v>
      </c>
      <c r="G414" s="120">
        <v>72900.206666669401</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5"/>
        <v>456</v>
      </c>
      <c r="C415" s="107" t="s">
        <v>578</v>
      </c>
      <c r="D415" s="107" t="s">
        <v>579</v>
      </c>
      <c r="E415" s="120">
        <v>32021.28999999995</v>
      </c>
      <c r="F415" s="120" t="s">
        <v>251</v>
      </c>
      <c r="G415" s="120">
        <v>30678.048313890475</v>
      </c>
      <c r="H415" s="120" t="s">
        <v>251</v>
      </c>
      <c r="I415" s="120">
        <v>1343.2416861094771</v>
      </c>
      <c r="J415" s="120">
        <v>0</v>
      </c>
      <c r="K415" s="120" t="s">
        <v>251</v>
      </c>
      <c r="L415" s="120" t="s">
        <v>251</v>
      </c>
      <c r="M415" s="120">
        <v>0</v>
      </c>
      <c r="N415" s="120" t="s">
        <v>251</v>
      </c>
      <c r="O415" s="120">
        <v>0</v>
      </c>
      <c r="P415" s="120">
        <v>0</v>
      </c>
      <c r="Q415" s="120">
        <v>0</v>
      </c>
      <c r="R415" s="120"/>
      <c r="S415" s="121"/>
    </row>
    <row r="416" spans="1:19" ht="15">
      <c r="A416" s="105">
        <v>26</v>
      </c>
      <c r="B416" s="129" t="str">
        <f t="shared" si="15"/>
        <v>456</v>
      </c>
      <c r="C416" s="107" t="s">
        <v>2501</v>
      </c>
      <c r="D416" s="107" t="s">
        <v>733</v>
      </c>
      <c r="E416" s="120">
        <v>182160.93665792039</v>
      </c>
      <c r="F416" s="120" t="s">
        <v>251</v>
      </c>
      <c r="G416" s="120">
        <v>173339.37665792039</v>
      </c>
      <c r="H416" s="120" t="s">
        <v>251</v>
      </c>
      <c r="I416" s="120">
        <v>8821.56</v>
      </c>
      <c r="J416" s="120">
        <v>0</v>
      </c>
      <c r="K416" s="120" t="s">
        <v>251</v>
      </c>
      <c r="L416" s="120" t="s">
        <v>251</v>
      </c>
      <c r="M416" s="120">
        <v>0</v>
      </c>
      <c r="N416" s="120" t="s">
        <v>251</v>
      </c>
      <c r="O416" s="120">
        <v>0</v>
      </c>
      <c r="P416" s="120">
        <v>0</v>
      </c>
      <c r="Q416" s="120">
        <v>0</v>
      </c>
      <c r="R416" s="120"/>
      <c r="S416" s="121"/>
    </row>
    <row r="417" spans="1:19" ht="15">
      <c r="A417" s="105">
        <v>27</v>
      </c>
      <c r="B417" s="129" t="str">
        <f t="shared" si="15"/>
        <v>TAL</v>
      </c>
      <c r="C417" s="107" t="s">
        <v>580</v>
      </c>
      <c r="D417" s="107" t="s">
        <v>251</v>
      </c>
      <c r="E417" s="120">
        <v>41276285.377801038</v>
      </c>
      <c r="F417" s="120" t="s">
        <v>251</v>
      </c>
      <c r="G417" s="120">
        <v>38850408.842190631</v>
      </c>
      <c r="H417" s="120" t="s">
        <v>251</v>
      </c>
      <c r="I417" s="120">
        <v>2086987.8696688744</v>
      </c>
      <c r="J417" s="120">
        <v>338888.66594153404</v>
      </c>
      <c r="K417" s="120" t="s">
        <v>251</v>
      </c>
      <c r="L417" s="120" t="s">
        <v>251</v>
      </c>
      <c r="M417" s="120">
        <v>129.44575685660729</v>
      </c>
      <c r="N417" s="120" t="s">
        <v>251</v>
      </c>
      <c r="O417" s="120">
        <v>338759.22018467746</v>
      </c>
      <c r="P417" s="120">
        <v>254551.52775194545</v>
      </c>
      <c r="Q417" s="120">
        <v>84207.692432732001</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5"/>
        <v>TAL</v>
      </c>
      <c r="C419" s="107" t="s">
        <v>581</v>
      </c>
      <c r="D419" s="107" t="s">
        <v>251</v>
      </c>
      <c r="E419" s="120">
        <v>1736087696.9857175</v>
      </c>
      <c r="F419" s="120" t="s">
        <v>251</v>
      </c>
      <c r="G419" s="120">
        <v>1637036502.0309165</v>
      </c>
      <c r="H419" s="120" t="s">
        <v>251</v>
      </c>
      <c r="I419" s="120">
        <v>73646268.174997061</v>
      </c>
      <c r="J419" s="120">
        <v>25404926.779804032</v>
      </c>
      <c r="K419" s="120" t="s">
        <v>251</v>
      </c>
      <c r="L419" s="120" t="s">
        <v>251</v>
      </c>
      <c r="M419" s="120">
        <v>172.13271890353676</v>
      </c>
      <c r="N419" s="120" t="s">
        <v>251</v>
      </c>
      <c r="O419" s="120">
        <v>25404754.64708513</v>
      </c>
      <c r="P419" s="120">
        <v>12946042.706812311</v>
      </c>
      <c r="Q419" s="120">
        <v>12458711.940272819</v>
      </c>
      <c r="R419" s="120"/>
      <c r="S419" s="121"/>
    </row>
    <row r="420" spans="1:19" ht="15">
      <c r="A420" s="105" t="s">
        <v>251</v>
      </c>
      <c r="B420" s="129" t="str">
        <f t="shared" si="15"/>
        <v/>
      </c>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5"/>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5"/>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t="str">
        <f t="shared" si="15"/>
        <v/>
      </c>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5"/>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t="str">
        <f t="shared" si="15"/>
        <v>500</v>
      </c>
      <c r="C425" s="107" t="s">
        <v>584</v>
      </c>
      <c r="D425" s="107" t="s">
        <v>585</v>
      </c>
      <c r="E425" s="120">
        <v>9342387.9999999981</v>
      </c>
      <c r="F425" s="120" t="s">
        <v>251</v>
      </c>
      <c r="G425" s="120">
        <v>8739204.9662397169</v>
      </c>
      <c r="H425" s="120" t="s">
        <v>251</v>
      </c>
      <c r="I425" s="120">
        <v>407337.78172375535</v>
      </c>
      <c r="J425" s="120">
        <v>195845.25203652721</v>
      </c>
      <c r="K425" s="120" t="s">
        <v>251</v>
      </c>
      <c r="L425" s="120" t="s">
        <v>251</v>
      </c>
      <c r="M425" s="120">
        <v>27.898159553442309</v>
      </c>
      <c r="N425" s="120" t="s">
        <v>251</v>
      </c>
      <c r="O425" s="120">
        <v>195817.35387697376</v>
      </c>
      <c r="P425" s="120">
        <v>99313.08932449737</v>
      </c>
      <c r="Q425" s="120">
        <v>96504.264552476394</v>
      </c>
      <c r="R425" s="120"/>
      <c r="S425" s="121"/>
    </row>
    <row r="426" spans="1:19" ht="15">
      <c r="A426" s="105">
        <v>2</v>
      </c>
      <c r="B426" s="129" t="str">
        <f t="shared" si="15"/>
        <v>501</v>
      </c>
      <c r="C426" s="107" t="s">
        <v>586</v>
      </c>
      <c r="D426" s="107" t="s">
        <v>495</v>
      </c>
      <c r="E426" s="120">
        <v>302423708.23587358</v>
      </c>
      <c r="F426" s="120" t="s">
        <v>251</v>
      </c>
      <c r="G426" s="120">
        <v>284611742.74677902</v>
      </c>
      <c r="H426" s="120" t="s">
        <v>251</v>
      </c>
      <c r="I426" s="120">
        <v>11576701.157290943</v>
      </c>
      <c r="J426" s="120">
        <v>6235264.3318035975</v>
      </c>
      <c r="K426" s="120" t="s">
        <v>251</v>
      </c>
      <c r="L426" s="120" t="s">
        <v>251</v>
      </c>
      <c r="M426" s="120">
        <v>1286.9586913488438</v>
      </c>
      <c r="N426" s="120" t="s">
        <v>251</v>
      </c>
      <c r="O426" s="120">
        <v>6233977.3731122483</v>
      </c>
      <c r="P426" s="120">
        <v>3156939.0350974482</v>
      </c>
      <c r="Q426" s="120">
        <v>3077038.3380147996</v>
      </c>
      <c r="R426" s="120"/>
      <c r="S426" s="121"/>
    </row>
    <row r="427" spans="1:19" ht="15">
      <c r="A427" s="105">
        <v>3</v>
      </c>
      <c r="B427" s="129" t="str">
        <f t="shared" si="15"/>
        <v>502</v>
      </c>
      <c r="C427" s="107" t="s">
        <v>2237</v>
      </c>
      <c r="D427" s="107" t="s">
        <v>585</v>
      </c>
      <c r="E427" s="120">
        <v>23034843.999999888</v>
      </c>
      <c r="F427" s="120" t="s">
        <v>251</v>
      </c>
      <c r="G427" s="120">
        <v>21547619.63229917</v>
      </c>
      <c r="H427" s="120" t="s">
        <v>251</v>
      </c>
      <c r="I427" s="120">
        <v>1004343.0284968585</v>
      </c>
      <c r="J427" s="120">
        <v>482881.33920385921</v>
      </c>
      <c r="K427" s="120" t="s">
        <v>251</v>
      </c>
      <c r="L427" s="120" t="s">
        <v>251</v>
      </c>
      <c r="M427" s="120">
        <v>68.786455154790204</v>
      </c>
      <c r="N427" s="120" t="s">
        <v>251</v>
      </c>
      <c r="O427" s="120">
        <v>482812.55274870445</v>
      </c>
      <c r="P427" s="120">
        <v>244869.0334578109</v>
      </c>
      <c r="Q427" s="120">
        <v>237943.51929089357</v>
      </c>
      <c r="R427" s="120"/>
      <c r="S427" s="121"/>
    </row>
    <row r="428" spans="1:19" ht="15">
      <c r="A428" s="105">
        <v>4</v>
      </c>
      <c r="B428" s="129" t="str">
        <f t="shared" si="15"/>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5"/>
        <v>505</v>
      </c>
      <c r="C429" s="107" t="s">
        <v>588</v>
      </c>
      <c r="D429" s="107" t="s">
        <v>585</v>
      </c>
      <c r="E429" s="120">
        <v>8766250</v>
      </c>
      <c r="F429" s="120" t="s">
        <v>251</v>
      </c>
      <c r="G429" s="120">
        <v>8200264.8075951161</v>
      </c>
      <c r="H429" s="120" t="s">
        <v>251</v>
      </c>
      <c r="I429" s="120">
        <v>382217.5688952193</v>
      </c>
      <c r="J429" s="120">
        <v>183767.62350966441</v>
      </c>
      <c r="K429" s="120" t="s">
        <v>251</v>
      </c>
      <c r="L429" s="120" t="s">
        <v>251</v>
      </c>
      <c r="M429" s="120">
        <v>26.177701160063535</v>
      </c>
      <c r="N429" s="120" t="s">
        <v>251</v>
      </c>
      <c r="O429" s="120">
        <v>183741.44580850436</v>
      </c>
      <c r="P429" s="120">
        <v>93188.52624092203</v>
      </c>
      <c r="Q429" s="120">
        <v>90552.919567582314</v>
      </c>
      <c r="R429" s="120"/>
      <c r="S429" s="121"/>
    </row>
    <row r="430" spans="1:19" ht="15">
      <c r="A430" s="105">
        <v>6</v>
      </c>
      <c r="B430" s="129" t="str">
        <f t="shared" si="15"/>
        <v>506</v>
      </c>
      <c r="C430" s="107" t="s">
        <v>589</v>
      </c>
      <c r="D430" s="107" t="s">
        <v>585</v>
      </c>
      <c r="E430" s="120">
        <v>26177885</v>
      </c>
      <c r="F430" s="120" t="s">
        <v>251</v>
      </c>
      <c r="G430" s="120">
        <v>24487732.964810729</v>
      </c>
      <c r="H430" s="120" t="s">
        <v>251</v>
      </c>
      <c r="I430" s="120">
        <v>1141382.8676479256</v>
      </c>
      <c r="J430" s="120">
        <v>548769.16754134221</v>
      </c>
      <c r="K430" s="120" t="s">
        <v>251</v>
      </c>
      <c r="L430" s="120" t="s">
        <v>251</v>
      </c>
      <c r="M430" s="120">
        <v>78.172177445602145</v>
      </c>
      <c r="N430" s="120" t="s">
        <v>251</v>
      </c>
      <c r="O430" s="120">
        <v>548690.9953638966</v>
      </c>
      <c r="P430" s="120">
        <v>278280.73842912749</v>
      </c>
      <c r="Q430" s="120">
        <v>270410.2569347691</v>
      </c>
      <c r="R430" s="120"/>
      <c r="S430" s="121"/>
    </row>
    <row r="431" spans="1:19" ht="15">
      <c r="A431" s="105">
        <v>7</v>
      </c>
      <c r="B431" s="129" t="str">
        <f t="shared" si="15"/>
        <v>507</v>
      </c>
      <c r="C431" s="107" t="s">
        <v>2239</v>
      </c>
      <c r="D431" s="107" t="s">
        <v>585</v>
      </c>
      <c r="E431" s="120">
        <v>0</v>
      </c>
      <c r="F431" s="120" t="s">
        <v>251</v>
      </c>
      <c r="G431" s="120">
        <v>0</v>
      </c>
      <c r="H431" s="120" t="s">
        <v>251</v>
      </c>
      <c r="I431" s="120">
        <v>0</v>
      </c>
      <c r="J431" s="120">
        <v>0</v>
      </c>
      <c r="K431" s="120" t="s">
        <v>251</v>
      </c>
      <c r="L431" s="120" t="s">
        <v>251</v>
      </c>
      <c r="M431" s="120">
        <v>0</v>
      </c>
      <c r="N431" s="120" t="s">
        <v>251</v>
      </c>
      <c r="O431" s="120">
        <v>0</v>
      </c>
      <c r="P431" s="120">
        <v>0</v>
      </c>
      <c r="Q431" s="120">
        <v>0</v>
      </c>
      <c r="R431" s="120"/>
      <c r="S431" s="121"/>
    </row>
    <row r="432" spans="1:19" ht="15">
      <c r="A432" s="105">
        <v>8</v>
      </c>
      <c r="B432" s="129" t="str">
        <f t="shared" si="15"/>
        <v>509</v>
      </c>
      <c r="C432" s="107" t="s">
        <v>2240</v>
      </c>
      <c r="D432" s="107" t="s">
        <v>585</v>
      </c>
      <c r="E432" s="120">
        <v>5000</v>
      </c>
      <c r="F432" s="120" t="s">
        <v>251</v>
      </c>
      <c r="G432" s="120">
        <v>4677.179413999781</v>
      </c>
      <c r="H432" s="120" t="s">
        <v>251</v>
      </c>
      <c r="I432" s="120">
        <v>218.00517261954616</v>
      </c>
      <c r="J432" s="120">
        <v>104.81541338067268</v>
      </c>
      <c r="K432" s="120" t="s">
        <v>251</v>
      </c>
      <c r="L432" s="120" t="s">
        <v>251</v>
      </c>
      <c r="M432" s="120">
        <v>1.4930957456189097E-2</v>
      </c>
      <c r="N432" s="120" t="s">
        <v>251</v>
      </c>
      <c r="O432" s="120">
        <v>104.80048242321649</v>
      </c>
      <c r="P432" s="120">
        <v>53.151875796904051</v>
      </c>
      <c r="Q432" s="120">
        <v>51.64860662631245</v>
      </c>
      <c r="R432" s="120"/>
      <c r="S432" s="121"/>
    </row>
    <row r="433" spans="1:19" ht="15">
      <c r="A433" s="105">
        <v>9</v>
      </c>
      <c r="B433" s="129" t="str">
        <f t="shared" si="15"/>
        <v xml:space="preserve">  T</v>
      </c>
      <c r="C433" s="107" t="s">
        <v>590</v>
      </c>
      <c r="D433" s="107" t="s">
        <v>251</v>
      </c>
      <c r="E433" s="120">
        <v>369750075.2358734</v>
      </c>
      <c r="F433" s="120" t="s">
        <v>251</v>
      </c>
      <c r="G433" s="120">
        <v>347591242.29713774</v>
      </c>
      <c r="H433" s="120" t="s">
        <v>251</v>
      </c>
      <c r="I433" s="120">
        <v>14512200.409227319</v>
      </c>
      <c r="J433" s="120">
        <v>7646632.52950837</v>
      </c>
      <c r="K433" s="120" t="s">
        <v>251</v>
      </c>
      <c r="L433" s="120" t="s">
        <v>251</v>
      </c>
      <c r="M433" s="120">
        <v>1488.0081156201984</v>
      </c>
      <c r="N433" s="120" t="s">
        <v>251</v>
      </c>
      <c r="O433" s="120">
        <v>7645144.5213927496</v>
      </c>
      <c r="P433" s="120">
        <v>3872643.5744256023</v>
      </c>
      <c r="Q433" s="120">
        <v>3772500.9469671468</v>
      </c>
      <c r="R433" s="120"/>
      <c r="S433" s="121"/>
    </row>
    <row r="434" spans="1:19" ht="15">
      <c r="A434" s="105">
        <v>10</v>
      </c>
      <c r="B434" s="129" t="str">
        <f t="shared" si="15"/>
        <v>510</v>
      </c>
      <c r="C434" s="107" t="s">
        <v>591</v>
      </c>
      <c r="D434" s="107" t="s">
        <v>585</v>
      </c>
      <c r="E434" s="120">
        <v>10248227</v>
      </c>
      <c r="F434" s="120" t="s">
        <v>251</v>
      </c>
      <c r="G434" s="120">
        <v>9552200.4769985341</v>
      </c>
      <c r="H434" s="120" t="s">
        <v>251</v>
      </c>
      <c r="I434" s="120">
        <v>469983.23937376693</v>
      </c>
      <c r="J434" s="120">
        <v>226043.28362769884</v>
      </c>
      <c r="K434" s="120" t="s">
        <v>251</v>
      </c>
      <c r="L434" s="120" t="s">
        <v>251</v>
      </c>
      <c r="M434" s="120">
        <v>27.698684775269946</v>
      </c>
      <c r="N434" s="120" t="s">
        <v>251</v>
      </c>
      <c r="O434" s="120">
        <v>226015.58494292357</v>
      </c>
      <c r="P434" s="120">
        <v>114628.78816280726</v>
      </c>
      <c r="Q434" s="120">
        <v>111386.79678011632</v>
      </c>
      <c r="R434" s="120"/>
      <c r="S434" s="121"/>
    </row>
    <row r="435" spans="1:19" ht="15">
      <c r="A435" s="105">
        <v>11</v>
      </c>
      <c r="B435" s="129" t="str">
        <f t="shared" si="15"/>
        <v>511</v>
      </c>
      <c r="C435" s="107" t="s">
        <v>592</v>
      </c>
      <c r="D435" s="107" t="s">
        <v>585</v>
      </c>
      <c r="E435" s="120">
        <v>7254445</v>
      </c>
      <c r="F435" s="120" t="s">
        <v>251</v>
      </c>
      <c r="G435" s="120">
        <v>6796834.9695966337</v>
      </c>
      <c r="H435" s="120" t="s">
        <v>251</v>
      </c>
      <c r="I435" s="120">
        <v>309030.33448571304</v>
      </c>
      <c r="J435" s="120">
        <v>148579.69591765275</v>
      </c>
      <c r="K435" s="120" t="s">
        <v>251</v>
      </c>
      <c r="L435" s="120" t="s">
        <v>251</v>
      </c>
      <c r="M435" s="120">
        <v>21.16518026354559</v>
      </c>
      <c r="N435" s="120" t="s">
        <v>251</v>
      </c>
      <c r="O435" s="120">
        <v>148558.5307373892</v>
      </c>
      <c r="P435" s="120">
        <v>75344.734983538801</v>
      </c>
      <c r="Q435" s="120">
        <v>73213.795753850398</v>
      </c>
      <c r="R435" s="120"/>
      <c r="S435" s="121"/>
    </row>
    <row r="436" spans="1:19" ht="15">
      <c r="A436" s="105">
        <v>12</v>
      </c>
      <c r="B436" s="129" t="str">
        <f t="shared" si="15"/>
        <v>512</v>
      </c>
      <c r="C436" s="107" t="s">
        <v>593</v>
      </c>
      <c r="D436" s="107" t="s">
        <v>495</v>
      </c>
      <c r="E436" s="120">
        <v>50079708.999999993</v>
      </c>
      <c r="F436" s="120" t="s">
        <v>251</v>
      </c>
      <c r="G436" s="120">
        <v>46616865.654066198</v>
      </c>
      <c r="H436" s="120" t="s">
        <v>251</v>
      </c>
      <c r="I436" s="120">
        <v>2253545.4302766044</v>
      </c>
      <c r="J436" s="120">
        <v>1209297.9156571913</v>
      </c>
      <c r="K436" s="120" t="s">
        <v>251</v>
      </c>
      <c r="L436" s="120" t="s">
        <v>251</v>
      </c>
      <c r="M436" s="120">
        <v>146.80724969491325</v>
      </c>
      <c r="N436" s="120" t="s">
        <v>251</v>
      </c>
      <c r="O436" s="120">
        <v>1209151.1084074965</v>
      </c>
      <c r="P436" s="120">
        <v>612323.38084564626</v>
      </c>
      <c r="Q436" s="120">
        <v>596827.72756185022</v>
      </c>
      <c r="R436" s="120"/>
      <c r="S436" s="121"/>
    </row>
    <row r="437" spans="1:19" ht="15">
      <c r="A437" s="105">
        <v>13</v>
      </c>
      <c r="B437" s="129" t="str">
        <f t="shared" si="15"/>
        <v>513</v>
      </c>
      <c r="C437" s="107" t="s">
        <v>594</v>
      </c>
      <c r="D437" s="107" t="s">
        <v>495</v>
      </c>
      <c r="E437" s="120">
        <v>10224294.000000002</v>
      </c>
      <c r="F437" s="120" t="s">
        <v>251</v>
      </c>
      <c r="G437" s="120">
        <v>9170674.2072980218</v>
      </c>
      <c r="H437" s="120" t="s">
        <v>251</v>
      </c>
      <c r="I437" s="120">
        <v>685691.47975179495</v>
      </c>
      <c r="J437" s="120">
        <v>367928.31295018457</v>
      </c>
      <c r="K437" s="120" t="s">
        <v>251</v>
      </c>
      <c r="L437" s="120" t="s">
        <v>251</v>
      </c>
      <c r="M437" s="120">
        <v>17.108841158265435</v>
      </c>
      <c r="N437" s="120" t="s">
        <v>251</v>
      </c>
      <c r="O437" s="120">
        <v>367911.20410902629</v>
      </c>
      <c r="P437" s="120">
        <v>186313.05118492246</v>
      </c>
      <c r="Q437" s="120">
        <v>181598.15292410384</v>
      </c>
      <c r="R437" s="120"/>
      <c r="S437" s="121"/>
    </row>
    <row r="438" spans="1:19" ht="15">
      <c r="A438" s="105">
        <v>14</v>
      </c>
      <c r="B438" s="129" t="str">
        <f t="shared" si="15"/>
        <v>514</v>
      </c>
      <c r="C438" s="107" t="s">
        <v>595</v>
      </c>
      <c r="D438" s="107" t="s">
        <v>585</v>
      </c>
      <c r="E438" s="120">
        <v>2670339.9999999898</v>
      </c>
      <c r="F438" s="120" t="s">
        <v>251</v>
      </c>
      <c r="G438" s="120">
        <v>2538466.9035179908</v>
      </c>
      <c r="H438" s="120" t="s">
        <v>251</v>
      </c>
      <c r="I438" s="120">
        <v>89055.712086504936</v>
      </c>
      <c r="J438" s="120">
        <v>42817.384395494235</v>
      </c>
      <c r="K438" s="120" t="s">
        <v>251</v>
      </c>
      <c r="L438" s="120" t="s">
        <v>251</v>
      </c>
      <c r="M438" s="120">
        <v>6.0993371506590197</v>
      </c>
      <c r="N438" s="120" t="s">
        <v>251</v>
      </c>
      <c r="O438" s="120">
        <v>42811.285058343579</v>
      </c>
      <c r="P438" s="120">
        <v>21712.687322733542</v>
      </c>
      <c r="Q438" s="120">
        <v>21098.597735610041</v>
      </c>
      <c r="R438" s="120"/>
      <c r="S438" s="121"/>
    </row>
    <row r="439" spans="1:19" ht="15">
      <c r="A439" s="105">
        <v>15</v>
      </c>
      <c r="B439" s="129" t="str">
        <f t="shared" si="15"/>
        <v xml:space="preserve">  T</v>
      </c>
      <c r="C439" s="107" t="s">
        <v>596</v>
      </c>
      <c r="D439" s="107" t="s">
        <v>251</v>
      </c>
      <c r="E439" s="120">
        <v>80477014.999999985</v>
      </c>
      <c r="F439" s="120" t="s">
        <v>251</v>
      </c>
      <c r="G439" s="120">
        <v>74675042.211477384</v>
      </c>
      <c r="H439" s="120" t="s">
        <v>251</v>
      </c>
      <c r="I439" s="120">
        <v>3807306.1959743844</v>
      </c>
      <c r="J439" s="120">
        <v>1994666.5925482218</v>
      </c>
      <c r="K439" s="120" t="s">
        <v>251</v>
      </c>
      <c r="L439" s="120" t="s">
        <v>251</v>
      </c>
      <c r="M439" s="120">
        <v>218.87929304265325</v>
      </c>
      <c r="N439" s="120" t="s">
        <v>251</v>
      </c>
      <c r="O439" s="120">
        <v>1994447.7132551791</v>
      </c>
      <c r="P439" s="120">
        <v>1010322.6424996484</v>
      </c>
      <c r="Q439" s="120">
        <v>984125.07075553085</v>
      </c>
      <c r="R439" s="120"/>
      <c r="S439" s="121"/>
    </row>
    <row r="440" spans="1:19" ht="15">
      <c r="A440" s="105" t="s">
        <v>251</v>
      </c>
      <c r="B440" s="129" t="str">
        <f t="shared" si="15"/>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5"/>
        <v>TAL</v>
      </c>
      <c r="C441" s="107" t="s">
        <v>597</v>
      </c>
      <c r="D441" s="107" t="s">
        <v>251</v>
      </c>
      <c r="E441" s="120">
        <v>450227090.23587346</v>
      </c>
      <c r="F441" s="120" t="s">
        <v>251</v>
      </c>
      <c r="G441" s="120">
        <v>422266284.50861514</v>
      </c>
      <c r="H441" s="120" t="s">
        <v>251</v>
      </c>
      <c r="I441" s="120">
        <v>18319506.605201703</v>
      </c>
      <c r="J441" s="120">
        <v>9641299.1220565904</v>
      </c>
      <c r="K441" s="120" t="s">
        <v>251</v>
      </c>
      <c r="L441" s="120" t="s">
        <v>251</v>
      </c>
      <c r="M441" s="120">
        <v>1706.8874086628516</v>
      </c>
      <c r="N441" s="120" t="s">
        <v>251</v>
      </c>
      <c r="O441" s="120">
        <v>9639592.2346479278</v>
      </c>
      <c r="P441" s="120">
        <v>4882966.2169252504</v>
      </c>
      <c r="Q441" s="120">
        <v>4756626.0177226774</v>
      </c>
      <c r="R441" s="120"/>
      <c r="S441" s="121"/>
    </row>
    <row r="442" spans="1:19" ht="15">
      <c r="A442" s="105" t="s">
        <v>251</v>
      </c>
      <c r="B442" s="129" t="str">
        <f t="shared" si="15"/>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5"/>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5"/>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5"/>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5"/>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5"/>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5"/>
        <v>539</v>
      </c>
      <c r="C448" s="107" t="s">
        <v>2241</v>
      </c>
      <c r="D448" s="107" t="s">
        <v>600</v>
      </c>
      <c r="E448" s="120">
        <v>10111.9999999999</v>
      </c>
      <c r="F448" s="120" t="s">
        <v>251</v>
      </c>
      <c r="G448" s="120">
        <v>9475.2224869987585</v>
      </c>
      <c r="H448" s="120" t="s">
        <v>251</v>
      </c>
      <c r="I448" s="120">
        <v>433.07324243980361</v>
      </c>
      <c r="J448" s="120">
        <v>203.70427056133772</v>
      </c>
      <c r="K448" s="120" t="s">
        <v>251</v>
      </c>
      <c r="L448" s="120" t="s">
        <v>251</v>
      </c>
      <c r="M448" s="120">
        <v>3.0353130144461241E-2</v>
      </c>
      <c r="N448" s="120" t="s">
        <v>251</v>
      </c>
      <c r="O448" s="120">
        <v>203.67391743119327</v>
      </c>
      <c r="P448" s="120">
        <v>103.29771878963662</v>
      </c>
      <c r="Q448" s="120">
        <v>100.37619864155664</v>
      </c>
      <c r="R448" s="120"/>
      <c r="S448" s="121"/>
    </row>
    <row r="449" spans="1:19" ht="15">
      <c r="A449" s="105">
        <v>22</v>
      </c>
      <c r="B449" s="129" t="str">
        <f t="shared" ref="B449:B512" si="16">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6"/>
        <v xml:space="preserve">  T</v>
      </c>
      <c r="C450" s="107" t="s">
        <v>605</v>
      </c>
      <c r="D450" s="107" t="s">
        <v>251</v>
      </c>
      <c r="E450" s="120">
        <v>10111.9999999999</v>
      </c>
      <c r="F450" s="120" t="s">
        <v>251</v>
      </c>
      <c r="G450" s="120">
        <v>9475.2224869987585</v>
      </c>
      <c r="H450" s="120" t="s">
        <v>251</v>
      </c>
      <c r="I450" s="120">
        <v>433.07324243980361</v>
      </c>
      <c r="J450" s="120">
        <v>203.70427056133772</v>
      </c>
      <c r="K450" s="120" t="s">
        <v>251</v>
      </c>
      <c r="L450" s="120" t="s">
        <v>251</v>
      </c>
      <c r="M450" s="120">
        <v>3.0353130144461241E-2</v>
      </c>
      <c r="N450" s="120" t="s">
        <v>251</v>
      </c>
      <c r="O450" s="120">
        <v>203.67391743119327</v>
      </c>
      <c r="P450" s="120">
        <v>103.29771878963662</v>
      </c>
      <c r="Q450" s="120">
        <v>100.37619864155664</v>
      </c>
      <c r="R450" s="120"/>
      <c r="S450" s="121"/>
    </row>
    <row r="451" spans="1:19" ht="15">
      <c r="A451" s="105">
        <v>24</v>
      </c>
      <c r="B451" s="129" t="str">
        <f t="shared" si="16"/>
        <v>541</v>
      </c>
      <c r="C451" s="107" t="s">
        <v>606</v>
      </c>
      <c r="D451" s="107" t="s">
        <v>600</v>
      </c>
      <c r="E451" s="120">
        <v>226739.99999999898</v>
      </c>
      <c r="F451" s="120" t="s">
        <v>251</v>
      </c>
      <c r="G451" s="120">
        <v>212461.62447607893</v>
      </c>
      <c r="H451" s="120" t="s">
        <v>251</v>
      </c>
      <c r="I451" s="120">
        <v>9710.7423843751585</v>
      </c>
      <c r="J451" s="120">
        <v>4567.6331395448942</v>
      </c>
      <c r="K451" s="120" t="s">
        <v>251</v>
      </c>
      <c r="L451" s="120" t="s">
        <v>251</v>
      </c>
      <c r="M451" s="120">
        <v>0.68060410689825745</v>
      </c>
      <c r="N451" s="120" t="s">
        <v>251</v>
      </c>
      <c r="O451" s="120">
        <v>4566.9525354379957</v>
      </c>
      <c r="P451" s="120">
        <v>2316.2306920848828</v>
      </c>
      <c r="Q451" s="120">
        <v>2250.7218433531129</v>
      </c>
      <c r="R451" s="120"/>
      <c r="S451" s="121"/>
    </row>
    <row r="452" spans="1:19" ht="15">
      <c r="A452" s="105">
        <v>25</v>
      </c>
      <c r="B452" s="129" t="str">
        <f t="shared" si="16"/>
        <v>542</v>
      </c>
      <c r="C452" s="107" t="s">
        <v>607</v>
      </c>
      <c r="D452" s="107" t="s">
        <v>600</v>
      </c>
      <c r="E452" s="120">
        <v>225182.99999999898</v>
      </c>
      <c r="F452" s="120" t="s">
        <v>251</v>
      </c>
      <c r="G452" s="120">
        <v>211002.67259591111</v>
      </c>
      <c r="H452" s="120" t="s">
        <v>251</v>
      </c>
      <c r="I452" s="120">
        <v>9644.0597262977481</v>
      </c>
      <c r="J452" s="120">
        <v>4536.2676777901461</v>
      </c>
      <c r="K452" s="120" t="s">
        <v>251</v>
      </c>
      <c r="L452" s="120" t="s">
        <v>251</v>
      </c>
      <c r="M452" s="120">
        <v>0.67593046927613265</v>
      </c>
      <c r="N452" s="120" t="s">
        <v>251</v>
      </c>
      <c r="O452" s="120">
        <v>4535.5917473208701</v>
      </c>
      <c r="P452" s="120">
        <v>2300.3253768005211</v>
      </c>
      <c r="Q452" s="120">
        <v>2235.2663705203495</v>
      </c>
      <c r="R452" s="120"/>
      <c r="S452" s="121"/>
    </row>
    <row r="453" spans="1:19" ht="15">
      <c r="A453" s="105">
        <v>26</v>
      </c>
      <c r="B453" s="129" t="str">
        <f t="shared" si="16"/>
        <v>543</v>
      </c>
      <c r="C453" s="107" t="s">
        <v>608</v>
      </c>
      <c r="D453" s="107" t="s">
        <v>600</v>
      </c>
      <c r="E453" s="120">
        <v>33916</v>
      </c>
      <c r="F453" s="120" t="s">
        <v>251</v>
      </c>
      <c r="G453" s="120">
        <v>31780.226055088315</v>
      </c>
      <c r="H453" s="120" t="s">
        <v>251</v>
      </c>
      <c r="I453" s="120">
        <v>1452.5427304775044</v>
      </c>
      <c r="J453" s="120">
        <v>683.2312144341771</v>
      </c>
      <c r="K453" s="120" t="s">
        <v>251</v>
      </c>
      <c r="L453" s="120" t="s">
        <v>251</v>
      </c>
      <c r="M453" s="120">
        <v>0.1018054551008265</v>
      </c>
      <c r="N453" s="120" t="s">
        <v>251</v>
      </c>
      <c r="O453" s="120">
        <v>683.12940897907629</v>
      </c>
      <c r="P453" s="120">
        <v>346.46414462711141</v>
      </c>
      <c r="Q453" s="120">
        <v>336.66526435196488</v>
      </c>
      <c r="R453" s="120"/>
      <c r="S453" s="121"/>
    </row>
    <row r="454" spans="1:19" ht="15">
      <c r="A454" s="105">
        <v>27</v>
      </c>
      <c r="B454" s="129" t="str">
        <f t="shared" si="16"/>
        <v>544</v>
      </c>
      <c r="C454" s="107" t="s">
        <v>609</v>
      </c>
      <c r="D454" s="107" t="s">
        <v>495</v>
      </c>
      <c r="E454" s="120">
        <v>44124.000000000007</v>
      </c>
      <c r="F454" s="120" t="s">
        <v>251</v>
      </c>
      <c r="G454" s="120">
        <v>41521.088156924736</v>
      </c>
      <c r="H454" s="120" t="s">
        <v>251</v>
      </c>
      <c r="I454" s="120">
        <v>1693.8710213823108</v>
      </c>
      <c r="J454" s="120">
        <v>909.04082169295805</v>
      </c>
      <c r="K454" s="120" t="s">
        <v>251</v>
      </c>
      <c r="L454" s="120" t="s">
        <v>251</v>
      </c>
      <c r="M454" s="120">
        <v>0.18582570010350019</v>
      </c>
      <c r="N454" s="120" t="s">
        <v>251</v>
      </c>
      <c r="O454" s="120">
        <v>908.85499599285458</v>
      </c>
      <c r="P454" s="120">
        <v>460.25112988380135</v>
      </c>
      <c r="Q454" s="120">
        <v>448.60386610905329</v>
      </c>
      <c r="R454" s="120"/>
      <c r="S454" s="121"/>
    </row>
    <row r="455" spans="1:19" ht="15">
      <c r="A455" s="105">
        <v>28</v>
      </c>
      <c r="B455" s="129" t="str">
        <f t="shared" si="16"/>
        <v>545</v>
      </c>
      <c r="C455" s="107" t="s">
        <v>610</v>
      </c>
      <c r="D455" s="107" t="s">
        <v>600</v>
      </c>
      <c r="E455" s="120">
        <v>11143.9999999999</v>
      </c>
      <c r="F455" s="120" t="s">
        <v>251</v>
      </c>
      <c r="G455" s="120">
        <v>10442.234908535824</v>
      </c>
      <c r="H455" s="120" t="s">
        <v>251</v>
      </c>
      <c r="I455" s="120">
        <v>477.27138189766373</v>
      </c>
      <c r="J455" s="120">
        <v>224.49370956641118</v>
      </c>
      <c r="K455" s="120" t="s">
        <v>251</v>
      </c>
      <c r="L455" s="120" t="s">
        <v>251</v>
      </c>
      <c r="M455" s="120">
        <v>3.3450878394964044E-2</v>
      </c>
      <c r="N455" s="120" t="s">
        <v>251</v>
      </c>
      <c r="O455" s="120">
        <v>224.46025868801621</v>
      </c>
      <c r="P455" s="120">
        <v>113.83997015345248</v>
      </c>
      <c r="Q455" s="120">
        <v>110.62028853456371</v>
      </c>
      <c r="R455" s="120"/>
      <c r="S455" s="121"/>
    </row>
    <row r="456" spans="1:19" ht="15">
      <c r="A456" s="105">
        <v>29</v>
      </c>
      <c r="B456" s="129" t="str">
        <f t="shared" si="16"/>
        <v xml:space="preserve">  T</v>
      </c>
      <c r="C456" s="107" t="s">
        <v>611</v>
      </c>
      <c r="D456" s="107" t="s">
        <v>251</v>
      </c>
      <c r="E456" s="120">
        <v>541106.9999999979</v>
      </c>
      <c r="F456" s="120" t="s">
        <v>251</v>
      </c>
      <c r="G456" s="120">
        <v>507207.84619253897</v>
      </c>
      <c r="H456" s="120" t="s">
        <v>251</v>
      </c>
      <c r="I456" s="120">
        <v>22978.487244430384</v>
      </c>
      <c r="J456" s="120">
        <v>10920.666563028588</v>
      </c>
      <c r="K456" s="120" t="s">
        <v>251</v>
      </c>
      <c r="L456" s="120" t="s">
        <v>251</v>
      </c>
      <c r="M456" s="120">
        <v>1.6776166097736809</v>
      </c>
      <c r="N456" s="120" t="s">
        <v>251</v>
      </c>
      <c r="O456" s="120">
        <v>10918.988946418815</v>
      </c>
      <c r="P456" s="120">
        <v>5537.1113135497699</v>
      </c>
      <c r="Q456" s="120">
        <v>5381.8776328690446</v>
      </c>
      <c r="R456" s="120"/>
      <c r="S456" s="121"/>
    </row>
    <row r="457" spans="1:19" ht="15">
      <c r="A457" s="105" t="s">
        <v>251</v>
      </c>
      <c r="B457" s="129" t="str">
        <f t="shared" si="16"/>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6"/>
        <v>TAL</v>
      </c>
      <c r="C458" s="107" t="s">
        <v>612</v>
      </c>
      <c r="D458" s="107" t="s">
        <v>251</v>
      </c>
      <c r="E458" s="120">
        <v>551218.9999999979</v>
      </c>
      <c r="F458" s="120" t="s">
        <v>251</v>
      </c>
      <c r="G458" s="120">
        <v>516683.06867953774</v>
      </c>
      <c r="H458" s="120" t="s">
        <v>251</v>
      </c>
      <c r="I458" s="120">
        <v>23411.560486870188</v>
      </c>
      <c r="J458" s="120">
        <v>11124.370833589926</v>
      </c>
      <c r="K458" s="120" t="s">
        <v>251</v>
      </c>
      <c r="L458" s="120" t="s">
        <v>251</v>
      </c>
      <c r="M458" s="120">
        <v>1.7079697399181422</v>
      </c>
      <c r="N458" s="120" t="s">
        <v>251</v>
      </c>
      <c r="O458" s="120">
        <v>11122.662863850008</v>
      </c>
      <c r="P458" s="120">
        <v>5640.4090323394066</v>
      </c>
      <c r="Q458" s="120">
        <v>5482.2538315106012</v>
      </c>
      <c r="R458" s="120"/>
      <c r="S458" s="121"/>
    </row>
    <row r="459" spans="1:19" ht="15">
      <c r="A459" s="105" t="s">
        <v>251</v>
      </c>
      <c r="B459" s="129" t="str">
        <f t="shared" si="16"/>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6"/>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6"/>
        <v>546</v>
      </c>
      <c r="C461" s="107" t="s">
        <v>614</v>
      </c>
      <c r="D461" s="107" t="s">
        <v>615</v>
      </c>
      <c r="E461" s="120">
        <v>1306825.0000000002</v>
      </c>
      <c r="F461" s="120" t="s">
        <v>251</v>
      </c>
      <c r="G461" s="120">
        <v>1224072.1054768402</v>
      </c>
      <c r="H461" s="120" t="s">
        <v>251</v>
      </c>
      <c r="I461" s="120">
        <v>55835.339266962292</v>
      </c>
      <c r="J461" s="120">
        <v>26917.555256197655</v>
      </c>
      <c r="K461" s="120" t="s">
        <v>251</v>
      </c>
      <c r="L461" s="120" t="s">
        <v>251</v>
      </c>
      <c r="M461" s="120">
        <v>3.9138757988209094</v>
      </c>
      <c r="N461" s="120" t="s">
        <v>251</v>
      </c>
      <c r="O461" s="120">
        <v>26913.641380398833</v>
      </c>
      <c r="P461" s="120">
        <v>13649.846745137447</v>
      </c>
      <c r="Q461" s="120">
        <v>13263.794635261387</v>
      </c>
      <c r="R461" s="120"/>
      <c r="S461" s="121"/>
    </row>
    <row r="462" spans="1:19" ht="15">
      <c r="A462" s="105">
        <v>32</v>
      </c>
      <c r="B462" s="129" t="str">
        <f t="shared" si="16"/>
        <v>547</v>
      </c>
      <c r="C462" s="107" t="s">
        <v>616</v>
      </c>
      <c r="D462" s="107" t="s">
        <v>495</v>
      </c>
      <c r="E462" s="120">
        <v>125544025.15006199</v>
      </c>
      <c r="F462" s="120" t="s">
        <v>251</v>
      </c>
      <c r="G462" s="120">
        <v>118138077.59565996</v>
      </c>
      <c r="H462" s="120" t="s">
        <v>251</v>
      </c>
      <c r="I462" s="120">
        <v>4819494.7445694413</v>
      </c>
      <c r="J462" s="120">
        <v>2586452.8098326023</v>
      </c>
      <c r="K462" s="120" t="s">
        <v>251</v>
      </c>
      <c r="L462" s="120" t="s">
        <v>251</v>
      </c>
      <c r="M462" s="120">
        <v>528.72147510021091</v>
      </c>
      <c r="N462" s="120" t="s">
        <v>251</v>
      </c>
      <c r="O462" s="120">
        <v>2585924.0883575021</v>
      </c>
      <c r="P462" s="120">
        <v>1309531.7610705376</v>
      </c>
      <c r="Q462" s="120">
        <v>1276392.3272869645</v>
      </c>
      <c r="R462" s="120"/>
      <c r="S462" s="121"/>
    </row>
    <row r="463" spans="1:19" ht="15">
      <c r="A463" s="105">
        <v>33</v>
      </c>
      <c r="B463" s="129" t="str">
        <f t="shared" si="16"/>
        <v>548</v>
      </c>
      <c r="C463" s="107" t="s">
        <v>617</v>
      </c>
      <c r="D463" s="107" t="s">
        <v>615</v>
      </c>
      <c r="E463" s="120">
        <v>631118</v>
      </c>
      <c r="F463" s="120" t="s">
        <v>251</v>
      </c>
      <c r="G463" s="120">
        <v>591153.32126668247</v>
      </c>
      <c r="H463" s="120" t="s">
        <v>251</v>
      </c>
      <c r="I463" s="120">
        <v>26965.115947037062</v>
      </c>
      <c r="J463" s="120">
        <v>12999.562786280452</v>
      </c>
      <c r="K463" s="120" t="s">
        <v>251</v>
      </c>
      <c r="L463" s="120" t="s">
        <v>251</v>
      </c>
      <c r="M463" s="120">
        <v>1.8901669821133318</v>
      </c>
      <c r="N463" s="120" t="s">
        <v>251</v>
      </c>
      <c r="O463" s="120">
        <v>12997.672619298339</v>
      </c>
      <c r="P463" s="120">
        <v>6592.05630294619</v>
      </c>
      <c r="Q463" s="120">
        <v>6405.6163163521487</v>
      </c>
      <c r="R463" s="120"/>
      <c r="S463" s="121"/>
    </row>
    <row r="464" spans="1:19" ht="15">
      <c r="A464" s="105">
        <v>34</v>
      </c>
      <c r="B464" s="129" t="str">
        <f t="shared" si="16"/>
        <v>549</v>
      </c>
      <c r="C464" s="107" t="s">
        <v>2242</v>
      </c>
      <c r="D464" s="107" t="s">
        <v>615</v>
      </c>
      <c r="E464" s="120">
        <v>4610326</v>
      </c>
      <c r="F464" s="120" t="s">
        <v>251</v>
      </c>
      <c r="G464" s="120">
        <v>4321197.9156749835</v>
      </c>
      <c r="H464" s="120" t="s">
        <v>251</v>
      </c>
      <c r="I464" s="120">
        <v>195081.57113919576</v>
      </c>
      <c r="J464" s="120">
        <v>94046.51318582095</v>
      </c>
      <c r="K464" s="120" t="s">
        <v>251</v>
      </c>
      <c r="L464" s="120" t="s">
        <v>251</v>
      </c>
      <c r="M464" s="120">
        <v>13.67458405557562</v>
      </c>
      <c r="N464" s="120" t="s">
        <v>251</v>
      </c>
      <c r="O464" s="120">
        <v>94032.838601765368</v>
      </c>
      <c r="P464" s="120">
        <v>47690.827776992592</v>
      </c>
      <c r="Q464" s="120">
        <v>46342.010824772784</v>
      </c>
      <c r="R464" s="120"/>
      <c r="S464" s="121"/>
    </row>
    <row r="465" spans="1:19" ht="15">
      <c r="A465" s="105">
        <v>35</v>
      </c>
      <c r="B465" s="129" t="str">
        <f t="shared" si="16"/>
        <v>550</v>
      </c>
      <c r="C465" s="107" t="s">
        <v>2243</v>
      </c>
      <c r="D465" s="107" t="s">
        <v>615</v>
      </c>
      <c r="E465" s="120">
        <v>10000.000000000002</v>
      </c>
      <c r="F465" s="120" t="s">
        <v>251</v>
      </c>
      <c r="G465" s="120">
        <v>9366.7637631422731</v>
      </c>
      <c r="H465" s="120" t="s">
        <v>251</v>
      </c>
      <c r="I465" s="120">
        <v>427.25949738459468</v>
      </c>
      <c r="J465" s="120">
        <v>205.97673947313265</v>
      </c>
      <c r="K465" s="120" t="s">
        <v>251</v>
      </c>
      <c r="L465" s="120" t="s">
        <v>251</v>
      </c>
      <c r="M465" s="120">
        <v>2.9949502028358117E-2</v>
      </c>
      <c r="N465" s="120" t="s">
        <v>251</v>
      </c>
      <c r="O465" s="120">
        <v>205.94678997110429</v>
      </c>
      <c r="P465" s="120">
        <v>104.45045622128018</v>
      </c>
      <c r="Q465" s="120">
        <v>101.4963337498241</v>
      </c>
      <c r="R465" s="120"/>
      <c r="S465" s="121"/>
    </row>
    <row r="466" spans="1:19" ht="15">
      <c r="A466" s="105">
        <v>36</v>
      </c>
      <c r="B466" s="129" t="str">
        <f t="shared" si="16"/>
        <v xml:space="preserve">  T</v>
      </c>
      <c r="C466" s="107" t="s">
        <v>618</v>
      </c>
      <c r="D466" s="107" t="s">
        <v>251</v>
      </c>
      <c r="E466" s="120">
        <v>132102294.15006201</v>
      </c>
      <c r="F466" s="120" t="s">
        <v>251</v>
      </c>
      <c r="G466" s="120">
        <v>124283867.70184161</v>
      </c>
      <c r="H466" s="120" t="s">
        <v>251</v>
      </c>
      <c r="I466" s="120">
        <v>5097804.0304200212</v>
      </c>
      <c r="J466" s="120">
        <v>2720622.4178003748</v>
      </c>
      <c r="K466" s="120" t="s">
        <v>251</v>
      </c>
      <c r="L466" s="120" t="s">
        <v>251</v>
      </c>
      <c r="M466" s="120">
        <v>548.230051438749</v>
      </c>
      <c r="N466" s="120" t="s">
        <v>251</v>
      </c>
      <c r="O466" s="120">
        <v>2720074.187748936</v>
      </c>
      <c r="P466" s="120">
        <v>1377568.9423518353</v>
      </c>
      <c r="Q466" s="120">
        <v>1342505.2453971005</v>
      </c>
      <c r="R466" s="120"/>
      <c r="S466" s="121"/>
    </row>
    <row r="467" spans="1:19" ht="15">
      <c r="A467" s="105">
        <v>37</v>
      </c>
      <c r="B467" s="129" t="str">
        <f t="shared" si="16"/>
        <v>551</v>
      </c>
      <c r="C467" s="107" t="s">
        <v>619</v>
      </c>
      <c r="D467" s="107" t="s">
        <v>615</v>
      </c>
      <c r="E467" s="120">
        <v>451273</v>
      </c>
      <c r="F467" s="120" t="s">
        <v>251</v>
      </c>
      <c r="G467" s="120">
        <v>397058.41500495514</v>
      </c>
      <c r="H467" s="120" t="s">
        <v>251</v>
      </c>
      <c r="I467" s="120">
        <v>36566.78249088813</v>
      </c>
      <c r="J467" s="120">
        <v>17647.802504156734</v>
      </c>
      <c r="K467" s="120" t="s">
        <v>251</v>
      </c>
      <c r="L467" s="120" t="s">
        <v>251</v>
      </c>
      <c r="M467" s="120">
        <v>1.1034559694715249</v>
      </c>
      <c r="N467" s="120" t="s">
        <v>251</v>
      </c>
      <c r="O467" s="120">
        <v>17646.699048187264</v>
      </c>
      <c r="P467" s="120">
        <v>8949.9125800475194</v>
      </c>
      <c r="Q467" s="120">
        <v>8696.7864681397459</v>
      </c>
      <c r="R467" s="120"/>
      <c r="S467" s="121"/>
    </row>
    <row r="468" spans="1:19" ht="15">
      <c r="A468" s="105">
        <v>38</v>
      </c>
      <c r="B468" s="129" t="str">
        <f t="shared" si="16"/>
        <v>552</v>
      </c>
      <c r="C468" s="107" t="s">
        <v>620</v>
      </c>
      <c r="D468" s="107" t="s">
        <v>615</v>
      </c>
      <c r="E468" s="120">
        <v>756752</v>
      </c>
      <c r="F468" s="120" t="s">
        <v>251</v>
      </c>
      <c r="G468" s="120">
        <v>703351.81324979209</v>
      </c>
      <c r="H468" s="120" t="s">
        <v>251</v>
      </c>
      <c r="I468" s="120">
        <v>36030.371641955593</v>
      </c>
      <c r="J468" s="120">
        <v>17369.81510825234</v>
      </c>
      <c r="K468" s="120" t="s">
        <v>251</v>
      </c>
      <c r="L468" s="120" t="s">
        <v>251</v>
      </c>
      <c r="M468" s="120">
        <v>2.5256119411709856</v>
      </c>
      <c r="N468" s="120" t="s">
        <v>251</v>
      </c>
      <c r="O468" s="120">
        <v>17367.289496311168</v>
      </c>
      <c r="P468" s="120">
        <v>8808.2038640722112</v>
      </c>
      <c r="Q468" s="120">
        <v>8559.0856322389573</v>
      </c>
      <c r="R468" s="120"/>
      <c r="S468" s="121"/>
    </row>
    <row r="469" spans="1:19" ht="15">
      <c r="A469" s="105">
        <v>39</v>
      </c>
      <c r="B469" s="129" t="str">
        <f t="shared" si="16"/>
        <v>553</v>
      </c>
      <c r="C469" s="107" t="s">
        <v>621</v>
      </c>
      <c r="D469" s="107" t="s">
        <v>615</v>
      </c>
      <c r="E469" s="120">
        <v>5849514.0000000009</v>
      </c>
      <c r="F469" s="120" t="s">
        <v>251</v>
      </c>
      <c r="G469" s="120">
        <v>5367864.3255875176</v>
      </c>
      <c r="H469" s="120" t="s">
        <v>251</v>
      </c>
      <c r="I469" s="120">
        <v>324882.81239434861</v>
      </c>
      <c r="J469" s="120">
        <v>156766.86201813424</v>
      </c>
      <c r="K469" s="120" t="s">
        <v>251</v>
      </c>
      <c r="L469" s="120" t="s">
        <v>251</v>
      </c>
      <c r="M469" s="120">
        <v>11.87901005367239</v>
      </c>
      <c r="N469" s="120" t="s">
        <v>251</v>
      </c>
      <c r="O469" s="120">
        <v>156754.98300808057</v>
      </c>
      <c r="P469" s="120">
        <v>79501.746506708354</v>
      </c>
      <c r="Q469" s="120">
        <v>77253.23650137223</v>
      </c>
      <c r="R469" s="120"/>
      <c r="S469" s="121"/>
    </row>
    <row r="470" spans="1:19" ht="15">
      <c r="A470" s="105">
        <v>40</v>
      </c>
      <c r="B470" s="129" t="str">
        <f t="shared" si="16"/>
        <v>554</v>
      </c>
      <c r="C470" s="107" t="s">
        <v>622</v>
      </c>
      <c r="D470" s="107" t="s">
        <v>615</v>
      </c>
      <c r="E470" s="120">
        <v>6111966.9999999991</v>
      </c>
      <c r="F470" s="120" t="s">
        <v>251</v>
      </c>
      <c r="G470" s="120">
        <v>5523374.8738237098</v>
      </c>
      <c r="H470" s="120" t="s">
        <v>251</v>
      </c>
      <c r="I470" s="120">
        <v>397016.79489961464</v>
      </c>
      <c r="J470" s="120">
        <v>191575.33127667449</v>
      </c>
      <c r="K470" s="120" t="s">
        <v>251</v>
      </c>
      <c r="L470" s="120" t="s">
        <v>251</v>
      </c>
      <c r="M470" s="120">
        <v>14.411009880788097</v>
      </c>
      <c r="N470" s="120" t="s">
        <v>251</v>
      </c>
      <c r="O470" s="120">
        <v>191560.92026679369</v>
      </c>
      <c r="P470" s="120">
        <v>97154.34515314475</v>
      </c>
      <c r="Q470" s="120">
        <v>94406.575113648927</v>
      </c>
      <c r="R470" s="120"/>
      <c r="S470" s="121"/>
    </row>
    <row r="471" spans="1:19" ht="15">
      <c r="A471" s="105">
        <v>41</v>
      </c>
      <c r="B471" s="129" t="str">
        <f t="shared" si="16"/>
        <v xml:space="preserve">  T</v>
      </c>
      <c r="C471" s="107" t="s">
        <v>623</v>
      </c>
      <c r="D471" s="107" t="s">
        <v>251</v>
      </c>
      <c r="E471" s="120">
        <v>13169506</v>
      </c>
      <c r="F471" s="120" t="s">
        <v>251</v>
      </c>
      <c r="G471" s="120">
        <v>11991649.427665975</v>
      </c>
      <c r="H471" s="120" t="s">
        <v>251</v>
      </c>
      <c r="I471" s="120">
        <v>794496.76142680692</v>
      </c>
      <c r="J471" s="120">
        <v>383359.81090721779</v>
      </c>
      <c r="K471" s="120" t="s">
        <v>251</v>
      </c>
      <c r="L471" s="120" t="s">
        <v>251</v>
      </c>
      <c r="M471" s="120">
        <v>29.919087845102997</v>
      </c>
      <c r="N471" s="120" t="s">
        <v>251</v>
      </c>
      <c r="O471" s="120">
        <v>383329.89181937271</v>
      </c>
      <c r="P471" s="120">
        <v>194414.20810397284</v>
      </c>
      <c r="Q471" s="120">
        <v>188915.68371539988</v>
      </c>
      <c r="R471" s="120"/>
      <c r="S471" s="121"/>
    </row>
    <row r="472" spans="1:19" ht="15">
      <c r="A472" s="105" t="s">
        <v>251</v>
      </c>
      <c r="B472" s="129" t="str">
        <f t="shared" si="16"/>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6"/>
        <v>TAL</v>
      </c>
      <c r="C473" s="107" t="s">
        <v>624</v>
      </c>
      <c r="D473" s="107" t="s">
        <v>251</v>
      </c>
      <c r="E473" s="120">
        <v>145271800.15006199</v>
      </c>
      <c r="F473" s="120" t="s">
        <v>251</v>
      </c>
      <c r="G473" s="120">
        <v>136275517.12950757</v>
      </c>
      <c r="H473" s="120" t="s">
        <v>251</v>
      </c>
      <c r="I473" s="120">
        <v>5892300.7918468285</v>
      </c>
      <c r="J473" s="120">
        <v>3103982.2287075925</v>
      </c>
      <c r="K473" s="120" t="s">
        <v>251</v>
      </c>
      <c r="L473" s="120" t="s">
        <v>251</v>
      </c>
      <c r="M473" s="120">
        <v>578.14913928385204</v>
      </c>
      <c r="N473" s="120" t="s">
        <v>251</v>
      </c>
      <c r="O473" s="120">
        <v>3103404.0795683088</v>
      </c>
      <c r="P473" s="120">
        <v>1571983.1504558083</v>
      </c>
      <c r="Q473" s="120">
        <v>1531420.9291125003</v>
      </c>
      <c r="R473" s="120"/>
      <c r="S473" s="121"/>
    </row>
    <row r="474" spans="1:19" ht="15">
      <c r="A474" s="105" t="s">
        <v>251</v>
      </c>
      <c r="B474" s="129" t="str">
        <f t="shared" si="16"/>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6"/>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6"/>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6"/>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6"/>
        <v>CAP</v>
      </c>
      <c r="C478" s="107" t="s">
        <v>626</v>
      </c>
      <c r="D478" s="107" t="s">
        <v>304</v>
      </c>
      <c r="E478" s="120">
        <v>12110282.927543651</v>
      </c>
      <c r="F478" s="120" t="s">
        <v>251</v>
      </c>
      <c r="G478" s="120">
        <v>11352373.353743056</v>
      </c>
      <c r="H478" s="120" t="s">
        <v>251</v>
      </c>
      <c r="I478" s="120">
        <v>519839.14678637625</v>
      </c>
      <c r="J478" s="120">
        <v>238070.42701421806</v>
      </c>
      <c r="K478" s="120" t="s">
        <v>251</v>
      </c>
      <c r="L478" s="120" t="s">
        <v>251</v>
      </c>
      <c r="M478" s="120">
        <v>36.439536989609856</v>
      </c>
      <c r="N478" s="120" t="s">
        <v>251</v>
      </c>
      <c r="O478" s="120">
        <v>238033.98747722845</v>
      </c>
      <c r="P478" s="120">
        <v>120724.18604657747</v>
      </c>
      <c r="Q478" s="120">
        <v>117309.801430651</v>
      </c>
      <c r="R478" s="120"/>
      <c r="S478" s="121"/>
    </row>
    <row r="479" spans="1:19" ht="15">
      <c r="A479" s="105">
        <v>44</v>
      </c>
      <c r="B479" s="129" t="str">
        <f t="shared" si="16"/>
        <v>ENE</v>
      </c>
      <c r="C479" s="107" t="s">
        <v>627</v>
      </c>
      <c r="D479" s="107" t="s">
        <v>495</v>
      </c>
      <c r="E479" s="120">
        <v>45925913.256247364</v>
      </c>
      <c r="F479" s="120" t="s">
        <v>251</v>
      </c>
      <c r="G479" s="120">
        <v>43216705.035806477</v>
      </c>
      <c r="H479" s="120" t="s">
        <v>251</v>
      </c>
      <c r="I479" s="120">
        <v>1763044.456424511</v>
      </c>
      <c r="J479" s="120">
        <v>946163.76401637716</v>
      </c>
      <c r="K479" s="120" t="s">
        <v>251</v>
      </c>
      <c r="L479" s="120" t="s">
        <v>251</v>
      </c>
      <c r="M479" s="120">
        <v>193.41435463092165</v>
      </c>
      <c r="N479" s="120" t="s">
        <v>251</v>
      </c>
      <c r="O479" s="120">
        <v>945970.34966174618</v>
      </c>
      <c r="P479" s="120">
        <v>479046.62920708233</v>
      </c>
      <c r="Q479" s="120">
        <v>466923.72045466385</v>
      </c>
      <c r="R479" s="120"/>
      <c r="S479" s="121"/>
    </row>
    <row r="480" spans="1:19" ht="15">
      <c r="A480" s="105">
        <v>45</v>
      </c>
      <c r="B480" s="129" t="str">
        <f t="shared" si="16"/>
        <v xml:space="preserve">  T</v>
      </c>
      <c r="C480" s="107" t="s">
        <v>628</v>
      </c>
      <c r="D480" s="107" t="s">
        <v>251</v>
      </c>
      <c r="E480" s="120">
        <v>58036196.183791012</v>
      </c>
      <c r="F480" s="120" t="s">
        <v>251</v>
      </c>
      <c r="G480" s="120">
        <v>54569078.389549531</v>
      </c>
      <c r="H480" s="120" t="s">
        <v>251</v>
      </c>
      <c r="I480" s="120">
        <v>2282883.6032108874</v>
      </c>
      <c r="J480" s="120">
        <v>1184234.1910305952</v>
      </c>
      <c r="K480" s="120" t="s">
        <v>251</v>
      </c>
      <c r="L480" s="120" t="s">
        <v>251</v>
      </c>
      <c r="M480" s="120">
        <v>229.8538916205315</v>
      </c>
      <c r="N480" s="120" t="s">
        <v>251</v>
      </c>
      <c r="O480" s="120">
        <v>1184004.3371389746</v>
      </c>
      <c r="P480" s="120">
        <v>599770.81525365985</v>
      </c>
      <c r="Q480" s="120">
        <v>584233.52188531484</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6"/>
        <v>6-S</v>
      </c>
      <c r="C482" s="107" t="s">
        <v>629</v>
      </c>
      <c r="D482" s="107" t="s">
        <v>304</v>
      </c>
      <c r="E482" s="120">
        <v>1832258</v>
      </c>
      <c r="F482" s="120" t="s">
        <v>251</v>
      </c>
      <c r="G482" s="120">
        <v>1717588.0217524811</v>
      </c>
      <c r="H482" s="120" t="s">
        <v>251</v>
      </c>
      <c r="I482" s="120">
        <v>78650.469283933184</v>
      </c>
      <c r="J482" s="120">
        <v>36019.508963585686</v>
      </c>
      <c r="K482" s="120" t="s">
        <v>251</v>
      </c>
      <c r="L482" s="120" t="s">
        <v>251</v>
      </c>
      <c r="M482" s="120">
        <v>5.5132182761522799</v>
      </c>
      <c r="N482" s="120" t="s">
        <v>251</v>
      </c>
      <c r="O482" s="120">
        <v>36013.995745309534</v>
      </c>
      <c r="P482" s="120">
        <v>18265.292148892502</v>
      </c>
      <c r="Q482" s="120">
        <v>17748.703596417032</v>
      </c>
      <c r="R482" s="120"/>
      <c r="S482" s="121"/>
    </row>
    <row r="483" spans="1:19" ht="15">
      <c r="A483" s="105">
        <v>47</v>
      </c>
      <c r="B483" s="129" t="str">
        <f t="shared" si="16"/>
        <v>7-O</v>
      </c>
      <c r="C483" s="107" t="s">
        <v>630</v>
      </c>
      <c r="D483" s="107" t="s">
        <v>498</v>
      </c>
      <c r="E483" s="120">
        <v>179236.99999999994</v>
      </c>
      <c r="F483" s="120" t="s">
        <v>251</v>
      </c>
      <c r="G483" s="120">
        <v>167702.79575461466</v>
      </c>
      <c r="H483" s="120" t="s">
        <v>251</v>
      </c>
      <c r="I483" s="120">
        <v>7788.4835788101436</v>
      </c>
      <c r="J483" s="120">
        <v>3745.7206665751287</v>
      </c>
      <c r="K483" s="120" t="s">
        <v>251</v>
      </c>
      <c r="L483" s="120" t="s">
        <v>251</v>
      </c>
      <c r="M483" s="120">
        <v>0.53551000847740848</v>
      </c>
      <c r="N483" s="120" t="s">
        <v>251</v>
      </c>
      <c r="O483" s="120">
        <v>3745.1851565666511</v>
      </c>
      <c r="P483" s="120">
        <v>1899.4532436822126</v>
      </c>
      <c r="Q483" s="120">
        <v>1845.7319128844383</v>
      </c>
      <c r="R483" s="120"/>
      <c r="S483" s="121"/>
    </row>
    <row r="484" spans="1:19" ht="15">
      <c r="A484" s="105" t="s">
        <v>251</v>
      </c>
      <c r="B484" s="129" t="str">
        <f t="shared" si="16"/>
        <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6"/>
        <v>TAL</v>
      </c>
      <c r="C485" s="107" t="s">
        <v>631</v>
      </c>
      <c r="D485" s="107" t="s">
        <v>251</v>
      </c>
      <c r="E485" s="120">
        <v>656097800.56972647</v>
      </c>
      <c r="F485" s="120" t="s">
        <v>251</v>
      </c>
      <c r="G485" s="120">
        <v>615512853.91385889</v>
      </c>
      <c r="H485" s="120" t="s">
        <v>251</v>
      </c>
      <c r="I485" s="120">
        <v>26604541.513609033</v>
      </c>
      <c r="J485" s="120">
        <v>13980405.14225853</v>
      </c>
      <c r="K485" s="120" t="s">
        <v>251</v>
      </c>
      <c r="L485" s="120" t="s">
        <v>251</v>
      </c>
      <c r="M485" s="120">
        <v>2522.6471375917831</v>
      </c>
      <c r="N485" s="120" t="s">
        <v>251</v>
      </c>
      <c r="O485" s="120">
        <v>13977882.495120939</v>
      </c>
      <c r="P485" s="120">
        <v>7080525.3370596329</v>
      </c>
      <c r="Q485" s="120">
        <v>6897357.1580613051</v>
      </c>
      <c r="R485" s="120"/>
      <c r="S485" s="121"/>
    </row>
    <row r="486" spans="1:19" ht="15">
      <c r="A486" s="105" t="s">
        <v>251</v>
      </c>
      <c r="B486" s="129" t="str">
        <f t="shared" si="16"/>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6"/>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6"/>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6"/>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6"/>
        <v>560</v>
      </c>
      <c r="C490" s="107" t="s">
        <v>634</v>
      </c>
      <c r="D490" s="107" t="s">
        <v>635</v>
      </c>
      <c r="E490" s="120">
        <v>1937097</v>
      </c>
      <c r="F490" s="120" t="s">
        <v>251</v>
      </c>
      <c r="G490" s="120">
        <v>1754566.021489697</v>
      </c>
      <c r="H490" s="120" t="s">
        <v>251</v>
      </c>
      <c r="I490" s="120">
        <v>182525.36066742119</v>
      </c>
      <c r="J490" s="120">
        <v>5.6178428817318009</v>
      </c>
      <c r="K490" s="120" t="s">
        <v>251</v>
      </c>
      <c r="L490" s="120" t="s">
        <v>251</v>
      </c>
      <c r="M490" s="120">
        <v>5.6178428817318009</v>
      </c>
      <c r="N490" s="120" t="s">
        <v>251</v>
      </c>
      <c r="O490" s="120">
        <v>0</v>
      </c>
      <c r="P490" s="120">
        <v>0</v>
      </c>
      <c r="Q490" s="120">
        <v>0</v>
      </c>
      <c r="R490" s="120"/>
      <c r="S490" s="121"/>
    </row>
    <row r="491" spans="1:19" ht="15">
      <c r="A491" s="105">
        <v>2</v>
      </c>
      <c r="B491" s="129" t="str">
        <f t="shared" si="16"/>
        <v>561</v>
      </c>
      <c r="C491" s="107" t="s">
        <v>636</v>
      </c>
      <c r="D491" s="107" t="s">
        <v>500</v>
      </c>
      <c r="E491" s="120">
        <v>3722480</v>
      </c>
      <c r="F491" s="120" t="s">
        <v>251</v>
      </c>
      <c r="G491" s="120">
        <v>3371713.9222635562</v>
      </c>
      <c r="H491" s="120" t="s">
        <v>251</v>
      </c>
      <c r="I491" s="120">
        <v>350755.28204176761</v>
      </c>
      <c r="J491" s="120">
        <v>10.795694676306345</v>
      </c>
      <c r="K491" s="120" t="s">
        <v>251</v>
      </c>
      <c r="L491" s="120" t="s">
        <v>251</v>
      </c>
      <c r="M491" s="120">
        <v>10.795694676306345</v>
      </c>
      <c r="N491" s="120" t="s">
        <v>251</v>
      </c>
      <c r="O491" s="120">
        <v>0</v>
      </c>
      <c r="P491" s="120">
        <v>0</v>
      </c>
      <c r="Q491" s="120">
        <v>0</v>
      </c>
      <c r="R491" s="120"/>
      <c r="S491" s="121"/>
    </row>
    <row r="492" spans="1:19" ht="15">
      <c r="A492" s="105">
        <v>3</v>
      </c>
      <c r="B492" s="129" t="str">
        <f t="shared" si="16"/>
        <v>562</v>
      </c>
      <c r="C492" s="107" t="s">
        <v>637</v>
      </c>
      <c r="D492" s="107" t="s">
        <v>500</v>
      </c>
      <c r="E492" s="120">
        <v>1324864.9999999998</v>
      </c>
      <c r="F492" s="120" t="s">
        <v>251</v>
      </c>
      <c r="G492" s="120">
        <v>1200024.1144666206</v>
      </c>
      <c r="H492" s="120" t="s">
        <v>251</v>
      </c>
      <c r="I492" s="120">
        <v>124837.04324597216</v>
      </c>
      <c r="J492" s="120">
        <v>3.8422874071384148</v>
      </c>
      <c r="K492" s="120" t="s">
        <v>251</v>
      </c>
      <c r="L492" s="120" t="s">
        <v>251</v>
      </c>
      <c r="M492" s="120">
        <v>3.8422874071384148</v>
      </c>
      <c r="N492" s="120" t="s">
        <v>251</v>
      </c>
      <c r="O492" s="120">
        <v>0</v>
      </c>
      <c r="P492" s="120">
        <v>0</v>
      </c>
      <c r="Q492" s="120">
        <v>0</v>
      </c>
      <c r="R492" s="120"/>
      <c r="S492" s="121"/>
    </row>
    <row r="493" spans="1:19" ht="15">
      <c r="A493" s="105">
        <v>4</v>
      </c>
      <c r="B493" s="129" t="str">
        <f t="shared" si="16"/>
        <v>563</v>
      </c>
      <c r="C493" s="107" t="s">
        <v>638</v>
      </c>
      <c r="D493" s="107" t="s">
        <v>500</v>
      </c>
      <c r="E493" s="120">
        <v>975028</v>
      </c>
      <c r="F493" s="120" t="s">
        <v>251</v>
      </c>
      <c r="G493" s="120">
        <v>883151.95305194124</v>
      </c>
      <c r="H493" s="120" t="s">
        <v>251</v>
      </c>
      <c r="I493" s="120">
        <v>91873.219235192824</v>
      </c>
      <c r="J493" s="120">
        <v>2.8277128658447119</v>
      </c>
      <c r="K493" s="120" t="s">
        <v>251</v>
      </c>
      <c r="L493" s="120" t="s">
        <v>251</v>
      </c>
      <c r="M493" s="120">
        <v>2.8277128658447119</v>
      </c>
      <c r="N493" s="120" t="s">
        <v>251</v>
      </c>
      <c r="O493" s="120">
        <v>0</v>
      </c>
      <c r="P493" s="120">
        <v>0</v>
      </c>
      <c r="Q493" s="120">
        <v>0</v>
      </c>
      <c r="R493" s="120"/>
      <c r="S493" s="121"/>
    </row>
    <row r="494" spans="1:19" ht="15">
      <c r="A494" s="105">
        <v>5</v>
      </c>
      <c r="B494" s="129" t="str">
        <f t="shared" si="16"/>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6"/>
        <v>565</v>
      </c>
      <c r="C495" s="107" t="s">
        <v>640</v>
      </c>
      <c r="D495" s="107" t="s">
        <v>500</v>
      </c>
      <c r="E495" s="120">
        <v>4099659</v>
      </c>
      <c r="F495" s="120" t="s">
        <v>251</v>
      </c>
      <c r="G495" s="120">
        <v>3713351.6706155809</v>
      </c>
      <c r="H495" s="120" t="s">
        <v>251</v>
      </c>
      <c r="I495" s="120">
        <v>386295.43981970917</v>
      </c>
      <c r="J495" s="120">
        <v>11.889564709809427</v>
      </c>
      <c r="K495" s="120" t="s">
        <v>251</v>
      </c>
      <c r="L495" s="120" t="s">
        <v>251</v>
      </c>
      <c r="M495" s="120">
        <v>11.889564709809427</v>
      </c>
      <c r="N495" s="120" t="s">
        <v>251</v>
      </c>
      <c r="O495" s="120">
        <v>0</v>
      </c>
      <c r="P495" s="120">
        <v>0</v>
      </c>
      <c r="Q495" s="120">
        <v>0</v>
      </c>
      <c r="R495" s="120"/>
      <c r="S495" s="121"/>
    </row>
    <row r="496" spans="1:19" ht="15">
      <c r="A496" s="105">
        <v>7</v>
      </c>
      <c r="B496" s="129" t="str">
        <f t="shared" si="16"/>
        <v>566</v>
      </c>
      <c r="C496" s="107" t="s">
        <v>641</v>
      </c>
      <c r="D496" s="107" t="s">
        <v>500</v>
      </c>
      <c r="E496" s="120">
        <v>23279803.999999888</v>
      </c>
      <c r="F496" s="120" t="s">
        <v>251</v>
      </c>
      <c r="G496" s="120">
        <v>21086168.160572104</v>
      </c>
      <c r="H496" s="120" t="s">
        <v>251</v>
      </c>
      <c r="I496" s="120">
        <v>2193568.3248525257</v>
      </c>
      <c r="J496" s="120">
        <v>67.514575258498084</v>
      </c>
      <c r="K496" s="120" t="s">
        <v>251</v>
      </c>
      <c r="L496" s="120" t="s">
        <v>251</v>
      </c>
      <c r="M496" s="120">
        <v>67.514575258498084</v>
      </c>
      <c r="N496" s="120" t="s">
        <v>251</v>
      </c>
      <c r="O496" s="120">
        <v>0</v>
      </c>
      <c r="P496" s="120">
        <v>0</v>
      </c>
      <c r="Q496" s="120">
        <v>0</v>
      </c>
      <c r="R496" s="120"/>
      <c r="S496" s="121"/>
    </row>
    <row r="497" spans="1:19" ht="15">
      <c r="A497" s="105">
        <v>8</v>
      </c>
      <c r="B497" s="129" t="str">
        <f t="shared" si="16"/>
        <v>567</v>
      </c>
      <c r="C497" s="107" t="s">
        <v>642</v>
      </c>
      <c r="D497" s="107" t="s">
        <v>500</v>
      </c>
      <c r="E497" s="120">
        <v>124235.99999999999</v>
      </c>
      <c r="F497" s="120" t="s">
        <v>251</v>
      </c>
      <c r="G497" s="120">
        <v>112529.34894111859</v>
      </c>
      <c r="H497" s="120" t="s">
        <v>251</v>
      </c>
      <c r="I497" s="120">
        <v>11706.290757704821</v>
      </c>
      <c r="J497" s="120">
        <v>0.36030117658270699</v>
      </c>
      <c r="K497" s="120" t="s">
        <v>251</v>
      </c>
      <c r="L497" s="120" t="s">
        <v>251</v>
      </c>
      <c r="M497" s="120">
        <v>0.36030117658270699</v>
      </c>
      <c r="N497" s="120" t="s">
        <v>251</v>
      </c>
      <c r="O497" s="120">
        <v>0</v>
      </c>
      <c r="P497" s="120">
        <v>0</v>
      </c>
      <c r="Q497" s="120">
        <v>0</v>
      </c>
      <c r="R497" s="120"/>
      <c r="S497" s="121"/>
    </row>
    <row r="498" spans="1:19" ht="15">
      <c r="A498" s="105">
        <v>9</v>
      </c>
      <c r="B498" s="129" t="str">
        <f t="shared" si="16"/>
        <v>575</v>
      </c>
      <c r="C498" s="107" t="s">
        <v>643</v>
      </c>
      <c r="D498" s="107" t="s">
        <v>500</v>
      </c>
      <c r="E498" s="120">
        <v>0</v>
      </c>
      <c r="F498" s="120" t="s">
        <v>251</v>
      </c>
      <c r="G498" s="120">
        <v>0</v>
      </c>
      <c r="H498" s="120" t="s">
        <v>251</v>
      </c>
      <c r="I498" s="120">
        <v>0</v>
      </c>
      <c r="J498" s="120">
        <v>0</v>
      </c>
      <c r="K498" s="120" t="s">
        <v>251</v>
      </c>
      <c r="L498" s="120" t="s">
        <v>251</v>
      </c>
      <c r="M498" s="120">
        <v>0</v>
      </c>
      <c r="N498" s="120" t="s">
        <v>251</v>
      </c>
      <c r="O498" s="120">
        <v>0</v>
      </c>
      <c r="P498" s="120">
        <v>0</v>
      </c>
      <c r="Q498" s="120">
        <v>0</v>
      </c>
      <c r="R498" s="120"/>
      <c r="S498" s="121"/>
    </row>
    <row r="499" spans="1:19" ht="15">
      <c r="A499" s="105">
        <v>10</v>
      </c>
      <c r="B499" s="129" t="str">
        <f t="shared" si="16"/>
        <v xml:space="preserve">  T</v>
      </c>
      <c r="C499" s="107" t="s">
        <v>644</v>
      </c>
      <c r="D499" s="107" t="s">
        <v>251</v>
      </c>
      <c r="E499" s="120">
        <v>35463168.999999888</v>
      </c>
      <c r="F499" s="120" t="s">
        <v>251</v>
      </c>
      <c r="G499" s="120">
        <v>32121505.191400617</v>
      </c>
      <c r="H499" s="120" t="s">
        <v>251</v>
      </c>
      <c r="I499" s="120">
        <v>3341560.9606202939</v>
      </c>
      <c r="J499" s="120">
        <v>102.8479789759115</v>
      </c>
      <c r="K499" s="120" t="s">
        <v>251</v>
      </c>
      <c r="L499" s="120" t="s">
        <v>251</v>
      </c>
      <c r="M499" s="120">
        <v>102.8479789759115</v>
      </c>
      <c r="N499" s="120" t="s">
        <v>251</v>
      </c>
      <c r="O499" s="120">
        <v>0</v>
      </c>
      <c r="P499" s="120">
        <v>0</v>
      </c>
      <c r="Q499" s="120">
        <v>0</v>
      </c>
      <c r="R499" s="120"/>
      <c r="S499" s="121"/>
    </row>
    <row r="500" spans="1:19" ht="15">
      <c r="A500" s="105">
        <v>11</v>
      </c>
      <c r="B500" s="129" t="str">
        <f t="shared" si="16"/>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6"/>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6"/>
        <v>570</v>
      </c>
      <c r="C502" s="107" t="s">
        <v>647</v>
      </c>
      <c r="D502" s="107" t="s">
        <v>500</v>
      </c>
      <c r="E502" s="120">
        <v>1958193</v>
      </c>
      <c r="F502" s="120" t="s">
        <v>251</v>
      </c>
      <c r="G502" s="120">
        <v>1773674.1636164705</v>
      </c>
      <c r="H502" s="120" t="s">
        <v>251</v>
      </c>
      <c r="I502" s="120">
        <v>184513.15735939884</v>
      </c>
      <c r="J502" s="120">
        <v>5.6790241304937439</v>
      </c>
      <c r="K502" s="120" t="s">
        <v>251</v>
      </c>
      <c r="L502" s="120" t="s">
        <v>251</v>
      </c>
      <c r="M502" s="120">
        <v>5.6790241304937439</v>
      </c>
      <c r="N502" s="120" t="s">
        <v>251</v>
      </c>
      <c r="O502" s="120">
        <v>0</v>
      </c>
      <c r="P502" s="120">
        <v>0</v>
      </c>
      <c r="Q502" s="120">
        <v>0</v>
      </c>
      <c r="R502" s="120"/>
      <c r="S502" s="121"/>
    </row>
    <row r="503" spans="1:19" ht="15">
      <c r="A503" s="105">
        <v>14</v>
      </c>
      <c r="B503" s="129" t="str">
        <f t="shared" si="16"/>
        <v>571</v>
      </c>
      <c r="C503" s="107" t="s">
        <v>648</v>
      </c>
      <c r="D503" s="107" t="s">
        <v>500</v>
      </c>
      <c r="E503" s="120">
        <v>13624020</v>
      </c>
      <c r="F503" s="120" t="s">
        <v>251</v>
      </c>
      <c r="G503" s="120">
        <v>12345181.865158921</v>
      </c>
      <c r="H503" s="120" t="s">
        <v>251</v>
      </c>
      <c r="I503" s="120">
        <v>1278798.775430575</v>
      </c>
      <c r="J503" s="120">
        <v>39.359410503015553</v>
      </c>
      <c r="K503" s="120" t="s">
        <v>251</v>
      </c>
      <c r="L503" s="120" t="s">
        <v>251</v>
      </c>
      <c r="M503" s="120">
        <v>39.359410503015553</v>
      </c>
      <c r="N503" s="120" t="s">
        <v>251</v>
      </c>
      <c r="O503" s="120">
        <v>0</v>
      </c>
      <c r="P503" s="120">
        <v>0</v>
      </c>
      <c r="Q503" s="120">
        <v>0</v>
      </c>
      <c r="R503" s="120"/>
      <c r="S503" s="121"/>
    </row>
    <row r="504" spans="1:19" ht="15">
      <c r="A504" s="105">
        <v>15</v>
      </c>
      <c r="B504" s="129" t="str">
        <f t="shared" si="16"/>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6"/>
        <v>573</v>
      </c>
      <c r="C505" s="107" t="s">
        <v>650</v>
      </c>
      <c r="D505" s="107" t="s">
        <v>500</v>
      </c>
      <c r="E505" s="120">
        <v>325694</v>
      </c>
      <c r="F505" s="120" t="s">
        <v>251</v>
      </c>
      <c r="G505" s="120">
        <v>295004.13546821114</v>
      </c>
      <c r="H505" s="120" t="s">
        <v>251</v>
      </c>
      <c r="I505" s="120">
        <v>30688.91997520778</v>
      </c>
      <c r="J505" s="120">
        <v>0.94455658107093088</v>
      </c>
      <c r="K505" s="120" t="s">
        <v>251</v>
      </c>
      <c r="L505" s="120" t="s">
        <v>251</v>
      </c>
      <c r="M505" s="120">
        <v>0.94455658107093088</v>
      </c>
      <c r="N505" s="120" t="s">
        <v>251</v>
      </c>
      <c r="O505" s="120">
        <v>0</v>
      </c>
      <c r="P505" s="120">
        <v>0</v>
      </c>
      <c r="Q505" s="120">
        <v>0</v>
      </c>
      <c r="R505" s="120"/>
      <c r="S505" s="121"/>
    </row>
    <row r="506" spans="1:19" ht="15">
      <c r="A506" s="105">
        <v>17</v>
      </c>
      <c r="B506" s="129" t="str">
        <f t="shared" si="16"/>
        <v xml:space="preserve">  T</v>
      </c>
      <c r="C506" s="107" t="s">
        <v>651</v>
      </c>
      <c r="D506" s="107" t="s">
        <v>251</v>
      </c>
      <c r="E506" s="120">
        <v>15907907</v>
      </c>
      <c r="F506" s="120" t="s">
        <v>251</v>
      </c>
      <c r="G506" s="120">
        <v>14413860.164243603</v>
      </c>
      <c r="H506" s="120" t="s">
        <v>251</v>
      </c>
      <c r="I506" s="120">
        <v>1494000.8527651818</v>
      </c>
      <c r="J506" s="120">
        <v>45.982991214580231</v>
      </c>
      <c r="K506" s="120" t="s">
        <v>251</v>
      </c>
      <c r="L506" s="120" t="s">
        <v>251</v>
      </c>
      <c r="M506" s="120">
        <v>45.982991214580231</v>
      </c>
      <c r="N506" s="120" t="s">
        <v>251</v>
      </c>
      <c r="O506" s="120">
        <v>0</v>
      </c>
      <c r="P506" s="120">
        <v>0</v>
      </c>
      <c r="Q506" s="120">
        <v>0</v>
      </c>
      <c r="R506" s="120"/>
      <c r="S506" s="121"/>
    </row>
    <row r="507" spans="1:19" ht="15">
      <c r="A507" s="105" t="s">
        <v>251</v>
      </c>
      <c r="B507" s="129" t="str">
        <f t="shared" si="16"/>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6"/>
        <v>TAL</v>
      </c>
      <c r="C508" s="107" t="s">
        <v>652</v>
      </c>
      <c r="D508" s="107" t="s">
        <v>251</v>
      </c>
      <c r="E508" s="120">
        <v>51371075.999999888</v>
      </c>
      <c r="F508" s="120" t="s">
        <v>251</v>
      </c>
      <c r="G508" s="120">
        <v>46535365.355644219</v>
      </c>
      <c r="H508" s="120" t="s">
        <v>251</v>
      </c>
      <c r="I508" s="120">
        <v>4835561.8133854754</v>
      </c>
      <c r="J508" s="120">
        <v>148.83097019049174</v>
      </c>
      <c r="K508" s="120" t="s">
        <v>251</v>
      </c>
      <c r="L508" s="120" t="s">
        <v>251</v>
      </c>
      <c r="M508" s="120">
        <v>148.83097019049174</v>
      </c>
      <c r="N508" s="120" t="s">
        <v>251</v>
      </c>
      <c r="O508" s="120">
        <v>0</v>
      </c>
      <c r="P508" s="120">
        <v>0</v>
      </c>
      <c r="Q508" s="120">
        <v>0</v>
      </c>
      <c r="R508" s="120"/>
      <c r="S508" s="121"/>
    </row>
    <row r="509" spans="1:19" ht="15">
      <c r="A509" s="105" t="s">
        <v>251</v>
      </c>
      <c r="B509" s="129" t="str">
        <f t="shared" si="16"/>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6"/>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6"/>
        <v>580</v>
      </c>
      <c r="C511" s="107" t="s">
        <v>654</v>
      </c>
      <c r="D511" s="107" t="s">
        <v>502</v>
      </c>
      <c r="E511" s="120">
        <v>1982552.9999999998</v>
      </c>
      <c r="F511" s="120" t="s">
        <v>251</v>
      </c>
      <c r="G511" s="120">
        <v>1881212.4788570732</v>
      </c>
      <c r="H511" s="120" t="s">
        <v>251</v>
      </c>
      <c r="I511" s="120">
        <v>97119.684071675292</v>
      </c>
      <c r="J511" s="120">
        <v>4220.8370712513588</v>
      </c>
      <c r="K511" s="120" t="s">
        <v>251</v>
      </c>
      <c r="L511" s="120" t="s">
        <v>251</v>
      </c>
      <c r="M511" s="120">
        <v>649.54922064599975</v>
      </c>
      <c r="N511" s="120" t="s">
        <v>251</v>
      </c>
      <c r="O511" s="120">
        <v>3571.2878506053594</v>
      </c>
      <c r="P511" s="120">
        <v>3545.1221567466391</v>
      </c>
      <c r="Q511" s="120">
        <v>26.165693858720175</v>
      </c>
      <c r="R511" s="120"/>
      <c r="S511" s="121"/>
    </row>
    <row r="512" spans="1:19" ht="15">
      <c r="A512" s="105">
        <v>20</v>
      </c>
      <c r="B512" s="129" t="str">
        <f t="shared" si="16"/>
        <v>581</v>
      </c>
      <c r="C512" s="107" t="s">
        <v>655</v>
      </c>
      <c r="D512" s="107" t="s">
        <v>656</v>
      </c>
      <c r="E512" s="120">
        <v>373694.00000000006</v>
      </c>
      <c r="F512" s="120" t="s">
        <v>251</v>
      </c>
      <c r="G512" s="120">
        <v>356173.72031329595</v>
      </c>
      <c r="H512" s="120" t="s">
        <v>251</v>
      </c>
      <c r="I512" s="120">
        <v>12206.287553407763</v>
      </c>
      <c r="J512" s="120">
        <v>5313.9921332963459</v>
      </c>
      <c r="K512" s="120" t="s">
        <v>251</v>
      </c>
      <c r="L512" s="120" t="s">
        <v>251</v>
      </c>
      <c r="M512" s="120">
        <v>717.23601082101334</v>
      </c>
      <c r="N512" s="120" t="s">
        <v>251</v>
      </c>
      <c r="O512" s="120">
        <v>4596.7561224753326</v>
      </c>
      <c r="P512" s="120">
        <v>4596.7561224753326</v>
      </c>
      <c r="Q512" s="120">
        <v>0</v>
      </c>
      <c r="R512" s="120"/>
      <c r="S512" s="121"/>
    </row>
    <row r="513" spans="1:19" ht="15">
      <c r="A513" s="105">
        <v>21</v>
      </c>
      <c r="B513" s="129" t="str">
        <f t="shared" ref="B513:B576" si="17">MID(C513,3,3)</f>
        <v>582</v>
      </c>
      <c r="C513" s="107" t="s">
        <v>657</v>
      </c>
      <c r="D513" s="107" t="s">
        <v>656</v>
      </c>
      <c r="E513" s="120">
        <v>2160725.0000000005</v>
      </c>
      <c r="F513" s="120" t="s">
        <v>251</v>
      </c>
      <c r="G513" s="120">
        <v>2059421.5101766321</v>
      </c>
      <c r="H513" s="120" t="s">
        <v>251</v>
      </c>
      <c r="I513" s="120">
        <v>70577.613431944294</v>
      </c>
      <c r="J513" s="120">
        <v>30725.876391423859</v>
      </c>
      <c r="K513" s="120" t="s">
        <v>251</v>
      </c>
      <c r="L513" s="120" t="s">
        <v>251</v>
      </c>
      <c r="M513" s="120">
        <v>4147.1090771626896</v>
      </c>
      <c r="N513" s="120" t="s">
        <v>251</v>
      </c>
      <c r="O513" s="120">
        <v>26578.767314261167</v>
      </c>
      <c r="P513" s="120">
        <v>26578.767314261167</v>
      </c>
      <c r="Q513" s="120">
        <v>0</v>
      </c>
      <c r="R513" s="120"/>
      <c r="S513" s="121"/>
    </row>
    <row r="514" spans="1:19" ht="15">
      <c r="A514" s="105">
        <v>22</v>
      </c>
      <c r="B514" s="129" t="str">
        <f t="shared" si="17"/>
        <v>583</v>
      </c>
      <c r="C514" s="107" t="s">
        <v>658</v>
      </c>
      <c r="D514" s="107" t="s">
        <v>659</v>
      </c>
      <c r="E514" s="120">
        <v>5940957.0000000009</v>
      </c>
      <c r="F514" s="120" t="s">
        <v>251</v>
      </c>
      <c r="G514" s="120">
        <v>5524750.9613741152</v>
      </c>
      <c r="H514" s="120" t="s">
        <v>251</v>
      </c>
      <c r="I514" s="120">
        <v>415552.21210324293</v>
      </c>
      <c r="J514" s="120">
        <v>653.82652264251419</v>
      </c>
      <c r="K514" s="120" t="s">
        <v>251</v>
      </c>
      <c r="L514" s="120" t="s">
        <v>251</v>
      </c>
      <c r="M514" s="120">
        <v>653.82652264251419</v>
      </c>
      <c r="N514" s="120" t="s">
        <v>251</v>
      </c>
      <c r="O514" s="120">
        <v>0</v>
      </c>
      <c r="P514" s="120">
        <v>0</v>
      </c>
      <c r="Q514" s="120">
        <v>0</v>
      </c>
      <c r="R514" s="120"/>
      <c r="S514" s="121"/>
    </row>
    <row r="515" spans="1:19" ht="15">
      <c r="A515" s="105">
        <v>23</v>
      </c>
      <c r="B515" s="129" t="str">
        <f t="shared" si="17"/>
        <v>584</v>
      </c>
      <c r="C515" s="107" t="s">
        <v>660</v>
      </c>
      <c r="D515" s="107" t="s">
        <v>661</v>
      </c>
      <c r="E515" s="120">
        <v>319</v>
      </c>
      <c r="F515" s="120" t="s">
        <v>251</v>
      </c>
      <c r="G515" s="120">
        <v>311.69847802795289</v>
      </c>
      <c r="H515" s="120" t="s">
        <v>251</v>
      </c>
      <c r="I515" s="120">
        <v>7.3015219720470839</v>
      </c>
      <c r="J515" s="120">
        <v>0</v>
      </c>
      <c r="K515" s="120" t="s">
        <v>251</v>
      </c>
      <c r="L515" s="120" t="s">
        <v>251</v>
      </c>
      <c r="M515" s="120">
        <v>0</v>
      </c>
      <c r="N515" s="120" t="s">
        <v>251</v>
      </c>
      <c r="O515" s="120">
        <v>0</v>
      </c>
      <c r="P515" s="120">
        <v>0</v>
      </c>
      <c r="Q515" s="120">
        <v>0</v>
      </c>
      <c r="R515" s="120"/>
      <c r="S515" s="121"/>
    </row>
    <row r="516" spans="1:19" ht="15">
      <c r="A516" s="105">
        <v>24</v>
      </c>
      <c r="B516" s="129" t="str">
        <f t="shared" si="17"/>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7"/>
        <v>586</v>
      </c>
      <c r="C517" s="107" t="s">
        <v>664</v>
      </c>
      <c r="D517" s="107" t="s">
        <v>665</v>
      </c>
      <c r="E517" s="120">
        <v>9043626</v>
      </c>
      <c r="F517" s="120" t="s">
        <v>251</v>
      </c>
      <c r="G517" s="120">
        <v>8624079.831690127</v>
      </c>
      <c r="H517" s="120" t="s">
        <v>251</v>
      </c>
      <c r="I517" s="120">
        <v>413911.39457393059</v>
      </c>
      <c r="J517" s="120">
        <v>5634.773735942761</v>
      </c>
      <c r="K517" s="120" t="s">
        <v>251</v>
      </c>
      <c r="L517" s="120" t="s">
        <v>251</v>
      </c>
      <c r="M517" s="120">
        <v>459.38419533320098</v>
      </c>
      <c r="N517" s="120" t="s">
        <v>251</v>
      </c>
      <c r="O517" s="120">
        <v>5175.3895406095598</v>
      </c>
      <c r="P517" s="120">
        <v>2237.8407128331182</v>
      </c>
      <c r="Q517" s="120">
        <v>2937.5488277764416</v>
      </c>
      <c r="R517" s="120"/>
      <c r="S517" s="121"/>
    </row>
    <row r="518" spans="1:19" ht="15">
      <c r="A518" s="105">
        <v>26</v>
      </c>
      <c r="B518" s="129" t="str">
        <f t="shared" si="17"/>
        <v>587</v>
      </c>
      <c r="C518" s="107" t="s">
        <v>666</v>
      </c>
      <c r="D518" s="107" t="s">
        <v>663</v>
      </c>
      <c r="E518" s="120">
        <v>0</v>
      </c>
      <c r="F518" s="120" t="s">
        <v>251</v>
      </c>
      <c r="G518" s="120">
        <v>0</v>
      </c>
      <c r="H518" s="120" t="s">
        <v>251</v>
      </c>
      <c r="I518" s="120">
        <v>0</v>
      </c>
      <c r="J518" s="120">
        <v>0</v>
      </c>
      <c r="K518" s="120" t="s">
        <v>251</v>
      </c>
      <c r="L518" s="120" t="s">
        <v>251</v>
      </c>
      <c r="M518" s="120">
        <v>0</v>
      </c>
      <c r="N518" s="120" t="s">
        <v>251</v>
      </c>
      <c r="O518" s="120">
        <v>0</v>
      </c>
      <c r="P518" s="120">
        <v>0</v>
      </c>
      <c r="Q518" s="120">
        <v>0</v>
      </c>
      <c r="R518" s="120"/>
      <c r="S518" s="121"/>
    </row>
    <row r="519" spans="1:19" ht="15">
      <c r="A519" s="105">
        <v>27</v>
      </c>
      <c r="B519" s="129" t="str">
        <f t="shared" si="17"/>
        <v>588</v>
      </c>
      <c r="C519" s="107" t="s">
        <v>668</v>
      </c>
      <c r="D519" s="107" t="s">
        <v>502</v>
      </c>
      <c r="E519" s="120">
        <v>7980328.9999999991</v>
      </c>
      <c r="F519" s="120" t="s">
        <v>251</v>
      </c>
      <c r="G519" s="120">
        <v>7572405.1262109959</v>
      </c>
      <c r="H519" s="120" t="s">
        <v>251</v>
      </c>
      <c r="I519" s="120">
        <v>390933.82687273849</v>
      </c>
      <c r="J519" s="120">
        <v>16990.046916265183</v>
      </c>
      <c r="K519" s="120" t="s">
        <v>251</v>
      </c>
      <c r="L519" s="120" t="s">
        <v>251</v>
      </c>
      <c r="M519" s="120">
        <v>2614.6168513268854</v>
      </c>
      <c r="N519" s="120" t="s">
        <v>251</v>
      </c>
      <c r="O519" s="120">
        <v>14375.430064938297</v>
      </c>
      <c r="P519" s="120">
        <v>14270.105846364637</v>
      </c>
      <c r="Q519" s="120">
        <v>105.32421857366059</v>
      </c>
      <c r="R519" s="120"/>
      <c r="S519" s="121"/>
    </row>
    <row r="520" spans="1:19" ht="15">
      <c r="A520" s="105">
        <v>28</v>
      </c>
      <c r="B520" s="129" t="str">
        <f t="shared" si="17"/>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7"/>
        <v xml:space="preserve">  T</v>
      </c>
      <c r="C521" s="107" t="s">
        <v>670</v>
      </c>
      <c r="D521" s="107" t="s">
        <v>251</v>
      </c>
      <c r="E521" s="120">
        <v>27482203</v>
      </c>
      <c r="F521" s="120" t="s">
        <v>251</v>
      </c>
      <c r="G521" s="120">
        <v>26018355.327100269</v>
      </c>
      <c r="H521" s="120" t="s">
        <v>251</v>
      </c>
      <c r="I521" s="120">
        <v>1400308.3201289114</v>
      </c>
      <c r="J521" s="120">
        <v>63539.352770822021</v>
      </c>
      <c r="K521" s="120" t="s">
        <v>251</v>
      </c>
      <c r="L521" s="120" t="s">
        <v>251</v>
      </c>
      <c r="M521" s="120">
        <v>9241.721877932303</v>
      </c>
      <c r="N521" s="120" t="s">
        <v>251</v>
      </c>
      <c r="O521" s="120">
        <v>54297.63089288972</v>
      </c>
      <c r="P521" s="120">
        <v>51228.592152680896</v>
      </c>
      <c r="Q521" s="120">
        <v>3069.0387402088227</v>
      </c>
      <c r="R521" s="120"/>
      <c r="S521" s="121"/>
    </row>
    <row r="522" spans="1:19" ht="15">
      <c r="A522" s="105">
        <v>30</v>
      </c>
      <c r="B522" s="129" t="str">
        <f t="shared" si="17"/>
        <v>590</v>
      </c>
      <c r="C522" s="107" t="s">
        <v>671</v>
      </c>
      <c r="D522" s="107" t="s">
        <v>502</v>
      </c>
      <c r="E522" s="120">
        <v>77820</v>
      </c>
      <c r="F522" s="120" t="s">
        <v>251</v>
      </c>
      <c r="G522" s="120">
        <v>73842.13945587202</v>
      </c>
      <c r="H522" s="120" t="s">
        <v>251</v>
      </c>
      <c r="I522" s="120">
        <v>3812.1824811027855</v>
      </c>
      <c r="J522" s="120">
        <v>165.67806302519065</v>
      </c>
      <c r="K522" s="120" t="s">
        <v>251</v>
      </c>
      <c r="L522" s="120" t="s">
        <v>251</v>
      </c>
      <c r="M522" s="120">
        <v>25.496377827312408</v>
      </c>
      <c r="N522" s="120" t="s">
        <v>251</v>
      </c>
      <c r="O522" s="120">
        <v>140.18168519787824</v>
      </c>
      <c r="P522" s="120">
        <v>139.15461843291124</v>
      </c>
      <c r="Q522" s="120">
        <v>1.0270667649669916</v>
      </c>
      <c r="R522" s="120"/>
      <c r="S522" s="121"/>
    </row>
    <row r="523" spans="1:19" ht="15">
      <c r="A523" s="105">
        <v>31</v>
      </c>
      <c r="B523" s="129" t="str">
        <f t="shared" si="17"/>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7"/>
        <v>592</v>
      </c>
      <c r="C524" s="107" t="s">
        <v>673</v>
      </c>
      <c r="D524" s="107" t="s">
        <v>656</v>
      </c>
      <c r="E524" s="120">
        <v>1261918.0000000002</v>
      </c>
      <c r="F524" s="120" t="s">
        <v>251</v>
      </c>
      <c r="G524" s="120">
        <v>1202754.2020752642</v>
      </c>
      <c r="H524" s="120" t="s">
        <v>251</v>
      </c>
      <c r="I524" s="120">
        <v>41219.109690873331</v>
      </c>
      <c r="J524" s="120">
        <v>17944.68823386262</v>
      </c>
      <c r="K524" s="120" t="s">
        <v>251</v>
      </c>
      <c r="L524" s="120" t="s">
        <v>251</v>
      </c>
      <c r="M524" s="120">
        <v>2422.0164955905939</v>
      </c>
      <c r="N524" s="120" t="s">
        <v>251</v>
      </c>
      <c r="O524" s="120">
        <v>15522.671738272025</v>
      </c>
      <c r="P524" s="120">
        <v>15522.671738272025</v>
      </c>
      <c r="Q524" s="120">
        <v>0</v>
      </c>
      <c r="R524" s="120"/>
      <c r="S524" s="121"/>
    </row>
    <row r="525" spans="1:19" ht="15">
      <c r="A525" s="105">
        <v>33</v>
      </c>
      <c r="B525" s="129" t="str">
        <f t="shared" si="17"/>
        <v>593</v>
      </c>
      <c r="C525" s="107" t="s">
        <v>674</v>
      </c>
      <c r="D525" s="107" t="s">
        <v>659</v>
      </c>
      <c r="E525" s="120">
        <v>32497874.000000004</v>
      </c>
      <c r="F525" s="120" t="s">
        <v>251</v>
      </c>
      <c r="G525" s="120">
        <v>30523884.695827045</v>
      </c>
      <c r="H525" s="120" t="s">
        <v>251</v>
      </c>
      <c r="I525" s="120">
        <v>1970888.3242670882</v>
      </c>
      <c r="J525" s="120">
        <v>3100.9799058707158</v>
      </c>
      <c r="K525" s="120" t="s">
        <v>251</v>
      </c>
      <c r="L525" s="120" t="s">
        <v>251</v>
      </c>
      <c r="M525" s="120">
        <v>3100.9799058707158</v>
      </c>
      <c r="N525" s="120" t="s">
        <v>251</v>
      </c>
      <c r="O525" s="120">
        <v>0</v>
      </c>
      <c r="P525" s="120">
        <v>0</v>
      </c>
      <c r="Q525" s="120">
        <v>0</v>
      </c>
      <c r="R525" s="120"/>
      <c r="S525" s="121"/>
    </row>
    <row r="526" spans="1:19" ht="15">
      <c r="A526" s="105">
        <v>34</v>
      </c>
      <c r="B526" s="129" t="str">
        <f t="shared" si="17"/>
        <v>594</v>
      </c>
      <c r="C526" s="107" t="s">
        <v>675</v>
      </c>
      <c r="D526" s="107" t="s">
        <v>661</v>
      </c>
      <c r="E526" s="120">
        <v>676994</v>
      </c>
      <c r="F526" s="120" t="s">
        <v>251</v>
      </c>
      <c r="G526" s="120">
        <v>661498.43082776165</v>
      </c>
      <c r="H526" s="120" t="s">
        <v>251</v>
      </c>
      <c r="I526" s="120">
        <v>15495.569172238382</v>
      </c>
      <c r="J526" s="120">
        <v>0</v>
      </c>
      <c r="K526" s="120" t="s">
        <v>251</v>
      </c>
      <c r="L526" s="120" t="s">
        <v>251</v>
      </c>
      <c r="M526" s="120">
        <v>0</v>
      </c>
      <c r="N526" s="120" t="s">
        <v>251</v>
      </c>
      <c r="O526" s="120">
        <v>0</v>
      </c>
      <c r="P526" s="120">
        <v>0</v>
      </c>
      <c r="Q526" s="120">
        <v>0</v>
      </c>
      <c r="R526" s="120"/>
      <c r="S526" s="121"/>
    </row>
    <row r="527" spans="1:19" ht="15">
      <c r="A527" s="105">
        <v>35</v>
      </c>
      <c r="B527" s="129" t="str">
        <f t="shared" si="17"/>
        <v>595</v>
      </c>
      <c r="C527" s="107" t="s">
        <v>676</v>
      </c>
      <c r="D527" s="107" t="s">
        <v>677</v>
      </c>
      <c r="E527" s="120">
        <v>112703.00000000001</v>
      </c>
      <c r="F527" s="120" t="s">
        <v>251</v>
      </c>
      <c r="G527" s="120">
        <v>108850.80399897524</v>
      </c>
      <c r="H527" s="120" t="s">
        <v>251</v>
      </c>
      <c r="I527" s="120">
        <v>3851.1217767424068</v>
      </c>
      <c r="J527" s="120">
        <v>1.0742242823558146</v>
      </c>
      <c r="K527" s="120" t="s">
        <v>251</v>
      </c>
      <c r="L527" s="120" t="s">
        <v>251</v>
      </c>
      <c r="M527" s="120">
        <v>1.0742242823558146</v>
      </c>
      <c r="N527" s="120" t="s">
        <v>251</v>
      </c>
      <c r="O527" s="120">
        <v>0</v>
      </c>
      <c r="P527" s="120">
        <v>0</v>
      </c>
      <c r="Q527" s="120">
        <v>0</v>
      </c>
      <c r="R527" s="120"/>
      <c r="S527" s="121"/>
    </row>
    <row r="528" spans="1:19" ht="15">
      <c r="A528" s="105">
        <v>36</v>
      </c>
      <c r="B528" s="129" t="str">
        <f t="shared" si="17"/>
        <v>596</v>
      </c>
      <c r="C528" s="107" t="s">
        <v>678</v>
      </c>
      <c r="D528" s="107" t="s">
        <v>663</v>
      </c>
      <c r="E528" s="120">
        <v>0</v>
      </c>
      <c r="F528" s="120" t="s">
        <v>251</v>
      </c>
      <c r="G528" s="120">
        <v>0</v>
      </c>
      <c r="H528" s="120" t="s">
        <v>251</v>
      </c>
      <c r="I528" s="120">
        <v>0</v>
      </c>
      <c r="J528" s="120">
        <v>0</v>
      </c>
      <c r="K528" s="120" t="s">
        <v>251</v>
      </c>
      <c r="L528" s="120" t="s">
        <v>251</v>
      </c>
      <c r="M528" s="120">
        <v>0</v>
      </c>
      <c r="N528" s="120" t="s">
        <v>251</v>
      </c>
      <c r="O528" s="120">
        <v>0</v>
      </c>
      <c r="P528" s="120">
        <v>0</v>
      </c>
      <c r="Q528" s="120">
        <v>0</v>
      </c>
      <c r="R528" s="120"/>
      <c r="S528" s="121"/>
    </row>
    <row r="529" spans="1:19" ht="15">
      <c r="A529" s="105">
        <v>37</v>
      </c>
      <c r="B529" s="129" t="str">
        <f t="shared" si="17"/>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7"/>
        <v>598</v>
      </c>
      <c r="C530" s="107" t="s">
        <v>680</v>
      </c>
      <c r="D530" s="107" t="s">
        <v>502</v>
      </c>
      <c r="E530" s="120">
        <v>352608</v>
      </c>
      <c r="F530" s="120" t="s">
        <v>251</v>
      </c>
      <c r="G530" s="120">
        <v>334584.02864631359</v>
      </c>
      <c r="H530" s="120" t="s">
        <v>251</v>
      </c>
      <c r="I530" s="120">
        <v>17273.272170350694</v>
      </c>
      <c r="J530" s="120">
        <v>750.69918333572866</v>
      </c>
      <c r="K530" s="120" t="s">
        <v>251</v>
      </c>
      <c r="L530" s="120" t="s">
        <v>251</v>
      </c>
      <c r="M530" s="120">
        <v>115.52591612609835</v>
      </c>
      <c r="N530" s="120" t="s">
        <v>251</v>
      </c>
      <c r="O530" s="120">
        <v>635.17326720963035</v>
      </c>
      <c r="P530" s="120">
        <v>630.51955405283934</v>
      </c>
      <c r="Q530" s="120">
        <v>4.6537131567910688</v>
      </c>
      <c r="R530" s="120"/>
      <c r="S530" s="121"/>
    </row>
    <row r="531" spans="1:19" ht="15">
      <c r="A531" s="105">
        <v>39</v>
      </c>
      <c r="B531" s="129" t="str">
        <f t="shared" si="17"/>
        <v xml:space="preserve">  T</v>
      </c>
      <c r="C531" s="107" t="s">
        <v>681</v>
      </c>
      <c r="D531" s="107" t="s">
        <v>251</v>
      </c>
      <c r="E531" s="120">
        <v>34979917.000000007</v>
      </c>
      <c r="F531" s="120" t="s">
        <v>251</v>
      </c>
      <c r="G531" s="120">
        <v>32905414.300831232</v>
      </c>
      <c r="H531" s="120" t="s">
        <v>251</v>
      </c>
      <c r="I531" s="120">
        <v>2052539.5795583958</v>
      </c>
      <c r="J531" s="120">
        <v>21963.119610376612</v>
      </c>
      <c r="K531" s="120" t="s">
        <v>251</v>
      </c>
      <c r="L531" s="120" t="s">
        <v>251</v>
      </c>
      <c r="M531" s="120">
        <v>5665.0929196970765</v>
      </c>
      <c r="N531" s="120" t="s">
        <v>251</v>
      </c>
      <c r="O531" s="120">
        <v>16298.026690679535</v>
      </c>
      <c r="P531" s="120">
        <v>16292.345910757776</v>
      </c>
      <c r="Q531" s="120">
        <v>5.6807799217580603</v>
      </c>
      <c r="R531" s="120"/>
      <c r="S531" s="121"/>
    </row>
    <row r="532" spans="1:19" ht="15">
      <c r="A532" s="105" t="s">
        <v>251</v>
      </c>
      <c r="B532" s="129" t="str">
        <f t="shared" si="17"/>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7"/>
        <v>TAL</v>
      </c>
      <c r="C533" s="107" t="s">
        <v>682</v>
      </c>
      <c r="D533" s="107" t="s">
        <v>251</v>
      </c>
      <c r="E533" s="120">
        <v>62462120.000000007</v>
      </c>
      <c r="F533" s="120" t="s">
        <v>251</v>
      </c>
      <c r="G533" s="120">
        <v>58923769.627931505</v>
      </c>
      <c r="H533" s="120" t="s">
        <v>251</v>
      </c>
      <c r="I533" s="120">
        <v>3452847.899687307</v>
      </c>
      <c r="J533" s="120">
        <v>85502.472381198648</v>
      </c>
      <c r="K533" s="120" t="s">
        <v>251</v>
      </c>
      <c r="L533" s="120" t="s">
        <v>251</v>
      </c>
      <c r="M533" s="120">
        <v>14906.81479762938</v>
      </c>
      <c r="N533" s="120" t="s">
        <v>251</v>
      </c>
      <c r="O533" s="120">
        <v>70595.657583569264</v>
      </c>
      <c r="P533" s="120">
        <v>67520.938063438676</v>
      </c>
      <c r="Q533" s="120">
        <v>3074.7195201305808</v>
      </c>
      <c r="R533" s="120"/>
      <c r="S533" s="121"/>
    </row>
    <row r="534" spans="1:19" ht="15">
      <c r="A534" s="105" t="s">
        <v>251</v>
      </c>
      <c r="B534" s="129" t="str">
        <f t="shared" si="17"/>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7"/>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7"/>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7"/>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7"/>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7"/>
        <v>901</v>
      </c>
      <c r="C539" s="107" t="s">
        <v>684</v>
      </c>
      <c r="D539" s="107" t="s">
        <v>685</v>
      </c>
      <c r="E539" s="120">
        <v>4201987.9999999898</v>
      </c>
      <c r="F539" s="120" t="s">
        <v>251</v>
      </c>
      <c r="G539" s="120">
        <v>3992022.870045648</v>
      </c>
      <c r="H539" s="120" t="s">
        <v>251</v>
      </c>
      <c r="I539" s="120">
        <v>208763.62067979472</v>
      </c>
      <c r="J539" s="120">
        <v>1201.5092745468774</v>
      </c>
      <c r="K539" s="120" t="s">
        <v>251</v>
      </c>
      <c r="L539" s="120" t="s">
        <v>251</v>
      </c>
      <c r="M539" s="120">
        <v>27.684545496471824</v>
      </c>
      <c r="N539" s="120" t="s">
        <v>251</v>
      </c>
      <c r="O539" s="120">
        <v>1173.8247290504055</v>
      </c>
      <c r="P539" s="120">
        <v>470.63727344002098</v>
      </c>
      <c r="Q539" s="120">
        <v>703.1874556103844</v>
      </c>
      <c r="R539" s="120"/>
      <c r="S539" s="121"/>
    </row>
    <row r="540" spans="1:19" ht="15">
      <c r="A540" s="105">
        <v>2</v>
      </c>
      <c r="B540" s="129" t="str">
        <f t="shared" si="17"/>
        <v>902</v>
      </c>
      <c r="C540" s="107" t="s">
        <v>686</v>
      </c>
      <c r="D540" s="107" t="s">
        <v>687</v>
      </c>
      <c r="E540" s="120">
        <v>9154025</v>
      </c>
      <c r="F540" s="120" t="s">
        <v>251</v>
      </c>
      <c r="G540" s="120">
        <v>8696616.2571072802</v>
      </c>
      <c r="H540" s="120" t="s">
        <v>251</v>
      </c>
      <c r="I540" s="120">
        <v>454791.25661314657</v>
      </c>
      <c r="J540" s="120">
        <v>2617.4862795738595</v>
      </c>
      <c r="K540" s="120" t="s">
        <v>251</v>
      </c>
      <c r="L540" s="120" t="s">
        <v>251</v>
      </c>
      <c r="M540" s="120">
        <v>60.310743768982938</v>
      </c>
      <c r="N540" s="120" t="s">
        <v>251</v>
      </c>
      <c r="O540" s="120">
        <v>2557.1755358048767</v>
      </c>
      <c r="P540" s="120">
        <v>1025.2826440727099</v>
      </c>
      <c r="Q540" s="120">
        <v>1531.8928917321668</v>
      </c>
      <c r="R540" s="120"/>
      <c r="S540" s="121"/>
    </row>
    <row r="541" spans="1:19" ht="15">
      <c r="A541" s="105">
        <v>3</v>
      </c>
      <c r="B541" s="129" t="str">
        <f t="shared" si="17"/>
        <v>903</v>
      </c>
      <c r="C541" s="107" t="s">
        <v>688</v>
      </c>
      <c r="D541" s="107" t="s">
        <v>689</v>
      </c>
      <c r="E541" s="120">
        <v>21135404</v>
      </c>
      <c r="F541" s="120" t="s">
        <v>251</v>
      </c>
      <c r="G541" s="120">
        <v>20079309.159296617</v>
      </c>
      <c r="H541" s="120" t="s">
        <v>251</v>
      </c>
      <c r="I541" s="120">
        <v>1050051.4193686957</v>
      </c>
      <c r="J541" s="120">
        <v>6043.4213346861598</v>
      </c>
      <c r="K541" s="120" t="s">
        <v>251</v>
      </c>
      <c r="L541" s="120" t="s">
        <v>251</v>
      </c>
      <c r="M541" s="120">
        <v>139.24933950889769</v>
      </c>
      <c r="N541" s="120" t="s">
        <v>251</v>
      </c>
      <c r="O541" s="120">
        <v>5904.171995177262</v>
      </c>
      <c r="P541" s="120">
        <v>2367.2387716512608</v>
      </c>
      <c r="Q541" s="120">
        <v>3536.9332235260013</v>
      </c>
      <c r="R541" s="120"/>
      <c r="S541" s="121"/>
    </row>
    <row r="542" spans="1:19" ht="15">
      <c r="A542" s="105">
        <v>4</v>
      </c>
      <c r="B542" s="129" t="str">
        <f t="shared" si="17"/>
        <v>904</v>
      </c>
      <c r="C542" s="107" t="s">
        <v>690</v>
      </c>
      <c r="D542" s="107" t="s">
        <v>691</v>
      </c>
      <c r="E542" s="120">
        <v>5155113.129999999</v>
      </c>
      <c r="F542" s="120" t="s">
        <v>251</v>
      </c>
      <c r="G542" s="120">
        <v>4897522.1996428007</v>
      </c>
      <c r="H542" s="120" t="s">
        <v>251</v>
      </c>
      <c r="I542" s="120">
        <v>256116.88611027732</v>
      </c>
      <c r="J542" s="120">
        <v>1474.0442469215513</v>
      </c>
      <c r="K542" s="120" t="s">
        <v>251</v>
      </c>
      <c r="L542" s="120" t="s">
        <v>251</v>
      </c>
      <c r="M542" s="120">
        <v>33.964153154874452</v>
      </c>
      <c r="N542" s="120" t="s">
        <v>251</v>
      </c>
      <c r="O542" s="120">
        <v>1440.080093766677</v>
      </c>
      <c r="P542" s="120">
        <v>577.3906036328658</v>
      </c>
      <c r="Q542" s="120">
        <v>862.6894901338112</v>
      </c>
      <c r="R542" s="120"/>
      <c r="S542" s="121"/>
    </row>
    <row r="543" spans="1:19" ht="15">
      <c r="A543" s="105">
        <v>5</v>
      </c>
      <c r="B543" s="129" t="str">
        <f t="shared" si="17"/>
        <v>905</v>
      </c>
      <c r="C543" s="107" t="s">
        <v>692</v>
      </c>
      <c r="D543" s="107" t="s">
        <v>693</v>
      </c>
      <c r="E543" s="120">
        <v>0</v>
      </c>
      <c r="F543" s="120" t="s">
        <v>251</v>
      </c>
      <c r="G543" s="120">
        <v>0</v>
      </c>
      <c r="H543" s="120" t="s">
        <v>251</v>
      </c>
      <c r="I543" s="120">
        <v>0</v>
      </c>
      <c r="J543" s="120">
        <v>0</v>
      </c>
      <c r="K543" s="120" t="s">
        <v>251</v>
      </c>
      <c r="L543" s="120" t="s">
        <v>251</v>
      </c>
      <c r="M543" s="120">
        <v>0</v>
      </c>
      <c r="N543" s="120" t="s">
        <v>251</v>
      </c>
      <c r="O543" s="120">
        <v>0</v>
      </c>
      <c r="P543" s="120">
        <v>0</v>
      </c>
      <c r="Q543" s="120">
        <v>0</v>
      </c>
      <c r="R543" s="120"/>
      <c r="S543" s="121"/>
    </row>
    <row r="544" spans="1:19" ht="15">
      <c r="A544" s="105">
        <v>6</v>
      </c>
      <c r="B544" s="129" t="str">
        <f t="shared" si="17"/>
        <v>TAL</v>
      </c>
      <c r="C544" s="107" t="s">
        <v>694</v>
      </c>
      <c r="D544" s="107" t="s">
        <v>251</v>
      </c>
      <c r="E544" s="120">
        <v>39646530.129999988</v>
      </c>
      <c r="F544" s="120" t="s">
        <v>251</v>
      </c>
      <c r="G544" s="120">
        <v>37665470.486092344</v>
      </c>
      <c r="H544" s="120" t="s">
        <v>251</v>
      </c>
      <c r="I544" s="120">
        <v>1969723.1827719144</v>
      </c>
      <c r="J544" s="120">
        <v>11336.461135728447</v>
      </c>
      <c r="K544" s="120" t="s">
        <v>251</v>
      </c>
      <c r="L544" s="120" t="s">
        <v>251</v>
      </c>
      <c r="M544" s="120">
        <v>261.20878192922692</v>
      </c>
      <c r="N544" s="120" t="s">
        <v>251</v>
      </c>
      <c r="O544" s="120">
        <v>11075.25235379922</v>
      </c>
      <c r="P544" s="120">
        <v>4440.5492927968571</v>
      </c>
      <c r="Q544" s="120">
        <v>6634.703061002363</v>
      </c>
      <c r="R544" s="120"/>
      <c r="S544" s="121"/>
    </row>
    <row r="545" spans="1:19" ht="15">
      <c r="A545" s="105" t="s">
        <v>251</v>
      </c>
      <c r="B545" s="129" t="str">
        <f t="shared" si="17"/>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7"/>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7"/>
        <v>907</v>
      </c>
      <c r="C547" s="107" t="s">
        <v>696</v>
      </c>
      <c r="D547" s="107" t="s">
        <v>697</v>
      </c>
      <c r="E547" s="120">
        <v>656372.99999999988</v>
      </c>
      <c r="F547" s="120" t="s">
        <v>251</v>
      </c>
      <c r="G547" s="120">
        <v>648022.61544354004</v>
      </c>
      <c r="H547" s="120" t="s">
        <v>251</v>
      </c>
      <c r="I547" s="120">
        <v>8349.4938804423928</v>
      </c>
      <c r="J547" s="120">
        <v>0.89067601754176917</v>
      </c>
      <c r="K547" s="120" t="s">
        <v>251</v>
      </c>
      <c r="L547" s="120" t="s">
        <v>251</v>
      </c>
      <c r="M547" s="120">
        <v>0.89067601754176917</v>
      </c>
      <c r="N547" s="120" t="s">
        <v>251</v>
      </c>
      <c r="O547" s="120">
        <v>0</v>
      </c>
      <c r="P547" s="120">
        <v>0</v>
      </c>
      <c r="Q547" s="120">
        <v>0</v>
      </c>
      <c r="R547" s="120"/>
      <c r="S547" s="121"/>
    </row>
    <row r="548" spans="1:19" ht="15">
      <c r="A548" s="105">
        <v>8</v>
      </c>
      <c r="B548" s="129" t="str">
        <f t="shared" si="17"/>
        <v>908</v>
      </c>
      <c r="C548" s="107" t="s">
        <v>698</v>
      </c>
      <c r="D548" s="107" t="s">
        <v>699</v>
      </c>
      <c r="E548" s="120">
        <v>8346211.9999999991</v>
      </c>
      <c r="F548" s="120" t="s">
        <v>251</v>
      </c>
      <c r="G548" s="120">
        <v>8346211.9999999991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7"/>
        <v>909</v>
      </c>
      <c r="C549" s="107" t="s">
        <v>700</v>
      </c>
      <c r="D549" s="107" t="s">
        <v>701</v>
      </c>
      <c r="E549" s="120">
        <v>1859152</v>
      </c>
      <c r="F549" s="120" t="s">
        <v>251</v>
      </c>
      <c r="G549" s="120">
        <v>1764188.3321898093</v>
      </c>
      <c r="H549" s="120" t="s">
        <v>251</v>
      </c>
      <c r="I549" s="120">
        <v>94953.538712436683</v>
      </c>
      <c r="J549" s="120">
        <v>10.129097754055758</v>
      </c>
      <c r="K549" s="120" t="s">
        <v>251</v>
      </c>
      <c r="L549" s="120" t="s">
        <v>251</v>
      </c>
      <c r="M549" s="120">
        <v>10.129097754055758</v>
      </c>
      <c r="N549" s="120" t="s">
        <v>251</v>
      </c>
      <c r="O549" s="120">
        <v>0</v>
      </c>
      <c r="P549" s="120">
        <v>0</v>
      </c>
      <c r="Q549" s="120">
        <v>0</v>
      </c>
      <c r="R549" s="120"/>
      <c r="S549" s="121"/>
    </row>
    <row r="550" spans="1:19" ht="15">
      <c r="A550" s="105">
        <v>10</v>
      </c>
      <c r="B550" s="129" t="str">
        <f t="shared" si="17"/>
        <v>910</v>
      </c>
      <c r="C550" s="107" t="s">
        <v>702</v>
      </c>
      <c r="D550" s="107" t="s">
        <v>703</v>
      </c>
      <c r="E550" s="120">
        <v>1520197.99999999</v>
      </c>
      <c r="F550" s="120" t="s">
        <v>251</v>
      </c>
      <c r="G550" s="120">
        <v>1506052.1471055988</v>
      </c>
      <c r="H550" s="120" t="s">
        <v>251</v>
      </c>
      <c r="I550" s="120">
        <v>14144.344057063316</v>
      </c>
      <c r="J550" s="120">
        <v>1.50883732785229</v>
      </c>
      <c r="K550" s="120" t="s">
        <v>251</v>
      </c>
      <c r="L550" s="120" t="s">
        <v>251</v>
      </c>
      <c r="M550" s="120">
        <v>1.50883732785229</v>
      </c>
      <c r="N550" s="120" t="s">
        <v>251</v>
      </c>
      <c r="O550" s="120">
        <v>0</v>
      </c>
      <c r="P550" s="120">
        <v>0</v>
      </c>
      <c r="Q550" s="120">
        <v>0</v>
      </c>
      <c r="R550" s="120"/>
      <c r="S550" s="121"/>
    </row>
    <row r="551" spans="1:19" ht="15">
      <c r="A551" s="105">
        <v>11</v>
      </c>
      <c r="B551" s="129" t="str">
        <f t="shared" si="17"/>
        <v>TAL</v>
      </c>
      <c r="C551" s="107" t="s">
        <v>704</v>
      </c>
      <c r="D551" s="107" t="s">
        <v>251</v>
      </c>
      <c r="E551" s="120">
        <v>12381934.999999989</v>
      </c>
      <c r="F551" s="120" t="s">
        <v>251</v>
      </c>
      <c r="G551" s="120">
        <v>12264475.094738947</v>
      </c>
      <c r="H551" s="120" t="s">
        <v>251</v>
      </c>
      <c r="I551" s="120">
        <v>117447.37664994238</v>
      </c>
      <c r="J551" s="120">
        <v>12.528611099449819</v>
      </c>
      <c r="K551" s="120" t="s">
        <v>251</v>
      </c>
      <c r="L551" s="120" t="s">
        <v>251</v>
      </c>
      <c r="M551" s="120">
        <v>12.528611099449819</v>
      </c>
      <c r="N551" s="120" t="s">
        <v>251</v>
      </c>
      <c r="O551" s="120">
        <v>0</v>
      </c>
      <c r="P551" s="120">
        <v>0</v>
      </c>
      <c r="Q551" s="120">
        <v>0</v>
      </c>
      <c r="R551" s="120"/>
      <c r="S551" s="121"/>
    </row>
    <row r="552" spans="1:19" ht="15">
      <c r="A552" s="105" t="s">
        <v>251</v>
      </c>
      <c r="B552" s="129" t="str">
        <f t="shared" si="17"/>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7"/>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7"/>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7"/>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7"/>
        <v>913</v>
      </c>
      <c r="C556" s="107" t="s">
        <v>709</v>
      </c>
      <c r="D556" s="107" t="s">
        <v>710</v>
      </c>
      <c r="E556" s="120">
        <v>1044482.0000000001</v>
      </c>
      <c r="F556" s="120" t="s">
        <v>251</v>
      </c>
      <c r="G556" s="120">
        <v>991130.87987548974</v>
      </c>
      <c r="H556" s="120" t="s">
        <v>251</v>
      </c>
      <c r="I556" s="120">
        <v>53345.429540695593</v>
      </c>
      <c r="J556" s="120">
        <v>5.6905838147454677</v>
      </c>
      <c r="K556" s="120" t="s">
        <v>251</v>
      </c>
      <c r="L556" s="120" t="s">
        <v>251</v>
      </c>
      <c r="M556" s="120">
        <v>5.6905838147454677</v>
      </c>
      <c r="N556" s="120" t="s">
        <v>251</v>
      </c>
      <c r="O556" s="120">
        <v>0</v>
      </c>
      <c r="P556" s="120">
        <v>0</v>
      </c>
      <c r="Q556" s="120">
        <v>0</v>
      </c>
      <c r="R556" s="120"/>
      <c r="S556" s="121"/>
    </row>
    <row r="557" spans="1:19" ht="15">
      <c r="A557" s="105">
        <v>15</v>
      </c>
      <c r="B557" s="129" t="str">
        <f t="shared" si="17"/>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7"/>
        <v>TAL</v>
      </c>
      <c r="C558" s="107" t="s">
        <v>713</v>
      </c>
      <c r="D558" s="107" t="s">
        <v>251</v>
      </c>
      <c r="E558" s="120">
        <v>1044482.0000000001</v>
      </c>
      <c r="F558" s="120" t="s">
        <v>251</v>
      </c>
      <c r="G558" s="120">
        <v>991130.87987548974</v>
      </c>
      <c r="H558" s="120" t="s">
        <v>251</v>
      </c>
      <c r="I558" s="120">
        <v>53345.429540695593</v>
      </c>
      <c r="J558" s="120">
        <v>5.6905838147454677</v>
      </c>
      <c r="K558" s="120" t="s">
        <v>251</v>
      </c>
      <c r="L558" s="120" t="s">
        <v>251</v>
      </c>
      <c r="M558" s="120">
        <v>5.6905838147454677</v>
      </c>
      <c r="N558" s="120" t="s">
        <v>251</v>
      </c>
      <c r="O558" s="120">
        <v>0</v>
      </c>
      <c r="P558" s="120">
        <v>0</v>
      </c>
      <c r="Q558" s="120">
        <v>0</v>
      </c>
      <c r="R558" s="120"/>
      <c r="S558" s="121"/>
    </row>
    <row r="559" spans="1:19" ht="15">
      <c r="A559" s="105" t="s">
        <v>251</v>
      </c>
      <c r="B559" s="129" t="str">
        <f t="shared" si="17"/>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7"/>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7"/>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7"/>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7"/>
        <v>924</v>
      </c>
      <c r="C563" s="107" t="s">
        <v>716</v>
      </c>
      <c r="D563" s="107" t="s">
        <v>717</v>
      </c>
      <c r="E563" s="120">
        <v>6197669.9999999991</v>
      </c>
      <c r="F563" s="120" t="s">
        <v>251</v>
      </c>
      <c r="G563" s="120">
        <v>5794833.5012654392</v>
      </c>
      <c r="H563" s="120" t="s">
        <v>251</v>
      </c>
      <c r="I563" s="120">
        <v>312727.21936858946</v>
      </c>
      <c r="J563" s="120">
        <v>90109.279365970622</v>
      </c>
      <c r="K563" s="120" t="s">
        <v>251</v>
      </c>
      <c r="L563" s="120" t="s">
        <v>251</v>
      </c>
      <c r="M563" s="120">
        <v>437.55407905219465</v>
      </c>
      <c r="N563" s="120" t="s">
        <v>251</v>
      </c>
      <c r="O563" s="120">
        <v>89671.72528691843</v>
      </c>
      <c r="P563" s="120">
        <v>46606.597550766914</v>
      </c>
      <c r="Q563" s="120">
        <v>43065.127736151517</v>
      </c>
      <c r="R563" s="120"/>
      <c r="S563" s="121"/>
    </row>
    <row r="564" spans="1:19" ht="15">
      <c r="A564" s="105">
        <v>18</v>
      </c>
      <c r="B564" s="129" t="str">
        <f t="shared" si="17"/>
        <v xml:space="preserve">   </v>
      </c>
      <c r="C564" s="107" t="s">
        <v>718</v>
      </c>
      <c r="D564" s="107" t="s">
        <v>251</v>
      </c>
      <c r="E564" s="120">
        <v>6197669.9999999991</v>
      </c>
      <c r="F564" s="120" t="s">
        <v>251</v>
      </c>
      <c r="G564" s="120">
        <v>5794833.5012654392</v>
      </c>
      <c r="H564" s="120" t="s">
        <v>251</v>
      </c>
      <c r="I564" s="120">
        <v>312727.21936858946</v>
      </c>
      <c r="J564" s="120">
        <v>90109.279365970622</v>
      </c>
      <c r="K564" s="120" t="s">
        <v>251</v>
      </c>
      <c r="L564" s="120" t="s">
        <v>251</v>
      </c>
      <c r="M564" s="120">
        <v>437.55407905219465</v>
      </c>
      <c r="N564" s="120" t="s">
        <v>251</v>
      </c>
      <c r="O564" s="120">
        <v>89671.72528691843</v>
      </c>
      <c r="P564" s="120">
        <v>46606.597550766914</v>
      </c>
      <c r="Q564" s="120">
        <v>43065.127736151517</v>
      </c>
      <c r="R564" s="120"/>
      <c r="S564" s="121"/>
    </row>
    <row r="565" spans="1:19" ht="15">
      <c r="A565" s="105" t="s">
        <v>251</v>
      </c>
      <c r="B565" s="129" t="str">
        <f t="shared" si="17"/>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7"/>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7"/>
        <v>920</v>
      </c>
      <c r="C567" s="107" t="s">
        <v>720</v>
      </c>
      <c r="D567" s="107" t="s">
        <v>419</v>
      </c>
      <c r="E567" s="120">
        <v>37810561</v>
      </c>
      <c r="F567" s="120" t="s">
        <v>251</v>
      </c>
      <c r="G567" s="120">
        <v>35568343.871449813</v>
      </c>
      <c r="H567" s="120" t="s">
        <v>251</v>
      </c>
      <c r="I567" s="120">
        <v>1789370.5242122922</v>
      </c>
      <c r="J567" s="120">
        <v>452846.60433789069</v>
      </c>
      <c r="K567" s="120" t="s">
        <v>251</v>
      </c>
      <c r="L567" s="120" t="s">
        <v>251</v>
      </c>
      <c r="M567" s="120">
        <v>2612.680550072072</v>
      </c>
      <c r="N567" s="120" t="s">
        <v>251</v>
      </c>
      <c r="O567" s="120">
        <v>450233.92378781864</v>
      </c>
      <c r="P567" s="120">
        <v>234677.1599165349</v>
      </c>
      <c r="Q567" s="120">
        <v>215556.76387128377</v>
      </c>
      <c r="R567" s="120"/>
      <c r="S567" s="121"/>
    </row>
    <row r="568" spans="1:19" ht="15">
      <c r="A568" s="105">
        <v>20</v>
      </c>
      <c r="B568" s="129" t="str">
        <f t="shared" si="17"/>
        <v>921</v>
      </c>
      <c r="C568" s="107" t="s">
        <v>721</v>
      </c>
      <c r="D568" s="107" t="s">
        <v>419</v>
      </c>
      <c r="E568" s="120">
        <v>10355241</v>
      </c>
      <c r="F568" s="120" t="s">
        <v>251</v>
      </c>
      <c r="G568" s="120">
        <v>9741161.2792451251</v>
      </c>
      <c r="H568" s="120" t="s">
        <v>251</v>
      </c>
      <c r="I568" s="120">
        <v>490057.87077622628</v>
      </c>
      <c r="J568" s="120">
        <v>124021.8499786476</v>
      </c>
      <c r="K568" s="120" t="s">
        <v>251</v>
      </c>
      <c r="L568" s="120" t="s">
        <v>251</v>
      </c>
      <c r="M568" s="120">
        <v>715.53915193188675</v>
      </c>
      <c r="N568" s="120" t="s">
        <v>251</v>
      </c>
      <c r="O568" s="120">
        <v>123306.31082671572</v>
      </c>
      <c r="P568" s="120">
        <v>64271.422688789484</v>
      </c>
      <c r="Q568" s="120">
        <v>59034.888137926231</v>
      </c>
      <c r="R568" s="120"/>
      <c r="S568" s="121"/>
    </row>
    <row r="569" spans="1:19" ht="15">
      <c r="A569" s="105">
        <v>21</v>
      </c>
      <c r="B569" s="129" t="str">
        <f t="shared" si="17"/>
        <v>922</v>
      </c>
      <c r="C569" s="107" t="s">
        <v>722</v>
      </c>
      <c r="D569" s="107" t="s">
        <v>419</v>
      </c>
      <c r="E569" s="120">
        <v>-6153656.9999999991</v>
      </c>
      <c r="F569" s="120" t="s">
        <v>251</v>
      </c>
      <c r="G569" s="120">
        <v>-5788736.8622474084</v>
      </c>
      <c r="H569" s="120" t="s">
        <v>251</v>
      </c>
      <c r="I569" s="120">
        <v>-291219.49425486283</v>
      </c>
      <c r="J569" s="120">
        <v>-73700.64349772784</v>
      </c>
      <c r="K569" s="120" t="s">
        <v>251</v>
      </c>
      <c r="L569" s="120" t="s">
        <v>251</v>
      </c>
      <c r="M569" s="120">
        <v>-425.21294396332434</v>
      </c>
      <c r="N569" s="120" t="s">
        <v>251</v>
      </c>
      <c r="O569" s="120">
        <v>-73275.430553764512</v>
      </c>
      <c r="P569" s="120">
        <v>-38193.634520802385</v>
      </c>
      <c r="Q569" s="120">
        <v>-35081.79603296212</v>
      </c>
      <c r="R569" s="120"/>
      <c r="S569" s="121"/>
    </row>
    <row r="570" spans="1:19" ht="15">
      <c r="A570" s="105">
        <v>22</v>
      </c>
      <c r="B570" s="129" t="str">
        <f t="shared" si="17"/>
        <v>923</v>
      </c>
      <c r="C570" s="107" t="s">
        <v>723</v>
      </c>
      <c r="D570" s="107" t="s">
        <v>419</v>
      </c>
      <c r="E570" s="120">
        <v>22071002.999999996</v>
      </c>
      <c r="F570" s="120" t="s">
        <v>251</v>
      </c>
      <c r="G570" s="120">
        <v>20762162.833071966</v>
      </c>
      <c r="H570" s="120" t="s">
        <v>251</v>
      </c>
      <c r="I570" s="120">
        <v>1044501.8842222699</v>
      </c>
      <c r="J570" s="120">
        <v>264338.28270576044</v>
      </c>
      <c r="K570" s="120" t="s">
        <v>251</v>
      </c>
      <c r="L570" s="120" t="s">
        <v>251</v>
      </c>
      <c r="M570" s="120">
        <v>1525.0892537321081</v>
      </c>
      <c r="N570" s="120" t="s">
        <v>251</v>
      </c>
      <c r="O570" s="120">
        <v>262813.19345202832</v>
      </c>
      <c r="P570" s="120">
        <v>136987.13173151072</v>
      </c>
      <c r="Q570" s="120">
        <v>125826.06172051759</v>
      </c>
      <c r="R570" s="120"/>
      <c r="S570" s="121"/>
    </row>
    <row r="571" spans="1:19" ht="15">
      <c r="A571" s="105">
        <v>23</v>
      </c>
      <c r="B571" s="129" t="str">
        <f t="shared" si="17"/>
        <v>925</v>
      </c>
      <c r="C571" s="107" t="s">
        <v>724</v>
      </c>
      <c r="D571" s="107" t="s">
        <v>419</v>
      </c>
      <c r="E571" s="120">
        <v>5008424.9999999991</v>
      </c>
      <c r="F571" s="120" t="s">
        <v>251</v>
      </c>
      <c r="G571" s="120">
        <v>4711418.6603675634</v>
      </c>
      <c r="H571" s="120" t="s">
        <v>251</v>
      </c>
      <c r="I571" s="120">
        <v>237021.82222919012</v>
      </c>
      <c r="J571" s="120">
        <v>59984.517403246151</v>
      </c>
      <c r="K571" s="120" t="s">
        <v>251</v>
      </c>
      <c r="L571" s="120" t="s">
        <v>251</v>
      </c>
      <c r="M571" s="120">
        <v>346.07829764796975</v>
      </c>
      <c r="N571" s="120" t="s">
        <v>251</v>
      </c>
      <c r="O571" s="120">
        <v>59638.439105598183</v>
      </c>
      <c r="P571" s="120">
        <v>31085.573013713583</v>
      </c>
      <c r="Q571" s="120">
        <v>28552.8660918846</v>
      </c>
      <c r="R571" s="120"/>
      <c r="S571" s="121"/>
    </row>
    <row r="572" spans="1:19" ht="15">
      <c r="A572" s="105">
        <v>24</v>
      </c>
      <c r="B572" s="129" t="str">
        <f t="shared" si="17"/>
        <v>926</v>
      </c>
      <c r="C572" s="107" t="s">
        <v>725</v>
      </c>
      <c r="D572" s="107" t="s">
        <v>419</v>
      </c>
      <c r="E572" s="120">
        <v>30445134.999999996</v>
      </c>
      <c r="F572" s="120" t="s">
        <v>251</v>
      </c>
      <c r="G572" s="120">
        <v>28639697.540925462</v>
      </c>
      <c r="H572" s="120" t="s">
        <v>251</v>
      </c>
      <c r="I572" s="120">
        <v>1440804.5195273354</v>
      </c>
      <c r="J572" s="120">
        <v>364632.93954719871</v>
      </c>
      <c r="K572" s="120" t="s">
        <v>251</v>
      </c>
      <c r="L572" s="120" t="s">
        <v>251</v>
      </c>
      <c r="M572" s="120">
        <v>2103.7353045044342</v>
      </c>
      <c r="N572" s="120" t="s">
        <v>251</v>
      </c>
      <c r="O572" s="120">
        <v>362529.20424269425</v>
      </c>
      <c r="P572" s="120">
        <v>188962.49159263977</v>
      </c>
      <c r="Q572" s="120">
        <v>173566.71265005448</v>
      </c>
      <c r="R572" s="120"/>
      <c r="S572" s="121"/>
    </row>
    <row r="573" spans="1:19" ht="15">
      <c r="A573" s="105">
        <v>25</v>
      </c>
      <c r="B573" s="129" t="str">
        <f t="shared" si="17"/>
        <v>926</v>
      </c>
      <c r="C573" s="107" t="s">
        <v>2244</v>
      </c>
      <c r="D573" s="107" t="s">
        <v>733</v>
      </c>
      <c r="E573" s="120">
        <v>0</v>
      </c>
      <c r="F573" s="120" t="s">
        <v>251</v>
      </c>
      <c r="G573" s="120">
        <v>0</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7"/>
        <v>926</v>
      </c>
      <c r="C574" s="107" t="s">
        <v>2245</v>
      </c>
      <c r="D574" s="107" t="s">
        <v>733</v>
      </c>
      <c r="E574" s="120">
        <v>61680.519244159201</v>
      </c>
      <c r="F574" s="120" t="s">
        <v>251</v>
      </c>
      <c r="G574" s="120">
        <v>0</v>
      </c>
      <c r="H574" s="120" t="s">
        <v>251</v>
      </c>
      <c r="I574" s="120">
        <v>61680.519244159201</v>
      </c>
      <c r="J574" s="120">
        <v>0</v>
      </c>
      <c r="K574" s="120" t="s">
        <v>251</v>
      </c>
      <c r="L574" s="120" t="s">
        <v>251</v>
      </c>
      <c r="M574" s="120">
        <v>0</v>
      </c>
      <c r="N574" s="120" t="s">
        <v>251</v>
      </c>
      <c r="O574" s="120">
        <v>0</v>
      </c>
      <c r="P574" s="120">
        <v>0</v>
      </c>
      <c r="Q574" s="120">
        <v>0</v>
      </c>
      <c r="R574" s="120"/>
      <c r="S574" s="121"/>
    </row>
    <row r="575" spans="1:19" ht="15">
      <c r="A575" s="105">
        <v>27</v>
      </c>
      <c r="B575" s="129" t="str">
        <f t="shared" si="17"/>
        <v>926</v>
      </c>
      <c r="C575" s="107" t="s">
        <v>2246</v>
      </c>
      <c r="D575" s="107" t="s">
        <v>733</v>
      </c>
      <c r="E575" s="120">
        <v>30328.480755840719</v>
      </c>
      <c r="F575" s="120" t="s">
        <v>251</v>
      </c>
      <c r="G575" s="120">
        <v>0</v>
      </c>
      <c r="H575" s="120" t="s">
        <v>251</v>
      </c>
      <c r="I575" s="120">
        <v>0</v>
      </c>
      <c r="J575" s="120">
        <v>30328.480755840719</v>
      </c>
      <c r="K575" s="120" t="s">
        <v>251</v>
      </c>
      <c r="L575" s="120" t="s">
        <v>251</v>
      </c>
      <c r="M575" s="120">
        <v>44.864616502723003</v>
      </c>
      <c r="N575" s="120" t="s">
        <v>251</v>
      </c>
      <c r="O575" s="120">
        <v>30283.616139337995</v>
      </c>
      <c r="P575" s="120">
        <v>15784.845725955623</v>
      </c>
      <c r="Q575" s="120">
        <v>14498.77041338237</v>
      </c>
      <c r="R575" s="120"/>
      <c r="S575" s="121"/>
    </row>
    <row r="576" spans="1:19" ht="15">
      <c r="A576" s="105">
        <v>28</v>
      </c>
      <c r="B576" s="129" t="str">
        <f t="shared" si="17"/>
        <v>930</v>
      </c>
      <c r="C576" s="107" t="s">
        <v>2247</v>
      </c>
      <c r="D576" s="107" t="s">
        <v>728</v>
      </c>
      <c r="E576" s="120">
        <v>3316.9999999999995</v>
      </c>
      <c r="F576" s="120" t="s">
        <v>251</v>
      </c>
      <c r="G576" s="120">
        <v>3157.9005285721546</v>
      </c>
      <c r="H576" s="120" t="s">
        <v>251</v>
      </c>
      <c r="I576" s="120">
        <v>158.86750714747581</v>
      </c>
      <c r="J576" s="120">
        <v>0.23196428036913486</v>
      </c>
      <c r="K576" s="120" t="s">
        <v>251</v>
      </c>
      <c r="L576" s="120" t="s">
        <v>251</v>
      </c>
      <c r="M576" s="120">
        <v>0.23196428036913486</v>
      </c>
      <c r="N576" s="120" t="s">
        <v>251</v>
      </c>
      <c r="O576" s="120">
        <v>0</v>
      </c>
      <c r="P576" s="120">
        <v>0</v>
      </c>
      <c r="Q576" s="120">
        <v>0</v>
      </c>
      <c r="R576" s="120"/>
      <c r="S576" s="121"/>
    </row>
    <row r="577" spans="1:19" ht="15">
      <c r="A577" s="105">
        <v>29</v>
      </c>
      <c r="B577" s="129" t="str">
        <f t="shared" ref="B577:B591" si="18">MID(C577,3,3)</f>
        <v>930</v>
      </c>
      <c r="C577" s="107" t="s">
        <v>2248</v>
      </c>
      <c r="D577" s="107" t="s">
        <v>419</v>
      </c>
      <c r="E577" s="120">
        <v>3706329.9999999898</v>
      </c>
      <c r="F577" s="120" t="s">
        <v>251</v>
      </c>
      <c r="G577" s="120">
        <v>3492614.4775637579</v>
      </c>
      <c r="H577" s="120" t="s">
        <v>251</v>
      </c>
      <c r="I577" s="120">
        <v>170552.7317335651</v>
      </c>
      <c r="J577" s="120">
        <v>43162.790702666709</v>
      </c>
      <c r="K577" s="120" t="s">
        <v>251</v>
      </c>
      <c r="L577" s="120" t="s">
        <v>251</v>
      </c>
      <c r="M577" s="120">
        <v>249.02601162389502</v>
      </c>
      <c r="N577" s="120" t="s">
        <v>251</v>
      </c>
      <c r="O577" s="120">
        <v>42913.764691042816</v>
      </c>
      <c r="P577" s="120">
        <v>22368.106637309938</v>
      </c>
      <c r="Q577" s="120">
        <v>20545.658053732874</v>
      </c>
      <c r="R577" s="120"/>
      <c r="S577" s="121"/>
    </row>
    <row r="578" spans="1:19" ht="15">
      <c r="A578" s="105">
        <v>30</v>
      </c>
      <c r="B578" s="129" t="str">
        <f t="shared" si="18"/>
        <v>931</v>
      </c>
      <c r="C578" s="107" t="s">
        <v>729</v>
      </c>
      <c r="D578" s="107" t="s">
        <v>419</v>
      </c>
      <c r="E578" s="120">
        <v>2989607</v>
      </c>
      <c r="F578" s="120" t="s">
        <v>251</v>
      </c>
      <c r="G578" s="120">
        <v>2812319.2834005682</v>
      </c>
      <c r="H578" s="120" t="s">
        <v>251</v>
      </c>
      <c r="I578" s="120">
        <v>141482.02256979837</v>
      </c>
      <c r="J578" s="120">
        <v>35805.694029633371</v>
      </c>
      <c r="K578" s="120" t="s">
        <v>251</v>
      </c>
      <c r="L578" s="120" t="s">
        <v>251</v>
      </c>
      <c r="M578" s="120">
        <v>206.57953372496422</v>
      </c>
      <c r="N578" s="120" t="s">
        <v>251</v>
      </c>
      <c r="O578" s="120">
        <v>35599.114495908405</v>
      </c>
      <c r="P578" s="120">
        <v>18555.463380365927</v>
      </c>
      <c r="Q578" s="120">
        <v>17043.651115542481</v>
      </c>
      <c r="R578" s="120"/>
      <c r="S578" s="121"/>
    </row>
    <row r="579" spans="1:19" ht="15">
      <c r="A579" s="105">
        <v>31</v>
      </c>
      <c r="B579" s="129" t="str">
        <f t="shared" si="18"/>
        <v>935</v>
      </c>
      <c r="C579" s="107" t="s">
        <v>730</v>
      </c>
      <c r="D579" s="107" t="s">
        <v>419</v>
      </c>
      <c r="E579" s="120">
        <v>1398785.9999999898</v>
      </c>
      <c r="F579" s="120" t="s">
        <v>251</v>
      </c>
      <c r="G579" s="120">
        <v>1315836.1086091646</v>
      </c>
      <c r="H579" s="120" t="s">
        <v>251</v>
      </c>
      <c r="I579" s="120">
        <v>66197.019348133908</v>
      </c>
      <c r="J579" s="120">
        <v>16752.872042691361</v>
      </c>
      <c r="K579" s="120" t="s">
        <v>251</v>
      </c>
      <c r="L579" s="120" t="s">
        <v>251</v>
      </c>
      <c r="M579" s="120">
        <v>96.655031802175245</v>
      </c>
      <c r="N579" s="120" t="s">
        <v>251</v>
      </c>
      <c r="O579" s="120">
        <v>16656.217010889184</v>
      </c>
      <c r="P579" s="120">
        <v>8681.7840605699512</v>
      </c>
      <c r="Q579" s="120">
        <v>7974.4329503192339</v>
      </c>
      <c r="R579" s="120"/>
      <c r="S579" s="121"/>
    </row>
    <row r="580" spans="1:19" ht="15">
      <c r="A580" s="105">
        <v>32</v>
      </c>
      <c r="B580" s="129" t="str">
        <f t="shared" si="18"/>
        <v xml:space="preserve">   </v>
      </c>
      <c r="C580" s="107" t="s">
        <v>731</v>
      </c>
      <c r="D580" s="107" t="s">
        <v>251</v>
      </c>
      <c r="E580" s="120">
        <v>107726756.99999997</v>
      </c>
      <c r="F580" s="120" t="s">
        <v>251</v>
      </c>
      <c r="G580" s="120">
        <v>101257975.09291458</v>
      </c>
      <c r="H580" s="120" t="s">
        <v>251</v>
      </c>
      <c r="I580" s="120">
        <v>5150608.2871152554</v>
      </c>
      <c r="J580" s="120">
        <v>1318173.6199701282</v>
      </c>
      <c r="K580" s="120" t="s">
        <v>251</v>
      </c>
      <c r="L580" s="120" t="s">
        <v>251</v>
      </c>
      <c r="M580" s="120">
        <v>7475.2667718592729</v>
      </c>
      <c r="N580" s="120" t="s">
        <v>251</v>
      </c>
      <c r="O580" s="120">
        <v>1310698.3531982689</v>
      </c>
      <c r="P580" s="120">
        <v>683180.34422658745</v>
      </c>
      <c r="Q580" s="120">
        <v>627518.00897168147</v>
      </c>
      <c r="R580" s="120"/>
      <c r="S580" s="121"/>
    </row>
    <row r="581" spans="1:19" ht="15">
      <c r="A581" s="105" t="s">
        <v>251</v>
      </c>
      <c r="B581" s="129" t="str">
        <f t="shared" si="18"/>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8"/>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1572907</v>
      </c>
      <c r="F583" s="120" t="s">
        <v>251</v>
      </c>
      <c r="G583" s="120">
        <v>1572907</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8"/>
        <v xml:space="preserve">  V</v>
      </c>
      <c r="C584" s="107" t="s">
        <v>735</v>
      </c>
      <c r="D584" s="107" t="s">
        <v>733</v>
      </c>
      <c r="E584" s="120">
        <v>43336</v>
      </c>
      <c r="F584" s="120" t="s">
        <v>251</v>
      </c>
      <c r="G584" s="120">
        <v>0</v>
      </c>
      <c r="H584" s="120" t="s">
        <v>251</v>
      </c>
      <c r="I584" s="120">
        <v>43336</v>
      </c>
      <c r="J584" s="120">
        <v>0</v>
      </c>
      <c r="K584" s="120" t="s">
        <v>251</v>
      </c>
      <c r="L584" s="120" t="s">
        <v>251</v>
      </c>
      <c r="M584" s="120">
        <v>0</v>
      </c>
      <c r="N584" s="120" t="s">
        <v>251</v>
      </c>
      <c r="O584" s="120">
        <v>0</v>
      </c>
      <c r="P584" s="120">
        <v>0</v>
      </c>
      <c r="Q584" s="120">
        <v>0</v>
      </c>
      <c r="R584" s="120"/>
      <c r="S584" s="121"/>
    </row>
    <row r="585" spans="1:19" ht="15">
      <c r="A585" s="105">
        <v>35</v>
      </c>
      <c r="B585" s="129" t="str">
        <f t="shared" si="18"/>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8"/>
        <v xml:space="preserve">  9</v>
      </c>
      <c r="C586" s="107" t="s">
        <v>737</v>
      </c>
      <c r="D586" s="107" t="s">
        <v>495</v>
      </c>
      <c r="E586" s="120">
        <v>441708</v>
      </c>
      <c r="F586" s="120" t="s">
        <v>251</v>
      </c>
      <c r="G586" s="120">
        <v>415651.2738559267</v>
      </c>
      <c r="H586" s="120" t="s">
        <v>251</v>
      </c>
      <c r="I586" s="120">
        <v>16956.676210514408</v>
      </c>
      <c r="J586" s="120">
        <v>9100.0499335589047</v>
      </c>
      <c r="K586" s="120" t="s">
        <v>251</v>
      </c>
      <c r="L586" s="120" t="s">
        <v>251</v>
      </c>
      <c r="M586" s="120">
        <v>1.8602279562441497</v>
      </c>
      <c r="N586" s="120" t="s">
        <v>251</v>
      </c>
      <c r="O586" s="120">
        <v>9098.189705602661</v>
      </c>
      <c r="P586" s="120">
        <v>4607.3929398675127</v>
      </c>
      <c r="Q586" s="120">
        <v>4490.7967657351483</v>
      </c>
      <c r="R586" s="120"/>
      <c r="S586" s="121"/>
    </row>
    <row r="587" spans="1:19" ht="15">
      <c r="A587" s="105">
        <v>37</v>
      </c>
      <c r="B587" s="129" t="str">
        <f t="shared" si="18"/>
        <v xml:space="preserve">   </v>
      </c>
      <c r="C587" s="107" t="s">
        <v>738</v>
      </c>
      <c r="D587" s="107" t="s">
        <v>251</v>
      </c>
      <c r="E587" s="120">
        <v>2057951</v>
      </c>
      <c r="F587" s="120" t="s">
        <v>251</v>
      </c>
      <c r="G587" s="120">
        <v>1988558.2738559267</v>
      </c>
      <c r="H587" s="120" t="s">
        <v>251</v>
      </c>
      <c r="I587" s="120">
        <v>60292.676210514408</v>
      </c>
      <c r="J587" s="120">
        <v>9100.0499335589047</v>
      </c>
      <c r="K587" s="120" t="s">
        <v>251</v>
      </c>
      <c r="L587" s="120" t="s">
        <v>251</v>
      </c>
      <c r="M587" s="120">
        <v>1.8602279562441497</v>
      </c>
      <c r="N587" s="120" t="s">
        <v>251</v>
      </c>
      <c r="O587" s="120">
        <v>9098.189705602661</v>
      </c>
      <c r="P587" s="120">
        <v>4607.3929398675127</v>
      </c>
      <c r="Q587" s="120">
        <v>4490.7967657351483</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8"/>
        <v>927</v>
      </c>
      <c r="C589" s="107" t="s">
        <v>739</v>
      </c>
      <c r="D589" s="107" t="s">
        <v>727</v>
      </c>
      <c r="E589" s="120">
        <v>0</v>
      </c>
      <c r="F589" s="120" t="s">
        <v>251</v>
      </c>
      <c r="G589" s="120">
        <v>0</v>
      </c>
      <c r="H589" s="120" t="s">
        <v>251</v>
      </c>
      <c r="I589" s="120">
        <v>0</v>
      </c>
      <c r="J589" s="120">
        <v>0</v>
      </c>
      <c r="K589" s="120" t="s">
        <v>251</v>
      </c>
      <c r="L589" s="120" t="s">
        <v>251</v>
      </c>
      <c r="M589" s="120">
        <v>0</v>
      </c>
      <c r="N589" s="120" t="s">
        <v>251</v>
      </c>
      <c r="O589" s="120">
        <v>0</v>
      </c>
      <c r="P589" s="120">
        <v>0</v>
      </c>
      <c r="Q589" s="120">
        <v>0</v>
      </c>
      <c r="R589" s="120"/>
      <c r="S589" s="121"/>
    </row>
    <row r="590" spans="1:19" ht="15">
      <c r="A590" s="105">
        <v>39</v>
      </c>
      <c r="B590" s="129" t="str">
        <f t="shared" si="18"/>
        <v>929</v>
      </c>
      <c r="C590" s="107" t="s">
        <v>726</v>
      </c>
      <c r="D590" s="107" t="s">
        <v>727</v>
      </c>
      <c r="E590" s="120">
        <v>0</v>
      </c>
      <c r="F590" s="120" t="s">
        <v>251</v>
      </c>
      <c r="G590" s="120">
        <v>0</v>
      </c>
      <c r="H590" s="120" t="s">
        <v>251</v>
      </c>
      <c r="I590" s="120">
        <v>0</v>
      </c>
      <c r="J590" s="120">
        <v>0</v>
      </c>
      <c r="K590" s="120" t="s">
        <v>251</v>
      </c>
      <c r="L590" s="120" t="s">
        <v>251</v>
      </c>
      <c r="M590" s="120">
        <v>0</v>
      </c>
      <c r="N590" s="120" t="s">
        <v>251</v>
      </c>
      <c r="O590" s="120">
        <v>0</v>
      </c>
      <c r="P590" s="120">
        <v>0</v>
      </c>
      <c r="Q590" s="120">
        <v>0</v>
      </c>
      <c r="R590" s="120"/>
      <c r="S590" s="121"/>
    </row>
    <row r="591" spans="1:19" ht="15">
      <c r="A591" s="105" t="s">
        <v>251</v>
      </c>
      <c r="B591" s="129" t="str">
        <f t="shared" si="18"/>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115982377.99999996</v>
      </c>
      <c r="F592" s="120" t="s">
        <v>251</v>
      </c>
      <c r="G592" s="120">
        <v>109041366.86803594</v>
      </c>
      <c r="H592" s="120" t="s">
        <v>251</v>
      </c>
      <c r="I592" s="120">
        <v>5523628.1826943588</v>
      </c>
      <c r="J592" s="120">
        <v>1417382.9492696577</v>
      </c>
      <c r="K592" s="120" t="s">
        <v>251</v>
      </c>
      <c r="L592" s="120" t="s">
        <v>251</v>
      </c>
      <c r="M592" s="120">
        <v>7914.6810788677112</v>
      </c>
      <c r="N592" s="120" t="s">
        <v>251</v>
      </c>
      <c r="O592" s="120">
        <v>1409468.26819079</v>
      </c>
      <c r="P592" s="120">
        <v>734394.33471722191</v>
      </c>
      <c r="Q592" s="120">
        <v>675073.93347356818</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938986321.69972622</v>
      </c>
      <c r="F594" s="120" t="s">
        <v>251</v>
      </c>
      <c r="G594" s="120">
        <v>880934432.22617733</v>
      </c>
      <c r="H594" s="120" t="s">
        <v>251</v>
      </c>
      <c r="I594" s="120">
        <v>42557095.398338728</v>
      </c>
      <c r="J594" s="120">
        <v>15494794.075210219</v>
      </c>
      <c r="K594" s="120" t="s">
        <v>251</v>
      </c>
      <c r="L594" s="120" t="s">
        <v>251</v>
      </c>
      <c r="M594" s="120">
        <v>25772.401961122789</v>
      </c>
      <c r="N594" s="120" t="s">
        <v>251</v>
      </c>
      <c r="O594" s="120">
        <v>15469021.673249096</v>
      </c>
      <c r="P594" s="120">
        <v>7886881.1591330906</v>
      </c>
      <c r="Q594" s="120">
        <v>7582140.514116006</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205968061.93875694</v>
      </c>
      <c r="F603" s="120" t="s">
        <v>251</v>
      </c>
      <c r="G603" s="120">
        <v>193077763.09317902</v>
      </c>
      <c r="H603" s="120" t="s">
        <v>251</v>
      </c>
      <c r="I603" s="120">
        <v>8841268.385230381</v>
      </c>
      <c r="J603" s="120">
        <v>4049030.4603475202</v>
      </c>
      <c r="K603" s="120" t="s">
        <v>251</v>
      </c>
      <c r="L603" s="120" t="s">
        <v>251</v>
      </c>
      <c r="M603" s="120">
        <v>619.75272226095831</v>
      </c>
      <c r="N603" s="120" t="s">
        <v>251</v>
      </c>
      <c r="O603" s="120">
        <v>4048410.7076252592</v>
      </c>
      <c r="P603" s="120">
        <v>2053240.7688505556</v>
      </c>
      <c r="Q603" s="120">
        <v>1995169.9387747035</v>
      </c>
      <c r="R603" s="120"/>
      <c r="S603" s="121"/>
    </row>
    <row r="604" spans="1:19" ht="15">
      <c r="A604" s="105">
        <v>2</v>
      </c>
      <c r="B604" s="105"/>
      <c r="C604" s="107" t="s">
        <v>445</v>
      </c>
      <c r="D604" s="107" t="s">
        <v>312</v>
      </c>
      <c r="E604" s="120">
        <v>386720.99999999988</v>
      </c>
      <c r="F604" s="120" t="s">
        <v>251</v>
      </c>
      <c r="G604" s="120">
        <v>203089.44680136981</v>
      </c>
      <c r="H604" s="120" t="s">
        <v>251</v>
      </c>
      <c r="I604" s="120">
        <v>125956.26579452054</v>
      </c>
      <c r="J604" s="120">
        <v>57675.287404109578</v>
      </c>
      <c r="K604" s="120" t="s">
        <v>251</v>
      </c>
      <c r="L604" s="120" t="s">
        <v>251</v>
      </c>
      <c r="M604" s="120">
        <v>0</v>
      </c>
      <c r="N604" s="120" t="s">
        <v>251</v>
      </c>
      <c r="O604" s="120">
        <v>57675.287404109578</v>
      </c>
      <c r="P604" s="120">
        <v>29251.293904109585</v>
      </c>
      <c r="Q604" s="120">
        <v>28423.993499999993</v>
      </c>
      <c r="R604" s="120"/>
      <c r="S604" s="121"/>
    </row>
    <row r="605" spans="1:19" ht="15">
      <c r="A605" s="105">
        <v>3</v>
      </c>
      <c r="B605" s="105"/>
      <c r="C605" s="107" t="s">
        <v>446</v>
      </c>
      <c r="D605" s="107" t="s">
        <v>314</v>
      </c>
      <c r="E605" s="120">
        <v>690251.00000000047</v>
      </c>
      <c r="F605" s="120" t="s">
        <v>251</v>
      </c>
      <c r="G605" s="120">
        <v>537583.0216122329</v>
      </c>
      <c r="H605" s="120" t="s">
        <v>251</v>
      </c>
      <c r="I605" s="120">
        <v>0</v>
      </c>
      <c r="J605" s="120">
        <v>152667.97838776751</v>
      </c>
      <c r="K605" s="120" t="s">
        <v>251</v>
      </c>
      <c r="L605" s="120" t="s">
        <v>251</v>
      </c>
      <c r="M605" s="120">
        <v>0</v>
      </c>
      <c r="N605" s="120" t="s">
        <v>251</v>
      </c>
      <c r="O605" s="120">
        <v>152667.97838776751</v>
      </c>
      <c r="P605" s="120">
        <v>77428.93198393732</v>
      </c>
      <c r="Q605" s="120">
        <v>75239.046403830187</v>
      </c>
      <c r="R605" s="120"/>
      <c r="S605" s="121"/>
    </row>
    <row r="606" spans="1:19" ht="15">
      <c r="A606" s="105">
        <v>4</v>
      </c>
      <c r="B606" s="105"/>
      <c r="C606" s="107" t="s">
        <v>447</v>
      </c>
      <c r="D606" s="107" t="s">
        <v>251</v>
      </c>
      <c r="E606" s="120">
        <v>207045033.93875691</v>
      </c>
      <c r="F606" s="120" t="s">
        <v>251</v>
      </c>
      <c r="G606" s="120">
        <v>193818435.56159261</v>
      </c>
      <c r="H606" s="120" t="s">
        <v>251</v>
      </c>
      <c r="I606" s="120">
        <v>8967224.6510249022</v>
      </c>
      <c r="J606" s="120">
        <v>4259373.7261393974</v>
      </c>
      <c r="K606" s="120" t="s">
        <v>251</v>
      </c>
      <c r="L606" s="120" t="s">
        <v>251</v>
      </c>
      <c r="M606" s="120">
        <v>619.75272226095831</v>
      </c>
      <c r="N606" s="120" t="s">
        <v>251</v>
      </c>
      <c r="O606" s="120">
        <v>4258753.9734171368</v>
      </c>
      <c r="P606" s="120">
        <v>2159920.9947386025</v>
      </c>
      <c r="Q606" s="120">
        <v>2098832.9786785338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1294501.4975908403</v>
      </c>
      <c r="F609" s="120" t="s">
        <v>251</v>
      </c>
      <c r="G609" s="120">
        <v>1213486.4557298566</v>
      </c>
      <c r="H609" s="120" t="s">
        <v>251</v>
      </c>
      <c r="I609" s="120">
        <v>55567.038197826878</v>
      </c>
      <c r="J609" s="120">
        <v>25448.0036631568</v>
      </c>
      <c r="K609" s="120" t="s">
        <v>251</v>
      </c>
      <c r="L609" s="120" t="s">
        <v>251</v>
      </c>
      <c r="M609" s="120">
        <v>3.8951224745774438</v>
      </c>
      <c r="N609" s="120" t="s">
        <v>251</v>
      </c>
      <c r="O609" s="120">
        <v>25444.108540682224</v>
      </c>
      <c r="P609" s="120">
        <v>12904.540758275067</v>
      </c>
      <c r="Q609" s="120">
        <v>12539.567782407159</v>
      </c>
      <c r="R609" s="120"/>
      <c r="S609" s="121"/>
    </row>
    <row r="610" spans="1:19" ht="15">
      <c r="A610" s="105">
        <v>6</v>
      </c>
      <c r="B610" s="105"/>
      <c r="C610" s="107" t="s">
        <v>445</v>
      </c>
      <c r="D610" s="107" t="s">
        <v>312</v>
      </c>
      <c r="E610" s="120">
        <v>24.999999999999957</v>
      </c>
      <c r="F610" s="120" t="s">
        <v>251</v>
      </c>
      <c r="G610" s="120">
        <v>13.12893835616436</v>
      </c>
      <c r="H610" s="120" t="s">
        <v>251</v>
      </c>
      <c r="I610" s="120">
        <v>8.1425799086757866</v>
      </c>
      <c r="J610" s="120">
        <v>3.7284817351598107</v>
      </c>
      <c r="K610" s="120" t="s">
        <v>251</v>
      </c>
      <c r="L610" s="120" t="s">
        <v>251</v>
      </c>
      <c r="M610" s="120">
        <v>0</v>
      </c>
      <c r="N610" s="120" t="s">
        <v>251</v>
      </c>
      <c r="O610" s="120">
        <v>3.7284817351598107</v>
      </c>
      <c r="P610" s="120">
        <v>1.8909817351598142</v>
      </c>
      <c r="Q610" s="120">
        <v>1.8374999999999968</v>
      </c>
      <c r="R610" s="120"/>
      <c r="S610" s="121"/>
    </row>
    <row r="611" spans="1:19" ht="15">
      <c r="A611" s="105">
        <v>7</v>
      </c>
      <c r="B611" s="105"/>
      <c r="C611" s="107" t="s">
        <v>446</v>
      </c>
      <c r="D611" s="107" t="s">
        <v>314</v>
      </c>
      <c r="E611" s="120">
        <v>3212.9999999999995</v>
      </c>
      <c r="F611" s="120" t="s">
        <v>251</v>
      </c>
      <c r="G611" s="120">
        <v>2502.3567491247431</v>
      </c>
      <c r="H611" s="120" t="s">
        <v>251</v>
      </c>
      <c r="I611" s="120">
        <v>0</v>
      </c>
      <c r="J611" s="120">
        <v>710.6432508752564</v>
      </c>
      <c r="K611" s="120" t="s">
        <v>251</v>
      </c>
      <c r="L611" s="120" t="s">
        <v>251</v>
      </c>
      <c r="M611" s="120">
        <v>0</v>
      </c>
      <c r="N611" s="120" t="s">
        <v>251</v>
      </c>
      <c r="O611" s="120">
        <v>710.6432508752564</v>
      </c>
      <c r="P611" s="120">
        <v>360.41839629988283</v>
      </c>
      <c r="Q611" s="120">
        <v>350.22485457537363</v>
      </c>
      <c r="R611" s="120"/>
      <c r="S611" s="121"/>
    </row>
    <row r="612" spans="1:19" ht="15">
      <c r="A612" s="105">
        <v>8</v>
      </c>
      <c r="B612" s="105"/>
      <c r="C612" s="107" t="s">
        <v>450</v>
      </c>
      <c r="D612" s="107" t="s">
        <v>251</v>
      </c>
      <c r="E612" s="120">
        <v>1297739.4975908403</v>
      </c>
      <c r="F612" s="120" t="s">
        <v>251</v>
      </c>
      <c r="G612" s="120">
        <v>1216001.9414173376</v>
      </c>
      <c r="H612" s="120" t="s">
        <v>251</v>
      </c>
      <c r="I612" s="120">
        <v>55575.180777735557</v>
      </c>
      <c r="J612" s="120">
        <v>26162.375395767216</v>
      </c>
      <c r="K612" s="120" t="s">
        <v>251</v>
      </c>
      <c r="L612" s="120" t="s">
        <v>251</v>
      </c>
      <c r="M612" s="120">
        <v>3.8951224745774438</v>
      </c>
      <c r="N612" s="120" t="s">
        <v>251</v>
      </c>
      <c r="O612" s="120">
        <v>26158.48027329264</v>
      </c>
      <c r="P612" s="120">
        <v>13266.85013631011</v>
      </c>
      <c r="Q612" s="120">
        <v>12891.630136982532</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41764516.484556049</v>
      </c>
      <c r="F615" s="120" t="s">
        <v>251</v>
      </c>
      <c r="G615" s="120">
        <v>39150727.271027066</v>
      </c>
      <c r="H615" s="120" t="s">
        <v>251</v>
      </c>
      <c r="I615" s="120">
        <v>1792759.9829974254</v>
      </c>
      <c r="J615" s="120">
        <v>821029.23053155665</v>
      </c>
      <c r="K615" s="120" t="s">
        <v>251</v>
      </c>
      <c r="L615" s="120" t="s">
        <v>251</v>
      </c>
      <c r="M615" s="120">
        <v>125.66838053228177</v>
      </c>
      <c r="N615" s="120" t="s">
        <v>251</v>
      </c>
      <c r="O615" s="120">
        <v>820903.56215102435</v>
      </c>
      <c r="P615" s="120">
        <v>416339.34470344963</v>
      </c>
      <c r="Q615" s="120">
        <v>404564.21744757472</v>
      </c>
      <c r="R615" s="120"/>
      <c r="S615" s="121"/>
    </row>
    <row r="616" spans="1:19" ht="15">
      <c r="A616" s="105">
        <v>10</v>
      </c>
      <c r="B616" s="105"/>
      <c r="C616" s="107" t="s">
        <v>445</v>
      </c>
      <c r="D616" s="107" t="s">
        <v>312</v>
      </c>
      <c r="E616" s="120">
        <v>93.999999999999943</v>
      </c>
      <c r="F616" s="120" t="s">
        <v>251</v>
      </c>
      <c r="G616" s="120">
        <v>49.364808219178059</v>
      </c>
      <c r="H616" s="120" t="s">
        <v>251</v>
      </c>
      <c r="I616" s="120">
        <v>30.616100456620991</v>
      </c>
      <c r="J616" s="120">
        <v>14.019091324200907</v>
      </c>
      <c r="K616" s="120" t="s">
        <v>251</v>
      </c>
      <c r="L616" s="120" t="s">
        <v>251</v>
      </c>
      <c r="M616" s="120">
        <v>0</v>
      </c>
      <c r="N616" s="120" t="s">
        <v>251</v>
      </c>
      <c r="O616" s="120">
        <v>14.019091324200907</v>
      </c>
      <c r="P616" s="120">
        <v>7.1100913242009103</v>
      </c>
      <c r="Q616" s="120">
        <v>6.9089999999999963</v>
      </c>
      <c r="R616" s="120"/>
      <c r="S616" s="121"/>
    </row>
    <row r="617" spans="1:19" ht="15">
      <c r="A617" s="105">
        <v>11</v>
      </c>
      <c r="B617" s="105"/>
      <c r="C617" s="107" t="s">
        <v>446</v>
      </c>
      <c r="D617" s="107" t="s">
        <v>314</v>
      </c>
      <c r="E617" s="120">
        <v>184266.00000000006</v>
      </c>
      <c r="F617" s="120" t="s">
        <v>251</v>
      </c>
      <c r="G617" s="120">
        <v>143510.51003243701</v>
      </c>
      <c r="H617" s="120" t="s">
        <v>251</v>
      </c>
      <c r="I617" s="120">
        <v>0</v>
      </c>
      <c r="J617" s="120">
        <v>40755.489967563044</v>
      </c>
      <c r="K617" s="120" t="s">
        <v>251</v>
      </c>
      <c r="L617" s="120" t="s">
        <v>251</v>
      </c>
      <c r="M617" s="120">
        <v>0</v>
      </c>
      <c r="N617" s="120" t="s">
        <v>251</v>
      </c>
      <c r="O617" s="120">
        <v>40755.489967563044</v>
      </c>
      <c r="P617" s="120">
        <v>20670.045506565279</v>
      </c>
      <c r="Q617" s="120">
        <v>20085.444460997765</v>
      </c>
      <c r="R617" s="120"/>
      <c r="S617" s="121"/>
    </row>
    <row r="618" spans="1:19" ht="15">
      <c r="A618" s="105">
        <v>12</v>
      </c>
      <c r="B618" s="105"/>
      <c r="C618" s="107" t="s">
        <v>453</v>
      </c>
      <c r="D618" s="107" t="s">
        <v>251</v>
      </c>
      <c r="E618" s="120">
        <v>41948876.484556049</v>
      </c>
      <c r="F618" s="120" t="s">
        <v>251</v>
      </c>
      <c r="G618" s="120">
        <v>39294287.14586772</v>
      </c>
      <c r="H618" s="120" t="s">
        <v>251</v>
      </c>
      <c r="I618" s="120">
        <v>1792790.5990978819</v>
      </c>
      <c r="J618" s="120">
        <v>861798.73959044379</v>
      </c>
      <c r="K618" s="120" t="s">
        <v>251</v>
      </c>
      <c r="L618" s="120" t="s">
        <v>251</v>
      </c>
      <c r="M618" s="120">
        <v>125.66838053228177</v>
      </c>
      <c r="N618" s="120" t="s">
        <v>251</v>
      </c>
      <c r="O618" s="120">
        <v>861673.07120991149</v>
      </c>
      <c r="P618" s="120">
        <v>437016.50030133908</v>
      </c>
      <c r="Q618" s="120">
        <v>424656.57090857247</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250291649.9209038</v>
      </c>
      <c r="F620" s="120" t="s">
        <v>251</v>
      </c>
      <c r="G620" s="120">
        <v>234328724.64887768</v>
      </c>
      <c r="H620" s="120" t="s">
        <v>251</v>
      </c>
      <c r="I620" s="120">
        <v>10815590.43090052</v>
      </c>
      <c r="J620" s="120">
        <v>5147334.8411256094</v>
      </c>
      <c r="K620" s="120" t="s">
        <v>251</v>
      </c>
      <c r="L620" s="120" t="s">
        <v>251</v>
      </c>
      <c r="M620" s="120">
        <v>749.31622526781746</v>
      </c>
      <c r="N620" s="120" t="s">
        <v>251</v>
      </c>
      <c r="O620" s="120">
        <v>5146585.5249003414</v>
      </c>
      <c r="P620" s="120">
        <v>2610204.3451762521</v>
      </c>
      <c r="Q620" s="120">
        <v>2536381.1797240889</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25056141.37025103</v>
      </c>
      <c r="F623" s="120" t="s">
        <v>251</v>
      </c>
      <c r="G623" s="120">
        <v>23941155.528574456</v>
      </c>
      <c r="H623" s="120" t="s">
        <v>251</v>
      </c>
      <c r="I623" s="120">
        <v>1114909.1874242588</v>
      </c>
      <c r="J623" s="120">
        <v>76.654252318271475</v>
      </c>
      <c r="K623" s="120" t="s">
        <v>251</v>
      </c>
      <c r="L623" s="120" t="s">
        <v>251</v>
      </c>
      <c r="M623" s="120">
        <v>76.654252318271475</v>
      </c>
      <c r="N623" s="120" t="s">
        <v>251</v>
      </c>
      <c r="O623" s="120">
        <v>0</v>
      </c>
      <c r="P623" s="120">
        <v>0</v>
      </c>
      <c r="Q623" s="120">
        <v>0</v>
      </c>
      <c r="R623" s="120"/>
      <c r="S623" s="121"/>
    </row>
    <row r="624" spans="1:19" ht="15">
      <c r="A624" s="105">
        <v>15</v>
      </c>
      <c r="B624" s="105"/>
      <c r="C624" s="107" t="s">
        <v>458</v>
      </c>
      <c r="D624" s="107" t="s">
        <v>459</v>
      </c>
      <c r="E624" s="120">
        <v>1521680.3648231993</v>
      </c>
      <c r="F624" s="120" t="s">
        <v>251</v>
      </c>
      <c r="G624" s="120">
        <v>184158.40107167442</v>
      </c>
      <c r="H624" s="120" t="s">
        <v>251</v>
      </c>
      <c r="I624" s="120">
        <v>1337521.3726287121</v>
      </c>
      <c r="J624" s="120">
        <v>0.59112281271000333</v>
      </c>
      <c r="K624" s="120" t="s">
        <v>251</v>
      </c>
      <c r="L624" s="120" t="s">
        <v>251</v>
      </c>
      <c r="M624" s="120">
        <v>0.59112281271000333</v>
      </c>
      <c r="N624" s="120" t="s">
        <v>251</v>
      </c>
      <c r="O624" s="120">
        <v>0</v>
      </c>
      <c r="P624" s="120">
        <v>0</v>
      </c>
      <c r="Q624" s="120">
        <v>0</v>
      </c>
      <c r="R624" s="120"/>
      <c r="S624" s="121"/>
    </row>
    <row r="625" spans="1:19" ht="15">
      <c r="A625" s="105">
        <v>17</v>
      </c>
      <c r="B625" s="105"/>
      <c r="C625" s="107" t="s">
        <v>460</v>
      </c>
      <c r="D625" s="107" t="s">
        <v>312</v>
      </c>
      <c r="E625" s="120">
        <v>63243.999999999942</v>
      </c>
      <c r="F625" s="120" t="s">
        <v>251</v>
      </c>
      <c r="G625" s="120">
        <v>33213.063095890378</v>
      </c>
      <c r="H625" s="120" t="s">
        <v>251</v>
      </c>
      <c r="I625" s="120">
        <v>20598.772949771672</v>
      </c>
      <c r="J625" s="120">
        <v>9432.1639543378915</v>
      </c>
      <c r="K625" s="120" t="s">
        <v>251</v>
      </c>
      <c r="L625" s="120" t="s">
        <v>251</v>
      </c>
      <c r="M625" s="120">
        <v>0</v>
      </c>
      <c r="N625" s="120" t="s">
        <v>251</v>
      </c>
      <c r="O625" s="120">
        <v>9432.1639543378915</v>
      </c>
      <c r="P625" s="120">
        <v>4783.7299543378949</v>
      </c>
      <c r="Q625" s="120">
        <v>4648.4339999999956</v>
      </c>
      <c r="R625" s="120"/>
      <c r="S625" s="121"/>
    </row>
    <row r="626" spans="1:19" ht="15">
      <c r="A626" s="105">
        <v>18</v>
      </c>
      <c r="B626" s="105"/>
      <c r="C626" s="107" t="s">
        <v>461</v>
      </c>
      <c r="D626" s="107" t="s">
        <v>314</v>
      </c>
      <c r="E626" s="120">
        <v>32052</v>
      </c>
      <c r="F626" s="120" t="s">
        <v>251</v>
      </c>
      <c r="G626" s="120">
        <v>24962.819334872791</v>
      </c>
      <c r="H626" s="120" t="s">
        <v>251</v>
      </c>
      <c r="I626" s="120">
        <v>0</v>
      </c>
      <c r="J626" s="120">
        <v>7089.1806651272091</v>
      </c>
      <c r="K626" s="120" t="s">
        <v>251</v>
      </c>
      <c r="L626" s="120" t="s">
        <v>251</v>
      </c>
      <c r="M626" s="120">
        <v>0</v>
      </c>
      <c r="N626" s="120" t="s">
        <v>251</v>
      </c>
      <c r="O626" s="120">
        <v>7089.1806651272091</v>
      </c>
      <c r="P626" s="120">
        <v>3595.4343100541068</v>
      </c>
      <c r="Q626" s="120">
        <v>3493.7463550731018</v>
      </c>
      <c r="R626" s="120"/>
      <c r="S626" s="121"/>
    </row>
    <row r="627" spans="1:19" ht="15">
      <c r="A627" s="105">
        <v>19</v>
      </c>
      <c r="B627" s="105"/>
      <c r="C627" s="107" t="s">
        <v>462</v>
      </c>
      <c r="D627" s="107" t="s">
        <v>251</v>
      </c>
      <c r="E627" s="120">
        <v>26673117.73507423</v>
      </c>
      <c r="F627" s="120" t="s">
        <v>251</v>
      </c>
      <c r="G627" s="120">
        <v>24183489.812076893</v>
      </c>
      <c r="H627" s="120" t="s">
        <v>251</v>
      </c>
      <c r="I627" s="120">
        <v>2473029.3330027424</v>
      </c>
      <c r="J627" s="120">
        <v>16598.589994596081</v>
      </c>
      <c r="K627" s="120" t="s">
        <v>251</v>
      </c>
      <c r="L627" s="120" t="s">
        <v>251</v>
      </c>
      <c r="M627" s="120">
        <v>77.245375130981472</v>
      </c>
      <c r="N627" s="120" t="s">
        <v>251</v>
      </c>
      <c r="O627" s="120">
        <v>16521.344619465101</v>
      </c>
      <c r="P627" s="120">
        <v>8379.1642643920022</v>
      </c>
      <c r="Q627" s="120">
        <v>8142.1803550730974</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47584250.54141815</v>
      </c>
      <c r="F630" s="120" t="s">
        <v>251</v>
      </c>
      <c r="G630" s="120">
        <v>47494087.914362222</v>
      </c>
      <c r="H630" s="120" t="s">
        <v>251</v>
      </c>
      <c r="I630" s="120">
        <v>0</v>
      </c>
      <c r="J630" s="120">
        <v>90162.627055926132</v>
      </c>
      <c r="K630" s="120" t="s">
        <v>251</v>
      </c>
      <c r="L630" s="120" t="s">
        <v>251</v>
      </c>
      <c r="M630" s="120">
        <v>0</v>
      </c>
      <c r="N630" s="120" t="s">
        <v>251</v>
      </c>
      <c r="O630" s="120">
        <v>90162.627055926132</v>
      </c>
      <c r="P630" s="120">
        <v>89502.034072181224</v>
      </c>
      <c r="Q630" s="120">
        <v>660.5929837449055</v>
      </c>
      <c r="R630" s="120"/>
      <c r="S630" s="121"/>
    </row>
    <row r="631" spans="1:19" ht="15">
      <c r="A631" s="105">
        <v>21</v>
      </c>
      <c r="B631" s="105"/>
      <c r="C631" s="107" t="s">
        <v>748</v>
      </c>
      <c r="D631" s="107" t="s">
        <v>749</v>
      </c>
      <c r="E631" s="120">
        <v>2478293.0258888593</v>
      </c>
      <c r="F631" s="120" t="s">
        <v>251</v>
      </c>
      <c r="G631" s="120">
        <v>0</v>
      </c>
      <c r="H631" s="120" t="s">
        <v>251</v>
      </c>
      <c r="I631" s="120">
        <v>2478293.0258888593</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4271.7860867520003</v>
      </c>
      <c r="F632" s="120" t="s">
        <v>251</v>
      </c>
      <c r="G632" s="120">
        <v>0</v>
      </c>
      <c r="H632" s="120" t="s">
        <v>251</v>
      </c>
      <c r="I632" s="120">
        <v>0</v>
      </c>
      <c r="J632" s="120">
        <v>4271.7860867520003</v>
      </c>
      <c r="K632" s="120" t="s">
        <v>251</v>
      </c>
      <c r="L632" s="120" t="s">
        <v>251</v>
      </c>
      <c r="M632" s="120">
        <v>4271.7860867520003</v>
      </c>
      <c r="N632" s="120" t="s">
        <v>251</v>
      </c>
      <c r="O632" s="120">
        <v>0</v>
      </c>
      <c r="P632" s="120">
        <v>0</v>
      </c>
      <c r="Q632" s="120">
        <v>0</v>
      </c>
      <c r="R632" s="120"/>
      <c r="S632" s="121"/>
    </row>
    <row r="633" spans="1:19" ht="15">
      <c r="A633" s="105">
        <v>23</v>
      </c>
      <c r="B633" s="105"/>
      <c r="C633" s="107" t="s">
        <v>467</v>
      </c>
      <c r="D633" s="107" t="s">
        <v>251</v>
      </c>
      <c r="E633" s="120">
        <v>50066815.353393763</v>
      </c>
      <c r="F633" s="120" t="s">
        <v>251</v>
      </c>
      <c r="G633" s="120">
        <v>47494087.914362222</v>
      </c>
      <c r="H633" s="120" t="s">
        <v>251</v>
      </c>
      <c r="I633" s="120">
        <v>2478293.0258888593</v>
      </c>
      <c r="J633" s="120">
        <v>94434.413142678139</v>
      </c>
      <c r="K633" s="120" t="s">
        <v>251</v>
      </c>
      <c r="L633" s="120" t="s">
        <v>251</v>
      </c>
      <c r="M633" s="120">
        <v>4271.7860867520003</v>
      </c>
      <c r="N633" s="120" t="s">
        <v>251</v>
      </c>
      <c r="O633" s="120">
        <v>90162.627055926132</v>
      </c>
      <c r="P633" s="120">
        <v>89502.034072181224</v>
      </c>
      <c r="Q633" s="120">
        <v>660.5929837449055</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13242025.228248553</v>
      </c>
      <c r="F635" s="120" t="s">
        <v>251</v>
      </c>
      <c r="G635" s="120">
        <v>12484170.978525421</v>
      </c>
      <c r="H635" s="120" t="s">
        <v>251</v>
      </c>
      <c r="I635" s="120">
        <v>604795.1551330965</v>
      </c>
      <c r="J635" s="120">
        <v>153059.09459003547</v>
      </c>
      <c r="K635" s="120" t="s">
        <v>251</v>
      </c>
      <c r="L635" s="120" t="s">
        <v>251</v>
      </c>
      <c r="M635" s="120">
        <v>883.06838478277859</v>
      </c>
      <c r="N635" s="120" t="s">
        <v>251</v>
      </c>
      <c r="O635" s="120">
        <v>152176.02620525268</v>
      </c>
      <c r="P635" s="120">
        <v>79319.295482636633</v>
      </c>
      <c r="Q635" s="120">
        <v>72856.730722616063</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18413300.904799987</v>
      </c>
      <c r="F637" s="120" t="s">
        <v>251</v>
      </c>
      <c r="G637" s="120">
        <v>17216465.511352856</v>
      </c>
      <c r="H637" s="120" t="s">
        <v>251</v>
      </c>
      <c r="I637" s="120">
        <v>929118.90012542892</v>
      </c>
      <c r="J637" s="120">
        <v>267716.49332170276</v>
      </c>
      <c r="K637" s="120" t="s">
        <v>251</v>
      </c>
      <c r="L637" s="120" t="s">
        <v>251</v>
      </c>
      <c r="M637" s="120">
        <v>1299.9820274525271</v>
      </c>
      <c r="N637" s="120" t="s">
        <v>251</v>
      </c>
      <c r="O637" s="120">
        <v>266416.5112942502</v>
      </c>
      <c r="P637" s="120">
        <v>138469.14490650335</v>
      </c>
      <c r="Q637" s="120">
        <v>127947.36638774684</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2029.8535296</v>
      </c>
      <c r="F639" s="120" t="s">
        <v>251</v>
      </c>
      <c r="G639" s="120">
        <v>2029.8535296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358688938.99594986</v>
      </c>
      <c r="F641" s="120" t="s">
        <v>251</v>
      </c>
      <c r="G641" s="120">
        <v>335708968.71872461</v>
      </c>
      <c r="H641" s="120" t="s">
        <v>251</v>
      </c>
      <c r="I641" s="120">
        <v>17300826.845050648</v>
      </c>
      <c r="J641" s="120">
        <v>5679143.4321746202</v>
      </c>
      <c r="K641" s="120" t="s">
        <v>251</v>
      </c>
      <c r="L641" s="120" t="s">
        <v>251</v>
      </c>
      <c r="M641" s="120">
        <v>7281.3980993861051</v>
      </c>
      <c r="N641" s="120" t="s">
        <v>251</v>
      </c>
      <c r="O641" s="120">
        <v>5671862.0340752341</v>
      </c>
      <c r="P641" s="120">
        <v>2925873.983901965</v>
      </c>
      <c r="Q641" s="120">
        <v>2745988.0501732696</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9627285.11531399</v>
      </c>
      <c r="F649" s="120" t="s">
        <v>251</v>
      </c>
      <c r="G649" s="120">
        <v>8493973.3153139893</v>
      </c>
      <c r="H649" s="120" t="s">
        <v>251</v>
      </c>
      <c r="I649" s="120">
        <v>1133311.8</v>
      </c>
      <c r="J649" s="120">
        <v>0</v>
      </c>
      <c r="K649" s="120" t="s">
        <v>251</v>
      </c>
      <c r="L649" s="120" t="s">
        <v>251</v>
      </c>
      <c r="M649" s="120">
        <v>0</v>
      </c>
      <c r="N649" s="120" t="s">
        <v>251</v>
      </c>
      <c r="O649" s="120">
        <v>0</v>
      </c>
      <c r="P649" s="120">
        <v>0</v>
      </c>
      <c r="Q649" s="120">
        <v>0</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9627285.11531399</v>
      </c>
      <c r="F653" s="120" t="s">
        <v>251</v>
      </c>
      <c r="G653" s="120">
        <v>8493973.3153139893</v>
      </c>
      <c r="H653" s="120" t="s">
        <v>251</v>
      </c>
      <c r="I653" s="120">
        <v>1133311.8</v>
      </c>
      <c r="J653" s="120">
        <v>0</v>
      </c>
      <c r="K653" s="120" t="s">
        <v>251</v>
      </c>
      <c r="L653" s="120" t="s">
        <v>251</v>
      </c>
      <c r="M653" s="120">
        <v>0</v>
      </c>
      <c r="N653" s="120" t="s">
        <v>251</v>
      </c>
      <c r="O653" s="120">
        <v>0</v>
      </c>
      <c r="P653" s="120">
        <v>0</v>
      </c>
      <c r="Q653" s="120">
        <v>0</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9627285.11531399</v>
      </c>
      <c r="F667" s="120" t="s">
        <v>251</v>
      </c>
      <c r="G667" s="120">
        <v>8493973.3153139893</v>
      </c>
      <c r="H667" s="120" t="s">
        <v>251</v>
      </c>
      <c r="I667" s="120">
        <v>1133311.8</v>
      </c>
      <c r="J667" s="120">
        <v>0</v>
      </c>
      <c r="K667" s="120" t="s">
        <v>251</v>
      </c>
      <c r="L667" s="120" t="s">
        <v>251</v>
      </c>
      <c r="M667" s="120">
        <v>0</v>
      </c>
      <c r="N667" s="120" t="s">
        <v>251</v>
      </c>
      <c r="O667" s="120">
        <v>0</v>
      </c>
      <c r="P667" s="120">
        <v>0</v>
      </c>
      <c r="Q667" s="120">
        <v>0</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34311578.519000001</v>
      </c>
      <c r="F695" s="120" t="s">
        <v>251</v>
      </c>
      <c r="G695" s="120">
        <v>32188175.543923538</v>
      </c>
      <c r="H695" s="120" t="s">
        <v>251</v>
      </c>
      <c r="I695" s="120">
        <v>1633953.83895935</v>
      </c>
      <c r="J695" s="120">
        <v>489449.13611711492</v>
      </c>
      <c r="K695" s="120" t="s">
        <v>251</v>
      </c>
      <c r="L695" s="120" t="s">
        <v>251</v>
      </c>
      <c r="M695" s="120">
        <v>2821.8803976529166</v>
      </c>
      <c r="N695" s="120" t="s">
        <v>251</v>
      </c>
      <c r="O695" s="120">
        <v>486627.255719462</v>
      </c>
      <c r="P695" s="120">
        <v>252996.06599068464</v>
      </c>
      <c r="Q695" s="120">
        <v>233631.18972877736</v>
      </c>
      <c r="R695" s="120"/>
      <c r="S695" s="121"/>
    </row>
    <row r="696" spans="1:19" ht="15">
      <c r="A696" s="105">
        <v>2</v>
      </c>
      <c r="B696" s="105"/>
      <c r="C696" s="107" t="s">
        <v>761</v>
      </c>
      <c r="D696" s="107" t="s">
        <v>512</v>
      </c>
      <c r="E696" s="120">
        <v>3406958</v>
      </c>
      <c r="F696" s="120" t="s">
        <v>251</v>
      </c>
      <c r="G696" s="120">
        <v>3406958</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10653785.999999998</v>
      </c>
      <c r="F699" s="120" t="s">
        <v>251</v>
      </c>
      <c r="G699" s="120">
        <v>10022002.159154365</v>
      </c>
      <c r="H699" s="120" t="s">
        <v>251</v>
      </c>
      <c r="I699" s="120">
        <v>504186.40018765075</v>
      </c>
      <c r="J699" s="120">
        <v>127597.44065798333</v>
      </c>
      <c r="K699" s="120" t="s">
        <v>251</v>
      </c>
      <c r="L699" s="120" t="s">
        <v>251</v>
      </c>
      <c r="M699" s="120">
        <v>736.16838075558144</v>
      </c>
      <c r="N699" s="120" t="s">
        <v>251</v>
      </c>
      <c r="O699" s="120">
        <v>126861.27227722775</v>
      </c>
      <c r="P699" s="120">
        <v>66124.388919766105</v>
      </c>
      <c r="Q699" s="120">
        <v>60736.883357461651</v>
      </c>
      <c r="R699" s="120"/>
      <c r="S699" s="121"/>
    </row>
    <row r="700" spans="1:19" ht="15">
      <c r="A700" s="105">
        <v>6</v>
      </c>
      <c r="B700" s="105"/>
      <c r="C700" s="107" t="s">
        <v>763</v>
      </c>
      <c r="D700" s="107" t="s">
        <v>717</v>
      </c>
      <c r="E700" s="120">
        <v>0</v>
      </c>
      <c r="F700" s="120" t="s">
        <v>251</v>
      </c>
      <c r="G700" s="120">
        <v>0</v>
      </c>
      <c r="H700" s="120" t="s">
        <v>251</v>
      </c>
      <c r="I700" s="120">
        <v>0</v>
      </c>
      <c r="J700" s="120">
        <v>0</v>
      </c>
      <c r="K700" s="120" t="s">
        <v>251</v>
      </c>
      <c r="L700" s="120" t="s">
        <v>251</v>
      </c>
      <c r="M700" s="120">
        <v>0</v>
      </c>
      <c r="N700" s="120" t="s">
        <v>251</v>
      </c>
      <c r="O700" s="120">
        <v>0</v>
      </c>
      <c r="P700" s="120">
        <v>0</v>
      </c>
      <c r="Q700" s="120">
        <v>0</v>
      </c>
      <c r="R700" s="120"/>
      <c r="S700" s="121"/>
    </row>
    <row r="701" spans="1:19" ht="15">
      <c r="A701" s="105">
        <v>7</v>
      </c>
      <c r="B701" s="105"/>
      <c r="C701" s="107" t="s">
        <v>764</v>
      </c>
      <c r="D701" s="107" t="s">
        <v>251</v>
      </c>
      <c r="E701" s="120">
        <v>48372322.519000001</v>
      </c>
      <c r="F701" s="120" t="s">
        <v>251</v>
      </c>
      <c r="G701" s="120">
        <v>45617135.703077905</v>
      </c>
      <c r="H701" s="120" t="s">
        <v>251</v>
      </c>
      <c r="I701" s="120">
        <v>2138140.2391470009</v>
      </c>
      <c r="J701" s="120">
        <v>617046.57677509822</v>
      </c>
      <c r="K701" s="120" t="s">
        <v>251</v>
      </c>
      <c r="L701" s="120" t="s">
        <v>251</v>
      </c>
      <c r="M701" s="120">
        <v>3558.048778408498</v>
      </c>
      <c r="N701" s="120" t="s">
        <v>251</v>
      </c>
      <c r="O701" s="120">
        <v>613488.52799668978</v>
      </c>
      <c r="P701" s="120">
        <v>319120.45491045073</v>
      </c>
      <c r="Q701" s="120">
        <v>294368.07308623899</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0</v>
      </c>
      <c r="F703" s="120" t="s">
        <v>251</v>
      </c>
      <c r="G703" s="120">
        <v>0</v>
      </c>
      <c r="H703" s="120" t="s">
        <v>251</v>
      </c>
      <c r="I703" s="120">
        <v>0</v>
      </c>
      <c r="J703" s="120">
        <v>0</v>
      </c>
      <c r="K703" s="120" t="s">
        <v>251</v>
      </c>
      <c r="L703" s="120" t="s">
        <v>251</v>
      </c>
      <c r="M703" s="120">
        <v>0</v>
      </c>
      <c r="N703" s="120" t="s">
        <v>251</v>
      </c>
      <c r="O703" s="120">
        <v>0</v>
      </c>
      <c r="P703" s="120">
        <v>0</v>
      </c>
      <c r="Q703" s="120">
        <v>0</v>
      </c>
      <c r="R703" s="120"/>
      <c r="S703" s="121"/>
    </row>
    <row r="704" spans="1:19" ht="15">
      <c r="A704" s="105">
        <v>9</v>
      </c>
      <c r="B704" s="105"/>
      <c r="C704" s="107" t="s">
        <v>766</v>
      </c>
      <c r="D704" s="107" t="s">
        <v>717</v>
      </c>
      <c r="E704" s="120">
        <v>0</v>
      </c>
      <c r="F704" s="120" t="s">
        <v>251</v>
      </c>
      <c r="G704" s="120">
        <v>0</v>
      </c>
      <c r="H704" s="120" t="s">
        <v>251</v>
      </c>
      <c r="I704" s="120">
        <v>0</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1123628.06</v>
      </c>
      <c r="F705" s="120" t="s">
        <v>251</v>
      </c>
      <c r="G705" s="120">
        <v>0</v>
      </c>
      <c r="H705" s="120" t="s">
        <v>251</v>
      </c>
      <c r="I705" s="120">
        <v>26587.636860794541</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1355674868.3299899</v>
      </c>
      <c r="F716" s="120" t="s">
        <v>251</v>
      </c>
      <c r="G716" s="120">
        <v>1270754509.9632938</v>
      </c>
      <c r="H716" s="120" t="s">
        <v>251</v>
      </c>
      <c r="I716" s="120">
        <v>63129374.282536373</v>
      </c>
      <c r="J716" s="120">
        <v>21790984.08415994</v>
      </c>
      <c r="K716" s="120" t="s">
        <v>251</v>
      </c>
      <c r="L716" s="120" t="s">
        <v>251</v>
      </c>
      <c r="M716" s="120">
        <v>36611.848838917394</v>
      </c>
      <c r="N716" s="120" t="s">
        <v>251</v>
      </c>
      <c r="O716" s="120">
        <v>21754372.235321023</v>
      </c>
      <c r="P716" s="120">
        <v>11131875.597945508</v>
      </c>
      <c r="Q716" s="120">
        <v>10622496.637375515</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380412829</v>
      </c>
      <c r="F727" s="120" t="s">
        <v>251</v>
      </c>
      <c r="G727" s="120">
        <v>366281992.06762266</v>
      </c>
      <c r="H727" s="120" t="s">
        <v>251</v>
      </c>
      <c r="I727" s="120">
        <v>10516893.892460689</v>
      </c>
      <c r="J727" s="120">
        <v>3613942.6956440937</v>
      </c>
      <c r="K727" s="120" t="s">
        <v>251</v>
      </c>
      <c r="L727" s="120" t="s">
        <v>251</v>
      </c>
      <c r="M727" s="120">
        <v>-36439.716120013858</v>
      </c>
      <c r="N727" s="120" t="s">
        <v>251</v>
      </c>
      <c r="O727" s="120">
        <v>3650382.4117641076</v>
      </c>
      <c r="P727" s="120">
        <v>1814167.1088668033</v>
      </c>
      <c r="Q727" s="120">
        <v>1836215.3028973043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116394856.27503476</v>
      </c>
      <c r="F737" s="120" t="s">
        <v>251</v>
      </c>
      <c r="G737" s="120">
        <v>109200167.85493115</v>
      </c>
      <c r="H737" s="120" t="s">
        <v>251</v>
      </c>
      <c r="I737" s="120">
        <v>5512749.3148575053</v>
      </c>
      <c r="J737" s="120">
        <v>1681939.1052461027</v>
      </c>
      <c r="K737" s="120" t="s">
        <v>251</v>
      </c>
      <c r="L737" s="120" t="s">
        <v>251</v>
      </c>
      <c r="M737" s="120">
        <v>9252.4936169406501</v>
      </c>
      <c r="N737" s="120" t="s">
        <v>251</v>
      </c>
      <c r="O737" s="120">
        <v>1672686.611629162</v>
      </c>
      <c r="P737" s="120">
        <v>867737.93948222254</v>
      </c>
      <c r="Q737" s="120">
        <v>804948.67214693932</v>
      </c>
      <c r="R737" s="120"/>
      <c r="S737" s="121"/>
    </row>
    <row r="738" spans="1:19" ht="15">
      <c r="A738" s="105">
        <v>6</v>
      </c>
      <c r="B738" s="105"/>
      <c r="C738" s="107" t="s">
        <v>783</v>
      </c>
      <c r="D738" s="107" t="s">
        <v>784</v>
      </c>
      <c r="E738" s="120">
        <v>0</v>
      </c>
      <c r="F738" s="120" t="s">
        <v>251</v>
      </c>
      <c r="G738" s="120">
        <v>0</v>
      </c>
      <c r="H738" s="120" t="s">
        <v>251</v>
      </c>
      <c r="I738" s="120">
        <v>21902.279497089981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-2364.2750347616302</v>
      </c>
      <c r="F739" s="120" t="s">
        <v>251</v>
      </c>
      <c r="G739" s="120">
        <v>0</v>
      </c>
      <c r="H739" s="120" t="s">
        <v>251</v>
      </c>
      <c r="I739" s="120">
        <v>0</v>
      </c>
      <c r="J739" s="120">
        <v>-2364.2750347616302</v>
      </c>
      <c r="K739" s="120" t="s">
        <v>251</v>
      </c>
      <c r="L739" s="120" t="s">
        <v>251</v>
      </c>
      <c r="M739" s="120">
        <v>0</v>
      </c>
      <c r="N739" s="120" t="s">
        <v>251</v>
      </c>
      <c r="O739" s="120">
        <v>-2364.2750347616302</v>
      </c>
      <c r="P739" s="120">
        <v>-1199.0942225809106</v>
      </c>
      <c r="Q739" s="120">
        <v>-1165.1808121807196</v>
      </c>
      <c r="R739" s="120"/>
      <c r="S739" s="121"/>
    </row>
    <row r="740" spans="1:19" ht="15">
      <c r="A740" s="105">
        <v>8</v>
      </c>
      <c r="B740" s="105"/>
      <c r="C740" s="107" t="s">
        <v>787</v>
      </c>
      <c r="D740" s="107" t="s">
        <v>251</v>
      </c>
      <c r="E740" s="120">
        <v>116392492</v>
      </c>
      <c r="F740" s="120" t="s">
        <v>251</v>
      </c>
      <c r="G740" s="120">
        <v>109200167.85493115</v>
      </c>
      <c r="H740" s="120" t="s">
        <v>251</v>
      </c>
      <c r="I740" s="120">
        <v>5534651.5943545951</v>
      </c>
      <c r="J740" s="120">
        <v>1679574.8302113409</v>
      </c>
      <c r="K740" s="120" t="s">
        <v>251</v>
      </c>
      <c r="L740" s="120" t="s">
        <v>251</v>
      </c>
      <c r="M740" s="120">
        <v>9252.4936169406501</v>
      </c>
      <c r="N740" s="120" t="s">
        <v>251</v>
      </c>
      <c r="O740" s="120">
        <v>1670322.3365944002</v>
      </c>
      <c r="P740" s="120">
        <v>866538.84525964165</v>
      </c>
      <c r="Q740" s="120">
        <v>803783.49133475858</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204867.33164714897</v>
      </c>
      <c r="F745" s="120" t="s">
        <v>251</v>
      </c>
      <c r="G745" s="120">
        <v>107587.62273549214</v>
      </c>
      <c r="H745" s="120" t="s">
        <v>251</v>
      </c>
      <c r="I745" s="120">
        <v>66725.944744563894</v>
      </c>
      <c r="J745" s="120">
        <v>30553.764167092952</v>
      </c>
      <c r="K745" s="120" t="s">
        <v>251</v>
      </c>
      <c r="L745" s="120" t="s">
        <v>251</v>
      </c>
      <c r="M745" s="120">
        <v>0</v>
      </c>
      <c r="N745" s="120" t="s">
        <v>251</v>
      </c>
      <c r="O745" s="120">
        <v>30553.764167092952</v>
      </c>
      <c r="P745" s="120">
        <v>15496.015291027503</v>
      </c>
      <c r="Q745" s="120">
        <v>15057.748876065451</v>
      </c>
      <c r="R745" s="120"/>
      <c r="S745" s="121"/>
    </row>
    <row r="746" spans="1:19" ht="15">
      <c r="A746" s="105">
        <v>12</v>
      </c>
      <c r="B746" s="105"/>
      <c r="C746" s="107" t="s">
        <v>791</v>
      </c>
      <c r="D746" s="107" t="s">
        <v>314</v>
      </c>
      <c r="E746" s="120">
        <v>595132.66835285106</v>
      </c>
      <c r="F746" s="120" t="s">
        <v>251</v>
      </c>
      <c r="G746" s="120">
        <v>463502.72308664006</v>
      </c>
      <c r="H746" s="120" t="s">
        <v>251</v>
      </c>
      <c r="I746" s="120">
        <v>0</v>
      </c>
      <c r="J746" s="120">
        <v>131629.945266211</v>
      </c>
      <c r="K746" s="120" t="s">
        <v>251</v>
      </c>
      <c r="L746" s="120" t="s">
        <v>251</v>
      </c>
      <c r="M746" s="120">
        <v>0</v>
      </c>
      <c r="N746" s="120" t="s">
        <v>251</v>
      </c>
      <c r="O746" s="120">
        <v>131629.945266211</v>
      </c>
      <c r="P746" s="120">
        <v>66759.029540430944</v>
      </c>
      <c r="Q746" s="120">
        <v>64870.915725780062</v>
      </c>
      <c r="R746" s="120"/>
      <c r="S746" s="121"/>
    </row>
    <row r="747" spans="1:19" ht="15">
      <c r="A747" s="105">
        <v>13</v>
      </c>
      <c r="B747" s="105"/>
      <c r="C747" s="107" t="s">
        <v>792</v>
      </c>
      <c r="D747" s="107" t="s">
        <v>782</v>
      </c>
      <c r="E747" s="120">
        <v>339000</v>
      </c>
      <c r="F747" s="120" t="s">
        <v>251</v>
      </c>
      <c r="G747" s="120">
        <v>318045.47114477376</v>
      </c>
      <c r="H747" s="120" t="s">
        <v>251</v>
      </c>
      <c r="I747" s="120">
        <v>-397552.73901858769</v>
      </c>
      <c r="J747" s="120">
        <v>4898.6473709038355</v>
      </c>
      <c r="K747" s="120" t="s">
        <v>251</v>
      </c>
      <c r="L747" s="120" t="s">
        <v>251</v>
      </c>
      <c r="M747" s="120">
        <v>26.9478861568528</v>
      </c>
      <c r="N747" s="120" t="s">
        <v>251</v>
      </c>
      <c r="O747" s="120">
        <v>4871.6994847469823</v>
      </c>
      <c r="P747" s="120">
        <v>2527.2866078324096</v>
      </c>
      <c r="Q747" s="120">
        <v>2344.4128769145727</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265159337</v>
      </c>
      <c r="F749" s="120" t="s">
        <v>251</v>
      </c>
      <c r="G749" s="120">
        <v>257970960</v>
      </c>
      <c r="H749" s="120" t="s">
        <v>251</v>
      </c>
      <c r="I749" s="120">
        <v>4651416</v>
      </c>
      <c r="J749" s="120">
        <v>2101451</v>
      </c>
      <c r="K749" s="120" t="s">
        <v>251</v>
      </c>
      <c r="L749" s="120" t="s">
        <v>251</v>
      </c>
      <c r="M749" s="120">
        <v>-45665</v>
      </c>
      <c r="N749" s="120" t="s">
        <v>251</v>
      </c>
      <c r="O749" s="120">
        <v>2147116</v>
      </c>
      <c r="P749" s="120">
        <v>1032411</v>
      </c>
      <c r="Q749" s="120">
        <v>1114705</v>
      </c>
      <c r="R749" s="120"/>
      <c r="S749" s="121"/>
    </row>
    <row r="750" spans="1:19" ht="15">
      <c r="A750" s="105">
        <v>15</v>
      </c>
      <c r="B750" s="105"/>
      <c r="C750" s="107" t="s">
        <v>2254</v>
      </c>
      <c r="D750" s="107" t="s">
        <v>251</v>
      </c>
      <c r="E750" s="120">
        <v>265159337</v>
      </c>
      <c r="F750" s="120" t="s">
        <v>251</v>
      </c>
      <c r="G750" s="120">
        <v>257970960</v>
      </c>
      <c r="H750" s="120" t="s">
        <v>251</v>
      </c>
      <c r="I750" s="120">
        <v>8848082.2371237818</v>
      </c>
      <c r="J750" s="120">
        <v>2101451</v>
      </c>
      <c r="K750" s="120" t="s">
        <v>251</v>
      </c>
      <c r="L750" s="120" t="s">
        <v>251</v>
      </c>
      <c r="M750" s="120">
        <v>-45665</v>
      </c>
      <c r="N750" s="120" t="s">
        <v>251</v>
      </c>
      <c r="O750" s="120">
        <v>2147116</v>
      </c>
      <c r="P750" s="120">
        <v>1032411</v>
      </c>
      <c r="Q750" s="120">
        <v>1114705</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13257966.850000001</v>
      </c>
      <c r="F752" s="120" t="s">
        <v>251</v>
      </c>
      <c r="G752" s="120">
        <v>12898548</v>
      </c>
      <c r="H752" s="120" t="s">
        <v>251</v>
      </c>
      <c r="I752" s="120">
        <v>530884.93422742689</v>
      </c>
      <c r="J752" s="120">
        <v>105072.55</v>
      </c>
      <c r="K752" s="120" t="s">
        <v>251</v>
      </c>
      <c r="L752" s="120" t="s">
        <v>251</v>
      </c>
      <c r="M752" s="120">
        <v>-2283.25</v>
      </c>
      <c r="N752" s="120" t="s">
        <v>251</v>
      </c>
      <c r="O752" s="120">
        <v>107355.8</v>
      </c>
      <c r="P752" s="120">
        <v>51620.55</v>
      </c>
      <c r="Q752" s="120">
        <v>55735.25</v>
      </c>
      <c r="R752" s="120"/>
      <c r="S752" s="121"/>
    </row>
    <row r="753" spans="1:19" ht="15">
      <c r="A753" s="105">
        <v>17</v>
      </c>
      <c r="B753" s="105"/>
      <c r="C753" s="107" t="s">
        <v>795</v>
      </c>
      <c r="D753" s="107" t="s">
        <v>782</v>
      </c>
      <c r="E753" s="120">
        <v>80825</v>
      </c>
      <c r="F753" s="120" t="s">
        <v>251</v>
      </c>
      <c r="G753" s="120">
        <v>75829</v>
      </c>
      <c r="H753" s="120" t="s">
        <v>251</v>
      </c>
      <c r="I753" s="120">
        <v>3828</v>
      </c>
      <c r="J753" s="120">
        <v>1168</v>
      </c>
      <c r="K753" s="120" t="s">
        <v>251</v>
      </c>
      <c r="L753" s="120" t="s">
        <v>251</v>
      </c>
      <c r="M753" s="120">
        <v>6</v>
      </c>
      <c r="N753" s="120" t="s">
        <v>251</v>
      </c>
      <c r="O753" s="120">
        <v>1162</v>
      </c>
      <c r="P753" s="120">
        <v>603</v>
      </c>
      <c r="Q753" s="120">
        <v>559</v>
      </c>
      <c r="R753" s="120"/>
      <c r="S753" s="121"/>
    </row>
    <row r="754" spans="1:19" ht="15">
      <c r="A754" s="105">
        <v>18</v>
      </c>
      <c r="B754" s="105"/>
      <c r="C754" s="107" t="s">
        <v>796</v>
      </c>
      <c r="D754" s="107" t="s">
        <v>376</v>
      </c>
      <c r="E754" s="120">
        <v>-1620000</v>
      </c>
      <c r="F754" s="120" t="s">
        <v>251</v>
      </c>
      <c r="G754" s="120">
        <v>-1586730</v>
      </c>
      <c r="H754" s="120" t="s">
        <v>251</v>
      </c>
      <c r="I754" s="120">
        <v>0</v>
      </c>
      <c r="J754" s="120">
        <v>-33270</v>
      </c>
      <c r="K754" s="120" t="s">
        <v>251</v>
      </c>
      <c r="L754" s="120" t="s">
        <v>251</v>
      </c>
      <c r="M754" s="120">
        <v>0</v>
      </c>
      <c r="N754" s="120" t="s">
        <v>251</v>
      </c>
      <c r="O754" s="120">
        <v>-33270</v>
      </c>
      <c r="P754" s="120">
        <v>-16874</v>
      </c>
      <c r="Q754" s="120">
        <v>-16396</v>
      </c>
      <c r="R754" s="120"/>
      <c r="S754" s="121"/>
    </row>
    <row r="755" spans="1:19" ht="15">
      <c r="A755" s="105">
        <v>19</v>
      </c>
      <c r="B755" s="105"/>
      <c r="C755" s="107" t="s">
        <v>797</v>
      </c>
      <c r="D755" s="107" t="s">
        <v>798</v>
      </c>
      <c r="E755" s="120">
        <v>-1535640</v>
      </c>
      <c r="F755" s="120" t="s">
        <v>251</v>
      </c>
      <c r="G755" s="120">
        <v>-1512126</v>
      </c>
      <c r="H755" s="120" t="s">
        <v>251</v>
      </c>
      <c r="I755" s="120">
        <v>0</v>
      </c>
      <c r="J755" s="120">
        <v>-23514</v>
      </c>
      <c r="K755" s="120" t="s">
        <v>251</v>
      </c>
      <c r="L755" s="120" t="s">
        <v>251</v>
      </c>
      <c r="M755" s="120">
        <v>-114</v>
      </c>
      <c r="N755" s="120" t="s">
        <v>251</v>
      </c>
      <c r="O755" s="120">
        <v>-23400</v>
      </c>
      <c r="P755" s="120">
        <v>-12162</v>
      </c>
      <c r="Q755" s="120">
        <v>-11238</v>
      </c>
      <c r="R755" s="120"/>
      <c r="S755" s="121"/>
    </row>
    <row r="756" spans="1:19" ht="15">
      <c r="A756" s="105">
        <v>20</v>
      </c>
      <c r="B756" s="105"/>
      <c r="C756" s="107" t="s">
        <v>799</v>
      </c>
      <c r="D756" s="107" t="s">
        <v>251</v>
      </c>
      <c r="E756" s="120">
        <v>10183151.850000001</v>
      </c>
      <c r="F756" s="120" t="s">
        <v>251</v>
      </c>
      <c r="G756" s="120">
        <v>9875521</v>
      </c>
      <c r="H756" s="120" t="s">
        <v>251</v>
      </c>
      <c r="I756" s="120">
        <v>534712.93422742689</v>
      </c>
      <c r="J756" s="120">
        <v>49456.55</v>
      </c>
      <c r="K756" s="120" t="s">
        <v>251</v>
      </c>
      <c r="L756" s="120" t="s">
        <v>251</v>
      </c>
      <c r="M756" s="120">
        <v>-2391.25</v>
      </c>
      <c r="N756" s="120" t="s">
        <v>251</v>
      </c>
      <c r="O756" s="120">
        <v>51847.8</v>
      </c>
      <c r="P756" s="120">
        <v>23187.550000000003</v>
      </c>
      <c r="Q756" s="120">
        <v>28660.25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413608.62050291005</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254976185.15000001</v>
      </c>
      <c r="F759" s="120" t="s">
        <v>251</v>
      </c>
      <c r="G759" s="120">
        <v>248095439</v>
      </c>
      <c r="H759" s="120" t="s">
        <v>251</v>
      </c>
      <c r="I759" s="120">
        <v>4530311.6862754831</v>
      </c>
      <c r="J759" s="120">
        <v>2051994.45</v>
      </c>
      <c r="K759" s="120" t="s">
        <v>251</v>
      </c>
      <c r="L759" s="120" t="s">
        <v>251</v>
      </c>
      <c r="M759" s="120">
        <v>-43273.75</v>
      </c>
      <c r="N759" s="120" t="s">
        <v>251</v>
      </c>
      <c r="O759" s="120">
        <v>2095268.2</v>
      </c>
      <c r="P759" s="120">
        <v>1009223.45</v>
      </c>
      <c r="Q759" s="120">
        <v>1086044.75</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53544999</v>
      </c>
      <c r="F761" s="120" t="s">
        <v>251</v>
      </c>
      <c r="G761" s="120">
        <v>52100042</v>
      </c>
      <c r="H761" s="120" t="s">
        <v>251</v>
      </c>
      <c r="I761" s="120">
        <v>951365</v>
      </c>
      <c r="J761" s="120">
        <v>430919</v>
      </c>
      <c r="K761" s="120" t="s">
        <v>251</v>
      </c>
      <c r="L761" s="120" t="s">
        <v>251</v>
      </c>
      <c r="M761" s="120">
        <v>-9087</v>
      </c>
      <c r="N761" s="120" t="s">
        <v>251</v>
      </c>
      <c r="O761" s="120">
        <v>440006</v>
      </c>
      <c r="P761" s="120">
        <v>211937</v>
      </c>
      <c r="Q761" s="120">
        <v>228069</v>
      </c>
      <c r="R761" s="120"/>
      <c r="S761" s="121"/>
    </row>
    <row r="762" spans="1:19" ht="15">
      <c r="A762" s="105">
        <v>25</v>
      </c>
      <c r="B762" s="105"/>
      <c r="C762" s="107" t="s">
        <v>802</v>
      </c>
      <c r="D762" s="107" t="s">
        <v>782</v>
      </c>
      <c r="E762" s="120">
        <v>-781544</v>
      </c>
      <c r="F762" s="120" t="s">
        <v>251</v>
      </c>
      <c r="G762" s="120">
        <v>-733234.60088605038</v>
      </c>
      <c r="H762" s="120" t="s">
        <v>251</v>
      </c>
      <c r="I762" s="120">
        <v>-37015.863831219009</v>
      </c>
      <c r="J762" s="120">
        <v>-11293.535282730581</v>
      </c>
      <c r="K762" s="120" t="s">
        <v>251</v>
      </c>
      <c r="L762" s="120" t="s">
        <v>251</v>
      </c>
      <c r="M762" s="120">
        <v>-62.126721942688391</v>
      </c>
      <c r="N762" s="120" t="s">
        <v>251</v>
      </c>
      <c r="O762" s="120">
        <v>-11231.408560787893</v>
      </c>
      <c r="P762" s="120">
        <v>-5826.5064443415131</v>
      </c>
      <c r="Q762" s="120">
        <v>-5404.9021164463802</v>
      </c>
      <c r="R762" s="124"/>
      <c r="S762" s="121"/>
    </row>
    <row r="763" spans="1:19" ht="15">
      <c r="A763" s="105">
        <v>26</v>
      </c>
      <c r="B763" s="105"/>
      <c r="C763" s="107" t="s">
        <v>797</v>
      </c>
      <c r="D763" s="107" t="s">
        <v>717</v>
      </c>
      <c r="E763" s="120">
        <v>-15603815</v>
      </c>
      <c r="F763" s="120" t="s">
        <v>251</v>
      </c>
      <c r="G763" s="120">
        <v>-14589597</v>
      </c>
      <c r="H763" s="120" t="s">
        <v>251</v>
      </c>
      <c r="I763" s="120">
        <v>-787350</v>
      </c>
      <c r="J763" s="120">
        <v>-226868</v>
      </c>
      <c r="K763" s="120" t="s">
        <v>251</v>
      </c>
      <c r="L763" s="120" t="s">
        <v>251</v>
      </c>
      <c r="M763" s="120">
        <v>-1102</v>
      </c>
      <c r="N763" s="120" t="s">
        <v>251</v>
      </c>
      <c r="O763" s="120">
        <v>-225766</v>
      </c>
      <c r="P763" s="120">
        <v>-117341</v>
      </c>
      <c r="Q763" s="120">
        <v>-108425</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99862</v>
      </c>
      <c r="F765" s="120" t="s">
        <v>251</v>
      </c>
      <c r="G765" s="120">
        <v>93689</v>
      </c>
      <c r="H765" s="120" t="s">
        <v>251</v>
      </c>
      <c r="I765" s="120">
        <v>4730</v>
      </c>
      <c r="J765" s="120">
        <v>1443</v>
      </c>
      <c r="K765" s="120" t="s">
        <v>251</v>
      </c>
      <c r="L765" s="120" t="s">
        <v>251</v>
      </c>
      <c r="M765" s="120">
        <v>8</v>
      </c>
      <c r="N765" s="120" t="s">
        <v>251</v>
      </c>
      <c r="O765" s="120">
        <v>1435</v>
      </c>
      <c r="P765" s="120">
        <v>744</v>
      </c>
      <c r="Q765" s="120">
        <v>691</v>
      </c>
      <c r="R765" s="124"/>
      <c r="S765" s="121"/>
    </row>
    <row r="766" spans="1:19" ht="15">
      <c r="A766" s="105">
        <v>29</v>
      </c>
      <c r="B766" s="105"/>
      <c r="C766" s="107" t="s">
        <v>804</v>
      </c>
      <c r="D766" s="107" t="s">
        <v>251</v>
      </c>
      <c r="E766" s="120">
        <v>37259502</v>
      </c>
      <c r="F766" s="120" t="s">
        <v>251</v>
      </c>
      <c r="G766" s="120">
        <v>36870899.399113953</v>
      </c>
      <c r="H766" s="120" t="s">
        <v>251</v>
      </c>
      <c r="I766" s="120">
        <v>131729.13616878097</v>
      </c>
      <c r="J766" s="120">
        <v>194200.46471726944</v>
      </c>
      <c r="K766" s="120" t="s">
        <v>251</v>
      </c>
      <c r="L766" s="120" t="s">
        <v>251</v>
      </c>
      <c r="M766" s="120">
        <v>-10243.126721942688</v>
      </c>
      <c r="N766" s="120" t="s">
        <v>251</v>
      </c>
      <c r="O766" s="120">
        <v>204443.59143921212</v>
      </c>
      <c r="P766" s="120">
        <v>89513.493555658497</v>
      </c>
      <c r="Q766" s="120">
        <v>114930.09788355362</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332970174.8057276</v>
      </c>
      <c r="F768" s="120" t="s">
        <v>251</v>
      </c>
      <c r="G768" s="120">
        <v>319535571.66850871</v>
      </c>
      <c r="H768" s="120" t="s">
        <v>251</v>
      </c>
      <c r="I768" s="120">
        <v>9850451.8220644798</v>
      </c>
      <c r="J768" s="120">
        <v>3370285.680926824</v>
      </c>
      <c r="K768" s="120" t="s">
        <v>251</v>
      </c>
      <c r="L768" s="120" t="s">
        <v>251</v>
      </c>
      <c r="M768" s="120">
        <v>-23805.33939807117</v>
      </c>
      <c r="N768" s="120" t="s">
        <v>251</v>
      </c>
      <c r="O768" s="120">
        <v>3394091.0203248952</v>
      </c>
      <c r="P768" s="120">
        <v>1701466.0653111448</v>
      </c>
      <c r="Q768" s="120">
        <v>1692624.9550137506</v>
      </c>
      <c r="R768" s="120"/>
      <c r="S768" s="121"/>
    </row>
    <row r="769" spans="1:19" ht="15">
      <c r="A769" s="105">
        <v>31</v>
      </c>
      <c r="B769" s="105"/>
      <c r="C769" s="107" t="s">
        <v>292</v>
      </c>
      <c r="D769" s="107" t="s">
        <v>251</v>
      </c>
      <c r="E769" s="120">
        <v>5.9368993659637673E-2</v>
      </c>
      <c r="F769" s="120" t="s">
        <v>251</v>
      </c>
      <c r="G769" s="120">
        <v>6.0061413055928423E-2</v>
      </c>
      <c r="H769" s="120" t="s">
        <v>251</v>
      </c>
      <c r="I769" s="120">
        <v>3.6676471449145043E-2</v>
      </c>
      <c r="J769" s="120">
        <v>4.1129751587045286E-2</v>
      </c>
      <c r="K769" s="120" t="s">
        <v>251</v>
      </c>
      <c r="L769" s="120" t="s">
        <v>251</v>
      </c>
      <c r="M769" s="120">
        <v>-5.2809885134671893E-2</v>
      </c>
      <c r="N769" s="120" t="s">
        <v>251</v>
      </c>
      <c r="O769" s="120">
        <v>4.164938023900111E-2</v>
      </c>
      <c r="P769" s="120">
        <v>4.0247077027846377E-2</v>
      </c>
      <c r="Q769" s="120">
        <v>4.3161068798883089E-2</v>
      </c>
      <c r="R769" s="120"/>
      <c r="S769" s="121"/>
    </row>
    <row r="770" spans="1:19" ht="15">
      <c r="A770" s="105" t="s">
        <v>251</v>
      </c>
      <c r="B770" s="105"/>
      <c r="C770" s="107" t="s">
        <v>251</v>
      </c>
      <c r="D770" s="107" t="s">
        <v>251</v>
      </c>
      <c r="E770" s="528" t="s">
        <v>251</v>
      </c>
      <c r="F770" s="528" t="s">
        <v>251</v>
      </c>
      <c r="G770" s="528" t="s">
        <v>251</v>
      </c>
      <c r="H770" s="528" t="s">
        <v>251</v>
      </c>
      <c r="I770" s="528" t="s">
        <v>251</v>
      </c>
      <c r="J770" s="528" t="s">
        <v>251</v>
      </c>
      <c r="K770" s="528" t="s">
        <v>251</v>
      </c>
      <c r="L770" s="528" t="s">
        <v>251</v>
      </c>
      <c r="M770" s="528" t="s">
        <v>251</v>
      </c>
      <c r="N770" s="528" t="s">
        <v>251</v>
      </c>
      <c r="O770" s="528" t="s">
        <v>251</v>
      </c>
      <c r="P770" s="528" t="s">
        <v>251</v>
      </c>
      <c r="Q770" s="528"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4">
        <v>0.05</v>
      </c>
      <c r="F772" s="124" t="s">
        <v>251</v>
      </c>
      <c r="G772" s="124">
        <v>0.05</v>
      </c>
      <c r="H772" s="124" t="s">
        <v>251</v>
      </c>
      <c r="I772" s="124">
        <v>0.06</v>
      </c>
      <c r="J772" s="124">
        <v>0.05</v>
      </c>
      <c r="K772" s="124" t="s">
        <v>251</v>
      </c>
      <c r="L772" s="124" t="s">
        <v>251</v>
      </c>
      <c r="M772" s="124">
        <v>0.05</v>
      </c>
      <c r="N772" s="124" t="s">
        <v>251</v>
      </c>
      <c r="O772" s="124">
        <v>0.05</v>
      </c>
      <c r="P772" s="124">
        <v>0.05</v>
      </c>
      <c r="Q772" s="124">
        <v>0.05</v>
      </c>
      <c r="R772" s="120"/>
      <c r="S772" s="121"/>
    </row>
    <row r="773" spans="1:19" ht="15">
      <c r="A773" s="105" t="s">
        <v>251</v>
      </c>
      <c r="B773" s="105"/>
      <c r="C773" s="107" t="s">
        <v>806</v>
      </c>
      <c r="D773" s="107" t="s">
        <v>251</v>
      </c>
      <c r="E773" s="124">
        <v>0.21</v>
      </c>
      <c r="F773" s="124" t="s">
        <v>251</v>
      </c>
      <c r="G773" s="124">
        <v>0.21</v>
      </c>
      <c r="H773" s="124" t="s">
        <v>251</v>
      </c>
      <c r="I773" s="124">
        <v>0.21</v>
      </c>
      <c r="J773" s="124">
        <v>0.21</v>
      </c>
      <c r="K773" s="124" t="s">
        <v>251</v>
      </c>
      <c r="L773" s="124" t="s">
        <v>251</v>
      </c>
      <c r="M773" s="124">
        <v>0.21</v>
      </c>
      <c r="N773" s="124" t="s">
        <v>251</v>
      </c>
      <c r="O773" s="124">
        <v>0.21</v>
      </c>
      <c r="P773" s="124">
        <v>0.21</v>
      </c>
      <c r="Q773" s="124">
        <v>0.21</v>
      </c>
      <c r="R773" s="120"/>
      <c r="S773" s="121"/>
    </row>
    <row r="774" spans="1:19" ht="15">
      <c r="A774" s="105" t="s">
        <v>251</v>
      </c>
      <c r="B774" s="105"/>
      <c r="C774" s="107" t="s">
        <v>807</v>
      </c>
      <c r="D774" s="107" t="s">
        <v>251</v>
      </c>
      <c r="E774" s="124">
        <v>0.75049999999999994</v>
      </c>
      <c r="F774" s="124" t="s">
        <v>251</v>
      </c>
      <c r="G774" s="124">
        <v>0.75049999999999994</v>
      </c>
      <c r="H774" s="124" t="s">
        <v>251</v>
      </c>
      <c r="I774" s="124">
        <v>0.74259999999999993</v>
      </c>
      <c r="J774" s="124">
        <v>0.75049999999999994</v>
      </c>
      <c r="K774" s="124" t="s">
        <v>251</v>
      </c>
      <c r="L774" s="124" t="s">
        <v>251</v>
      </c>
      <c r="M774" s="124">
        <v>0.75049999999999994</v>
      </c>
      <c r="N774" s="124" t="s">
        <v>251</v>
      </c>
      <c r="O774" s="124">
        <v>0.75049999999999994</v>
      </c>
      <c r="P774" s="124">
        <v>0.75049999999999994</v>
      </c>
      <c r="Q774" s="124">
        <v>0.75049999999999994</v>
      </c>
      <c r="R774" s="120"/>
      <c r="S774" s="121"/>
    </row>
    <row r="775" spans="1:19" ht="15">
      <c r="A775" s="105" t="s">
        <v>251</v>
      </c>
      <c r="B775" s="105"/>
      <c r="C775" s="107" t="s">
        <v>808</v>
      </c>
      <c r="D775" s="107" t="s">
        <v>251</v>
      </c>
      <c r="E775" s="124">
        <v>0.2495</v>
      </c>
      <c r="F775" s="124" t="s">
        <v>251</v>
      </c>
      <c r="G775" s="124">
        <v>0.2495</v>
      </c>
      <c r="H775" s="124" t="s">
        <v>251</v>
      </c>
      <c r="I775" s="124">
        <v>0.25740000000000002</v>
      </c>
      <c r="J775" s="124">
        <v>0.2495</v>
      </c>
      <c r="K775" s="124" t="s">
        <v>251</v>
      </c>
      <c r="L775" s="124" t="s">
        <v>251</v>
      </c>
      <c r="M775" s="124">
        <v>0.2495</v>
      </c>
      <c r="N775" s="124" t="s">
        <v>251</v>
      </c>
      <c r="O775" s="124">
        <v>0.2495</v>
      </c>
      <c r="P775" s="124">
        <v>0.2495</v>
      </c>
      <c r="Q775" s="124">
        <v>0.2495</v>
      </c>
      <c r="R775" s="120"/>
      <c r="S775" s="121"/>
    </row>
    <row r="776" spans="1:19" ht="15">
      <c r="A776" s="105" t="s">
        <v>251</v>
      </c>
      <c r="B776" s="105"/>
      <c r="C776" s="107" t="s">
        <v>809</v>
      </c>
      <c r="D776" s="107" t="s">
        <v>251</v>
      </c>
      <c r="E776" s="124">
        <v>1.3324450366422385</v>
      </c>
      <c r="F776" s="124" t="s">
        <v>251</v>
      </c>
      <c r="G776" s="124">
        <v>1.3324450366422385</v>
      </c>
      <c r="H776" s="124" t="s">
        <v>251</v>
      </c>
      <c r="I776" s="124">
        <v>1.3466199838405601</v>
      </c>
      <c r="J776" s="124">
        <v>1.3324450366422385</v>
      </c>
      <c r="K776" s="124" t="s">
        <v>251</v>
      </c>
      <c r="L776" s="124" t="s">
        <v>251</v>
      </c>
      <c r="M776" s="124">
        <v>1.3324450366422385</v>
      </c>
      <c r="N776" s="124" t="s">
        <v>251</v>
      </c>
      <c r="O776" s="124">
        <v>1.3324450366422385</v>
      </c>
      <c r="P776" s="124">
        <v>1.3324450366422385</v>
      </c>
      <c r="Q776" s="124">
        <v>1.3324450366422385</v>
      </c>
      <c r="R776" s="120"/>
      <c r="S776" s="121"/>
    </row>
    <row r="777" spans="1:19" ht="15">
      <c r="A777" s="105" t="s">
        <v>251</v>
      </c>
      <c r="B777" s="105"/>
      <c r="C777" s="107" t="s">
        <v>251</v>
      </c>
      <c r="D777" s="107" t="s">
        <v>251</v>
      </c>
      <c r="E777" s="124" t="s">
        <v>251</v>
      </c>
      <c r="F777" s="124" t="s">
        <v>251</v>
      </c>
      <c r="G777" s="124" t="s">
        <v>251</v>
      </c>
      <c r="H777" s="124" t="s">
        <v>251</v>
      </c>
      <c r="I777" s="124" t="s">
        <v>251</v>
      </c>
      <c r="J777" s="124" t="s">
        <v>251</v>
      </c>
      <c r="K777" s="124" t="s">
        <v>251</v>
      </c>
      <c r="L777" s="124" t="s">
        <v>251</v>
      </c>
      <c r="M777" s="124" t="s">
        <v>251</v>
      </c>
      <c r="N777" s="124" t="s">
        <v>251</v>
      </c>
      <c r="O777" s="124" t="s">
        <v>251</v>
      </c>
      <c r="P777" s="124" t="s">
        <v>251</v>
      </c>
      <c r="Q777" s="124"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2381202.0000000005</v>
      </c>
      <c r="F783" s="120" t="s">
        <v>251</v>
      </c>
      <c r="G783" s="120">
        <v>2240732.8927895362</v>
      </c>
      <c r="H783" s="120" t="s">
        <v>251</v>
      </c>
      <c r="I783" s="120">
        <v>91411.682165207167</v>
      </c>
      <c r="J783" s="120">
        <v>49057.425045256896</v>
      </c>
      <c r="K783" s="120" t="s">
        <v>251</v>
      </c>
      <c r="L783" s="120" t="s">
        <v>251</v>
      </c>
      <c r="M783" s="120">
        <v>10.028295910113654</v>
      </c>
      <c r="N783" s="120" t="s">
        <v>251</v>
      </c>
      <c r="O783" s="120">
        <v>49047.396749346779</v>
      </c>
      <c r="P783" s="120">
        <v>24837.977313515719</v>
      </c>
      <c r="Q783" s="120">
        <v>24209.419435831063</v>
      </c>
      <c r="R783" s="120"/>
      <c r="S783" s="121"/>
    </row>
    <row r="784" spans="1:19" ht="15">
      <c r="A784" s="105">
        <v>2</v>
      </c>
      <c r="B784" s="105"/>
      <c r="C784" s="107" t="s">
        <v>815</v>
      </c>
      <c r="D784" s="107" t="s">
        <v>495</v>
      </c>
      <c r="E784" s="120">
        <v>8712114</v>
      </c>
      <c r="F784" s="120" t="s">
        <v>251</v>
      </c>
      <c r="G784" s="120">
        <v>8198179.0732294936</v>
      </c>
      <c r="H784" s="120" t="s">
        <v>251</v>
      </c>
      <c r="I784" s="120">
        <v>334448.31473980437</v>
      </c>
      <c r="J784" s="120">
        <v>179486.61203070264</v>
      </c>
      <c r="K784" s="120" t="s">
        <v>251</v>
      </c>
      <c r="L784" s="120" t="s">
        <v>251</v>
      </c>
      <c r="M784" s="120">
        <v>36.690569382456381</v>
      </c>
      <c r="N784" s="120" t="s">
        <v>251</v>
      </c>
      <c r="O784" s="120">
        <v>179449.92146132019</v>
      </c>
      <c r="P784" s="120">
        <v>90874.814436054847</v>
      </c>
      <c r="Q784" s="120">
        <v>88575.107025265359</v>
      </c>
      <c r="R784" s="120"/>
      <c r="S784" s="121"/>
    </row>
    <row r="785" spans="1:19" ht="15">
      <c r="A785" s="105">
        <v>3</v>
      </c>
      <c r="B785" s="105"/>
      <c r="C785" s="107" t="s">
        <v>816</v>
      </c>
      <c r="D785" s="107" t="s">
        <v>495</v>
      </c>
      <c r="E785" s="120">
        <v>11890682</v>
      </c>
      <c r="F785" s="120" t="s">
        <v>251</v>
      </c>
      <c r="G785" s="120">
        <v>11189240.675549772</v>
      </c>
      <c r="H785" s="120" t="s">
        <v>251</v>
      </c>
      <c r="I785" s="120">
        <v>456469.98604551394</v>
      </c>
      <c r="J785" s="120">
        <v>244971.3384047155</v>
      </c>
      <c r="K785" s="120" t="s">
        <v>251</v>
      </c>
      <c r="L785" s="120" t="s">
        <v>251</v>
      </c>
      <c r="M785" s="120">
        <v>50.076926556025924</v>
      </c>
      <c r="N785" s="120" t="s">
        <v>251</v>
      </c>
      <c r="O785" s="120">
        <v>244921.26147815946</v>
      </c>
      <c r="P785" s="120">
        <v>124030.00239300559</v>
      </c>
      <c r="Q785" s="120">
        <v>120891.25908515388</v>
      </c>
      <c r="R785" s="120"/>
      <c r="S785" s="121"/>
    </row>
    <row r="786" spans="1:19" ht="15">
      <c r="A786" s="105">
        <v>4</v>
      </c>
      <c r="B786" s="105"/>
      <c r="C786" s="107" t="s">
        <v>817</v>
      </c>
      <c r="D786" s="107" t="s">
        <v>495</v>
      </c>
      <c r="E786" s="120">
        <v>2243338</v>
      </c>
      <c r="F786" s="120" t="s">
        <v>251</v>
      </c>
      <c r="G786" s="120">
        <v>2111001.6060143961</v>
      </c>
      <c r="H786" s="120" t="s">
        <v>251</v>
      </c>
      <c r="I786" s="120">
        <v>86119.237362110187</v>
      </c>
      <c r="J786" s="120">
        <v>46217.156623493727</v>
      </c>
      <c r="K786" s="120" t="s">
        <v>251</v>
      </c>
      <c r="L786" s="120" t="s">
        <v>251</v>
      </c>
      <c r="M786" s="120">
        <v>9.4476895661949492</v>
      </c>
      <c r="N786" s="120" t="s">
        <v>251</v>
      </c>
      <c r="O786" s="120">
        <v>46207.708933927534</v>
      </c>
      <c r="P786" s="120">
        <v>23399.937657766004</v>
      </c>
      <c r="Q786" s="120">
        <v>22807.771276161529</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25227336.000000004</v>
      </c>
      <c r="F789" s="120" t="s">
        <v>251</v>
      </c>
      <c r="G789" s="120">
        <v>23739154.247583199</v>
      </c>
      <c r="H789" s="120" t="s">
        <v>251</v>
      </c>
      <c r="I789" s="120">
        <v>968449.22031263565</v>
      </c>
      <c r="J789" s="120">
        <v>519732.53210416873</v>
      </c>
      <c r="K789" s="120" t="s">
        <v>251</v>
      </c>
      <c r="L789" s="120" t="s">
        <v>251</v>
      </c>
      <c r="M789" s="120">
        <v>106.24348141479092</v>
      </c>
      <c r="N789" s="120" t="s">
        <v>251</v>
      </c>
      <c r="O789" s="120">
        <v>519626.28862275399</v>
      </c>
      <c r="P789" s="120">
        <v>263142.73180034215</v>
      </c>
      <c r="Q789" s="120">
        <v>256483.55682241183</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7794907</v>
      </c>
      <c r="F792" s="120" t="s">
        <v>251</v>
      </c>
      <c r="G792" s="120">
        <v>7293291.5444200505</v>
      </c>
      <c r="H792" s="120" t="s">
        <v>251</v>
      </c>
      <c r="I792" s="120">
        <v>338716.36530321458</v>
      </c>
      <c r="J792" s="120">
        <v>162899.09027673496</v>
      </c>
      <c r="K792" s="120" t="s">
        <v>251</v>
      </c>
      <c r="L792" s="120" t="s">
        <v>251</v>
      </c>
      <c r="M792" s="120">
        <v>23.289001231055042</v>
      </c>
      <c r="N792" s="120" t="s">
        <v>251</v>
      </c>
      <c r="O792" s="120">
        <v>162875.80127550391</v>
      </c>
      <c r="P792" s="120">
        <v>82606.054471739597</v>
      </c>
      <c r="Q792" s="120">
        <v>80269.746803764312</v>
      </c>
      <c r="R792" s="120"/>
      <c r="S792" s="121"/>
    </row>
    <row r="793" spans="1:19" ht="15">
      <c r="A793" s="105">
        <v>8</v>
      </c>
      <c r="B793" s="105"/>
      <c r="C793" s="107" t="s">
        <v>822</v>
      </c>
      <c r="D793" s="107" t="s">
        <v>498</v>
      </c>
      <c r="E793" s="120">
        <v>9236154</v>
      </c>
      <c r="F793" s="120" t="s">
        <v>251</v>
      </c>
      <c r="G793" s="120">
        <v>8641791.8611679953</v>
      </c>
      <c r="H793" s="120" t="s">
        <v>251</v>
      </c>
      <c r="I793" s="120">
        <v>401343.660964877</v>
      </c>
      <c r="J793" s="120">
        <v>193018.47786712876</v>
      </c>
      <c r="K793" s="120" t="s">
        <v>251</v>
      </c>
      <c r="L793" s="120" t="s">
        <v>251</v>
      </c>
      <c r="M793" s="120">
        <v>27.595044030187143</v>
      </c>
      <c r="N793" s="120" t="s">
        <v>251</v>
      </c>
      <c r="O793" s="120">
        <v>192990.88282309857</v>
      </c>
      <c r="P793" s="120">
        <v>97879.582198142409</v>
      </c>
      <c r="Q793" s="120">
        <v>95111.300624956144</v>
      </c>
      <c r="R793" s="120"/>
      <c r="S793" s="121"/>
    </row>
    <row r="794" spans="1:19" ht="15">
      <c r="A794" s="105">
        <v>9</v>
      </c>
      <c r="B794" s="105"/>
      <c r="C794" s="107" t="s">
        <v>823</v>
      </c>
      <c r="D794" s="107" t="s">
        <v>498</v>
      </c>
      <c r="E794" s="120">
        <v>6700236</v>
      </c>
      <c r="F794" s="120" t="s">
        <v>251</v>
      </c>
      <c r="G794" s="120">
        <v>6269064.475614504</v>
      </c>
      <c r="H794" s="120" t="s">
        <v>251</v>
      </c>
      <c r="I794" s="120">
        <v>291149.02648533834</v>
      </c>
      <c r="J794" s="120">
        <v>140022.49790015834</v>
      </c>
      <c r="K794" s="120" t="s">
        <v>251</v>
      </c>
      <c r="L794" s="120" t="s">
        <v>251</v>
      </c>
      <c r="M794" s="120">
        <v>20.01843055373968</v>
      </c>
      <c r="N794" s="120" t="s">
        <v>251</v>
      </c>
      <c r="O794" s="120">
        <v>140002.47946960462</v>
      </c>
      <c r="P794" s="120">
        <v>71005.344898856478</v>
      </c>
      <c r="Q794" s="120">
        <v>68997.134570748138</v>
      </c>
      <c r="R794" s="120"/>
      <c r="S794" s="121"/>
    </row>
    <row r="795" spans="1:19" ht="15">
      <c r="A795" s="105">
        <v>10</v>
      </c>
      <c r="B795" s="105"/>
      <c r="C795" s="107" t="s">
        <v>824</v>
      </c>
      <c r="D795" s="107" t="s">
        <v>498</v>
      </c>
      <c r="E795" s="120">
        <v>2779706</v>
      </c>
      <c r="F795" s="120" t="s">
        <v>251</v>
      </c>
      <c r="G795" s="120">
        <v>2600827.2152283126</v>
      </c>
      <c r="H795" s="120" t="s">
        <v>251</v>
      </c>
      <c r="I795" s="120">
        <v>120788.08803383252</v>
      </c>
      <c r="J795" s="120">
        <v>58090.696737854843</v>
      </c>
      <c r="K795" s="120" t="s">
        <v>251</v>
      </c>
      <c r="L795" s="120" t="s">
        <v>251</v>
      </c>
      <c r="M795" s="120">
        <v>8.3049838126319013</v>
      </c>
      <c r="N795" s="120" t="s">
        <v>251</v>
      </c>
      <c r="O795" s="120">
        <v>58082.391754042212</v>
      </c>
      <c r="P795" s="120">
        <v>29457.765852937231</v>
      </c>
      <c r="Q795" s="120">
        <v>28624.625901104977</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1275449.0000000002</v>
      </c>
      <c r="F797" s="120" t="s">
        <v>251</v>
      </c>
      <c r="G797" s="120">
        <v>1193371.6986025632</v>
      </c>
      <c r="H797" s="120" t="s">
        <v>251</v>
      </c>
      <c r="I797" s="120">
        <v>55422.784314119424</v>
      </c>
      <c r="J797" s="120">
        <v>26654.517083317525</v>
      </c>
      <c r="K797" s="120" t="s">
        <v>251</v>
      </c>
      <c r="L797" s="120" t="s">
        <v>251</v>
      </c>
      <c r="M797" s="120">
        <v>3.8106847626466775</v>
      </c>
      <c r="N797" s="120" t="s">
        <v>251</v>
      </c>
      <c r="O797" s="120">
        <v>26650.706398554878</v>
      </c>
      <c r="P797" s="120">
        <v>13516.493470663063</v>
      </c>
      <c r="Q797" s="120">
        <v>13134.212927891815</v>
      </c>
      <c r="R797" s="120"/>
      <c r="S797" s="121"/>
    </row>
    <row r="798" spans="1:19" ht="15">
      <c r="A798" s="105">
        <v>13</v>
      </c>
      <c r="B798" s="105"/>
      <c r="C798" s="107" t="s">
        <v>827</v>
      </c>
      <c r="D798" s="107" t="s">
        <v>498</v>
      </c>
      <c r="E798" s="120">
        <v>275227</v>
      </c>
      <c r="F798" s="120" t="s">
        <v>251</v>
      </c>
      <c r="G798" s="120">
        <v>257515.67682540629</v>
      </c>
      <c r="H798" s="120" t="s">
        <v>251</v>
      </c>
      <c r="I798" s="120">
        <v>11959.589649152687</v>
      </c>
      <c r="J798" s="120">
        <v>5751.7335254410273</v>
      </c>
      <c r="K798" s="120" t="s">
        <v>251</v>
      </c>
      <c r="L798" s="120" t="s">
        <v>251</v>
      </c>
      <c r="M798" s="120">
        <v>0.82230127207670167</v>
      </c>
      <c r="N798" s="120" t="s">
        <v>251</v>
      </c>
      <c r="O798" s="120">
        <v>5750.9112241689509</v>
      </c>
      <c r="P798" s="120">
        <v>2916.7014505873485</v>
      </c>
      <c r="Q798" s="120">
        <v>2834.2097735816019</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0</v>
      </c>
      <c r="F801" s="120" t="s">
        <v>251</v>
      </c>
      <c r="G801" s="120">
        <v>0</v>
      </c>
      <c r="H801" s="120" t="s">
        <v>251</v>
      </c>
      <c r="I801" s="120">
        <v>0</v>
      </c>
      <c r="J801" s="120">
        <v>0</v>
      </c>
      <c r="K801" s="120" t="s">
        <v>251</v>
      </c>
      <c r="L801" s="120" t="s">
        <v>251</v>
      </c>
      <c r="M801" s="120">
        <v>0</v>
      </c>
      <c r="N801" s="120" t="s">
        <v>251</v>
      </c>
      <c r="O801" s="120">
        <v>0</v>
      </c>
      <c r="P801" s="120">
        <v>0</v>
      </c>
      <c r="Q801" s="120">
        <v>0</v>
      </c>
      <c r="R801" s="120"/>
      <c r="S801" s="121"/>
    </row>
    <row r="802" spans="1:19" ht="15">
      <c r="A802" s="105">
        <v>17</v>
      </c>
      <c r="B802" s="105"/>
      <c r="C802" s="107" t="s">
        <v>831</v>
      </c>
      <c r="D802" s="107" t="s">
        <v>498</v>
      </c>
      <c r="E802" s="120">
        <v>204027</v>
      </c>
      <c r="F802" s="120" t="s">
        <v>251</v>
      </c>
      <c r="G802" s="120">
        <v>190897.51730628597</v>
      </c>
      <c r="H802" s="120" t="s">
        <v>251</v>
      </c>
      <c r="I802" s="120">
        <v>8865.6970331678058</v>
      </c>
      <c r="J802" s="120">
        <v>4263.7856605462266</v>
      </c>
      <c r="K802" s="120" t="s">
        <v>251</v>
      </c>
      <c r="L802" s="120" t="s">
        <v>251</v>
      </c>
      <c r="M802" s="120">
        <v>0.60957559264895234</v>
      </c>
      <c r="N802" s="120" t="s">
        <v>251</v>
      </c>
      <c r="O802" s="120">
        <v>4263.1760849535776</v>
      </c>
      <c r="P802" s="120">
        <v>2162.1637661239083</v>
      </c>
      <c r="Q802" s="120">
        <v>2101.0123188296693</v>
      </c>
      <c r="R802" s="120"/>
      <c r="S802" s="121"/>
    </row>
    <row r="803" spans="1:19" ht="15">
      <c r="A803" s="105">
        <v>18</v>
      </c>
      <c r="B803" s="105"/>
      <c r="C803" s="107" t="s">
        <v>832</v>
      </c>
      <c r="D803" s="107" t="s">
        <v>498</v>
      </c>
      <c r="E803" s="120">
        <v>59485.000000000007</v>
      </c>
      <c r="F803" s="120" t="s">
        <v>251</v>
      </c>
      <c r="G803" s="120">
        <v>55657.039592624613</v>
      </c>
      <c r="H803" s="120" t="s">
        <v>251</v>
      </c>
      <c r="I803" s="120">
        <v>2584.8343014306288</v>
      </c>
      <c r="J803" s="120">
        <v>1243.1261059447636</v>
      </c>
      <c r="K803" s="120" t="s">
        <v>251</v>
      </c>
      <c r="L803" s="120" t="s">
        <v>251</v>
      </c>
      <c r="M803" s="120">
        <v>0.17772453708932118</v>
      </c>
      <c r="N803" s="120" t="s">
        <v>251</v>
      </c>
      <c r="O803" s="120">
        <v>1242.9483814076743</v>
      </c>
      <c r="P803" s="120">
        <v>630.38868202679396</v>
      </c>
      <c r="Q803" s="120">
        <v>612.55969938088037</v>
      </c>
      <c r="R803" s="120"/>
      <c r="S803" s="121"/>
    </row>
    <row r="804" spans="1:19" ht="15">
      <c r="A804" s="105">
        <v>19</v>
      </c>
      <c r="B804" s="105"/>
      <c r="C804" s="107" t="s">
        <v>2256</v>
      </c>
      <c r="D804" s="107" t="s">
        <v>498</v>
      </c>
      <c r="E804" s="120">
        <v>1308</v>
      </c>
      <c r="F804" s="120" t="s">
        <v>251</v>
      </c>
      <c r="G804" s="120">
        <v>1223.8279866714799</v>
      </c>
      <c r="H804" s="120" t="s">
        <v>251</v>
      </c>
      <c r="I804" s="120">
        <v>56.837240754329031</v>
      </c>
      <c r="J804" s="120">
        <v>27.334772574190985</v>
      </c>
      <c r="K804" s="120" t="s">
        <v>251</v>
      </c>
      <c r="L804" s="120" t="s">
        <v>251</v>
      </c>
      <c r="M804" s="120">
        <v>3.9079380434198889E-3</v>
      </c>
      <c r="N804" s="120" t="s">
        <v>251</v>
      </c>
      <c r="O804" s="120">
        <v>27.330864636147567</v>
      </c>
      <c r="P804" s="120">
        <v>13.86145072019915</v>
      </c>
      <c r="Q804" s="120">
        <v>13.469413915948417</v>
      </c>
      <c r="R804" s="120"/>
      <c r="S804" s="121"/>
    </row>
    <row r="805" spans="1:19" ht="15">
      <c r="A805" s="105">
        <v>20</v>
      </c>
      <c r="B805" s="105"/>
      <c r="C805" s="107" t="s">
        <v>833</v>
      </c>
      <c r="D805" s="107" t="s">
        <v>498</v>
      </c>
      <c r="E805" s="120">
        <v>1464</v>
      </c>
      <c r="F805" s="120" t="s">
        <v>251</v>
      </c>
      <c r="G805" s="120">
        <v>1369.7891226965189</v>
      </c>
      <c r="H805" s="120" t="s">
        <v>251</v>
      </c>
      <c r="I805" s="120">
        <v>63.615994238790293</v>
      </c>
      <c r="J805" s="120">
        <v>30.59488306469083</v>
      </c>
      <c r="K805" s="120" t="s">
        <v>251</v>
      </c>
      <c r="L805" s="120" t="s">
        <v>251</v>
      </c>
      <c r="M805" s="120">
        <v>4.3740223972222611E-3</v>
      </c>
      <c r="N805" s="120" t="s">
        <v>251</v>
      </c>
      <c r="O805" s="120">
        <v>30.590509042293608</v>
      </c>
      <c r="P805" s="120">
        <v>15.514651264810059</v>
      </c>
      <c r="Q805" s="120">
        <v>15.075857777483549</v>
      </c>
      <c r="R805" s="120"/>
      <c r="S805" s="121"/>
    </row>
    <row r="806" spans="1:19" ht="15">
      <c r="A806" s="105">
        <v>21</v>
      </c>
      <c r="B806" s="105"/>
      <c r="C806" s="107" t="s">
        <v>834</v>
      </c>
      <c r="D806" s="107" t="s">
        <v>498</v>
      </c>
      <c r="E806" s="120">
        <v>768</v>
      </c>
      <c r="F806" s="120" t="s">
        <v>251</v>
      </c>
      <c r="G806" s="120">
        <v>718.57790043096077</v>
      </c>
      <c r="H806" s="120" t="s">
        <v>251</v>
      </c>
      <c r="I806" s="120">
        <v>33.372324846578515</v>
      </c>
      <c r="J806" s="120">
        <v>16.049774722460764</v>
      </c>
      <c r="K806" s="120" t="s">
        <v>251</v>
      </c>
      <c r="L806" s="120" t="s">
        <v>251</v>
      </c>
      <c r="M806" s="120">
        <v>2.2945691264116778E-3</v>
      </c>
      <c r="N806" s="120" t="s">
        <v>251</v>
      </c>
      <c r="O806" s="120">
        <v>16.047480153334352</v>
      </c>
      <c r="P806" s="120">
        <v>8.1388334503921627</v>
      </c>
      <c r="Q806" s="120">
        <v>7.9086467029421899</v>
      </c>
      <c r="R806" s="120"/>
      <c r="S806" s="121"/>
    </row>
    <row r="807" spans="1:19" ht="15">
      <c r="A807" s="105">
        <v>22</v>
      </c>
      <c r="B807" s="105"/>
      <c r="C807" s="107" t="s">
        <v>835</v>
      </c>
      <c r="D807" s="107" t="s">
        <v>498</v>
      </c>
      <c r="E807" s="120">
        <v>1089861</v>
      </c>
      <c r="F807" s="120" t="s">
        <v>251</v>
      </c>
      <c r="G807" s="120">
        <v>1019726.6004447752</v>
      </c>
      <c r="H807" s="120" t="s">
        <v>251</v>
      </c>
      <c r="I807" s="120">
        <v>47358.327252105344</v>
      </c>
      <c r="J807" s="120">
        <v>22776.072303119545</v>
      </c>
      <c r="K807" s="120" t="s">
        <v>251</v>
      </c>
      <c r="L807" s="120" t="s">
        <v>251</v>
      </c>
      <c r="M807" s="120">
        <v>3.2561997430731222</v>
      </c>
      <c r="N807" s="120" t="s">
        <v>251</v>
      </c>
      <c r="O807" s="120">
        <v>22772.81610337647</v>
      </c>
      <c r="P807" s="120">
        <v>11549.735889424286</v>
      </c>
      <c r="Q807" s="120">
        <v>11223.080213952186</v>
      </c>
      <c r="R807" s="120"/>
      <c r="S807" s="121"/>
    </row>
    <row r="808" spans="1:19" ht="15">
      <c r="A808" s="105">
        <v>23</v>
      </c>
      <c r="B808" s="105"/>
      <c r="C808" s="107" t="s">
        <v>836</v>
      </c>
      <c r="D808" s="107" t="s">
        <v>498</v>
      </c>
      <c r="E808" s="120">
        <v>339571</v>
      </c>
      <c r="F808" s="120" t="s">
        <v>251</v>
      </c>
      <c r="G808" s="120">
        <v>317719.03154588776</v>
      </c>
      <c r="H808" s="120" t="s">
        <v>251</v>
      </c>
      <c r="I808" s="120">
        <v>14755.564740205094</v>
      </c>
      <c r="J808" s="120">
        <v>7096.4037139071916</v>
      </c>
      <c r="K808" s="120" t="s">
        <v>251</v>
      </c>
      <c r="L808" s="120" t="s">
        <v>251</v>
      </c>
      <c r="M808" s="120">
        <v>1.0145431416988802</v>
      </c>
      <c r="N808" s="120" t="s">
        <v>251</v>
      </c>
      <c r="O808" s="120">
        <v>7095.389170765493</v>
      </c>
      <c r="P808" s="120">
        <v>3598.5830906030164</v>
      </c>
      <c r="Q808" s="120">
        <v>3496.806080162477</v>
      </c>
      <c r="R808" s="120"/>
      <c r="S808" s="121"/>
    </row>
    <row r="809" spans="1:19" ht="15">
      <c r="A809" s="105">
        <v>24</v>
      </c>
      <c r="B809" s="105"/>
      <c r="C809" s="107" t="s">
        <v>837</v>
      </c>
      <c r="D809" s="107" t="s">
        <v>498</v>
      </c>
      <c r="E809" s="120">
        <v>2160322</v>
      </c>
      <c r="F809" s="120" t="s">
        <v>251</v>
      </c>
      <c r="G809" s="120">
        <v>2021301.6237172058</v>
      </c>
      <c r="H809" s="120" t="s">
        <v>251</v>
      </c>
      <c r="I809" s="120">
        <v>93873.655673450761</v>
      </c>
      <c r="J809" s="120">
        <v>45146.720609343596</v>
      </c>
      <c r="K809" s="120" t="s">
        <v>251</v>
      </c>
      <c r="L809" s="120" t="s">
        <v>251</v>
      </c>
      <c r="M809" s="120">
        <v>6.4544377139426157</v>
      </c>
      <c r="N809" s="120" t="s">
        <v>251</v>
      </c>
      <c r="O809" s="120">
        <v>45140.266171629657</v>
      </c>
      <c r="P809" s="120">
        <v>22893.881454711063</v>
      </c>
      <c r="Q809" s="120">
        <v>22246.38471691859</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300805</v>
      </c>
      <c r="F811" s="120" t="s">
        <v>251</v>
      </c>
      <c r="G811" s="120">
        <v>281447.68924366555</v>
      </c>
      <c r="H811" s="120" t="s">
        <v>251</v>
      </c>
      <c r="I811" s="120">
        <v>13071.044499316471</v>
      </c>
      <c r="J811" s="120">
        <v>6286.2662570179818</v>
      </c>
      <c r="K811" s="120" t="s">
        <v>251</v>
      </c>
      <c r="L811" s="120" t="s">
        <v>251</v>
      </c>
      <c r="M811" s="120">
        <v>0.89872117977899058</v>
      </c>
      <c r="N811" s="120" t="s">
        <v>251</v>
      </c>
      <c r="O811" s="120">
        <v>6285.3675358382025</v>
      </c>
      <c r="P811" s="120">
        <v>3187.7627552672061</v>
      </c>
      <c r="Q811" s="120">
        <v>3097.6047805709968</v>
      </c>
      <c r="R811" s="120"/>
      <c r="S811" s="121"/>
    </row>
    <row r="812" spans="1:19" ht="15">
      <c r="A812" s="105">
        <v>27</v>
      </c>
      <c r="B812" s="105"/>
      <c r="C812" s="107" t="s">
        <v>840</v>
      </c>
      <c r="D812" s="107" t="s">
        <v>498</v>
      </c>
      <c r="E812" s="120">
        <v>249049</v>
      </c>
      <c r="F812" s="120" t="s">
        <v>251</v>
      </c>
      <c r="G812" s="120">
        <v>233022.27542243534</v>
      </c>
      <c r="H812" s="120" t="s">
        <v>251</v>
      </c>
      <c r="I812" s="120">
        <v>10822.062670202517</v>
      </c>
      <c r="J812" s="120">
        <v>5204.6619073621496</v>
      </c>
      <c r="K812" s="120" t="s">
        <v>251</v>
      </c>
      <c r="L812" s="120" t="s">
        <v>251</v>
      </c>
      <c r="M812" s="120">
        <v>0.74408873224440364</v>
      </c>
      <c r="N812" s="120" t="s">
        <v>251</v>
      </c>
      <c r="O812" s="120">
        <v>5203.917818629905</v>
      </c>
      <c r="P812" s="120">
        <v>2639.2816822743716</v>
      </c>
      <c r="Q812" s="120">
        <v>2564.6361363555329</v>
      </c>
      <c r="R812" s="120"/>
      <c r="S812" s="121"/>
    </row>
    <row r="813" spans="1:19" ht="15">
      <c r="A813" s="105">
        <v>28</v>
      </c>
      <c r="B813" s="105"/>
      <c r="C813" s="107" t="s">
        <v>841</v>
      </c>
      <c r="D813" s="107" t="s">
        <v>498</v>
      </c>
      <c r="E813" s="120">
        <v>1712789</v>
      </c>
      <c r="F813" s="120" t="s">
        <v>251</v>
      </c>
      <c r="G813" s="120">
        <v>1602568.1295589125</v>
      </c>
      <c r="H813" s="120" t="s">
        <v>251</v>
      </c>
      <c r="I813" s="120">
        <v>74426.758986518704</v>
      </c>
      <c r="J813" s="120">
        <v>35794.111454568811</v>
      </c>
      <c r="K813" s="120" t="s">
        <v>251</v>
      </c>
      <c r="L813" s="120" t="s">
        <v>251</v>
      </c>
      <c r="M813" s="120">
        <v>5.1173343222103274</v>
      </c>
      <c r="N813" s="120" t="s">
        <v>251</v>
      </c>
      <c r="O813" s="120">
        <v>35788.9941202466</v>
      </c>
      <c r="P813" s="120">
        <v>18151.17761284341</v>
      </c>
      <c r="Q813" s="120">
        <v>17637.816507403189</v>
      </c>
      <c r="R813" s="120"/>
      <c r="S813" s="121"/>
    </row>
    <row r="814" spans="1:19" ht="15">
      <c r="A814" s="105">
        <v>29</v>
      </c>
      <c r="B814" s="105"/>
      <c r="C814" s="107" t="s">
        <v>842</v>
      </c>
      <c r="D814" s="107" t="s">
        <v>498</v>
      </c>
      <c r="E814" s="120">
        <v>1532183.0000000002</v>
      </c>
      <c r="F814" s="120" t="s">
        <v>251</v>
      </c>
      <c r="G814" s="120">
        <v>1433584.4312708473</v>
      </c>
      <c r="H814" s="120" t="s">
        <v>251</v>
      </c>
      <c r="I814" s="120">
        <v>66578.787500527615</v>
      </c>
      <c r="J814" s="120">
        <v>32019.781228625128</v>
      </c>
      <c r="K814" s="120" t="s">
        <v>251</v>
      </c>
      <c r="L814" s="120" t="s">
        <v>251</v>
      </c>
      <c r="M814" s="120">
        <v>4.5777341247562813</v>
      </c>
      <c r="N814" s="120" t="s">
        <v>251</v>
      </c>
      <c r="O814" s="120">
        <v>32015.203494500372</v>
      </c>
      <c r="P814" s="120">
        <v>16237.216474638299</v>
      </c>
      <c r="Q814" s="120">
        <v>15777.987019862074</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1807958</v>
      </c>
      <c r="F816" s="120" t="s">
        <v>251</v>
      </c>
      <c r="G816" s="120">
        <v>1691612.8433689571</v>
      </c>
      <c r="H816" s="120" t="s">
        <v>251</v>
      </c>
      <c r="I816" s="120">
        <v>78562.189693971872</v>
      </c>
      <c r="J816" s="120">
        <v>37782.966937071244</v>
      </c>
      <c r="K816" s="120" t="s">
        <v>251</v>
      </c>
      <c r="L816" s="120" t="s">
        <v>251</v>
      </c>
      <c r="M816" s="120">
        <v>5.4016726675117246</v>
      </c>
      <c r="N816" s="120" t="s">
        <v>251</v>
      </c>
      <c r="O816" s="120">
        <v>37777.565264403733</v>
      </c>
      <c r="P816" s="120">
        <v>19159.725322010563</v>
      </c>
      <c r="Q816" s="120">
        <v>18617.839942393173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37521269.000000007</v>
      </c>
      <c r="F819" s="120" t="s">
        <v>251</v>
      </c>
      <c r="G819" s="120">
        <v>35106711.848340236</v>
      </c>
      <c r="H819" s="120" t="s">
        <v>251</v>
      </c>
      <c r="I819" s="120">
        <v>1630432.2626612715</v>
      </c>
      <c r="J819" s="120">
        <v>784124.88899850345</v>
      </c>
      <c r="K819" s="120">
        <v>0</v>
      </c>
      <c r="L819" s="120">
        <v>0</v>
      </c>
      <c r="M819" s="120">
        <v>112.10305394685881</v>
      </c>
      <c r="N819" s="120" t="s">
        <v>251</v>
      </c>
      <c r="O819" s="120">
        <v>784012.78594455658</v>
      </c>
      <c r="P819" s="120">
        <v>397629.37400828447</v>
      </c>
      <c r="Q819" s="120">
        <v>386383.41193627211</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62748605.000000015</v>
      </c>
      <c r="F821" s="120" t="s">
        <v>251</v>
      </c>
      <c r="G821" s="120">
        <v>58845866.095923439</v>
      </c>
      <c r="H821" s="120" t="s">
        <v>251</v>
      </c>
      <c r="I821" s="120">
        <v>2598881.4829739071</v>
      </c>
      <c r="J821" s="120">
        <v>1303857.4211026721</v>
      </c>
      <c r="K821" s="120">
        <v>0</v>
      </c>
      <c r="L821" s="120">
        <v>0</v>
      </c>
      <c r="M821" s="120">
        <v>218.34653536164973</v>
      </c>
      <c r="N821" s="120" t="s">
        <v>251</v>
      </c>
      <c r="O821" s="120">
        <v>1303639.0745673105</v>
      </c>
      <c r="P821" s="120">
        <v>660772.10580862663</v>
      </c>
      <c r="Q821" s="120">
        <v>642866.96875868388</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1672041.9999999998</v>
      </c>
      <c r="F827" s="120" t="s">
        <v>251</v>
      </c>
      <c r="G827" s="120">
        <v>1514486.9253856032</v>
      </c>
      <c r="H827" s="120" t="s">
        <v>251</v>
      </c>
      <c r="I827" s="120">
        <v>157550.2254668074</v>
      </c>
      <c r="J827" s="120">
        <v>4.8491475892310003</v>
      </c>
      <c r="K827" s="120" t="s">
        <v>251</v>
      </c>
      <c r="L827" s="120" t="s">
        <v>251</v>
      </c>
      <c r="M827" s="120">
        <v>4.8491475892310003</v>
      </c>
      <c r="N827" s="120" t="s">
        <v>251</v>
      </c>
      <c r="O827" s="120">
        <v>0</v>
      </c>
      <c r="P827" s="120">
        <v>0</v>
      </c>
      <c r="Q827" s="120">
        <v>0</v>
      </c>
      <c r="R827" s="120"/>
      <c r="S827" s="121"/>
    </row>
    <row r="828" spans="1:19" ht="15">
      <c r="A828" s="105">
        <v>2</v>
      </c>
      <c r="B828" s="105"/>
      <c r="C828" s="107" t="s">
        <v>850</v>
      </c>
      <c r="D828" s="107" t="s">
        <v>500</v>
      </c>
      <c r="E828" s="120">
        <v>3437436</v>
      </c>
      <c r="F828" s="120" t="s">
        <v>251</v>
      </c>
      <c r="G828" s="120">
        <v>3113529.3723780783</v>
      </c>
      <c r="H828" s="120" t="s">
        <v>251</v>
      </c>
      <c r="I828" s="120">
        <v>323896.65859333711</v>
      </c>
      <c r="J828" s="120">
        <v>9.9690285845306832</v>
      </c>
      <c r="K828" s="120" t="s">
        <v>251</v>
      </c>
      <c r="L828" s="120" t="s">
        <v>251</v>
      </c>
      <c r="M828" s="120">
        <v>9.9690285845306832</v>
      </c>
      <c r="N828" s="120" t="s">
        <v>251</v>
      </c>
      <c r="O828" s="120">
        <v>0</v>
      </c>
      <c r="P828" s="120">
        <v>0</v>
      </c>
      <c r="Q828" s="120">
        <v>0</v>
      </c>
      <c r="R828" s="120"/>
      <c r="S828" s="121"/>
    </row>
    <row r="829" spans="1:19" ht="15">
      <c r="A829" s="105">
        <v>3</v>
      </c>
      <c r="B829" s="105"/>
      <c r="C829" s="107" t="s">
        <v>851</v>
      </c>
      <c r="D829" s="107" t="s">
        <v>500</v>
      </c>
      <c r="E829" s="120">
        <v>527591.99999999988</v>
      </c>
      <c r="F829" s="120" t="s">
        <v>251</v>
      </c>
      <c r="G829" s="120">
        <v>477877.46117504296</v>
      </c>
      <c r="H829" s="120" t="s">
        <v>251</v>
      </c>
      <c r="I829" s="120">
        <v>49713.008736912023</v>
      </c>
      <c r="J829" s="120">
        <v>1.5300880449758809</v>
      </c>
      <c r="K829" s="120" t="s">
        <v>251</v>
      </c>
      <c r="L829" s="120" t="s">
        <v>251</v>
      </c>
      <c r="M829" s="120">
        <v>1.5300880449758809</v>
      </c>
      <c r="N829" s="120" t="s">
        <v>251</v>
      </c>
      <c r="O829" s="120">
        <v>0</v>
      </c>
      <c r="P829" s="120">
        <v>0</v>
      </c>
      <c r="Q829" s="120">
        <v>0</v>
      </c>
      <c r="R829" s="120"/>
      <c r="S829" s="121"/>
    </row>
    <row r="830" spans="1:19" ht="15">
      <c r="A830" s="105">
        <v>4</v>
      </c>
      <c r="B830" s="105"/>
      <c r="C830" s="107" t="s">
        <v>852</v>
      </c>
      <c r="D830" s="107" t="s">
        <v>500</v>
      </c>
      <c r="E830" s="120">
        <v>45680</v>
      </c>
      <c r="F830" s="120" t="s">
        <v>251</v>
      </c>
      <c r="G830" s="120">
        <v>41375.613023844111</v>
      </c>
      <c r="H830" s="120" t="s">
        <v>251</v>
      </c>
      <c r="I830" s="120">
        <v>4304.2544979873483</v>
      </c>
      <c r="J830" s="120">
        <v>0.1324781685364794</v>
      </c>
      <c r="K830" s="120" t="s">
        <v>251</v>
      </c>
      <c r="L830" s="120" t="s">
        <v>251</v>
      </c>
      <c r="M830" s="120">
        <v>0.1324781685364794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256223.99999999997</v>
      </c>
      <c r="F832" s="120" t="s">
        <v>251</v>
      </c>
      <c r="G832" s="120">
        <v>232080.23361255327</v>
      </c>
      <c r="H832" s="120" t="s">
        <v>251</v>
      </c>
      <c r="I832" s="120">
        <v>24143.023303246722</v>
      </c>
      <c r="J832" s="120">
        <v>0.74308419998009845</v>
      </c>
      <c r="K832" s="120" t="s">
        <v>251</v>
      </c>
      <c r="L832" s="120" t="s">
        <v>251</v>
      </c>
      <c r="M832" s="120">
        <v>0.74308419998009845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1149232</v>
      </c>
      <c r="F835" s="120" t="s">
        <v>251</v>
      </c>
      <c r="G835" s="120">
        <v>1040940.8604776361</v>
      </c>
      <c r="H835" s="120" t="s">
        <v>251</v>
      </c>
      <c r="I835" s="120">
        <v>108287.80659437383</v>
      </c>
      <c r="J835" s="120">
        <v>3.3329279900069024</v>
      </c>
      <c r="K835" s="120" t="s">
        <v>251</v>
      </c>
      <c r="L835" s="120" t="s">
        <v>251</v>
      </c>
      <c r="M835" s="120">
        <v>3.3329279900069024</v>
      </c>
      <c r="N835" s="120" t="s">
        <v>251</v>
      </c>
      <c r="O835" s="120">
        <v>0</v>
      </c>
      <c r="P835" s="120">
        <v>0</v>
      </c>
      <c r="Q835" s="120">
        <v>0</v>
      </c>
      <c r="R835" s="120"/>
      <c r="S835" s="121"/>
    </row>
    <row r="836" spans="1:19" ht="15">
      <c r="A836" s="105">
        <v>10</v>
      </c>
      <c r="B836" s="105"/>
      <c r="C836" s="107" t="s">
        <v>858</v>
      </c>
      <c r="D836" s="107" t="s">
        <v>500</v>
      </c>
      <c r="E836" s="120">
        <v>321555</v>
      </c>
      <c r="F836" s="120" t="s">
        <v>251</v>
      </c>
      <c r="G836" s="120">
        <v>291255.14986607252</v>
      </c>
      <c r="H836" s="120" t="s">
        <v>251</v>
      </c>
      <c r="I836" s="120">
        <v>30298.917581005295</v>
      </c>
      <c r="J836" s="120">
        <v>0.93255292214859098</v>
      </c>
      <c r="K836" s="120" t="s">
        <v>251</v>
      </c>
      <c r="L836" s="120" t="s">
        <v>251</v>
      </c>
      <c r="M836" s="120">
        <v>0.93255292214859098</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0</v>
      </c>
      <c r="F838" s="120" t="s">
        <v>251</v>
      </c>
      <c r="G838" s="120">
        <v>0</v>
      </c>
      <c r="H838" s="120" t="s">
        <v>251</v>
      </c>
      <c r="I838" s="120">
        <v>0</v>
      </c>
      <c r="J838" s="120">
        <v>0</v>
      </c>
      <c r="K838" s="120" t="s">
        <v>251</v>
      </c>
      <c r="L838" s="120" t="s">
        <v>251</v>
      </c>
      <c r="M838" s="120">
        <v>0</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7409760.9999999991</v>
      </c>
      <c r="F840" s="120" t="s">
        <v>251</v>
      </c>
      <c r="G840" s="120">
        <v>6711545.61591883</v>
      </c>
      <c r="H840" s="120" t="s">
        <v>251</v>
      </c>
      <c r="I840" s="120">
        <v>698193.89477366977</v>
      </c>
      <c r="J840" s="120">
        <v>21.489307499409637</v>
      </c>
      <c r="K840" s="120">
        <v>0</v>
      </c>
      <c r="L840" s="120">
        <v>0</v>
      </c>
      <c r="M840" s="120">
        <v>21.489307499409637</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1432223</v>
      </c>
      <c r="F843" s="120" t="s">
        <v>251</v>
      </c>
      <c r="G843" s="120">
        <v>1359013.242070257</v>
      </c>
      <c r="H843" s="120" t="s">
        <v>251</v>
      </c>
      <c r="I843" s="120">
        <v>70160.568358165954</v>
      </c>
      <c r="J843" s="120">
        <v>3049.1895715770702</v>
      </c>
      <c r="K843" s="120" t="s">
        <v>251</v>
      </c>
      <c r="L843" s="120" t="s">
        <v>251</v>
      </c>
      <c r="M843" s="120">
        <v>469.24310898184092</v>
      </c>
      <c r="N843" s="120" t="s">
        <v>251</v>
      </c>
      <c r="O843" s="120">
        <v>2579.9464625952291</v>
      </c>
      <c r="P843" s="120">
        <v>2561.0440127967026</v>
      </c>
      <c r="Q843" s="120">
        <v>18.902449798526337</v>
      </c>
      <c r="R843" s="120"/>
      <c r="S843" s="121"/>
    </row>
    <row r="844" spans="1:19" ht="15">
      <c r="A844" s="105">
        <v>2</v>
      </c>
      <c r="B844" s="105"/>
      <c r="C844" s="107" t="s">
        <v>864</v>
      </c>
      <c r="D844" s="107" t="s">
        <v>502</v>
      </c>
      <c r="E844" s="120">
        <v>352346</v>
      </c>
      <c r="F844" s="120" t="s">
        <v>251</v>
      </c>
      <c r="G844" s="120">
        <v>334335.42108350917</v>
      </c>
      <c r="H844" s="120" t="s">
        <v>251</v>
      </c>
      <c r="I844" s="120">
        <v>17260.437528741226</v>
      </c>
      <c r="J844" s="120">
        <v>750.14138774959929</v>
      </c>
      <c r="K844" s="120" t="s">
        <v>251</v>
      </c>
      <c r="L844" s="120" t="s">
        <v>251</v>
      </c>
      <c r="M844" s="120">
        <v>115.44007635495012</v>
      </c>
      <c r="N844" s="120" t="s">
        <v>251</v>
      </c>
      <c r="O844" s="120">
        <v>634.70131139464922</v>
      </c>
      <c r="P844" s="120">
        <v>630.05105610848807</v>
      </c>
      <c r="Q844" s="120">
        <v>4.6502552861611361</v>
      </c>
      <c r="R844" s="120"/>
      <c r="S844" s="121"/>
    </row>
    <row r="845" spans="1:19" ht="15">
      <c r="A845" s="105">
        <v>3</v>
      </c>
      <c r="B845" s="105"/>
      <c r="C845" s="107" t="s">
        <v>865</v>
      </c>
      <c r="D845" s="107" t="s">
        <v>502</v>
      </c>
      <c r="E845" s="120">
        <v>1156140</v>
      </c>
      <c r="F845" s="120" t="s">
        <v>251</v>
      </c>
      <c r="G845" s="120">
        <v>1097042.5483232059</v>
      </c>
      <c r="H845" s="120" t="s">
        <v>251</v>
      </c>
      <c r="I845" s="120">
        <v>56636.040268596436</v>
      </c>
      <c r="J845" s="120">
        <v>2461.4114081976854</v>
      </c>
      <c r="K845" s="120" t="s">
        <v>251</v>
      </c>
      <c r="L845" s="120" t="s">
        <v>251</v>
      </c>
      <c r="M845" s="120">
        <v>378.78928631802836</v>
      </c>
      <c r="N845" s="120" t="s">
        <v>251</v>
      </c>
      <c r="O845" s="120">
        <v>2082.6221218796572</v>
      </c>
      <c r="P845" s="120">
        <v>2067.3634098564121</v>
      </c>
      <c r="Q845" s="120">
        <v>15.258712023245151</v>
      </c>
      <c r="R845" s="120"/>
      <c r="S845" s="121"/>
    </row>
    <row r="846" spans="1:19" ht="15">
      <c r="A846" s="105">
        <v>4</v>
      </c>
      <c r="B846" s="105"/>
      <c r="C846" s="107" t="s">
        <v>866</v>
      </c>
      <c r="D846" s="107" t="s">
        <v>502</v>
      </c>
      <c r="E846" s="120">
        <v>2662524.9999999995</v>
      </c>
      <c r="F846" s="120" t="s">
        <v>251</v>
      </c>
      <c r="G846" s="120">
        <v>2526426.912808348</v>
      </c>
      <c r="H846" s="120" t="s">
        <v>251</v>
      </c>
      <c r="I846" s="120">
        <v>130429.59599714975</v>
      </c>
      <c r="J846" s="120">
        <v>5668.4911945020003</v>
      </c>
      <c r="K846" s="120" t="s">
        <v>251</v>
      </c>
      <c r="L846" s="120" t="s">
        <v>251</v>
      </c>
      <c r="M846" s="120">
        <v>872.3302926582495</v>
      </c>
      <c r="N846" s="120" t="s">
        <v>251</v>
      </c>
      <c r="O846" s="120">
        <v>4796.1609018437512</v>
      </c>
      <c r="P846" s="120">
        <v>4761.0209514660364</v>
      </c>
      <c r="Q846" s="120">
        <v>35.139950377714463</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5283130.9999999991</v>
      </c>
      <c r="F849" s="120" t="s">
        <v>251</v>
      </c>
      <c r="G849" s="120">
        <v>5013077.5644518193</v>
      </c>
      <c r="H849" s="120" t="s">
        <v>251</v>
      </c>
      <c r="I849" s="120">
        <v>258805.69832396609</v>
      </c>
      <c r="J849" s="120">
        <v>11247.737224214061</v>
      </c>
      <c r="K849" s="120" t="s">
        <v>251</v>
      </c>
      <c r="L849" s="120" t="s">
        <v>251</v>
      </c>
      <c r="M849" s="120">
        <v>1730.9265495654952</v>
      </c>
      <c r="N849" s="120" t="s">
        <v>251</v>
      </c>
      <c r="O849" s="120">
        <v>9516.8106746485664</v>
      </c>
      <c r="P849" s="120">
        <v>9447.0840199959475</v>
      </c>
      <c r="Q849" s="120">
        <v>69.726654652619217</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3424186</v>
      </c>
      <c r="F851" s="120" t="s">
        <v>251</v>
      </c>
      <c r="G851" s="120">
        <v>3249154.7177440836</v>
      </c>
      <c r="H851" s="120" t="s">
        <v>251</v>
      </c>
      <c r="I851" s="120">
        <v>167741.22180978442</v>
      </c>
      <c r="J851" s="120">
        <v>7290.0604461317835</v>
      </c>
      <c r="K851" s="120" t="s">
        <v>251</v>
      </c>
      <c r="L851" s="120" t="s">
        <v>251</v>
      </c>
      <c r="M851" s="120">
        <v>1121.8753534694624</v>
      </c>
      <c r="N851" s="120" t="s">
        <v>251</v>
      </c>
      <c r="O851" s="120">
        <v>6168.185092662321</v>
      </c>
      <c r="P851" s="120">
        <v>6122.9927560179458</v>
      </c>
      <c r="Q851" s="120">
        <v>45.192336644375011</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0</v>
      </c>
      <c r="F853" s="120" t="s">
        <v>251</v>
      </c>
      <c r="G853" s="120">
        <v>0</v>
      </c>
      <c r="H853" s="120" t="s">
        <v>251</v>
      </c>
      <c r="I853" s="120">
        <v>0</v>
      </c>
      <c r="J853" s="120">
        <v>0</v>
      </c>
      <c r="K853" s="120" t="s">
        <v>251</v>
      </c>
      <c r="L853" s="120" t="s">
        <v>251</v>
      </c>
      <c r="M853" s="120">
        <v>0</v>
      </c>
      <c r="N853" s="120" t="s">
        <v>251</v>
      </c>
      <c r="O853" s="120">
        <v>0</v>
      </c>
      <c r="P853" s="120">
        <v>0</v>
      </c>
      <c r="Q853" s="120">
        <v>0</v>
      </c>
      <c r="R853" s="120"/>
      <c r="S853" s="121"/>
    </row>
    <row r="854" spans="1:19" ht="15">
      <c r="A854" s="105">
        <v>13</v>
      </c>
      <c r="B854" s="105"/>
      <c r="C854" s="107" t="s">
        <v>874</v>
      </c>
      <c r="D854" s="107" t="s">
        <v>502</v>
      </c>
      <c r="E854" s="120">
        <v>634557</v>
      </c>
      <c r="F854" s="120" t="s">
        <v>251</v>
      </c>
      <c r="G854" s="120">
        <v>602120.87492546625</v>
      </c>
      <c r="H854" s="120" t="s">
        <v>251</v>
      </c>
      <c r="I854" s="120">
        <v>31085.159067863533</v>
      </c>
      <c r="J854" s="120">
        <v>1350.9660066702118</v>
      </c>
      <c r="K854" s="120" t="s">
        <v>251</v>
      </c>
      <c r="L854" s="120" t="s">
        <v>251</v>
      </c>
      <c r="M854" s="120">
        <v>207.90163229203137</v>
      </c>
      <c r="N854" s="120" t="s">
        <v>251</v>
      </c>
      <c r="O854" s="120">
        <v>1143.0643743781804</v>
      </c>
      <c r="P854" s="120">
        <v>1134.6895040983404</v>
      </c>
      <c r="Q854" s="120">
        <v>8.3748702798401347</v>
      </c>
      <c r="R854" s="120"/>
      <c r="S854" s="121"/>
    </row>
    <row r="855" spans="1:19" ht="15">
      <c r="A855" s="105">
        <v>14</v>
      </c>
      <c r="B855" s="105"/>
      <c r="C855" s="107" t="s">
        <v>875</v>
      </c>
      <c r="D855" s="107" t="s">
        <v>502</v>
      </c>
      <c r="E855" s="120">
        <v>7440116</v>
      </c>
      <c r="F855" s="120" t="s">
        <v>251</v>
      </c>
      <c r="G855" s="120">
        <v>7059805.747106974</v>
      </c>
      <c r="H855" s="120" t="s">
        <v>251</v>
      </c>
      <c r="I855" s="120">
        <v>364470.31447664526</v>
      </c>
      <c r="J855" s="120">
        <v>15839.938416380484</v>
      </c>
      <c r="K855" s="120" t="s">
        <v>251</v>
      </c>
      <c r="L855" s="120" t="s">
        <v>251</v>
      </c>
      <c r="M855" s="120">
        <v>2437.6253998333627</v>
      </c>
      <c r="N855" s="120" t="s">
        <v>251</v>
      </c>
      <c r="O855" s="120">
        <v>13402.313016547121</v>
      </c>
      <c r="P855" s="120">
        <v>13304.118518075016</v>
      </c>
      <c r="Q855" s="120">
        <v>98.194498472104257</v>
      </c>
      <c r="R855" s="120"/>
      <c r="S855" s="121"/>
    </row>
    <row r="856" spans="1:19" ht="15">
      <c r="A856" s="105">
        <v>15</v>
      </c>
      <c r="B856" s="105"/>
      <c r="C856" s="107" t="s">
        <v>876</v>
      </c>
      <c r="D856" s="107" t="s">
        <v>502</v>
      </c>
      <c r="E856" s="120">
        <v>341754.99999999994</v>
      </c>
      <c r="F856" s="120" t="s">
        <v>251</v>
      </c>
      <c r="G856" s="120">
        <v>324285.79246648087</v>
      </c>
      <c r="H856" s="120" t="s">
        <v>251</v>
      </c>
      <c r="I856" s="120">
        <v>16741.614287192013</v>
      </c>
      <c r="J856" s="120">
        <v>727.59324632708831</v>
      </c>
      <c r="K856" s="120" t="s">
        <v>251</v>
      </c>
      <c r="L856" s="120" t="s">
        <v>251</v>
      </c>
      <c r="M856" s="120">
        <v>111.97011827773262</v>
      </c>
      <c r="N856" s="120" t="s">
        <v>251</v>
      </c>
      <c r="O856" s="120">
        <v>615.62312804935573</v>
      </c>
      <c r="P856" s="120">
        <v>611.11265256411684</v>
      </c>
      <c r="Q856" s="120">
        <v>4.5104754852389393</v>
      </c>
      <c r="R856" s="120"/>
      <c r="S856" s="121"/>
    </row>
    <row r="857" spans="1:19" ht="15">
      <c r="A857" s="105">
        <v>16</v>
      </c>
      <c r="B857" s="105"/>
      <c r="C857" s="107" t="s">
        <v>877</v>
      </c>
      <c r="D857" s="107" t="s">
        <v>502</v>
      </c>
      <c r="E857" s="120">
        <v>57972</v>
      </c>
      <c r="F857" s="120" t="s">
        <v>251</v>
      </c>
      <c r="G857" s="120">
        <v>55008.693247697418</v>
      </c>
      <c r="H857" s="120" t="s">
        <v>251</v>
      </c>
      <c r="I857" s="120">
        <v>2839.8848984128845</v>
      </c>
      <c r="J857" s="120">
        <v>123.42185388969867</v>
      </c>
      <c r="K857" s="120" t="s">
        <v>251</v>
      </c>
      <c r="L857" s="120" t="s">
        <v>251</v>
      </c>
      <c r="M857" s="120">
        <v>18.993523713761952</v>
      </c>
      <c r="N857" s="120" t="s">
        <v>251</v>
      </c>
      <c r="O857" s="120">
        <v>104.42833017593672</v>
      </c>
      <c r="P857" s="120">
        <v>103.66321690815637</v>
      </c>
      <c r="Q857" s="120">
        <v>0.76511326778034483</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9209.0000000000018</v>
      </c>
      <c r="F860" s="120" t="s">
        <v>251</v>
      </c>
      <c r="G860" s="120">
        <v>8738.2711674264392</v>
      </c>
      <c r="H860" s="120" t="s">
        <v>251</v>
      </c>
      <c r="I860" s="120">
        <v>451.1229564183443</v>
      </c>
      <c r="J860" s="120">
        <v>19.605876155216919</v>
      </c>
      <c r="K860" s="120" t="s">
        <v>251</v>
      </c>
      <c r="L860" s="120" t="s">
        <v>251</v>
      </c>
      <c r="M860" s="120">
        <v>3.0171696660462604</v>
      </c>
      <c r="N860" s="120" t="s">
        <v>251</v>
      </c>
      <c r="O860" s="120">
        <v>16.588706489170658</v>
      </c>
      <c r="P860" s="120">
        <v>16.467166295922379</v>
      </c>
      <c r="Q860" s="120">
        <v>0.1215401932482784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22794160</v>
      </c>
      <c r="F862" s="120" t="s">
        <v>251</v>
      </c>
      <c r="G862" s="120">
        <v>21629009.785395268</v>
      </c>
      <c r="H862" s="120" t="s">
        <v>251</v>
      </c>
      <c r="I862" s="120">
        <v>1116621.6579729361</v>
      </c>
      <c r="J862" s="120">
        <v>48528.556631794905</v>
      </c>
      <c r="K862" s="120" t="s">
        <v>251</v>
      </c>
      <c r="L862" s="120" t="s">
        <v>251</v>
      </c>
      <c r="M862" s="120">
        <v>7468.1125111309611</v>
      </c>
      <c r="N862" s="120" t="s">
        <v>251</v>
      </c>
      <c r="O862" s="120">
        <v>41060.444120663939</v>
      </c>
      <c r="P862" s="120">
        <v>40759.607264183083</v>
      </c>
      <c r="Q862" s="120">
        <v>300.83685648085333</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92952526.000000015</v>
      </c>
      <c r="F864" s="120" t="s">
        <v>251</v>
      </c>
      <c r="G864" s="120">
        <v>87186421.497237533</v>
      </c>
      <c r="H864" s="120" t="s">
        <v>251</v>
      </c>
      <c r="I864" s="120">
        <v>4413697.0357205123</v>
      </c>
      <c r="J864" s="120">
        <v>1352407.4670419665</v>
      </c>
      <c r="K864" s="120" t="s">
        <v>251</v>
      </c>
      <c r="L864" s="120" t="s">
        <v>251</v>
      </c>
      <c r="M864" s="120">
        <v>7707.9483539920202</v>
      </c>
      <c r="N864" s="120" t="s">
        <v>251</v>
      </c>
      <c r="O864" s="120">
        <v>1344699.5186879744</v>
      </c>
      <c r="P864" s="120">
        <v>701531.71307280974</v>
      </c>
      <c r="Q864" s="120">
        <v>643167.80561516469</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3641154</v>
      </c>
      <c r="F870" s="120" t="s">
        <v>251</v>
      </c>
      <c r="G870" s="120">
        <v>3459212.6491932455</v>
      </c>
      <c r="H870" s="120" t="s">
        <v>251</v>
      </c>
      <c r="I870" s="120">
        <v>180900.20544863981</v>
      </c>
      <c r="J870" s="120">
        <v>1041.145358114652</v>
      </c>
      <c r="K870" s="120" t="s">
        <v>251</v>
      </c>
      <c r="L870" s="120" t="s">
        <v>251</v>
      </c>
      <c r="M870" s="120">
        <v>23.989524380521935</v>
      </c>
      <c r="N870" s="120" t="s">
        <v>251</v>
      </c>
      <c r="O870" s="120">
        <v>1017.1558337341302</v>
      </c>
      <c r="P870" s="120">
        <v>407.82191446887293</v>
      </c>
      <c r="Q870" s="120">
        <v>609.33391926525724</v>
      </c>
      <c r="R870" s="120"/>
      <c r="S870" s="121"/>
    </row>
    <row r="871" spans="1:19" ht="15">
      <c r="A871" s="105">
        <v>2</v>
      </c>
      <c r="B871" s="105"/>
      <c r="C871" s="107" t="s">
        <v>886</v>
      </c>
      <c r="D871" s="107" t="s">
        <v>885</v>
      </c>
      <c r="E871" s="120">
        <v>724506</v>
      </c>
      <c r="F871" s="120" t="s">
        <v>251</v>
      </c>
      <c r="G871" s="120">
        <v>688303.85081663716</v>
      </c>
      <c r="H871" s="120" t="s">
        <v>251</v>
      </c>
      <c r="I871" s="120">
        <v>35994.985174692483</v>
      </c>
      <c r="J871" s="120">
        <v>207.16400867038692</v>
      </c>
      <c r="K871" s="120" t="s">
        <v>251</v>
      </c>
      <c r="L871" s="120" t="s">
        <v>251</v>
      </c>
      <c r="M871" s="120">
        <v>4.7733642550780395</v>
      </c>
      <c r="N871" s="120" t="s">
        <v>251</v>
      </c>
      <c r="O871" s="120">
        <v>202.39064441530888</v>
      </c>
      <c r="P871" s="120">
        <v>81.147192336326682</v>
      </c>
      <c r="Q871" s="120">
        <v>121.24345207898222</v>
      </c>
      <c r="R871" s="120"/>
      <c r="S871" s="121"/>
    </row>
    <row r="872" spans="1:19" ht="15">
      <c r="A872" s="105">
        <v>3</v>
      </c>
      <c r="B872" s="105"/>
      <c r="C872" s="107" t="s">
        <v>887</v>
      </c>
      <c r="D872" s="107" t="s">
        <v>885</v>
      </c>
      <c r="E872" s="120">
        <v>14347203</v>
      </c>
      <c r="F872" s="120" t="s">
        <v>251</v>
      </c>
      <c r="G872" s="120">
        <v>13630301.29957241</v>
      </c>
      <c r="H872" s="120" t="s">
        <v>251</v>
      </c>
      <c r="I872" s="120">
        <v>712799.28569715575</v>
      </c>
      <c r="J872" s="120">
        <v>4102.4147304339804</v>
      </c>
      <c r="K872" s="120" t="s">
        <v>251</v>
      </c>
      <c r="L872" s="120" t="s">
        <v>251</v>
      </c>
      <c r="M872" s="120">
        <v>94.525685033041029</v>
      </c>
      <c r="N872" s="120" t="s">
        <v>251</v>
      </c>
      <c r="O872" s="120">
        <v>4007.8890454009393</v>
      </c>
      <c r="P872" s="120">
        <v>1606.9366455616973</v>
      </c>
      <c r="Q872" s="120">
        <v>2400.9523998392419</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0</v>
      </c>
      <c r="F874" s="120" t="s">
        <v>251</v>
      </c>
      <c r="G874" s="120">
        <v>0</v>
      </c>
      <c r="H874" s="120" t="s">
        <v>251</v>
      </c>
      <c r="I874" s="120">
        <v>0</v>
      </c>
      <c r="J874" s="120">
        <v>0</v>
      </c>
      <c r="K874" s="120" t="s">
        <v>251</v>
      </c>
      <c r="L874" s="120" t="s">
        <v>251</v>
      </c>
      <c r="M874" s="120">
        <v>0</v>
      </c>
      <c r="N874" s="120" t="s">
        <v>251</v>
      </c>
      <c r="O874" s="120">
        <v>0</v>
      </c>
      <c r="P874" s="120">
        <v>0</v>
      </c>
      <c r="Q874" s="120">
        <v>0</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18712862.999999996</v>
      </c>
      <c r="F876" s="120" t="s">
        <v>251</v>
      </c>
      <c r="G876" s="120">
        <v>17777817.799582291</v>
      </c>
      <c r="H876" s="120" t="s">
        <v>251</v>
      </c>
      <c r="I876" s="120">
        <v>929694.47632048803</v>
      </c>
      <c r="J876" s="120">
        <v>5350.7240972190202</v>
      </c>
      <c r="K876" s="120" t="s">
        <v>251</v>
      </c>
      <c r="L876" s="120" t="s">
        <v>251</v>
      </c>
      <c r="M876" s="120">
        <v>123.28857366864101</v>
      </c>
      <c r="N876" s="120" t="s">
        <v>251</v>
      </c>
      <c r="O876" s="120">
        <v>5227.435523550379</v>
      </c>
      <c r="P876" s="120">
        <v>2095.9057523668971</v>
      </c>
      <c r="Q876" s="120">
        <v>3131.5297711834814</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624043.99999999988</v>
      </c>
      <c r="F879" s="120" t="s">
        <v>251</v>
      </c>
      <c r="G879" s="120">
        <v>616104.90533865418</v>
      </c>
      <c r="H879" s="120" t="s">
        <v>251</v>
      </c>
      <c r="I879" s="120">
        <v>7938.2478546905377</v>
      </c>
      <c r="J879" s="120">
        <v>0.84680665519580456</v>
      </c>
      <c r="K879" s="120" t="s">
        <v>251</v>
      </c>
      <c r="L879" s="120" t="s">
        <v>251</v>
      </c>
      <c r="M879" s="120">
        <v>0.84680665519580456</v>
      </c>
      <c r="N879" s="120" t="s">
        <v>251</v>
      </c>
      <c r="O879" s="120">
        <v>0</v>
      </c>
      <c r="P879" s="120">
        <v>0</v>
      </c>
      <c r="Q879" s="120">
        <v>0</v>
      </c>
      <c r="R879" s="120"/>
      <c r="S879" s="121"/>
    </row>
    <row r="880" spans="1:19" ht="15">
      <c r="A880" s="105">
        <v>8</v>
      </c>
      <c r="B880" s="105"/>
      <c r="C880" s="107" t="s">
        <v>894</v>
      </c>
      <c r="D880" s="107" t="s">
        <v>893</v>
      </c>
      <c r="E880" s="120">
        <v>1077180.9999999998</v>
      </c>
      <c r="F880" s="120" t="s">
        <v>251</v>
      </c>
      <c r="G880" s="120">
        <v>1063477.0914191897</v>
      </c>
      <c r="H880" s="120" t="s">
        <v>251</v>
      </c>
      <c r="I880" s="120">
        <v>13702.446882532975</v>
      </c>
      <c r="J880" s="120">
        <v>1.4616982771254461</v>
      </c>
      <c r="K880" s="120" t="s">
        <v>251</v>
      </c>
      <c r="L880" s="120" t="s">
        <v>251</v>
      </c>
      <c r="M880" s="120">
        <v>1.4616982771254461</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1701224.9999999998</v>
      </c>
      <c r="F887" s="120" t="s">
        <v>251</v>
      </c>
      <c r="G887" s="120">
        <v>1679581.996757844</v>
      </c>
      <c r="H887" s="120" t="s">
        <v>251</v>
      </c>
      <c r="I887" s="120">
        <v>21640.694737223512</v>
      </c>
      <c r="J887" s="120">
        <v>2.3085049323212505</v>
      </c>
      <c r="K887" s="120" t="s">
        <v>251</v>
      </c>
      <c r="L887" s="120" t="s">
        <v>251</v>
      </c>
      <c r="M887" s="120">
        <v>2.3085049323212505</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113366614.00000001</v>
      </c>
      <c r="F889" s="120" t="s">
        <v>251</v>
      </c>
      <c r="G889" s="120">
        <v>106643821.29357767</v>
      </c>
      <c r="H889" s="120" t="s">
        <v>251</v>
      </c>
      <c r="I889" s="120">
        <v>5365032.2067782236</v>
      </c>
      <c r="J889" s="120">
        <v>1357760.4996441177</v>
      </c>
      <c r="K889" s="120" t="s">
        <v>251</v>
      </c>
      <c r="L889" s="120" t="s">
        <v>251</v>
      </c>
      <c r="M889" s="120">
        <v>7833.5454325929823</v>
      </c>
      <c r="N889" s="120" t="s">
        <v>251</v>
      </c>
      <c r="O889" s="120">
        <v>1349926.9542115247</v>
      </c>
      <c r="P889" s="120">
        <v>703627.61882517661</v>
      </c>
      <c r="Q889" s="120">
        <v>646299.33538634819</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37810562</v>
      </c>
      <c r="F892" s="120" t="s">
        <v>251</v>
      </c>
      <c r="G892" s="120">
        <v>35568344.812148474</v>
      </c>
      <c r="H892" s="120" t="s">
        <v>251</v>
      </c>
      <c r="I892" s="120">
        <v>1789370.5715369149</v>
      </c>
      <c r="J892" s="120">
        <v>452846.61631461343</v>
      </c>
      <c r="K892" s="120" t="s">
        <v>251</v>
      </c>
      <c r="L892" s="120" t="s">
        <v>251</v>
      </c>
      <c r="M892" s="120">
        <v>2612.6806191712999</v>
      </c>
      <c r="N892" s="120" t="s">
        <v>251</v>
      </c>
      <c r="O892" s="120">
        <v>450233.93569544214</v>
      </c>
      <c r="P892" s="120">
        <v>234677.1661231913</v>
      </c>
      <c r="Q892" s="120">
        <v>215556.76957225087</v>
      </c>
      <c r="R892" s="120"/>
      <c r="S892" s="121"/>
    </row>
    <row r="893" spans="1:19" ht="15">
      <c r="A893" s="105">
        <v>17</v>
      </c>
      <c r="B893" s="105"/>
      <c r="C893" s="107" t="s">
        <v>905</v>
      </c>
      <c r="D893" s="107" t="s">
        <v>904</v>
      </c>
      <c r="E893" s="120">
        <v>76625</v>
      </c>
      <c r="F893" s="120" t="s">
        <v>251</v>
      </c>
      <c r="G893" s="120">
        <v>72081.034427123217</v>
      </c>
      <c r="H893" s="120" t="s">
        <v>251</v>
      </c>
      <c r="I893" s="120">
        <v>3626.2491957674711</v>
      </c>
      <c r="J893" s="120">
        <v>917.71637710931816</v>
      </c>
      <c r="K893" s="120" t="s">
        <v>251</v>
      </c>
      <c r="L893" s="120" t="s">
        <v>251</v>
      </c>
      <c r="M893" s="120">
        <v>5.2947282942792775</v>
      </c>
      <c r="N893" s="120" t="s">
        <v>251</v>
      </c>
      <c r="O893" s="120">
        <v>912.42164881503891</v>
      </c>
      <c r="P893" s="120">
        <v>475.58504563326869</v>
      </c>
      <c r="Q893" s="120">
        <v>436.83660318177027</v>
      </c>
      <c r="R893" s="120"/>
      <c r="S893" s="121"/>
    </row>
    <row r="894" spans="1:19" ht="15">
      <c r="A894" s="105">
        <v>18</v>
      </c>
      <c r="B894" s="105"/>
      <c r="C894" s="107" t="s">
        <v>906</v>
      </c>
      <c r="D894" s="107" t="s">
        <v>904</v>
      </c>
      <c r="E894" s="120">
        <v>-4521751</v>
      </c>
      <c r="F894" s="120" t="s">
        <v>251</v>
      </c>
      <c r="G894" s="120">
        <v>-4253605.0832219096</v>
      </c>
      <c r="H894" s="120" t="s">
        <v>251</v>
      </c>
      <c r="I894" s="120">
        <v>-213990.15891955313</v>
      </c>
      <c r="J894" s="120">
        <v>-54155.757858537509</v>
      </c>
      <c r="K894" s="120" t="s">
        <v>251</v>
      </c>
      <c r="L894" s="120" t="s">
        <v>251</v>
      </c>
      <c r="M894" s="120">
        <v>-312.44950028561976</v>
      </c>
      <c r="N894" s="120" t="s">
        <v>251</v>
      </c>
      <c r="O894" s="120">
        <v>-53843.308358251888</v>
      </c>
      <c r="P894" s="120">
        <v>-28064.954723357627</v>
      </c>
      <c r="Q894" s="120">
        <v>-25778.353634894265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757233</v>
      </c>
      <c r="F897" s="120" t="s">
        <v>251</v>
      </c>
      <c r="G897" s="120">
        <v>712328.06450053887</v>
      </c>
      <c r="H897" s="120" t="s">
        <v>251</v>
      </c>
      <c r="I897" s="120">
        <v>35835.765836979961</v>
      </c>
      <c r="J897" s="120">
        <v>9069.1696624811811</v>
      </c>
      <c r="K897" s="120" t="s">
        <v>251</v>
      </c>
      <c r="L897" s="120" t="s">
        <v>251</v>
      </c>
      <c r="M897" s="120">
        <v>52.324215209944271</v>
      </c>
      <c r="N897" s="120" t="s">
        <v>251</v>
      </c>
      <c r="O897" s="120">
        <v>9016.8454472712365</v>
      </c>
      <c r="P897" s="120">
        <v>4699.8850356935327</v>
      </c>
      <c r="Q897" s="120">
        <v>4316.9604115777029</v>
      </c>
      <c r="R897" s="120"/>
      <c r="S897" s="121"/>
    </row>
    <row r="898" spans="1:19" ht="15">
      <c r="A898" s="105">
        <v>22</v>
      </c>
      <c r="B898" s="105"/>
      <c r="C898" s="107" t="s">
        <v>910</v>
      </c>
      <c r="D898" s="107" t="s">
        <v>904</v>
      </c>
      <c r="E898" s="120">
        <v>30537150</v>
      </c>
      <c r="F898" s="120" t="s">
        <v>251</v>
      </c>
      <c r="G898" s="120">
        <v>28726255.927650578</v>
      </c>
      <c r="H898" s="120" t="s">
        <v>251</v>
      </c>
      <c r="I898" s="120">
        <v>1445159.0946627161</v>
      </c>
      <c r="J898" s="120">
        <v>365734.97768670565</v>
      </c>
      <c r="K898" s="120" t="s">
        <v>251</v>
      </c>
      <c r="L898" s="120" t="s">
        <v>251</v>
      </c>
      <c r="M898" s="120">
        <v>2110.0934699073464</v>
      </c>
      <c r="N898" s="120" t="s">
        <v>251</v>
      </c>
      <c r="O898" s="120">
        <v>363624.88421679829</v>
      </c>
      <c r="P898" s="120">
        <v>189533.59708006488</v>
      </c>
      <c r="Q898" s="120">
        <v>174091.28713673342</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0</v>
      </c>
      <c r="F901" s="120" t="s">
        <v>251</v>
      </c>
      <c r="G901" s="120">
        <v>0</v>
      </c>
      <c r="H901" s="120" t="s">
        <v>251</v>
      </c>
      <c r="I901" s="120">
        <v>0</v>
      </c>
      <c r="J901" s="120">
        <v>0</v>
      </c>
      <c r="K901" s="120" t="s">
        <v>251</v>
      </c>
      <c r="L901" s="120" t="s">
        <v>251</v>
      </c>
      <c r="M901" s="120">
        <v>0</v>
      </c>
      <c r="N901" s="120" t="s">
        <v>251</v>
      </c>
      <c r="O901" s="120">
        <v>0</v>
      </c>
      <c r="P901" s="120">
        <v>0</v>
      </c>
      <c r="Q901" s="120">
        <v>0</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840741.00000000012</v>
      </c>
      <c r="F903" s="120" t="s">
        <v>251</v>
      </c>
      <c r="G903" s="120">
        <v>790883.9277689266</v>
      </c>
      <c r="H903" s="120" t="s">
        <v>251</v>
      </c>
      <c r="I903" s="120">
        <v>39787.750409118948</v>
      </c>
      <c r="J903" s="120">
        <v>10069.321821954523</v>
      </c>
      <c r="K903" s="120" t="s">
        <v>251</v>
      </c>
      <c r="L903" s="120" t="s">
        <v>251</v>
      </c>
      <c r="M903" s="120">
        <v>58.094553485946541</v>
      </c>
      <c r="N903" s="120" t="s">
        <v>251</v>
      </c>
      <c r="O903" s="120">
        <v>10011.227268468578</v>
      </c>
      <c r="P903" s="120">
        <v>5218.190497236671</v>
      </c>
      <c r="Q903" s="120">
        <v>4793.0367712319057</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65500560</v>
      </c>
      <c r="F905" s="120" t="s">
        <v>251</v>
      </c>
      <c r="G905" s="120">
        <v>61616288.683273725</v>
      </c>
      <c r="H905" s="120" t="s">
        <v>251</v>
      </c>
      <c r="I905" s="120">
        <v>3099789.2727219444</v>
      </c>
      <c r="J905" s="120">
        <v>784482.04400432657</v>
      </c>
      <c r="K905" s="120" t="s">
        <v>251</v>
      </c>
      <c r="L905" s="120" t="s">
        <v>251</v>
      </c>
      <c r="M905" s="120">
        <v>4526.038085783196</v>
      </c>
      <c r="N905" s="120" t="s">
        <v>251</v>
      </c>
      <c r="O905" s="120">
        <v>779956.00591854332</v>
      </c>
      <c r="P905" s="120">
        <v>406539.46905846201</v>
      </c>
      <c r="Q905" s="120">
        <v>373416.53686008137</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178867174.00000003</v>
      </c>
      <c r="F907" s="120" t="s">
        <v>251</v>
      </c>
      <c r="G907" s="120">
        <v>168260109.9768514</v>
      </c>
      <c r="H907" s="120" t="s">
        <v>251</v>
      </c>
      <c r="I907" s="120">
        <v>8464821.4795001671</v>
      </c>
      <c r="J907" s="120">
        <v>2142242.5436484446</v>
      </c>
      <c r="K907" s="120" t="s">
        <v>251</v>
      </c>
      <c r="L907" s="120" t="s">
        <v>251</v>
      </c>
      <c r="M907" s="120">
        <v>12359.583518376177</v>
      </c>
      <c r="N907" s="120" t="s">
        <v>251</v>
      </c>
      <c r="O907" s="120">
        <v>2129882.9601300685</v>
      </c>
      <c r="P907" s="120">
        <v>1110167.0878836387</v>
      </c>
      <c r="Q907" s="120">
        <v>1019715.8722464296</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07" t="s">
        <v>251</v>
      </c>
      <c r="F910" s="107" t="s">
        <v>251</v>
      </c>
      <c r="G910" s="107" t="s">
        <v>251</v>
      </c>
      <c r="H910" s="107" t="s">
        <v>251</v>
      </c>
      <c r="I910" s="107" t="s">
        <v>251</v>
      </c>
      <c r="J910" s="107" t="s">
        <v>251</v>
      </c>
      <c r="K910" s="107" t="s">
        <v>251</v>
      </c>
      <c r="L910" s="107" t="s">
        <v>251</v>
      </c>
      <c r="M910" s="107" t="s">
        <v>251</v>
      </c>
      <c r="N910" s="107" t="s">
        <v>251</v>
      </c>
      <c r="O910" s="107" t="s">
        <v>251</v>
      </c>
      <c r="P910" s="107" t="s">
        <v>251</v>
      </c>
      <c r="Q910" s="107" t="s">
        <v>251</v>
      </c>
      <c r="R910" s="120"/>
      <c r="S910" s="121"/>
    </row>
    <row r="911" spans="1:19" ht="15">
      <c r="A911" s="105" t="s">
        <v>251</v>
      </c>
      <c r="B911" s="105"/>
      <c r="C911" s="107" t="s">
        <v>919</v>
      </c>
      <c r="D911" s="107" t="s">
        <v>251</v>
      </c>
      <c r="E911" s="107" t="s">
        <v>251</v>
      </c>
      <c r="F911" s="107" t="s">
        <v>251</v>
      </c>
      <c r="G911" s="107" t="s">
        <v>251</v>
      </c>
      <c r="H911" s="107" t="s">
        <v>251</v>
      </c>
      <c r="I911" s="107" t="s">
        <v>251</v>
      </c>
      <c r="J911" s="107" t="s">
        <v>251</v>
      </c>
      <c r="K911" s="107" t="s">
        <v>251</v>
      </c>
      <c r="L911" s="107" t="s">
        <v>251</v>
      </c>
      <c r="M911" s="107" t="s">
        <v>251</v>
      </c>
      <c r="N911" s="107" t="s">
        <v>251</v>
      </c>
      <c r="O911" s="107" t="s">
        <v>251</v>
      </c>
      <c r="P911" s="107" t="s">
        <v>251</v>
      </c>
      <c r="Q911" s="107" t="s">
        <v>251</v>
      </c>
      <c r="R911" s="120"/>
      <c r="S911" s="121"/>
    </row>
    <row r="912" spans="1:19" ht="15">
      <c r="A912" s="105" t="s">
        <v>251</v>
      </c>
      <c r="B912" s="105"/>
      <c r="C912" s="107" t="s">
        <v>920</v>
      </c>
      <c r="D912" s="107" t="s">
        <v>251</v>
      </c>
      <c r="E912" s="107" t="s">
        <v>251</v>
      </c>
      <c r="F912" s="107" t="s">
        <v>251</v>
      </c>
      <c r="G912" s="107" t="s">
        <v>251</v>
      </c>
      <c r="H912" s="107" t="s">
        <v>251</v>
      </c>
      <c r="I912" s="107" t="s">
        <v>251</v>
      </c>
      <c r="J912" s="107" t="s">
        <v>251</v>
      </c>
      <c r="K912" s="107" t="s">
        <v>251</v>
      </c>
      <c r="L912" s="107" t="s">
        <v>251</v>
      </c>
      <c r="M912" s="107" t="s">
        <v>251</v>
      </c>
      <c r="N912" s="107" t="s">
        <v>251</v>
      </c>
      <c r="O912" s="107" t="s">
        <v>251</v>
      </c>
      <c r="P912" s="107" t="s">
        <v>251</v>
      </c>
      <c r="Q912" s="107" t="s">
        <v>251</v>
      </c>
      <c r="R912" s="120"/>
      <c r="S912" s="121"/>
    </row>
    <row r="913" spans="1:19" ht="15">
      <c r="A913" s="105" t="s">
        <v>251</v>
      </c>
      <c r="B913" s="105"/>
      <c r="C913" s="107" t="s">
        <v>921</v>
      </c>
      <c r="D913" s="107" t="s">
        <v>251</v>
      </c>
      <c r="E913" s="107" t="s">
        <v>251</v>
      </c>
      <c r="F913" s="107" t="s">
        <v>251</v>
      </c>
      <c r="G913" s="107" t="s">
        <v>251</v>
      </c>
      <c r="H913" s="107" t="s">
        <v>251</v>
      </c>
      <c r="I913" s="107" t="s">
        <v>251</v>
      </c>
      <c r="J913" s="107" t="s">
        <v>251</v>
      </c>
      <c r="K913" s="107" t="s">
        <v>251</v>
      </c>
      <c r="L913" s="107" t="s">
        <v>251</v>
      </c>
      <c r="M913" s="107" t="s">
        <v>251</v>
      </c>
      <c r="N913" s="107" t="s">
        <v>251</v>
      </c>
      <c r="O913" s="107" t="s">
        <v>251</v>
      </c>
      <c r="P913" s="107" t="s">
        <v>251</v>
      </c>
      <c r="Q913" s="107" t="s">
        <v>251</v>
      </c>
      <c r="R913" s="120"/>
      <c r="S913" s="121"/>
    </row>
    <row r="914" spans="1:19" ht="15">
      <c r="A914" s="105">
        <v>1</v>
      </c>
      <c r="B914" s="105"/>
      <c r="C914" s="107" t="s">
        <v>922</v>
      </c>
      <c r="D914" s="107" t="s">
        <v>304</v>
      </c>
      <c r="E914" s="120">
        <v>3323391</v>
      </c>
      <c r="F914" s="120" t="s">
        <v>251</v>
      </c>
      <c r="G914" s="120">
        <v>3115400</v>
      </c>
      <c r="H914" s="120" t="s">
        <v>251</v>
      </c>
      <c r="I914" s="120">
        <v>142658</v>
      </c>
      <c r="J914" s="120">
        <v>65333</v>
      </c>
      <c r="K914" s="120" t="s">
        <v>251</v>
      </c>
      <c r="L914" s="120" t="s">
        <v>251</v>
      </c>
      <c r="M914" s="120">
        <v>10</v>
      </c>
      <c r="N914" s="120" t="s">
        <v>251</v>
      </c>
      <c r="O914" s="120">
        <v>65323</v>
      </c>
      <c r="P914" s="120">
        <v>33130</v>
      </c>
      <c r="Q914" s="120">
        <v>32193</v>
      </c>
      <c r="R914" s="120"/>
      <c r="S914" s="121"/>
    </row>
    <row r="915" spans="1:19" ht="15">
      <c r="A915" s="105">
        <v>2</v>
      </c>
      <c r="B915" s="105"/>
      <c r="C915" s="107" t="s">
        <v>923</v>
      </c>
      <c r="D915" s="107" t="s">
        <v>312</v>
      </c>
      <c r="E915" s="120">
        <v>438000</v>
      </c>
      <c r="F915" s="120" t="s">
        <v>251</v>
      </c>
      <c r="G915" s="120">
        <v>230019</v>
      </c>
      <c r="H915" s="120" t="s">
        <v>251</v>
      </c>
      <c r="I915" s="120">
        <v>142658</v>
      </c>
      <c r="J915" s="120">
        <v>65323</v>
      </c>
      <c r="K915" s="120" t="s">
        <v>251</v>
      </c>
      <c r="L915" s="120" t="s">
        <v>251</v>
      </c>
      <c r="M915" s="120">
        <v>0</v>
      </c>
      <c r="N915" s="120" t="s">
        <v>251</v>
      </c>
      <c r="O915" s="120">
        <v>65323</v>
      </c>
      <c r="P915" s="120">
        <v>33130</v>
      </c>
      <c r="Q915" s="120">
        <v>32193</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3180723</v>
      </c>
      <c r="F917" s="120" t="s">
        <v>251</v>
      </c>
      <c r="G917" s="120">
        <v>3115400</v>
      </c>
      <c r="H917" s="120" t="s">
        <v>251</v>
      </c>
      <c r="I917" s="120">
        <v>0</v>
      </c>
      <c r="J917" s="120">
        <v>65323</v>
      </c>
      <c r="K917" s="120" t="s">
        <v>251</v>
      </c>
      <c r="L917" s="120" t="s">
        <v>251</v>
      </c>
      <c r="M917" s="120">
        <v>0</v>
      </c>
      <c r="N917" s="120" t="s">
        <v>251</v>
      </c>
      <c r="O917" s="120">
        <v>65323</v>
      </c>
      <c r="P917" s="120">
        <v>33130</v>
      </c>
      <c r="Q917" s="120">
        <v>32193</v>
      </c>
      <c r="R917" s="120"/>
      <c r="S917" s="121"/>
    </row>
    <row r="918" spans="1:19" ht="15">
      <c r="A918" s="105">
        <v>5</v>
      </c>
      <c r="B918" s="105"/>
      <c r="C918" s="107" t="s">
        <v>926</v>
      </c>
      <c r="D918" s="107" t="s">
        <v>314</v>
      </c>
      <c r="E918" s="120">
        <v>295342</v>
      </c>
      <c r="F918" s="120" t="s">
        <v>251</v>
      </c>
      <c r="G918" s="120">
        <v>230019</v>
      </c>
      <c r="H918" s="120" t="s">
        <v>251</v>
      </c>
      <c r="I918" s="120">
        <v>0</v>
      </c>
      <c r="J918" s="120">
        <v>65323</v>
      </c>
      <c r="K918" s="120" t="s">
        <v>251</v>
      </c>
      <c r="L918" s="120" t="s">
        <v>251</v>
      </c>
      <c r="M918" s="120">
        <v>0</v>
      </c>
      <c r="N918" s="120" t="s">
        <v>251</v>
      </c>
      <c r="O918" s="120">
        <v>65323</v>
      </c>
      <c r="P918" s="120">
        <v>33130</v>
      </c>
      <c r="Q918" s="120">
        <v>32193</v>
      </c>
      <c r="R918" s="120"/>
      <c r="S918" s="121"/>
    </row>
    <row r="919" spans="1:19" ht="15">
      <c r="A919" s="105">
        <v>6</v>
      </c>
      <c r="B919" s="105"/>
      <c r="C919" s="107" t="s">
        <v>927</v>
      </c>
      <c r="D919" s="107" t="s">
        <v>928</v>
      </c>
      <c r="E919" s="120">
        <v>3180733</v>
      </c>
      <c r="F919" s="120" t="s">
        <v>251</v>
      </c>
      <c r="G919" s="120">
        <v>3115400</v>
      </c>
      <c r="H919" s="120" t="s">
        <v>251</v>
      </c>
      <c r="I919" s="120">
        <v>0</v>
      </c>
      <c r="J919" s="120">
        <v>65333</v>
      </c>
      <c r="K919" s="120" t="s">
        <v>251</v>
      </c>
      <c r="L919" s="120" t="s">
        <v>251</v>
      </c>
      <c r="M919" s="120">
        <v>10</v>
      </c>
      <c r="N919" s="120" t="s">
        <v>251</v>
      </c>
      <c r="O919" s="120">
        <v>65323</v>
      </c>
      <c r="P919" s="120">
        <v>33130</v>
      </c>
      <c r="Q919" s="120">
        <v>32193</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3323391</v>
      </c>
      <c r="F921" s="120" t="s">
        <v>251</v>
      </c>
      <c r="G921" s="120">
        <v>3115400</v>
      </c>
      <c r="H921" s="120" t="s">
        <v>251</v>
      </c>
      <c r="I921" s="120">
        <v>142658</v>
      </c>
      <c r="J921" s="120">
        <v>65333</v>
      </c>
      <c r="K921" s="120" t="s">
        <v>251</v>
      </c>
      <c r="L921" s="120" t="s">
        <v>251</v>
      </c>
      <c r="M921" s="120">
        <v>10</v>
      </c>
      <c r="N921" s="120" t="s">
        <v>251</v>
      </c>
      <c r="O921" s="120">
        <v>65323</v>
      </c>
      <c r="P921" s="120">
        <v>33130</v>
      </c>
      <c r="Q921" s="120">
        <v>32193</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207981</v>
      </c>
      <c r="F924" s="120" t="s">
        <v>251</v>
      </c>
      <c r="G924" s="120">
        <v>0</v>
      </c>
      <c r="H924" s="120" t="s">
        <v>251</v>
      </c>
      <c r="I924" s="120">
        <v>142658</v>
      </c>
      <c r="J924" s="120">
        <v>65323</v>
      </c>
      <c r="K924" s="120" t="s">
        <v>251</v>
      </c>
      <c r="L924" s="120" t="s">
        <v>251</v>
      </c>
      <c r="M924" s="120">
        <v>0</v>
      </c>
      <c r="N924" s="120" t="s">
        <v>251</v>
      </c>
      <c r="O924" s="120">
        <v>65323</v>
      </c>
      <c r="P924" s="120">
        <v>33130</v>
      </c>
      <c r="Q924" s="120">
        <v>32193</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9294854.2499999888</v>
      </c>
      <c r="F928" s="120" t="s">
        <v>251</v>
      </c>
      <c r="G928" s="120">
        <v>9285697.2499999888</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28360265.465384614</v>
      </c>
      <c r="F929" s="120" t="s">
        <v>251</v>
      </c>
      <c r="G929" s="120">
        <v>28004853.465384614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246271632.29076874</v>
      </c>
      <c r="F930" s="120" t="s">
        <v>251</v>
      </c>
      <c r="G930" s="120">
        <v>243018549.29076874</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398398893.60384554</v>
      </c>
      <c r="F931" s="120" t="s">
        <v>251</v>
      </c>
      <c r="G931" s="120">
        <v>398398893.60384554</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400526272.49461544</v>
      </c>
      <c r="F932" s="120" t="s">
        <v>251</v>
      </c>
      <c r="G932" s="120">
        <v>400526272.49461544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217404135.46846145</v>
      </c>
      <c r="F934" s="120" t="s">
        <v>251</v>
      </c>
      <c r="G934" s="120">
        <v>217404135.46846145</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315974318.09076923</v>
      </c>
      <c r="F935" s="120" t="s">
        <v>251</v>
      </c>
      <c r="G935" s="120">
        <v>315974318.09076923</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658287.18999999994</v>
      </c>
      <c r="F936" s="120" t="s">
        <v>251</v>
      </c>
      <c r="G936" s="120">
        <v>658287.18999999994</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318250.43999999989</v>
      </c>
      <c r="F937" s="120" t="s">
        <v>251</v>
      </c>
      <c r="G937" s="120">
        <v>0</v>
      </c>
      <c r="H937" s="120" t="s">
        <v>251</v>
      </c>
      <c r="I937" s="120">
        <v>318250.43999999989</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774879.02999999991</v>
      </c>
      <c r="F938" s="120" t="s">
        <v>251</v>
      </c>
      <c r="G938" s="120">
        <v>0</v>
      </c>
      <c r="H938" s="120" t="s">
        <v>251</v>
      </c>
      <c r="I938" s="120">
        <v>774879.02999999991</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8513231.9299999978</v>
      </c>
      <c r="F939" s="120" t="s">
        <v>251</v>
      </c>
      <c r="G939" s="120">
        <v>0</v>
      </c>
      <c r="H939" s="120" t="s">
        <v>251</v>
      </c>
      <c r="I939" s="120">
        <v>8513231.9299999978</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1471422.59</v>
      </c>
      <c r="F940" s="120" t="s">
        <v>251</v>
      </c>
      <c r="G940" s="120">
        <v>1147334.75</v>
      </c>
      <c r="H940" s="120" t="s">
        <v>251</v>
      </c>
      <c r="I940" s="120">
        <v>324087.84000000003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30732362.571538366</v>
      </c>
      <c r="F941" s="120" t="s">
        <v>251</v>
      </c>
      <c r="G941" s="120">
        <v>0</v>
      </c>
      <c r="H941" s="120" t="s">
        <v>251</v>
      </c>
      <c r="I941" s="120">
        <v>30732362.571538366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29359960.575384516</v>
      </c>
      <c r="F942" s="120" t="s">
        <v>251</v>
      </c>
      <c r="G942" s="120">
        <v>0</v>
      </c>
      <c r="H942" s="120" t="s">
        <v>251</v>
      </c>
      <c r="I942" s="120">
        <v>29359960.575384516</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5148669.6176923076</v>
      </c>
      <c r="F943" s="120" t="s">
        <v>251</v>
      </c>
      <c r="G943" s="120">
        <v>0</v>
      </c>
      <c r="H943" s="120" t="s">
        <v>251</v>
      </c>
      <c r="I943" s="120">
        <v>5148669.6176923076</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11179114.279230768</v>
      </c>
      <c r="F944" s="120" t="s">
        <v>251</v>
      </c>
      <c r="G944" s="120">
        <v>0</v>
      </c>
      <c r="H944" s="120" t="s">
        <v>251</v>
      </c>
      <c r="I944" s="120">
        <v>11179114.279230768</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495040.22999999992</v>
      </c>
      <c r="F945" s="120" t="s">
        <v>251</v>
      </c>
      <c r="G945" s="120">
        <v>0</v>
      </c>
      <c r="H945" s="120" t="s">
        <v>251</v>
      </c>
      <c r="I945" s="120">
        <v>0</v>
      </c>
      <c r="J945" s="120">
        <v>495040.22999999992</v>
      </c>
      <c r="K945" s="120" t="s">
        <v>251</v>
      </c>
      <c r="L945" s="120" t="s">
        <v>251</v>
      </c>
      <c r="M945" s="120">
        <v>495040.22999999992</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66880.14999999998</v>
      </c>
      <c r="F947" s="120" t="s">
        <v>251</v>
      </c>
      <c r="G947" s="120">
        <v>0</v>
      </c>
      <c r="H947" s="120" t="s">
        <v>251</v>
      </c>
      <c r="I947" s="120">
        <v>0</v>
      </c>
      <c r="J947" s="120">
        <v>66880.14999999998</v>
      </c>
      <c r="K947" s="120" t="s">
        <v>251</v>
      </c>
      <c r="L947" s="120" t="s">
        <v>251</v>
      </c>
      <c r="M947" s="120">
        <v>66880.14999999998</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46763.22</v>
      </c>
      <c r="F949" s="120" t="s">
        <v>251</v>
      </c>
      <c r="G949" s="120">
        <v>0</v>
      </c>
      <c r="H949" s="120" t="s">
        <v>251</v>
      </c>
      <c r="I949" s="120">
        <v>0</v>
      </c>
      <c r="J949" s="120">
        <v>46763.22</v>
      </c>
      <c r="K949" s="120" t="s">
        <v>251</v>
      </c>
      <c r="L949" s="120" t="s">
        <v>251</v>
      </c>
      <c r="M949" s="120">
        <v>46763.22</v>
      </c>
      <c r="N949" s="120" t="s">
        <v>251</v>
      </c>
      <c r="O949" s="120">
        <v>0</v>
      </c>
      <c r="P949" s="120">
        <v>0</v>
      </c>
      <c r="Q949" s="120">
        <v>0</v>
      </c>
      <c r="R949" s="120"/>
    </row>
    <row r="950" spans="1:18" ht="15">
      <c r="A950" s="105">
        <v>34</v>
      </c>
      <c r="B950" s="105"/>
      <c r="C950" s="107" t="s">
        <v>958</v>
      </c>
      <c r="D950" s="107" t="s">
        <v>411</v>
      </c>
      <c r="E950" s="120">
        <v>3118.2799999999988</v>
      </c>
      <c r="F950" s="120" t="s">
        <v>251</v>
      </c>
      <c r="G950" s="120">
        <v>0</v>
      </c>
      <c r="H950" s="120" t="s">
        <v>251</v>
      </c>
      <c r="I950" s="120">
        <v>0</v>
      </c>
      <c r="J950" s="120">
        <v>3118.2799999999988</v>
      </c>
      <c r="K950" s="120" t="s">
        <v>251</v>
      </c>
      <c r="L950" s="120" t="s">
        <v>251</v>
      </c>
      <c r="M950" s="120">
        <v>3118.2799999999988</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42400580.030656733</v>
      </c>
      <c r="F954" s="120" t="s">
        <v>251</v>
      </c>
      <c r="G954" s="120">
        <v>0</v>
      </c>
      <c r="H954" s="120" t="s">
        <v>251</v>
      </c>
      <c r="I954" s="120">
        <v>42246290.245874397</v>
      </c>
      <c r="J954" s="120">
        <v>154289.7847823358</v>
      </c>
      <c r="K954" s="120" t="s">
        <v>251</v>
      </c>
      <c r="L954" s="120" t="s">
        <v>251</v>
      </c>
      <c r="M954" s="120">
        <v>154289.7847823358</v>
      </c>
      <c r="N954" s="120" t="s">
        <v>251</v>
      </c>
      <c r="O954" s="120">
        <v>0</v>
      </c>
      <c r="P954" s="120">
        <v>0</v>
      </c>
      <c r="Q954" s="120">
        <v>0</v>
      </c>
      <c r="R954" s="120"/>
    </row>
    <row r="955" spans="1:18" ht="15">
      <c r="A955" s="105">
        <v>39</v>
      </c>
      <c r="B955" s="105"/>
      <c r="C955" s="107" t="s">
        <v>963</v>
      </c>
      <c r="D955" s="107" t="s">
        <v>487</v>
      </c>
      <c r="E955" s="120">
        <v>9122.9692307694077</v>
      </c>
      <c r="F955" s="120" t="s">
        <v>251</v>
      </c>
      <c r="G955" s="120">
        <v>0</v>
      </c>
      <c r="H955" s="120" t="s">
        <v>251</v>
      </c>
      <c r="I955" s="120">
        <v>9122.9692307694077</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3695780.1399999964</v>
      </c>
      <c r="F958" s="120" t="s">
        <v>251</v>
      </c>
      <c r="G958" s="120">
        <v>3139768.4099999964</v>
      </c>
      <c r="H958" s="120" t="s">
        <v>251</v>
      </c>
      <c r="I958" s="120">
        <v>387734.87</v>
      </c>
      <c r="J958" s="120">
        <v>168276.86000000002</v>
      </c>
      <c r="K958" s="120" t="s">
        <v>251</v>
      </c>
      <c r="L958" s="120" t="s">
        <v>251</v>
      </c>
      <c r="M958" s="120">
        <v>57.5</v>
      </c>
      <c r="N958" s="120" t="s">
        <v>251</v>
      </c>
      <c r="O958" s="120">
        <v>168219.36000000002</v>
      </c>
      <c r="P958" s="120">
        <v>168219.36000000002</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72900.206666669401</v>
      </c>
      <c r="F960" s="120" t="s">
        <v>251</v>
      </c>
      <c r="G960" s="120">
        <v>72900.206666669401</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-91173</v>
      </c>
      <c r="F966" s="120" t="s">
        <v>251</v>
      </c>
      <c r="G966" s="120">
        <v>0</v>
      </c>
      <c r="H966" s="120" t="s">
        <v>251</v>
      </c>
      <c r="I966" s="120">
        <v>-91173</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19849967.070999999</v>
      </c>
      <c r="F971" s="120" t="s">
        <v>251</v>
      </c>
      <c r="G971" s="120">
        <v>18679000.831</v>
      </c>
      <c r="H971" s="120" t="s">
        <v>251</v>
      </c>
      <c r="I971" s="120">
        <v>762018.04</v>
      </c>
      <c r="J971" s="120">
        <v>408948.2</v>
      </c>
      <c r="K971" s="120" t="s">
        <v>251</v>
      </c>
      <c r="L971" s="120" t="s">
        <v>251</v>
      </c>
      <c r="M971" s="120">
        <v>83.596999999999994</v>
      </c>
      <c r="N971" s="120" t="s">
        <v>251</v>
      </c>
      <c r="O971" s="120">
        <v>408864.603</v>
      </c>
      <c r="P971" s="120">
        <v>207052.166</v>
      </c>
      <c r="Q971" s="120">
        <v>201812.43700000001</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108672088.16153848</v>
      </c>
      <c r="F978" s="120" t="s">
        <v>251</v>
      </c>
      <c r="G978" s="120">
        <v>108672088.16153848</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78879628.828461438</v>
      </c>
      <c r="F979" s="120" t="s">
        <v>251</v>
      </c>
      <c r="G979" s="120">
        <v>78832320.828461438</v>
      </c>
      <c r="H979" s="120" t="s">
        <v>251</v>
      </c>
      <c r="I979" s="120">
        <v>0</v>
      </c>
      <c r="J979" s="120">
        <v>47308</v>
      </c>
      <c r="K979" s="120" t="s">
        <v>251</v>
      </c>
      <c r="L979" s="120" t="s">
        <v>251</v>
      </c>
      <c r="M979" s="120">
        <v>0</v>
      </c>
      <c r="N979" s="120" t="s">
        <v>251</v>
      </c>
      <c r="O979" s="120">
        <v>47308</v>
      </c>
      <c r="P979" s="120">
        <v>20456</v>
      </c>
      <c r="Q979" s="120">
        <v>26852</v>
      </c>
      <c r="R979" s="120"/>
    </row>
    <row r="980" spans="1:18" ht="15">
      <c r="A980" s="105">
        <v>3</v>
      </c>
      <c r="B980" s="105"/>
      <c r="C980" s="107" t="s">
        <v>979</v>
      </c>
      <c r="D980" s="107" t="s">
        <v>385</v>
      </c>
      <c r="E980" s="120">
        <v>148818.36999999903</v>
      </c>
      <c r="F980" s="120" t="s">
        <v>251</v>
      </c>
      <c r="G980" s="120">
        <v>148818.36999999903</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127240903.38000001</v>
      </c>
      <c r="F981" s="120" t="s">
        <v>251</v>
      </c>
      <c r="G981" s="120">
        <v>127240903.38000001</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758905</v>
      </c>
      <c r="F984" s="120" t="s">
        <v>251</v>
      </c>
      <c r="G984" s="120">
        <v>720984</v>
      </c>
      <c r="H984" s="120" t="s">
        <v>251</v>
      </c>
      <c r="I984" s="120">
        <v>37704</v>
      </c>
      <c r="J984" s="120">
        <v>217</v>
      </c>
      <c r="K984" s="120" t="s">
        <v>251</v>
      </c>
      <c r="L984" s="120" t="s">
        <v>251</v>
      </c>
      <c r="M984" s="120">
        <v>5</v>
      </c>
      <c r="N984" s="120" t="s">
        <v>251</v>
      </c>
      <c r="O984" s="120">
        <v>212</v>
      </c>
      <c r="P984" s="120">
        <v>85</v>
      </c>
      <c r="Q984" s="120">
        <v>127</v>
      </c>
      <c r="R984" s="120"/>
    </row>
    <row r="985" spans="1:18" ht="15">
      <c r="A985" s="105">
        <v>8</v>
      </c>
      <c r="B985" s="105"/>
      <c r="C985" s="107" t="s">
        <v>983</v>
      </c>
      <c r="D985" s="107" t="s">
        <v>689</v>
      </c>
      <c r="E985" s="120">
        <v>758905</v>
      </c>
      <c r="F985" s="120" t="s">
        <v>251</v>
      </c>
      <c r="G985" s="120">
        <v>720984</v>
      </c>
      <c r="H985" s="120" t="s">
        <v>251</v>
      </c>
      <c r="I985" s="120">
        <v>37704</v>
      </c>
      <c r="J985" s="120">
        <v>217</v>
      </c>
      <c r="K985" s="120" t="s">
        <v>251</v>
      </c>
      <c r="L985" s="120" t="s">
        <v>251</v>
      </c>
      <c r="M985" s="120">
        <v>5</v>
      </c>
      <c r="N985" s="120" t="s">
        <v>251</v>
      </c>
      <c r="O985" s="120">
        <v>212</v>
      </c>
      <c r="P985" s="120">
        <v>85</v>
      </c>
      <c r="Q985" s="120">
        <v>127</v>
      </c>
      <c r="R985" s="120"/>
    </row>
    <row r="986" spans="1:18" ht="15">
      <c r="A986" s="105">
        <v>9</v>
      </c>
      <c r="B986" s="105"/>
      <c r="C986" s="107" t="s">
        <v>984</v>
      </c>
      <c r="D986" s="107" t="s">
        <v>691</v>
      </c>
      <c r="E986" s="120">
        <v>758905</v>
      </c>
      <c r="F986" s="120" t="s">
        <v>251</v>
      </c>
      <c r="G986" s="120">
        <v>720984</v>
      </c>
      <c r="H986" s="120" t="s">
        <v>251</v>
      </c>
      <c r="I986" s="120">
        <v>37704</v>
      </c>
      <c r="J986" s="120">
        <v>217</v>
      </c>
      <c r="K986" s="120" t="s">
        <v>251</v>
      </c>
      <c r="L986" s="120" t="s">
        <v>251</v>
      </c>
      <c r="M986" s="120">
        <v>5</v>
      </c>
      <c r="N986" s="120" t="s">
        <v>251</v>
      </c>
      <c r="O986" s="120">
        <v>212</v>
      </c>
      <c r="P986" s="120">
        <v>85</v>
      </c>
      <c r="Q986" s="120">
        <v>127</v>
      </c>
      <c r="R986" s="120"/>
    </row>
    <row r="987" spans="1:18" ht="15">
      <c r="A987" s="105">
        <v>10</v>
      </c>
      <c r="B987" s="105"/>
      <c r="C987" s="107" t="s">
        <v>985</v>
      </c>
      <c r="D987" s="107" t="s">
        <v>400</v>
      </c>
      <c r="E987" s="120">
        <v>5852947.5299999993</v>
      </c>
      <c r="F987" s="120" t="s">
        <v>251</v>
      </c>
      <c r="G987" s="120">
        <v>0</v>
      </c>
      <c r="H987" s="120" t="s">
        <v>251</v>
      </c>
      <c r="I987" s="120">
        <v>5852947.5299999993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v>
      </c>
      <c r="F988" s="120" t="s">
        <v>251</v>
      </c>
      <c r="G988" s="120">
        <v>0</v>
      </c>
      <c r="H988" s="120" t="s">
        <v>251</v>
      </c>
      <c r="I988" s="120">
        <v>3783545.2</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4004097.9446153841</v>
      </c>
      <c r="F990" s="120" t="s">
        <v>251</v>
      </c>
      <c r="G990" s="120">
        <v>0</v>
      </c>
      <c r="H990" s="120" t="s">
        <v>251</v>
      </c>
      <c r="I990" s="120">
        <v>4004097.9446153841</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435510.91000000003</v>
      </c>
      <c r="F996" s="120" t="s">
        <v>251</v>
      </c>
      <c r="G996" s="120">
        <v>413608.63</v>
      </c>
      <c r="H996" s="120" t="s">
        <v>251</v>
      </c>
      <c r="I996" s="120">
        <v>21902.28</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4283361.5500000007</v>
      </c>
      <c r="F997" s="120" t="s">
        <v>251</v>
      </c>
      <c r="G997" s="120">
        <v>4111497.58</v>
      </c>
      <c r="H997" s="120" t="s">
        <v>251</v>
      </c>
      <c r="I997" s="120">
        <v>171764.07</v>
      </c>
      <c r="J997" s="120">
        <v>99.9</v>
      </c>
      <c r="K997" s="120" t="s">
        <v>251</v>
      </c>
      <c r="L997" s="120" t="s">
        <v>251</v>
      </c>
      <c r="M997" s="120">
        <v>0</v>
      </c>
      <c r="N997" s="120" t="s">
        <v>251</v>
      </c>
      <c r="O997" s="120">
        <v>99.9</v>
      </c>
      <c r="P997" s="120">
        <v>6.23</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9982691481.2630672</v>
      </c>
      <c r="F1006" s="120" t="s">
        <v>251</v>
      </c>
      <c r="G1006" s="120">
        <v>9333832346.8574429</v>
      </c>
      <c r="H1006" s="120" t="s">
        <v>251</v>
      </c>
      <c r="I1006" s="120">
        <v>503717794.94163316</v>
      </c>
      <c r="J1006" s="120">
        <v>145141339.46399072</v>
      </c>
      <c r="K1006" s="120" t="s">
        <v>251</v>
      </c>
      <c r="L1006" s="120" t="s">
        <v>251</v>
      </c>
      <c r="M1006" s="120">
        <v>704779.63610872708</v>
      </c>
      <c r="N1006" s="120" t="s">
        <v>251</v>
      </c>
      <c r="O1006" s="120">
        <v>144436559.82788199</v>
      </c>
      <c r="P1006" s="120">
        <v>75070448.282067373</v>
      </c>
      <c r="Q1006" s="120">
        <v>69366111.545814604</v>
      </c>
      <c r="R1006" s="120"/>
    </row>
    <row r="1007" spans="1:18" ht="15">
      <c r="A1007" s="105">
        <v>2</v>
      </c>
      <c r="B1007" s="105"/>
      <c r="C1007" s="107" t="s">
        <v>999</v>
      </c>
      <c r="D1007" s="107" t="s">
        <v>298</v>
      </c>
      <c r="E1007" s="120">
        <v>9333832346.8574429</v>
      </c>
      <c r="F1007" s="120" t="s">
        <v>251</v>
      </c>
      <c r="G1007" s="120">
        <v>9333832346.8574429</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178867174.00000003</v>
      </c>
      <c r="F1008" s="120" t="s">
        <v>251</v>
      </c>
      <c r="G1008" s="120">
        <v>168260109.9768514</v>
      </c>
      <c r="H1008" s="120" t="s">
        <v>251</v>
      </c>
      <c r="I1008" s="120">
        <v>8464821.4795001671</v>
      </c>
      <c r="J1008" s="120">
        <v>2142242.5436484446</v>
      </c>
      <c r="K1008" s="120" t="s">
        <v>251</v>
      </c>
      <c r="L1008" s="120" t="s">
        <v>251</v>
      </c>
      <c r="M1008" s="120">
        <v>12359.583518376177</v>
      </c>
      <c r="N1008" s="120" t="s">
        <v>251</v>
      </c>
      <c r="O1008" s="120">
        <v>2129882.9601300685</v>
      </c>
      <c r="P1008" s="120">
        <v>1110167.0878836387</v>
      </c>
      <c r="Q1008" s="120">
        <v>1019715.8722464296</v>
      </c>
      <c r="R1008" s="120"/>
    </row>
    <row r="1009" spans="1:18" ht="15">
      <c r="A1009" s="105">
        <v>4</v>
      </c>
      <c r="B1009" s="105"/>
      <c r="C1009" s="107" t="s">
        <v>1001</v>
      </c>
      <c r="D1009" s="107" t="s">
        <v>444</v>
      </c>
      <c r="E1009" s="120">
        <v>5421398465.8176842</v>
      </c>
      <c r="F1009" s="120" t="s">
        <v>251</v>
      </c>
      <c r="G1009" s="120">
        <v>5082105831.1851997</v>
      </c>
      <c r="H1009" s="120" t="s">
        <v>251</v>
      </c>
      <c r="I1009" s="120">
        <v>232715880.35732752</v>
      </c>
      <c r="J1009" s="120">
        <v>106576754.27515653</v>
      </c>
      <c r="K1009" s="120" t="s">
        <v>251</v>
      </c>
      <c r="L1009" s="120" t="s">
        <v>251</v>
      </c>
      <c r="M1009" s="120">
        <v>16312.851740338956</v>
      </c>
      <c r="N1009" s="120" t="s">
        <v>251</v>
      </c>
      <c r="O1009" s="120">
        <v>106560441.42341618</v>
      </c>
      <c r="P1009" s="120">
        <v>54044477.815742977</v>
      </c>
      <c r="Q1009" s="120">
        <v>52515963.607673205</v>
      </c>
      <c r="R1009" s="120"/>
    </row>
    <row r="1010" spans="1:18" ht="15">
      <c r="A1010" s="105">
        <v>5</v>
      </c>
      <c r="B1010" s="105"/>
      <c r="C1010" s="107" t="s">
        <v>1002</v>
      </c>
      <c r="D1010" s="107" t="s">
        <v>904</v>
      </c>
      <c r="E1010" s="120">
        <v>113366614.00000001</v>
      </c>
      <c r="F1010" s="120" t="s">
        <v>251</v>
      </c>
      <c r="G1010" s="120">
        <v>106643821.29357767</v>
      </c>
      <c r="H1010" s="120" t="s">
        <v>251</v>
      </c>
      <c r="I1010" s="120">
        <v>5365032.2067782236</v>
      </c>
      <c r="J1010" s="120">
        <v>1357760.4996441177</v>
      </c>
      <c r="K1010" s="120" t="s">
        <v>251</v>
      </c>
      <c r="L1010" s="120" t="s">
        <v>251</v>
      </c>
      <c r="M1010" s="120">
        <v>7833.5454325929823</v>
      </c>
      <c r="N1010" s="120" t="s">
        <v>251</v>
      </c>
      <c r="O1010" s="120">
        <v>1349926.9542115247</v>
      </c>
      <c r="P1010" s="120">
        <v>703627.61882517661</v>
      </c>
      <c r="Q1010" s="120">
        <v>646299.33538634819</v>
      </c>
      <c r="R1010" s="120"/>
    </row>
    <row r="1011" spans="1:18" ht="15">
      <c r="A1011" s="105">
        <v>6</v>
      </c>
      <c r="B1011" s="105"/>
      <c r="C1011" s="107" t="s">
        <v>1003</v>
      </c>
      <c r="D1011" s="107" t="s">
        <v>449</v>
      </c>
      <c r="E1011" s="120">
        <v>43765641.354615375</v>
      </c>
      <c r="F1011" s="120" t="s">
        <v>251</v>
      </c>
      <c r="G1011" s="120">
        <v>41026613.803843349</v>
      </c>
      <c r="H1011" s="120" t="s">
        <v>251</v>
      </c>
      <c r="I1011" s="120">
        <v>1878659.1359147087</v>
      </c>
      <c r="J1011" s="120">
        <v>860368.41485732084</v>
      </c>
      <c r="K1011" s="120" t="s">
        <v>251</v>
      </c>
      <c r="L1011" s="120" t="s">
        <v>251</v>
      </c>
      <c r="M1011" s="120">
        <v>131.68971497670719</v>
      </c>
      <c r="N1011" s="120" t="s">
        <v>251</v>
      </c>
      <c r="O1011" s="120">
        <v>860236.72514234413</v>
      </c>
      <c r="P1011" s="120">
        <v>436288.02571783081</v>
      </c>
      <c r="Q1011" s="120">
        <v>423948.69942451332</v>
      </c>
      <c r="R1011" s="120"/>
    </row>
    <row r="1012" spans="1:18" ht="15">
      <c r="A1012" s="105">
        <v>7</v>
      </c>
      <c r="B1012" s="105"/>
      <c r="C1012" s="107" t="s">
        <v>1004</v>
      </c>
      <c r="D1012" s="107" t="s">
        <v>452</v>
      </c>
      <c r="E1012" s="120">
        <v>1064371425.4423062</v>
      </c>
      <c r="F1012" s="120" t="s">
        <v>251</v>
      </c>
      <c r="G1012" s="120">
        <v>997758836.92979872</v>
      </c>
      <c r="H1012" s="120" t="s">
        <v>251</v>
      </c>
      <c r="I1012" s="120">
        <v>45688605.045493744</v>
      </c>
      <c r="J1012" s="120">
        <v>20923983.46701372</v>
      </c>
      <c r="K1012" s="120" t="s">
        <v>251</v>
      </c>
      <c r="L1012" s="120" t="s">
        <v>251</v>
      </c>
      <c r="M1012" s="120">
        <v>3202.6668708024608</v>
      </c>
      <c r="N1012" s="120" t="s">
        <v>251</v>
      </c>
      <c r="O1012" s="120">
        <v>20920780.800142918</v>
      </c>
      <c r="P1012" s="120">
        <v>10610435.342968555</v>
      </c>
      <c r="Q1012" s="120">
        <v>10310345.457174363</v>
      </c>
      <c r="R1012" s="120"/>
    </row>
    <row r="1013" spans="1:18" ht="15">
      <c r="A1013" s="105">
        <v>8</v>
      </c>
      <c r="B1013" s="105"/>
      <c r="C1013" s="107" t="s">
        <v>1005</v>
      </c>
      <c r="D1013" s="107" t="s">
        <v>1006</v>
      </c>
      <c r="E1013" s="120">
        <v>1073901674.299999</v>
      </c>
      <c r="F1013" s="120" t="s">
        <v>251</v>
      </c>
      <c r="G1013" s="120">
        <v>1025412885.8886671</v>
      </c>
      <c r="H1013" s="120" t="s">
        <v>251</v>
      </c>
      <c r="I1013" s="120">
        <v>47752174.953126453</v>
      </c>
      <c r="J1013" s="120">
        <v>736613.45820547431</v>
      </c>
      <c r="K1013" s="120" t="s">
        <v>251</v>
      </c>
      <c r="L1013" s="120" t="s">
        <v>251</v>
      </c>
      <c r="M1013" s="120">
        <v>3283.1438729639744</v>
      </c>
      <c r="N1013" s="120" t="s">
        <v>251</v>
      </c>
      <c r="O1013" s="120">
        <v>733330.31433251034</v>
      </c>
      <c r="P1013" s="120">
        <v>371924.64084374672</v>
      </c>
      <c r="Q1013" s="120">
        <v>361405.67348876363</v>
      </c>
      <c r="R1013" s="120"/>
    </row>
    <row r="1014" spans="1:18" ht="15">
      <c r="A1014" s="105">
        <v>9</v>
      </c>
      <c r="B1014" s="105"/>
      <c r="C1014" s="107" t="s">
        <v>1007</v>
      </c>
      <c r="D1014" s="107" t="s">
        <v>484</v>
      </c>
      <c r="E1014" s="120">
        <v>59776474.179230765</v>
      </c>
      <c r="F1014" s="120" t="s">
        <v>251</v>
      </c>
      <c r="G1014" s="120">
        <v>0</v>
      </c>
      <c r="H1014" s="120" t="s">
        <v>251</v>
      </c>
      <c r="I1014" s="120">
        <v>59776474.179230765</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68006903.589230776</v>
      </c>
      <c r="F1015" s="120" t="s">
        <v>251</v>
      </c>
      <c r="G1015" s="120">
        <v>8230402.9915529564</v>
      </c>
      <c r="H1015" s="120" t="s">
        <v>251</v>
      </c>
      <c r="I1015" s="120">
        <v>59776474.179230765</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2034553849.1523063</v>
      </c>
      <c r="F1016" s="120" t="s">
        <v>251</v>
      </c>
      <c r="G1016" s="120">
        <v>1930555243.6338449</v>
      </c>
      <c r="H1016" s="120" t="s">
        <v>251</v>
      </c>
      <c r="I1016" s="120">
        <v>99667059.118461341</v>
      </c>
      <c r="J1016" s="120">
        <v>4331546.3999999994</v>
      </c>
      <c r="K1016" s="120" t="s">
        <v>251</v>
      </c>
      <c r="L1016" s="120" t="s">
        <v>251</v>
      </c>
      <c r="M1016" s="120">
        <v>666586.39999999979</v>
      </c>
      <c r="N1016" s="120" t="s">
        <v>251</v>
      </c>
      <c r="O1016" s="120">
        <v>3664960</v>
      </c>
      <c r="P1016" s="120">
        <v>3638108</v>
      </c>
      <c r="Q1016" s="120">
        <v>26852</v>
      </c>
      <c r="R1016" s="120"/>
    </row>
    <row r="1017" spans="1:18" ht="15">
      <c r="A1017" s="105">
        <v>12</v>
      </c>
      <c r="B1017" s="105"/>
      <c r="C1017" s="107" t="s">
        <v>1010</v>
      </c>
      <c r="D1017" s="107" t="s">
        <v>466</v>
      </c>
      <c r="E1017" s="120">
        <v>1934220203.6338449</v>
      </c>
      <c r="F1017" s="120" t="s">
        <v>251</v>
      </c>
      <c r="G1017" s="120">
        <v>1930555243.6338449</v>
      </c>
      <c r="H1017" s="120" t="s">
        <v>251</v>
      </c>
      <c r="I1017" s="120">
        <v>0</v>
      </c>
      <c r="J1017" s="120">
        <v>3664960</v>
      </c>
      <c r="K1017" s="120" t="s">
        <v>251</v>
      </c>
      <c r="L1017" s="120" t="s">
        <v>251</v>
      </c>
      <c r="M1017" s="120">
        <v>0</v>
      </c>
      <c r="N1017" s="120" t="s">
        <v>251</v>
      </c>
      <c r="O1017" s="120">
        <v>3664960</v>
      </c>
      <c r="P1017" s="120">
        <v>3638108</v>
      </c>
      <c r="Q1017" s="120">
        <v>26852</v>
      </c>
      <c r="R1017" s="120"/>
    </row>
    <row r="1018" spans="1:18" ht="15">
      <c r="A1018" s="105">
        <v>13</v>
      </c>
      <c r="B1018" s="105"/>
      <c r="C1018" s="107" t="s">
        <v>1011</v>
      </c>
      <c r="D1018" s="107" t="s">
        <v>468</v>
      </c>
      <c r="E1018" s="120">
        <v>228327259.87692291</v>
      </c>
      <c r="F1018" s="120" t="s">
        <v>251</v>
      </c>
      <c r="G1018" s="120">
        <v>215259864.1241774</v>
      </c>
      <c r="H1018" s="120" t="s">
        <v>251</v>
      </c>
      <c r="I1018" s="120">
        <v>10428255.359595247</v>
      </c>
      <c r="J1018" s="120">
        <v>2639140.3931502611</v>
      </c>
      <c r="K1018" s="120" t="s">
        <v>251</v>
      </c>
      <c r="L1018" s="120" t="s">
        <v>251</v>
      </c>
      <c r="M1018" s="120">
        <v>15226.415982901759</v>
      </c>
      <c r="N1018" s="120" t="s">
        <v>251</v>
      </c>
      <c r="O1018" s="120">
        <v>2623913.9771673596</v>
      </c>
      <c r="P1018" s="120">
        <v>1367672.7751797088</v>
      </c>
      <c r="Q1018" s="120">
        <v>1256241.2019876505</v>
      </c>
      <c r="R1018" s="120"/>
    </row>
    <row r="1019" spans="1:18" ht="15">
      <c r="A1019" s="105">
        <v>14</v>
      </c>
      <c r="B1019" s="105"/>
      <c r="C1019" s="107" t="s">
        <v>1012</v>
      </c>
      <c r="D1019" s="107" t="s">
        <v>470</v>
      </c>
      <c r="E1019" s="120">
        <v>55918.829999999994</v>
      </c>
      <c r="F1019" s="120" t="s">
        <v>251</v>
      </c>
      <c r="G1019" s="120">
        <v>55918.829999999994</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97903191.244615391</v>
      </c>
      <c r="F1020" s="120" t="s">
        <v>251</v>
      </c>
      <c r="G1020" s="120">
        <v>91539638.885438219</v>
      </c>
      <c r="H1020" s="120" t="s">
        <v>251</v>
      </c>
      <c r="I1020" s="120">
        <v>4940108.5573013201</v>
      </c>
      <c r="J1020" s="120">
        <v>1423443.8018758465</v>
      </c>
      <c r="K1020" s="120" t="s">
        <v>251</v>
      </c>
      <c r="L1020" s="120" t="s">
        <v>251</v>
      </c>
      <c r="M1020" s="120">
        <v>6911.9811654775149</v>
      </c>
      <c r="N1020" s="120" t="s">
        <v>251</v>
      </c>
      <c r="O1020" s="120">
        <v>1416531.8207103689</v>
      </c>
      <c r="P1020" s="120">
        <v>736237.96435791813</v>
      </c>
      <c r="Q1020" s="120">
        <v>680293.85635245068</v>
      </c>
      <c r="R1020" s="120"/>
    </row>
    <row r="1021" spans="1:18" ht="15">
      <c r="A1021" s="105">
        <v>16</v>
      </c>
      <c r="B1021" s="105"/>
      <c r="C1021" s="107" t="s">
        <v>1014</v>
      </c>
      <c r="D1021" s="107" t="s">
        <v>478</v>
      </c>
      <c r="E1021" s="120">
        <v>6529535532.6146069</v>
      </c>
      <c r="F1021" s="120" t="s">
        <v>251</v>
      </c>
      <c r="G1021" s="120">
        <v>6120891281.9188433</v>
      </c>
      <c r="H1021" s="120" t="s">
        <v>251</v>
      </c>
      <c r="I1021" s="120">
        <v>280283144.53873599</v>
      </c>
      <c r="J1021" s="120">
        <v>128361106.15702759</v>
      </c>
      <c r="K1021" s="120" t="s">
        <v>251</v>
      </c>
      <c r="L1021" s="120" t="s">
        <v>251</v>
      </c>
      <c r="M1021" s="120">
        <v>19647.208326118118</v>
      </c>
      <c r="N1021" s="120" t="s">
        <v>251</v>
      </c>
      <c r="O1021" s="120">
        <v>128341458.94870147</v>
      </c>
      <c r="P1021" s="120">
        <v>65091201.184429377</v>
      </c>
      <c r="Q1021" s="120">
        <v>63250257.764272094</v>
      </c>
      <c r="R1021" s="120"/>
    </row>
    <row r="1022" spans="1:18" ht="15">
      <c r="A1022" s="105">
        <v>17</v>
      </c>
      <c r="B1022" s="105"/>
      <c r="C1022" s="107" t="s">
        <v>336</v>
      </c>
      <c r="D1022" s="107" t="s">
        <v>498</v>
      </c>
      <c r="E1022" s="120">
        <v>6576298415.4446049</v>
      </c>
      <c r="F1022" s="120" t="s">
        <v>251</v>
      </c>
      <c r="G1022" s="120">
        <v>6153102484.3458834</v>
      </c>
      <c r="H1022" s="120" t="s">
        <v>251</v>
      </c>
      <c r="I1022" s="120">
        <v>285763498.70866781</v>
      </c>
      <c r="J1022" s="120">
        <v>137432432.39005417</v>
      </c>
      <c r="K1022" s="120" t="s">
        <v>251</v>
      </c>
      <c r="L1022" s="120" t="s">
        <v>251</v>
      </c>
      <c r="M1022" s="120">
        <v>19648.13972675681</v>
      </c>
      <c r="N1022" s="120" t="s">
        <v>251</v>
      </c>
      <c r="O1022" s="120">
        <v>137412784.25032741</v>
      </c>
      <c r="P1022" s="120">
        <v>69691923.858569682</v>
      </c>
      <c r="Q1022" s="120">
        <v>67720860.391757712</v>
      </c>
      <c r="R1022" s="120"/>
    </row>
    <row r="1023" spans="1:18" ht="15">
      <c r="A1023" s="105">
        <v>18</v>
      </c>
      <c r="B1023" s="105"/>
      <c r="C1023" s="107" t="s">
        <v>357</v>
      </c>
      <c r="D1023" s="107" t="s">
        <v>1015</v>
      </c>
      <c r="E1023" s="120">
        <v>1141908577.8892298</v>
      </c>
      <c r="F1023" s="120" t="s">
        <v>251</v>
      </c>
      <c r="G1023" s="120">
        <v>1033643288.8802201</v>
      </c>
      <c r="H1023" s="120" t="s">
        <v>251</v>
      </c>
      <c r="I1023" s="120">
        <v>107528649.13235721</v>
      </c>
      <c r="J1023" s="120">
        <v>736639.87665251666</v>
      </c>
      <c r="K1023" s="120" t="s">
        <v>251</v>
      </c>
      <c r="L1023" s="120" t="s">
        <v>251</v>
      </c>
      <c r="M1023" s="120">
        <v>3309.5623200062578</v>
      </c>
      <c r="N1023" s="120" t="s">
        <v>251</v>
      </c>
      <c r="O1023" s="120">
        <v>733330.31433251034</v>
      </c>
      <c r="P1023" s="120">
        <v>371924.64084374672</v>
      </c>
      <c r="Q1023" s="120">
        <v>361405.67348876363</v>
      </c>
      <c r="R1023" s="120"/>
    </row>
    <row r="1024" spans="1:18" ht="15">
      <c r="A1024" s="105">
        <v>19</v>
      </c>
      <c r="B1024" s="105"/>
      <c r="C1024" s="107" t="s">
        <v>1016</v>
      </c>
      <c r="D1024" s="107" t="s">
        <v>500</v>
      </c>
      <c r="E1024" s="120">
        <v>1141175247.5748973</v>
      </c>
      <c r="F1024" s="120" t="s">
        <v>251</v>
      </c>
      <c r="G1024" s="120">
        <v>1033643288.8802201</v>
      </c>
      <c r="H1024" s="120" t="s">
        <v>251</v>
      </c>
      <c r="I1024" s="120">
        <v>107528649.13235721</v>
      </c>
      <c r="J1024" s="120">
        <v>3309.5623200062578</v>
      </c>
      <c r="K1024" s="120" t="s">
        <v>251</v>
      </c>
      <c r="L1024" s="120" t="s">
        <v>251</v>
      </c>
      <c r="M1024" s="120">
        <v>3309.5623200062578</v>
      </c>
      <c r="N1024" s="120" t="s">
        <v>251</v>
      </c>
      <c r="O1024" s="120">
        <v>0</v>
      </c>
      <c r="P1024" s="120">
        <v>0</v>
      </c>
      <c r="Q1024" s="120">
        <v>0</v>
      </c>
      <c r="R1024" s="120"/>
    </row>
    <row r="1025" spans="1:18" ht="15">
      <c r="A1025" s="105">
        <v>20</v>
      </c>
      <c r="B1025" s="105"/>
      <c r="C1025" s="107" t="s">
        <v>1017</v>
      </c>
      <c r="D1025" s="107" t="s">
        <v>505</v>
      </c>
      <c r="E1025" s="120">
        <v>48204764</v>
      </c>
      <c r="F1025" s="120" t="s">
        <v>251</v>
      </c>
      <c r="G1025" s="120">
        <v>44905721.635822654</v>
      </c>
      <c r="H1025" s="120" t="s">
        <v>251</v>
      </c>
      <c r="I1025" s="120">
        <v>2626049.5785848303</v>
      </c>
      <c r="J1025" s="120">
        <v>672992.78559251607</v>
      </c>
      <c r="K1025" s="120" t="s">
        <v>251</v>
      </c>
      <c r="L1025" s="120" t="s">
        <v>251</v>
      </c>
      <c r="M1025" s="120">
        <v>2420.9479772302179</v>
      </c>
      <c r="N1025" s="120" t="s">
        <v>251</v>
      </c>
      <c r="O1025" s="120">
        <v>670571.83761528588</v>
      </c>
      <c r="P1025" s="120">
        <v>346231.39760484872</v>
      </c>
      <c r="Q1025" s="120">
        <v>324340.44001043716</v>
      </c>
      <c r="R1025" s="120"/>
    </row>
    <row r="1026" spans="1:18" ht="15">
      <c r="A1026" s="105">
        <v>21</v>
      </c>
      <c r="B1026" s="105"/>
      <c r="C1026" s="107" t="s">
        <v>1018</v>
      </c>
      <c r="D1026" s="107" t="s">
        <v>510</v>
      </c>
      <c r="E1026" s="120">
        <v>11206095</v>
      </c>
      <c r="F1026" s="120" t="s">
        <v>251</v>
      </c>
      <c r="G1026" s="120">
        <v>10506252.161633004</v>
      </c>
      <c r="H1026" s="120" t="s">
        <v>251</v>
      </c>
      <c r="I1026" s="120">
        <v>549749.04159777961</v>
      </c>
      <c r="J1026" s="120">
        <v>150093.7967692168</v>
      </c>
      <c r="K1026" s="120" t="s">
        <v>251</v>
      </c>
      <c r="L1026" s="120" t="s">
        <v>251</v>
      </c>
      <c r="M1026" s="120">
        <v>783.6323767001644</v>
      </c>
      <c r="N1026" s="120" t="s">
        <v>251</v>
      </c>
      <c r="O1026" s="120">
        <v>149310.16439251663</v>
      </c>
      <c r="P1026" s="120">
        <v>77692.170564480504</v>
      </c>
      <c r="Q1026" s="120">
        <v>71617.993828036124</v>
      </c>
      <c r="R1026" s="120"/>
    </row>
    <row r="1027" spans="1:18" ht="15">
      <c r="A1027" s="105">
        <v>22</v>
      </c>
      <c r="B1027" s="105"/>
      <c r="C1027" s="107" t="s">
        <v>1019</v>
      </c>
      <c r="D1027" s="107" t="s">
        <v>512</v>
      </c>
      <c r="E1027" s="120">
        <v>1598186093.1887257</v>
      </c>
      <c r="F1027" s="120" t="s">
        <v>251</v>
      </c>
      <c r="G1027" s="120">
        <v>1598186093.1887257</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2510238.925502535</v>
      </c>
      <c r="F1028" s="120" t="s">
        <v>251</v>
      </c>
      <c r="G1028" s="120">
        <v>0</v>
      </c>
      <c r="H1028" s="120" t="s">
        <v>251</v>
      </c>
      <c r="I1028" s="120">
        <v>0</v>
      </c>
      <c r="J1028" s="120">
        <v>2510238.925502535</v>
      </c>
      <c r="K1028" s="120" t="s">
        <v>251</v>
      </c>
      <c r="L1028" s="120" t="s">
        <v>251</v>
      </c>
      <c r="M1028" s="120">
        <v>0</v>
      </c>
      <c r="N1028" s="120" t="s">
        <v>251</v>
      </c>
      <c r="O1028" s="120">
        <v>2510238.925502535</v>
      </c>
      <c r="P1028" s="120">
        <v>1273123.0286713562</v>
      </c>
      <c r="Q1028" s="120">
        <v>1237115.8968311788</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421019.48910862638</v>
      </c>
      <c r="F1030" s="120" t="s">
        <v>251</v>
      </c>
      <c r="G1030" s="120">
        <v>0</v>
      </c>
      <c r="H1030" s="120" t="s">
        <v>251</v>
      </c>
      <c r="I1030" s="120">
        <v>0</v>
      </c>
      <c r="J1030" s="120">
        <v>421019.48910862638</v>
      </c>
      <c r="K1030" s="120" t="s">
        <v>251</v>
      </c>
      <c r="L1030" s="120" t="s">
        <v>251</v>
      </c>
      <c r="M1030" s="120">
        <v>0</v>
      </c>
      <c r="N1030" s="120" t="s">
        <v>251</v>
      </c>
      <c r="O1030" s="120">
        <v>421019.48910862638</v>
      </c>
      <c r="P1030" s="120">
        <v>213529.31852745268</v>
      </c>
      <c r="Q1030" s="120">
        <v>207490.1705811737</v>
      </c>
      <c r="R1030" s="120"/>
    </row>
    <row r="1031" spans="1:18" ht="15">
      <c r="A1031" s="105">
        <v>26</v>
      </c>
      <c r="B1031" s="105"/>
      <c r="C1031" s="107" t="s">
        <v>1025</v>
      </c>
      <c r="D1031" s="107" t="s">
        <v>1026</v>
      </c>
      <c r="E1031" s="120">
        <v>468.59558447488581</v>
      </c>
      <c r="F1031" s="120" t="s">
        <v>251</v>
      </c>
      <c r="G1031" s="120">
        <v>0</v>
      </c>
      <c r="H1031" s="120" t="s">
        <v>251</v>
      </c>
      <c r="I1031" s="120">
        <v>0</v>
      </c>
      <c r="J1031" s="120">
        <v>468.59558447488581</v>
      </c>
      <c r="K1031" s="120" t="s">
        <v>251</v>
      </c>
      <c r="L1031" s="120" t="s">
        <v>251</v>
      </c>
      <c r="M1031" s="120">
        <v>0</v>
      </c>
      <c r="N1031" s="120" t="s">
        <v>251</v>
      </c>
      <c r="O1031" s="120">
        <v>468.59558447488581</v>
      </c>
      <c r="P1031" s="120">
        <v>237.65858447488583</v>
      </c>
      <c r="Q1031" s="120">
        <v>230.93699999999998</v>
      </c>
      <c r="R1031" s="120"/>
    </row>
    <row r="1032" spans="1:18" ht="15">
      <c r="A1032" s="105">
        <v>27</v>
      </c>
      <c r="B1032" s="105"/>
      <c r="C1032" s="107" t="s">
        <v>1027</v>
      </c>
      <c r="D1032" s="107" t="s">
        <v>1028</v>
      </c>
      <c r="E1032" s="120">
        <v>1073901674.299999</v>
      </c>
      <c r="F1032" s="120" t="s">
        <v>251</v>
      </c>
      <c r="G1032" s="120">
        <v>1025412885.8886671</v>
      </c>
      <c r="H1032" s="120" t="s">
        <v>251</v>
      </c>
      <c r="I1032" s="120">
        <v>47752174.953126453</v>
      </c>
      <c r="J1032" s="120">
        <v>736613.45820547431</v>
      </c>
      <c r="K1032" s="120" t="s">
        <v>251</v>
      </c>
      <c r="L1032" s="120" t="s">
        <v>251</v>
      </c>
      <c r="M1032" s="120">
        <v>3283.1438729639744</v>
      </c>
      <c r="N1032" s="120" t="s">
        <v>251</v>
      </c>
      <c r="O1032" s="120">
        <v>733330.31433251034</v>
      </c>
      <c r="P1032" s="120">
        <v>371924.64084374672</v>
      </c>
      <c r="Q1032" s="120">
        <v>361405.67348876363</v>
      </c>
      <c r="R1032" s="120"/>
    </row>
    <row r="1033" spans="1:18" ht="15">
      <c r="A1033" s="105">
        <v>28</v>
      </c>
      <c r="B1033" s="105"/>
      <c r="C1033" s="107" t="s">
        <v>1029</v>
      </c>
      <c r="D1033" s="107" t="s">
        <v>459</v>
      </c>
      <c r="E1033" s="120">
        <v>68006903.589230776</v>
      </c>
      <c r="F1033" s="120" t="s">
        <v>251</v>
      </c>
      <c r="G1033" s="120">
        <v>8230402.9915529564</v>
      </c>
      <c r="H1033" s="120" t="s">
        <v>251</v>
      </c>
      <c r="I1033" s="120">
        <v>59776474.179230765</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859112038.02538371</v>
      </c>
      <c r="F1034" s="120" t="s">
        <v>251</v>
      </c>
      <c r="G1034" s="120">
        <v>798925166.09846091</v>
      </c>
      <c r="H1034" s="120" t="s">
        <v>251</v>
      </c>
      <c r="I1034" s="120">
        <v>60092323.146922886</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10080695046.917683</v>
      </c>
      <c r="F1035" s="120" t="s">
        <v>251</v>
      </c>
      <c r="G1035" s="120">
        <v>9425469470.6105957</v>
      </c>
      <c r="H1035" s="120" t="s">
        <v>251</v>
      </c>
      <c r="I1035" s="120">
        <v>508660146.68823594</v>
      </c>
      <c r="J1035" s="120">
        <v>146565429.61885062</v>
      </c>
      <c r="K1035" s="120" t="s">
        <v>251</v>
      </c>
      <c r="L1035" s="120" t="s">
        <v>251</v>
      </c>
      <c r="M1035" s="120">
        <v>711694.75584535592</v>
      </c>
      <c r="N1035" s="120" t="s">
        <v>251</v>
      </c>
      <c r="O1035" s="120">
        <v>145853734.86300525</v>
      </c>
      <c r="P1035" s="120">
        <v>75807020.555096</v>
      </c>
      <c r="Q1035" s="120">
        <v>70046714.30790925</v>
      </c>
      <c r="R1035" s="120"/>
    </row>
    <row r="1036" spans="1:18" ht="15">
      <c r="A1036" s="105">
        <v>31</v>
      </c>
      <c r="B1036" s="105"/>
      <c r="C1036" s="107" t="s">
        <v>1031</v>
      </c>
      <c r="D1036" s="107" t="s">
        <v>489</v>
      </c>
      <c r="E1036" s="120">
        <v>9425469470.6105957</v>
      </c>
      <c r="F1036" s="120" t="s">
        <v>251</v>
      </c>
      <c r="G1036" s="120">
        <v>9425469470.6105957</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9572034900.2294464</v>
      </c>
      <c r="F1037" s="120" t="s">
        <v>251</v>
      </c>
      <c r="G1037" s="120">
        <v>9425469470.6105957</v>
      </c>
      <c r="H1037" s="120" t="s">
        <v>251</v>
      </c>
      <c r="I1037" s="120">
        <v>0</v>
      </c>
      <c r="J1037" s="120">
        <v>146565429.61885062</v>
      </c>
      <c r="K1037" s="120" t="s">
        <v>251</v>
      </c>
      <c r="L1037" s="120" t="s">
        <v>251</v>
      </c>
      <c r="M1037" s="120">
        <v>711694.75584535592</v>
      </c>
      <c r="N1037" s="120" t="s">
        <v>251</v>
      </c>
      <c r="O1037" s="120">
        <v>145853734.86300525</v>
      </c>
      <c r="P1037" s="120">
        <v>75807020.555096</v>
      </c>
      <c r="Q1037" s="120">
        <v>70046714.30790925</v>
      </c>
      <c r="R1037" s="120"/>
    </row>
    <row r="1038" spans="1:18" ht="15">
      <c r="A1038" s="105">
        <v>33</v>
      </c>
      <c r="B1038" s="105"/>
      <c r="C1038" s="107" t="s">
        <v>1033</v>
      </c>
      <c r="D1038" s="107" t="s">
        <v>1034</v>
      </c>
      <c r="E1038" s="120">
        <v>508660146.68823594</v>
      </c>
      <c r="F1038" s="120" t="s">
        <v>251</v>
      </c>
      <c r="G1038" s="120">
        <v>0</v>
      </c>
      <c r="H1038" s="120" t="s">
        <v>251</v>
      </c>
      <c r="I1038" s="120">
        <v>508660146.68823594</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5462761443.1976843</v>
      </c>
      <c r="F1039" s="120" t="s">
        <v>251</v>
      </c>
      <c r="G1039" s="120">
        <v>5110063073.1431885</v>
      </c>
      <c r="H1039" s="120" t="s">
        <v>251</v>
      </c>
      <c r="I1039" s="120">
        <v>238182050.28074247</v>
      </c>
      <c r="J1039" s="120">
        <v>114516319.77375309</v>
      </c>
      <c r="K1039" s="120" t="s">
        <v>251</v>
      </c>
      <c r="L1039" s="120" t="s">
        <v>251</v>
      </c>
      <c r="M1039" s="120">
        <v>16312.851740338956</v>
      </c>
      <c r="N1039" s="120" t="s">
        <v>251</v>
      </c>
      <c r="O1039" s="120">
        <v>114500006.92201275</v>
      </c>
      <c r="P1039" s="120">
        <v>58071203.547391921</v>
      </c>
      <c r="Q1039" s="120">
        <v>56428803.374620818</v>
      </c>
      <c r="R1039" s="120"/>
    </row>
    <row r="1040" spans="1:18" ht="15">
      <c r="A1040" s="105">
        <v>35</v>
      </c>
      <c r="B1040" s="105"/>
      <c r="C1040" s="107" t="s">
        <v>1035</v>
      </c>
      <c r="D1040" s="107" t="s">
        <v>600</v>
      </c>
      <c r="E1040" s="120">
        <v>43871798.114615381</v>
      </c>
      <c r="F1040" s="120" t="s">
        <v>251</v>
      </c>
      <c r="G1040" s="120">
        <v>41109083.073642947</v>
      </c>
      <c r="H1040" s="120" t="s">
        <v>251</v>
      </c>
      <c r="I1040" s="120">
        <v>1878926.2125357133</v>
      </c>
      <c r="J1040" s="120">
        <v>883788.82843671739</v>
      </c>
      <c r="K1040" s="120" t="s">
        <v>251</v>
      </c>
      <c r="L1040" s="120" t="s">
        <v>251</v>
      </c>
      <c r="M1040" s="120">
        <v>131.68971497670719</v>
      </c>
      <c r="N1040" s="120" t="s">
        <v>251</v>
      </c>
      <c r="O1040" s="120">
        <v>883657.13872174069</v>
      </c>
      <c r="P1040" s="120">
        <v>448166.2049485062</v>
      </c>
      <c r="Q1040" s="120">
        <v>435490.93377323449</v>
      </c>
      <c r="R1040" s="120"/>
    </row>
    <row r="1041" spans="1:18" ht="15">
      <c r="A1041" s="105">
        <v>36</v>
      </c>
      <c r="B1041" s="105"/>
      <c r="C1041" s="107" t="s">
        <v>1036</v>
      </c>
      <c r="D1041" s="107" t="s">
        <v>615</v>
      </c>
      <c r="E1041" s="120">
        <v>1069355633.2823062</v>
      </c>
      <c r="F1041" s="120" t="s">
        <v>251</v>
      </c>
      <c r="G1041" s="120">
        <v>1001640159.5740763</v>
      </c>
      <c r="H1041" s="120" t="s">
        <v>251</v>
      </c>
      <c r="I1041" s="120">
        <v>45689235.040158309</v>
      </c>
      <c r="J1041" s="120">
        <v>22026238.668071635</v>
      </c>
      <c r="K1041" s="120" t="s">
        <v>251</v>
      </c>
      <c r="L1041" s="120" t="s">
        <v>251</v>
      </c>
      <c r="M1041" s="120">
        <v>3202.6668708024608</v>
      </c>
      <c r="N1041" s="120" t="s">
        <v>251</v>
      </c>
      <c r="O1041" s="120">
        <v>22023036.001200832</v>
      </c>
      <c r="P1041" s="120">
        <v>11169468.375913287</v>
      </c>
      <c r="Q1041" s="120">
        <v>10853567.625287546</v>
      </c>
      <c r="R1041" s="120"/>
    </row>
    <row r="1042" spans="1:18" ht="15">
      <c r="A1042" s="105">
        <v>37</v>
      </c>
      <c r="B1042" s="105"/>
      <c r="C1042" s="107" t="s">
        <v>1037</v>
      </c>
      <c r="D1042" s="107" t="s">
        <v>656</v>
      </c>
      <c r="E1042" s="120">
        <v>294097578.91615331</v>
      </c>
      <c r="F1042" s="120" t="s">
        <v>251</v>
      </c>
      <c r="G1042" s="120">
        <v>280309100.00615335</v>
      </c>
      <c r="H1042" s="120" t="s">
        <v>251</v>
      </c>
      <c r="I1042" s="120">
        <v>9606361.3999999985</v>
      </c>
      <c r="J1042" s="120">
        <v>4182117.51</v>
      </c>
      <c r="K1042" s="120" t="s">
        <v>251</v>
      </c>
      <c r="L1042" s="120" t="s">
        <v>251</v>
      </c>
      <c r="M1042" s="120">
        <v>564465.50999999989</v>
      </c>
      <c r="N1042" s="120" t="s">
        <v>251</v>
      </c>
      <c r="O1042" s="120">
        <v>3617652</v>
      </c>
      <c r="P1042" s="120">
        <v>3617652</v>
      </c>
      <c r="Q1042" s="120">
        <v>0</v>
      </c>
      <c r="R1042" s="120"/>
    </row>
    <row r="1043" spans="1:18" ht="15">
      <c r="A1043" s="105">
        <v>38</v>
      </c>
      <c r="B1043" s="105"/>
      <c r="C1043" s="107" t="s">
        <v>1038</v>
      </c>
      <c r="D1043" s="107" t="s">
        <v>661</v>
      </c>
      <c r="E1043" s="120">
        <v>224942911.12615377</v>
      </c>
      <c r="F1043" s="120" t="s">
        <v>251</v>
      </c>
      <c r="G1043" s="120">
        <v>219794241.50846145</v>
      </c>
      <c r="H1043" s="120" t="s">
        <v>251</v>
      </c>
      <c r="I1043" s="120">
        <v>5148669.6176923076</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131245001.32461539</v>
      </c>
      <c r="F1044" s="120" t="s">
        <v>251</v>
      </c>
      <c r="G1044" s="120">
        <v>127240903.38000001</v>
      </c>
      <c r="H1044" s="120" t="s">
        <v>251</v>
      </c>
      <c r="I1044" s="120">
        <v>4004097.9446153841</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82667373.238461435</v>
      </c>
      <c r="F1045" s="120" t="s">
        <v>251</v>
      </c>
      <c r="G1045" s="120">
        <v>78832320.828461438</v>
      </c>
      <c r="H1045" s="120" t="s">
        <v>251</v>
      </c>
      <c r="I1045" s="120">
        <v>3783545.2</v>
      </c>
      <c r="J1045" s="120">
        <v>51507.21</v>
      </c>
      <c r="K1045" s="120" t="s">
        <v>251</v>
      </c>
      <c r="L1045" s="120" t="s">
        <v>251</v>
      </c>
      <c r="M1045" s="120">
        <v>4199.21</v>
      </c>
      <c r="N1045" s="120" t="s">
        <v>251</v>
      </c>
      <c r="O1045" s="120">
        <v>47308</v>
      </c>
      <c r="P1045" s="120">
        <v>20456</v>
      </c>
      <c r="Q1045" s="120">
        <v>26852</v>
      </c>
      <c r="R1045" s="120"/>
    </row>
    <row r="1046" spans="1:18" ht="15">
      <c r="A1046" s="105">
        <v>41</v>
      </c>
      <c r="B1046" s="105"/>
      <c r="C1046" s="107" t="s">
        <v>1041</v>
      </c>
      <c r="D1046" s="107" t="s">
        <v>667</v>
      </c>
      <c r="E1046" s="120">
        <v>148818.36999999903</v>
      </c>
      <c r="F1046" s="120" t="s">
        <v>251</v>
      </c>
      <c r="G1046" s="120">
        <v>148818.36999999903</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327156550.64999998</v>
      </c>
      <c r="F1047" s="120" t="s">
        <v>251</v>
      </c>
      <c r="G1047" s="120">
        <v>315974318.09076923</v>
      </c>
      <c r="H1047" s="120" t="s">
        <v>251</v>
      </c>
      <c r="I1047" s="120">
        <v>11179114.279230768</v>
      </c>
      <c r="J1047" s="120">
        <v>3118.2799999999988</v>
      </c>
      <c r="K1047" s="120" t="s">
        <v>251</v>
      </c>
      <c r="L1047" s="120" t="s">
        <v>251</v>
      </c>
      <c r="M1047" s="120">
        <v>3118.2799999999988</v>
      </c>
      <c r="N1047" s="120" t="s">
        <v>251</v>
      </c>
      <c r="O1047" s="120">
        <v>0</v>
      </c>
      <c r="P1047" s="120">
        <v>0</v>
      </c>
      <c r="Q1047" s="120">
        <v>0</v>
      </c>
      <c r="R1047" s="120"/>
    </row>
    <row r="1048" spans="1:18" ht="15">
      <c r="A1048" s="105">
        <v>43</v>
      </c>
      <c r="B1048" s="105"/>
      <c r="C1048" s="107" t="s">
        <v>1043</v>
      </c>
      <c r="D1048" s="107" t="s">
        <v>693</v>
      </c>
      <c r="E1048" s="120">
        <v>35444542.129999995</v>
      </c>
      <c r="F1048" s="120" t="s">
        <v>251</v>
      </c>
      <c r="G1048" s="120">
        <v>33673447.616046697</v>
      </c>
      <c r="H1048" s="120" t="s">
        <v>251</v>
      </c>
      <c r="I1048" s="120">
        <v>1760959.5620921196</v>
      </c>
      <c r="J1048" s="120">
        <v>10134.951861181571</v>
      </c>
      <c r="K1048" s="120" t="s">
        <v>251</v>
      </c>
      <c r="L1048" s="120" t="s">
        <v>251</v>
      </c>
      <c r="M1048" s="120">
        <v>233.52423643275509</v>
      </c>
      <c r="N1048" s="120" t="s">
        <v>251</v>
      </c>
      <c r="O1048" s="120">
        <v>9901.427624748816</v>
      </c>
      <c r="P1048" s="120">
        <v>3969.9120193568365</v>
      </c>
      <c r="Q1048" s="120">
        <v>5931.5156053919791</v>
      </c>
      <c r="R1048" s="120"/>
    </row>
    <row r="1049" spans="1:18" ht="15">
      <c r="A1049" s="105">
        <v>44</v>
      </c>
      <c r="B1049" s="105"/>
      <c r="C1049" s="107" t="s">
        <v>1044</v>
      </c>
      <c r="D1049" s="107" t="s">
        <v>703</v>
      </c>
      <c r="E1049" s="120">
        <v>10205363.999999998</v>
      </c>
      <c r="F1049" s="120" t="s">
        <v>251</v>
      </c>
      <c r="G1049" s="120">
        <v>10110400.332189808</v>
      </c>
      <c r="H1049" s="120" t="s">
        <v>251</v>
      </c>
      <c r="I1049" s="120">
        <v>94953.538712436683</v>
      </c>
      <c r="J1049" s="120">
        <v>10.129097754055758</v>
      </c>
      <c r="K1049" s="120" t="s">
        <v>251</v>
      </c>
      <c r="L1049" s="120" t="s">
        <v>251</v>
      </c>
      <c r="M1049" s="120">
        <v>10.129097754055758</v>
      </c>
      <c r="N1049" s="120" t="s">
        <v>251</v>
      </c>
      <c r="O1049" s="120">
        <v>0</v>
      </c>
      <c r="P1049" s="120">
        <v>0</v>
      </c>
      <c r="Q1049" s="120">
        <v>0</v>
      </c>
      <c r="R1049" s="120"/>
    </row>
    <row r="1050" spans="1:18" ht="15">
      <c r="A1050" s="105">
        <v>45</v>
      </c>
      <c r="B1050" s="105"/>
      <c r="C1050" s="107" t="s">
        <v>1045</v>
      </c>
      <c r="D1050" s="107" t="s">
        <v>1046</v>
      </c>
      <c r="E1050" s="120">
        <v>3176462427.0415359</v>
      </c>
      <c r="F1050" s="120" t="s">
        <v>251</v>
      </c>
      <c r="G1050" s="120">
        <v>2964198532.5140648</v>
      </c>
      <c r="H1050" s="120" t="s">
        <v>251</v>
      </c>
      <c r="I1050" s="120">
        <v>207195708.25081855</v>
      </c>
      <c r="J1050" s="120">
        <v>5068186.2766525168</v>
      </c>
      <c r="K1050" s="120" t="s">
        <v>251</v>
      </c>
      <c r="L1050" s="120" t="s">
        <v>251</v>
      </c>
      <c r="M1050" s="120">
        <v>669895.9623200061</v>
      </c>
      <c r="N1050" s="120" t="s">
        <v>251</v>
      </c>
      <c r="O1050" s="120">
        <v>4398290.3143325103</v>
      </c>
      <c r="P1050" s="120">
        <v>4010032.6408437467</v>
      </c>
      <c r="Q1050" s="120">
        <v>388257.67348876363</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1044482.0000000001</v>
      </c>
      <c r="F1054" s="120" t="s">
        <v>251</v>
      </c>
      <c r="G1054" s="120">
        <v>991130.87987548974</v>
      </c>
      <c r="H1054" s="120" t="s">
        <v>251</v>
      </c>
      <c r="I1054" s="120">
        <v>53345.429540695593</v>
      </c>
      <c r="J1054" s="120">
        <v>5.6905838147454677</v>
      </c>
      <c r="K1054" s="120" t="s">
        <v>251</v>
      </c>
      <c r="L1054" s="120" t="s">
        <v>251</v>
      </c>
      <c r="M1054" s="120">
        <v>5.6905838147454677</v>
      </c>
      <c r="N1054" s="120" t="s">
        <v>251</v>
      </c>
      <c r="O1054" s="120">
        <v>0</v>
      </c>
      <c r="P1054" s="120">
        <v>0</v>
      </c>
      <c r="Q1054" s="120">
        <v>0</v>
      </c>
      <c r="R1054" s="120"/>
    </row>
    <row r="1055" spans="1:18" ht="15">
      <c r="A1055" s="105">
        <v>2</v>
      </c>
      <c r="B1055" s="105"/>
      <c r="C1055" s="107" t="s">
        <v>1049</v>
      </c>
      <c r="D1055" s="107" t="s">
        <v>587</v>
      </c>
      <c r="E1055" s="120">
        <v>25065995.426900454</v>
      </c>
      <c r="F1055" s="120" t="s">
        <v>251</v>
      </c>
      <c r="G1055" s="120">
        <v>0</v>
      </c>
      <c r="H1055" s="120" t="s">
        <v>251</v>
      </c>
      <c r="I1055" s="120">
        <v>0</v>
      </c>
      <c r="J1055" s="120">
        <v>25065995.426900454</v>
      </c>
      <c r="K1055" s="120" t="s">
        <v>251</v>
      </c>
      <c r="L1055" s="120" t="s">
        <v>251</v>
      </c>
      <c r="M1055" s="120">
        <v>0</v>
      </c>
      <c r="N1055" s="120" t="s">
        <v>251</v>
      </c>
      <c r="O1055" s="120">
        <v>25065995.426900454</v>
      </c>
      <c r="P1055" s="120">
        <v>12691491.179060366</v>
      </c>
      <c r="Q1055" s="120">
        <v>12374504.247840088</v>
      </c>
      <c r="R1055" s="120"/>
    </row>
    <row r="1056" spans="1:18" ht="15">
      <c r="A1056" s="105">
        <v>3</v>
      </c>
      <c r="B1056" s="105"/>
      <c r="C1056" s="107" t="s">
        <v>1050</v>
      </c>
      <c r="D1056" s="107" t="s">
        <v>736</v>
      </c>
      <c r="E1056" s="120">
        <v>71559280.30532819</v>
      </c>
      <c r="F1056" s="120" t="s">
        <v>251</v>
      </c>
      <c r="G1056" s="120">
        <v>0</v>
      </c>
      <c r="H1056" s="120" t="s">
        <v>251</v>
      </c>
      <c r="I1056" s="120">
        <v>71559280.30532819</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1694811411.6079164</v>
      </c>
      <c r="F1057" s="120" t="s">
        <v>251</v>
      </c>
      <c r="G1057" s="120">
        <v>1598186093.1887257</v>
      </c>
      <c r="H1057" s="120" t="s">
        <v>251</v>
      </c>
      <c r="I1057" s="120">
        <v>71559280.30532819</v>
      </c>
      <c r="J1057" s="120">
        <v>25066038.1138625</v>
      </c>
      <c r="K1057" s="120" t="s">
        <v>251</v>
      </c>
      <c r="L1057" s="120" t="s">
        <v>251</v>
      </c>
      <c r="M1057" s="120">
        <v>42.686962046929459</v>
      </c>
      <c r="N1057" s="120" t="s">
        <v>251</v>
      </c>
      <c r="O1057" s="120">
        <v>25065995.426900454</v>
      </c>
      <c r="P1057" s="120">
        <v>12691491.179060366</v>
      </c>
      <c r="Q1057" s="120">
        <v>12374504.247840088</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1669745416.181016</v>
      </c>
      <c r="F1059" s="120" t="s">
        <v>251</v>
      </c>
      <c r="G1059" s="120">
        <v>1598186093.1887257</v>
      </c>
      <c r="H1059" s="120" t="s">
        <v>251</v>
      </c>
      <c r="I1059" s="120">
        <v>71559280.30532819</v>
      </c>
      <c r="J1059" s="120">
        <v>42.686962046929459</v>
      </c>
      <c r="K1059" s="120" t="s">
        <v>251</v>
      </c>
      <c r="L1059" s="120" t="s">
        <v>251</v>
      </c>
      <c r="M1059" s="120">
        <v>42.686962046929459</v>
      </c>
      <c r="N1059" s="120" t="s">
        <v>251</v>
      </c>
      <c r="O1059" s="120">
        <v>0</v>
      </c>
      <c r="P1059" s="120">
        <v>0</v>
      </c>
      <c r="Q1059" s="120">
        <v>0</v>
      </c>
      <c r="R1059" s="120"/>
    </row>
    <row r="1060" spans="1:18" ht="15">
      <c r="A1060" s="105">
        <v>7</v>
      </c>
      <c r="B1060" s="105"/>
      <c r="C1060" s="107" t="s">
        <v>1056</v>
      </c>
      <c r="D1060" s="107" t="s">
        <v>747</v>
      </c>
      <c r="E1060" s="120">
        <v>1934220203.6338449</v>
      </c>
      <c r="F1060" s="120" t="s">
        <v>251</v>
      </c>
      <c r="G1060" s="120">
        <v>1930555243.6338449</v>
      </c>
      <c r="H1060" s="120" t="s">
        <v>251</v>
      </c>
      <c r="I1060" s="120">
        <v>0</v>
      </c>
      <c r="J1060" s="120">
        <v>3664960</v>
      </c>
      <c r="K1060" s="120" t="s">
        <v>251</v>
      </c>
      <c r="L1060" s="120" t="s">
        <v>251</v>
      </c>
      <c r="M1060" s="120">
        <v>0</v>
      </c>
      <c r="N1060" s="120" t="s">
        <v>251</v>
      </c>
      <c r="O1060" s="120">
        <v>3664960</v>
      </c>
      <c r="P1060" s="120">
        <v>3638108</v>
      </c>
      <c r="Q1060" s="120">
        <v>26852</v>
      </c>
      <c r="R1060" s="120"/>
    </row>
    <row r="1061" spans="1:18" ht="15">
      <c r="A1061" s="105">
        <v>8</v>
      </c>
      <c r="B1061" s="105"/>
      <c r="C1061" s="107" t="s">
        <v>1057</v>
      </c>
      <c r="D1061" s="107" t="s">
        <v>749</v>
      </c>
      <c r="E1061" s="120">
        <v>99667059.118461341</v>
      </c>
      <c r="F1061" s="120" t="s">
        <v>251</v>
      </c>
      <c r="G1061" s="120">
        <v>0</v>
      </c>
      <c r="H1061" s="120" t="s">
        <v>251</v>
      </c>
      <c r="I1061" s="120">
        <v>99667059.118461341</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666586.39999999979</v>
      </c>
      <c r="F1062" s="120" t="s">
        <v>251</v>
      </c>
      <c r="G1062" s="120">
        <v>0</v>
      </c>
      <c r="H1062" s="120" t="s">
        <v>251</v>
      </c>
      <c r="I1062" s="120">
        <v>0</v>
      </c>
      <c r="J1062" s="120">
        <v>666586.39999999979</v>
      </c>
      <c r="K1062" s="120" t="s">
        <v>251</v>
      </c>
      <c r="L1062" s="120" t="s">
        <v>251</v>
      </c>
      <c r="M1062" s="120">
        <v>666586.39999999979</v>
      </c>
      <c r="N1062" s="120" t="s">
        <v>251</v>
      </c>
      <c r="O1062" s="120">
        <v>0</v>
      </c>
      <c r="P1062" s="120">
        <v>0</v>
      </c>
      <c r="Q1062" s="120">
        <v>0</v>
      </c>
      <c r="R1062" s="120"/>
    </row>
    <row r="1063" spans="1:18" ht="15">
      <c r="A1063" s="105">
        <v>10</v>
      </c>
      <c r="B1063" s="105"/>
      <c r="C1063" s="107" t="s">
        <v>474</v>
      </c>
      <c r="D1063" s="107" t="s">
        <v>760</v>
      </c>
      <c r="E1063" s="120">
        <v>6583506598.6909037</v>
      </c>
      <c r="F1063" s="120" t="s">
        <v>251</v>
      </c>
      <c r="G1063" s="120">
        <v>6176080356.5448399</v>
      </c>
      <c r="H1063" s="120" t="s">
        <v>251</v>
      </c>
      <c r="I1063" s="120">
        <v>313513581.85950136</v>
      </c>
      <c r="J1063" s="120">
        <v>93912660.286563247</v>
      </c>
      <c r="K1063" s="120" t="s">
        <v>251</v>
      </c>
      <c r="L1063" s="120" t="s">
        <v>251</v>
      </c>
      <c r="M1063" s="120">
        <v>541446.03718470759</v>
      </c>
      <c r="N1063" s="120" t="s">
        <v>251</v>
      </c>
      <c r="O1063" s="120">
        <v>93371214.249378547</v>
      </c>
      <c r="P1063" s="120">
        <v>48543417.172433108</v>
      </c>
      <c r="Q1063" s="120">
        <v>44827797.076945439</v>
      </c>
      <c r="R1063" s="120"/>
    </row>
    <row r="1064" spans="1:18" ht="15">
      <c r="A1064" s="105">
        <v>11</v>
      </c>
      <c r="B1064" s="105"/>
      <c r="C1064" s="107" t="s">
        <v>547</v>
      </c>
      <c r="D1064" s="107" t="s">
        <v>782</v>
      </c>
      <c r="E1064" s="120">
        <v>5670667054.7712746</v>
      </c>
      <c r="F1064" s="120" t="s">
        <v>251</v>
      </c>
      <c r="G1064" s="120">
        <v>5320147419.2916718</v>
      </c>
      <c r="H1064" s="120" t="s">
        <v>251</v>
      </c>
      <c r="I1064" s="120">
        <v>268576867.75356632</v>
      </c>
      <c r="J1064" s="120">
        <v>81942767.72603628</v>
      </c>
      <c r="K1064" s="120" t="s">
        <v>251</v>
      </c>
      <c r="L1064" s="120" t="s">
        <v>251</v>
      </c>
      <c r="M1064" s="120">
        <v>450774.30744953413</v>
      </c>
      <c r="N1064" s="120" t="s">
        <v>251</v>
      </c>
      <c r="O1064" s="120">
        <v>81491993.418586746</v>
      </c>
      <c r="P1064" s="120">
        <v>42275518.893805005</v>
      </c>
      <c r="Q1064" s="120">
        <v>39216474.524781741</v>
      </c>
      <c r="R1064" s="120"/>
    </row>
    <row r="1065" spans="1:18" ht="15">
      <c r="A1065" s="105">
        <v>12</v>
      </c>
      <c r="B1065" s="105"/>
      <c r="C1065" s="107" t="s">
        <v>1059</v>
      </c>
      <c r="D1065" s="107" t="s">
        <v>786</v>
      </c>
      <c r="E1065" s="120">
        <v>961676.92</v>
      </c>
      <c r="F1065" s="120" t="s">
        <v>251</v>
      </c>
      <c r="G1065" s="120">
        <v>748975.63997494429</v>
      </c>
      <c r="H1065" s="120" t="s">
        <v>251</v>
      </c>
      <c r="I1065" s="120">
        <v>0</v>
      </c>
      <c r="J1065" s="120">
        <v>212701.28002505572</v>
      </c>
      <c r="K1065" s="120" t="s">
        <v>251</v>
      </c>
      <c r="L1065" s="120" t="s">
        <v>251</v>
      </c>
      <c r="M1065" s="120">
        <v>0</v>
      </c>
      <c r="N1065" s="120" t="s">
        <v>251</v>
      </c>
      <c r="O1065" s="120">
        <v>212701.28002505572</v>
      </c>
      <c r="P1065" s="120">
        <v>107876.14480703727</v>
      </c>
      <c r="Q1065" s="120">
        <v>104825.13521801845</v>
      </c>
      <c r="R1065" s="120"/>
    </row>
    <row r="1066" spans="1:18" ht="15">
      <c r="A1066" s="105">
        <v>13</v>
      </c>
      <c r="B1066" s="105"/>
      <c r="C1066" s="107" t="s">
        <v>1060</v>
      </c>
      <c r="D1066" s="107" t="s">
        <v>1061</v>
      </c>
      <c r="E1066" s="120">
        <v>-17139455</v>
      </c>
      <c r="F1066" s="120" t="s">
        <v>251</v>
      </c>
      <c r="G1066" s="120">
        <v>-16101723</v>
      </c>
      <c r="H1066" s="120" t="s">
        <v>251</v>
      </c>
      <c r="I1066" s="120">
        <v>-787350</v>
      </c>
      <c r="J1066" s="120">
        <v>-250382</v>
      </c>
      <c r="K1066" s="120" t="s">
        <v>251</v>
      </c>
      <c r="L1066" s="120" t="s">
        <v>251</v>
      </c>
      <c r="M1066" s="120">
        <v>-1216</v>
      </c>
      <c r="N1066" s="120" t="s">
        <v>251</v>
      </c>
      <c r="O1066" s="120">
        <v>-249166</v>
      </c>
      <c r="P1066" s="120">
        <v>-129503</v>
      </c>
      <c r="Q1066" s="120">
        <v>-119663</v>
      </c>
      <c r="R1066" s="120"/>
    </row>
    <row r="1067" spans="1:18" ht="15">
      <c r="A1067" s="105">
        <v>14</v>
      </c>
      <c r="B1067" s="105"/>
      <c r="C1067" s="107" t="s">
        <v>1062</v>
      </c>
      <c r="D1067" s="107" t="s">
        <v>1063</v>
      </c>
      <c r="E1067" s="120">
        <v>360402687.23587352</v>
      </c>
      <c r="F1067" s="120" t="s">
        <v>251</v>
      </c>
      <c r="G1067" s="120">
        <v>338847360.15148407</v>
      </c>
      <c r="H1067" s="120" t="s">
        <v>251</v>
      </c>
      <c r="I1067" s="120">
        <v>14104644.622330945</v>
      </c>
      <c r="J1067" s="120">
        <v>7450682.4620584622</v>
      </c>
      <c r="K1067" s="120" t="s">
        <v>251</v>
      </c>
      <c r="L1067" s="120" t="s">
        <v>251</v>
      </c>
      <c r="M1067" s="120">
        <v>1460.0950251092997</v>
      </c>
      <c r="N1067" s="120" t="s">
        <v>251</v>
      </c>
      <c r="O1067" s="120">
        <v>7449222.3670333531</v>
      </c>
      <c r="P1067" s="120">
        <v>3773277.3332253089</v>
      </c>
      <c r="Q1067" s="120">
        <v>3675945.0338080446</v>
      </c>
      <c r="R1067" s="120"/>
    </row>
    <row r="1068" spans="1:18" ht="15">
      <c r="A1068" s="105">
        <v>15</v>
      </c>
      <c r="B1068" s="105"/>
      <c r="C1068" s="107" t="s">
        <v>1064</v>
      </c>
      <c r="D1068" s="107" t="s">
        <v>1065</v>
      </c>
      <c r="E1068" s="120">
        <v>70228787.999999985</v>
      </c>
      <c r="F1068" s="120" t="s">
        <v>251</v>
      </c>
      <c r="G1068" s="120">
        <v>65122841.734478846</v>
      </c>
      <c r="H1068" s="120" t="s">
        <v>251</v>
      </c>
      <c r="I1068" s="120">
        <v>3337322.9566006172</v>
      </c>
      <c r="J1068" s="120">
        <v>1768623.3089205232</v>
      </c>
      <c r="K1068" s="120" t="s">
        <v>251</v>
      </c>
      <c r="L1068" s="120" t="s">
        <v>251</v>
      </c>
      <c r="M1068" s="120">
        <v>191.18060826738329</v>
      </c>
      <c r="N1068" s="120" t="s">
        <v>251</v>
      </c>
      <c r="O1068" s="120">
        <v>1768432.1283122557</v>
      </c>
      <c r="P1068" s="120">
        <v>895693.85433684115</v>
      </c>
      <c r="Q1068" s="120">
        <v>872738.27397541446</v>
      </c>
      <c r="R1068" s="120"/>
    </row>
    <row r="1069" spans="1:18" ht="15">
      <c r="A1069" s="105">
        <v>16</v>
      </c>
      <c r="B1069" s="105"/>
      <c r="C1069" s="107" t="s">
        <v>1066</v>
      </c>
      <c r="D1069" s="107" t="s">
        <v>1067</v>
      </c>
      <c r="E1069" s="120">
        <v>10111.9999999999</v>
      </c>
      <c r="F1069" s="120" t="s">
        <v>251</v>
      </c>
      <c r="G1069" s="120">
        <v>9475.2224869987585</v>
      </c>
      <c r="H1069" s="120" t="s">
        <v>251</v>
      </c>
      <c r="I1069" s="120">
        <v>433.07324243980361</v>
      </c>
      <c r="J1069" s="120">
        <v>203.70427056133772</v>
      </c>
      <c r="K1069" s="120" t="s">
        <v>251</v>
      </c>
      <c r="L1069" s="120" t="s">
        <v>251</v>
      </c>
      <c r="M1069" s="120">
        <v>3.0353130144461241E-2</v>
      </c>
      <c r="N1069" s="120" t="s">
        <v>251</v>
      </c>
      <c r="O1069" s="120">
        <v>203.67391743119327</v>
      </c>
      <c r="P1069" s="120">
        <v>103.29771878963662</v>
      </c>
      <c r="Q1069" s="120">
        <v>100.37619864155664</v>
      </c>
      <c r="R1069" s="120"/>
    </row>
    <row r="1070" spans="1:18" ht="15">
      <c r="A1070" s="105">
        <v>17</v>
      </c>
      <c r="B1070" s="105"/>
      <c r="C1070" s="107" t="s">
        <v>1068</v>
      </c>
      <c r="D1070" s="107" t="s">
        <v>1069</v>
      </c>
      <c r="E1070" s="120">
        <v>314366.99999999895</v>
      </c>
      <c r="F1070" s="120" t="s">
        <v>251</v>
      </c>
      <c r="G1070" s="120">
        <v>294746.22171646002</v>
      </c>
      <c r="H1070" s="120" t="s">
        <v>251</v>
      </c>
      <c r="I1070" s="120">
        <v>13267.744860055227</v>
      </c>
      <c r="J1070" s="120">
        <v>6353.0334234836937</v>
      </c>
      <c r="K1070" s="120" t="s">
        <v>251</v>
      </c>
      <c r="L1070" s="120" t="s">
        <v>251</v>
      </c>
      <c r="M1070" s="120">
        <v>0.99701250287542342</v>
      </c>
      <c r="N1070" s="120" t="s">
        <v>251</v>
      </c>
      <c r="O1070" s="120">
        <v>6352.0364109808179</v>
      </c>
      <c r="P1070" s="120">
        <v>3220.8806214648862</v>
      </c>
      <c r="Q1070" s="120">
        <v>3131.1557895159312</v>
      </c>
      <c r="R1070" s="120"/>
    </row>
    <row r="1071" spans="1:18" ht="15">
      <c r="A1071" s="105">
        <v>18</v>
      </c>
      <c r="B1071" s="105"/>
      <c r="C1071" s="107" t="s">
        <v>1070</v>
      </c>
      <c r="D1071" s="107" t="s">
        <v>1071</v>
      </c>
      <c r="E1071" s="120">
        <v>126175143.15006199</v>
      </c>
      <c r="F1071" s="120" t="s">
        <v>251</v>
      </c>
      <c r="G1071" s="120">
        <v>118729230.91692664</v>
      </c>
      <c r="H1071" s="120" t="s">
        <v>251</v>
      </c>
      <c r="I1071" s="120">
        <v>4846459.8605164783</v>
      </c>
      <c r="J1071" s="120">
        <v>2599452.3726188829</v>
      </c>
      <c r="K1071" s="120" t="s">
        <v>251</v>
      </c>
      <c r="L1071" s="120" t="s">
        <v>251</v>
      </c>
      <c r="M1071" s="120">
        <v>530.61164208232424</v>
      </c>
      <c r="N1071" s="120" t="s">
        <v>251</v>
      </c>
      <c r="O1071" s="120">
        <v>2598921.7609768007</v>
      </c>
      <c r="P1071" s="120">
        <v>1316123.8173734839</v>
      </c>
      <c r="Q1071" s="120">
        <v>1282797.9436033166</v>
      </c>
      <c r="R1071" s="120"/>
    </row>
    <row r="1072" spans="1:18" ht="15">
      <c r="A1072" s="105">
        <v>19</v>
      </c>
      <c r="B1072" s="105"/>
      <c r="C1072" s="107" t="s">
        <v>1072</v>
      </c>
      <c r="D1072" s="107" t="s">
        <v>1073</v>
      </c>
      <c r="E1072" s="120">
        <v>12718232.999999998</v>
      </c>
      <c r="F1072" s="120" t="s">
        <v>251</v>
      </c>
      <c r="G1072" s="120">
        <v>11594591.012661019</v>
      </c>
      <c r="H1072" s="120" t="s">
        <v>251</v>
      </c>
      <c r="I1072" s="120">
        <v>757929.97893591877</v>
      </c>
      <c r="J1072" s="120">
        <v>365712.00840306107</v>
      </c>
      <c r="K1072" s="120" t="s">
        <v>251</v>
      </c>
      <c r="L1072" s="120" t="s">
        <v>251</v>
      </c>
      <c r="M1072" s="120">
        <v>28.815631875631475</v>
      </c>
      <c r="N1072" s="120" t="s">
        <v>251</v>
      </c>
      <c r="O1072" s="120">
        <v>365683.19277118542</v>
      </c>
      <c r="P1072" s="120">
        <v>185464.29552392534</v>
      </c>
      <c r="Q1072" s="120">
        <v>180218.89724726012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29803591.999999885</v>
      </c>
      <c r="F1079" s="120" t="s">
        <v>251</v>
      </c>
      <c r="G1079" s="120">
        <v>26995225.247647364</v>
      </c>
      <c r="H1079" s="120" t="s">
        <v>251</v>
      </c>
      <c r="I1079" s="120">
        <v>2808280.3179111048</v>
      </c>
      <c r="J1079" s="120">
        <v>86.434441417873344</v>
      </c>
      <c r="K1079" s="120" t="s">
        <v>251</v>
      </c>
      <c r="L1079" s="120" t="s">
        <v>251</v>
      </c>
      <c r="M1079" s="120">
        <v>86.434441417873344</v>
      </c>
      <c r="N1079" s="120" t="s">
        <v>251</v>
      </c>
      <c r="O1079" s="120">
        <v>0</v>
      </c>
      <c r="P1079" s="120">
        <v>0</v>
      </c>
      <c r="Q1079" s="120">
        <v>0</v>
      </c>
      <c r="R1079" s="120"/>
    </row>
    <row r="1080" spans="1:18" ht="15">
      <c r="A1080" s="105">
        <v>27</v>
      </c>
      <c r="B1080" s="105"/>
      <c r="C1080" s="107" t="s">
        <v>1088</v>
      </c>
      <c r="D1080" s="107" t="s">
        <v>1089</v>
      </c>
      <c r="E1080" s="120">
        <v>15907907</v>
      </c>
      <c r="F1080" s="120" t="s">
        <v>251</v>
      </c>
      <c r="G1080" s="120">
        <v>14413860.164243603</v>
      </c>
      <c r="H1080" s="120" t="s">
        <v>251</v>
      </c>
      <c r="I1080" s="120">
        <v>1494000.8527651818</v>
      </c>
      <c r="J1080" s="120">
        <v>45.982991214580231</v>
      </c>
      <c r="K1080" s="120" t="s">
        <v>251</v>
      </c>
      <c r="L1080" s="120" t="s">
        <v>251</v>
      </c>
      <c r="M1080" s="120">
        <v>45.982991214580231</v>
      </c>
      <c r="N1080" s="120" t="s">
        <v>251</v>
      </c>
      <c r="O1080" s="120">
        <v>0</v>
      </c>
      <c r="P1080" s="120">
        <v>0</v>
      </c>
      <c r="Q1080" s="120">
        <v>0</v>
      </c>
      <c r="R1080" s="120"/>
    </row>
    <row r="1081" spans="1:18" ht="15">
      <c r="A1081" s="105">
        <v>28</v>
      </c>
      <c r="B1081" s="105"/>
      <c r="C1081" s="107" t="s">
        <v>1090</v>
      </c>
      <c r="D1081" s="107" t="s">
        <v>635</v>
      </c>
      <c r="E1081" s="120">
        <v>7409760.9999999991</v>
      </c>
      <c r="F1081" s="120" t="s">
        <v>251</v>
      </c>
      <c r="G1081" s="120">
        <v>6711545.61591883</v>
      </c>
      <c r="H1081" s="120" t="s">
        <v>251</v>
      </c>
      <c r="I1081" s="120">
        <v>698193.89477366977</v>
      </c>
      <c r="J1081" s="120">
        <v>21.489307499409637</v>
      </c>
      <c r="K1081" s="120" t="s">
        <v>251</v>
      </c>
      <c r="L1081" s="120" t="s">
        <v>251</v>
      </c>
      <c r="M1081" s="120">
        <v>21.489307499409637</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25125956.000000004</v>
      </c>
      <c r="F1083" s="120" t="s">
        <v>251</v>
      </c>
      <c r="G1083" s="120">
        <v>23780969.1279299</v>
      </c>
      <c r="H1083" s="120" t="s">
        <v>251</v>
      </c>
      <c r="I1083" s="120">
        <v>1290982.3485038283</v>
      </c>
      <c r="J1083" s="120">
        <v>54004.523566274322</v>
      </c>
      <c r="K1083" s="120" t="s">
        <v>251</v>
      </c>
      <c r="L1083" s="120" t="s">
        <v>251</v>
      </c>
      <c r="M1083" s="120">
        <v>7874.9366464652903</v>
      </c>
      <c r="N1083" s="120" t="s">
        <v>251</v>
      </c>
      <c r="O1083" s="120">
        <v>46129.586919809029</v>
      </c>
      <c r="P1083" s="120">
        <v>43086.713873458924</v>
      </c>
      <c r="Q1083" s="120">
        <v>3042.8730463501024</v>
      </c>
      <c r="R1083" s="120"/>
    </row>
    <row r="1084" spans="1:18" ht="15">
      <c r="A1084" s="105">
        <v>31</v>
      </c>
      <c r="B1084" s="105"/>
      <c r="C1084" s="107" t="s">
        <v>1095</v>
      </c>
      <c r="D1084" s="107" t="s">
        <v>1096</v>
      </c>
      <c r="E1084" s="120">
        <v>34902097.000000007</v>
      </c>
      <c r="F1084" s="120" t="s">
        <v>251</v>
      </c>
      <c r="G1084" s="120">
        <v>32831572.161375362</v>
      </c>
      <c r="H1084" s="120" t="s">
        <v>251</v>
      </c>
      <c r="I1084" s="120">
        <v>2048727.3970772931</v>
      </c>
      <c r="J1084" s="120">
        <v>21797.44154735142</v>
      </c>
      <c r="K1084" s="120" t="s">
        <v>251</v>
      </c>
      <c r="L1084" s="120" t="s">
        <v>251</v>
      </c>
      <c r="M1084" s="120">
        <v>5639.5965418697642</v>
      </c>
      <c r="N1084" s="120" t="s">
        <v>251</v>
      </c>
      <c r="O1084" s="120">
        <v>16157.845005481655</v>
      </c>
      <c r="P1084" s="120">
        <v>16153.191292324864</v>
      </c>
      <c r="Q1084" s="120">
        <v>4.6537131567910688</v>
      </c>
      <c r="R1084" s="120"/>
    </row>
    <row r="1085" spans="1:18" ht="15">
      <c r="A1085" s="105">
        <v>32</v>
      </c>
      <c r="B1085" s="105"/>
      <c r="C1085" s="107" t="s">
        <v>1097</v>
      </c>
      <c r="D1085" s="107" t="s">
        <v>1098</v>
      </c>
      <c r="E1085" s="120">
        <v>22794160</v>
      </c>
      <c r="F1085" s="120" t="s">
        <v>251</v>
      </c>
      <c r="G1085" s="120">
        <v>21629009.785395268</v>
      </c>
      <c r="H1085" s="120" t="s">
        <v>251</v>
      </c>
      <c r="I1085" s="120">
        <v>1116621.6579729361</v>
      </c>
      <c r="J1085" s="120">
        <v>48528.556631794898</v>
      </c>
      <c r="K1085" s="120" t="s">
        <v>251</v>
      </c>
      <c r="L1085" s="120" t="s">
        <v>251</v>
      </c>
      <c r="M1085" s="120">
        <v>7468.1125111309611</v>
      </c>
      <c r="N1085" s="120" t="s">
        <v>251</v>
      </c>
      <c r="O1085" s="120">
        <v>41060.444120663939</v>
      </c>
      <c r="P1085" s="120">
        <v>40759.607264183083</v>
      </c>
      <c r="Q1085" s="120">
        <v>300.83685648085333</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30289429</v>
      </c>
      <c r="F1087" s="120" t="s">
        <v>251</v>
      </c>
      <c r="G1087" s="120">
        <v>28775925.416403897</v>
      </c>
      <c r="H1087" s="120" t="s">
        <v>251</v>
      </c>
      <c r="I1087" s="120">
        <v>1504842.6759818422</v>
      </c>
      <c r="J1087" s="120">
        <v>8660.9076142600188</v>
      </c>
      <c r="K1087" s="120" t="s">
        <v>251</v>
      </c>
      <c r="L1087" s="120" t="s">
        <v>251</v>
      </c>
      <c r="M1087" s="120">
        <v>199.56008327788064</v>
      </c>
      <c r="N1087" s="120" t="s">
        <v>251</v>
      </c>
      <c r="O1087" s="120">
        <v>8461.3475309821388</v>
      </c>
      <c r="P1087" s="120">
        <v>3392.5214157239707</v>
      </c>
      <c r="Q1087" s="120">
        <v>5068.8261152581681</v>
      </c>
      <c r="R1087" s="120"/>
    </row>
    <row r="1088" spans="1:18" ht="15">
      <c r="A1088" s="105">
        <v>35</v>
      </c>
      <c r="B1088" s="105"/>
      <c r="C1088" s="107" t="s">
        <v>1102</v>
      </c>
      <c r="D1088" s="107" t="s">
        <v>685</v>
      </c>
      <c r="E1088" s="120">
        <v>3641154</v>
      </c>
      <c r="F1088" s="120" t="s">
        <v>251</v>
      </c>
      <c r="G1088" s="120">
        <v>3459212.6491932455</v>
      </c>
      <c r="H1088" s="120" t="s">
        <v>251</v>
      </c>
      <c r="I1088" s="120">
        <v>180900.20544863981</v>
      </c>
      <c r="J1088" s="120">
        <v>1041.145358114652</v>
      </c>
      <c r="K1088" s="120" t="s">
        <v>251</v>
      </c>
      <c r="L1088" s="120" t="s">
        <v>251</v>
      </c>
      <c r="M1088" s="120">
        <v>23.989524380521935</v>
      </c>
      <c r="N1088" s="120" t="s">
        <v>251</v>
      </c>
      <c r="O1088" s="120">
        <v>1017.1558337341302</v>
      </c>
      <c r="P1088" s="120">
        <v>407.82191446887293</v>
      </c>
      <c r="Q1088" s="120">
        <v>609.33391926525724</v>
      </c>
      <c r="R1088" s="120"/>
    </row>
    <row r="1089" spans="1:18" ht="15">
      <c r="A1089" s="105">
        <v>36</v>
      </c>
      <c r="B1089" s="105"/>
      <c r="C1089" s="107" t="s">
        <v>1103</v>
      </c>
      <c r="D1089" s="107" t="s">
        <v>893</v>
      </c>
      <c r="E1089" s="120">
        <v>12770043.999999991</v>
      </c>
      <c r="F1089" s="120" t="s">
        <v>251</v>
      </c>
      <c r="G1089" s="120">
        <v>12607583.359170897</v>
      </c>
      <c r="H1089" s="120" t="s">
        <v>251</v>
      </c>
      <c r="I1089" s="120">
        <v>162443.31231019559</v>
      </c>
      <c r="J1089" s="120">
        <v>17.328518896653513</v>
      </c>
      <c r="K1089" s="120" t="s">
        <v>251</v>
      </c>
      <c r="L1089" s="120" t="s">
        <v>251</v>
      </c>
      <c r="M1089" s="120">
        <v>17.328518896653513</v>
      </c>
      <c r="N1089" s="120" t="s">
        <v>251</v>
      </c>
      <c r="O1089" s="120">
        <v>0</v>
      </c>
      <c r="P1089" s="120">
        <v>0</v>
      </c>
      <c r="Q1089" s="120">
        <v>0</v>
      </c>
      <c r="R1089" s="120"/>
    </row>
    <row r="1090" spans="1:18" ht="15">
      <c r="A1090" s="105">
        <v>37</v>
      </c>
      <c r="B1090" s="105"/>
      <c r="C1090" s="107" t="s">
        <v>1104</v>
      </c>
      <c r="D1090" s="107" t="s">
        <v>1105</v>
      </c>
      <c r="E1090" s="120">
        <v>3641154</v>
      </c>
      <c r="F1090" s="120" t="s">
        <v>251</v>
      </c>
      <c r="G1090" s="120">
        <v>3459212.6491932455</v>
      </c>
      <c r="H1090" s="120" t="s">
        <v>251</v>
      </c>
      <c r="I1090" s="120">
        <v>180900.20544863981</v>
      </c>
      <c r="J1090" s="120">
        <v>1041.145358114652</v>
      </c>
      <c r="K1090" s="120" t="s">
        <v>251</v>
      </c>
      <c r="L1090" s="120" t="s">
        <v>251</v>
      </c>
      <c r="M1090" s="120">
        <v>23.989524380521935</v>
      </c>
      <c r="N1090" s="120" t="s">
        <v>251</v>
      </c>
      <c r="O1090" s="120">
        <v>1017.1558337341302</v>
      </c>
      <c r="P1090" s="120">
        <v>407.82191446887293</v>
      </c>
      <c r="Q1090" s="120">
        <v>609.33391926525724</v>
      </c>
      <c r="R1090" s="120"/>
    </row>
    <row r="1091" spans="1:18" ht="15">
      <c r="A1091" s="105">
        <v>38</v>
      </c>
      <c r="B1091" s="105"/>
      <c r="C1091" s="107" t="s">
        <v>1106</v>
      </c>
      <c r="D1091" s="107" t="s">
        <v>1107</v>
      </c>
      <c r="E1091" s="120">
        <v>1044482.0000000001</v>
      </c>
      <c r="F1091" s="120" t="s">
        <v>251</v>
      </c>
      <c r="G1091" s="120">
        <v>991130.87987548974</v>
      </c>
      <c r="H1091" s="120" t="s">
        <v>251</v>
      </c>
      <c r="I1091" s="120">
        <v>53345.429540695593</v>
      </c>
      <c r="J1091" s="120">
        <v>5.6905838147454677</v>
      </c>
      <c r="K1091" s="120" t="s">
        <v>251</v>
      </c>
      <c r="L1091" s="120" t="s">
        <v>251</v>
      </c>
      <c r="M1091" s="120">
        <v>5.6905838147454677</v>
      </c>
      <c r="N1091" s="120" t="s">
        <v>251</v>
      </c>
      <c r="O1091" s="120">
        <v>0</v>
      </c>
      <c r="P1091" s="120">
        <v>0</v>
      </c>
      <c r="Q1091" s="120">
        <v>0</v>
      </c>
      <c r="R1091" s="120"/>
    </row>
    <row r="1092" spans="1:18" ht="15">
      <c r="A1092" s="105">
        <v>39</v>
      </c>
      <c r="B1092" s="105"/>
      <c r="C1092" s="107" t="s">
        <v>1108</v>
      </c>
      <c r="D1092" s="107" t="s">
        <v>697</v>
      </c>
      <c r="E1092" s="120">
        <v>1701224.9999999998</v>
      </c>
      <c r="F1092" s="120" t="s">
        <v>251</v>
      </c>
      <c r="G1092" s="120">
        <v>1679581.996757844</v>
      </c>
      <c r="H1092" s="120" t="s">
        <v>251</v>
      </c>
      <c r="I1092" s="120">
        <v>21640.694737223512</v>
      </c>
      <c r="J1092" s="120">
        <v>2.3085049323212505</v>
      </c>
      <c r="K1092" s="120" t="s">
        <v>251</v>
      </c>
      <c r="L1092" s="120" t="s">
        <v>251</v>
      </c>
      <c r="M1092" s="120">
        <v>2.3085049323212505</v>
      </c>
      <c r="N1092" s="120" t="s">
        <v>251</v>
      </c>
      <c r="O1092" s="120">
        <v>0</v>
      </c>
      <c r="P1092" s="120">
        <v>0</v>
      </c>
      <c r="Q1092" s="120">
        <v>0</v>
      </c>
      <c r="R1092" s="120"/>
    </row>
    <row r="1093" spans="1:18" ht="15">
      <c r="A1093" s="105">
        <v>40</v>
      </c>
      <c r="B1093" s="105"/>
      <c r="C1093" s="107" t="s">
        <v>1109</v>
      </c>
      <c r="D1093" s="107" t="s">
        <v>1110</v>
      </c>
      <c r="E1093" s="120">
        <v>115982377.99999996</v>
      </c>
      <c r="F1093" s="120" t="s">
        <v>251</v>
      </c>
      <c r="G1093" s="120">
        <v>109041366.86803594</v>
      </c>
      <c r="H1093" s="120" t="s">
        <v>251</v>
      </c>
      <c r="I1093" s="120">
        <v>5523628.1826943588</v>
      </c>
      <c r="J1093" s="120">
        <v>1417382.9492696577</v>
      </c>
      <c r="K1093" s="120" t="s">
        <v>251</v>
      </c>
      <c r="L1093" s="120" t="s">
        <v>251</v>
      </c>
      <c r="M1093" s="120">
        <v>7914.6810788677112</v>
      </c>
      <c r="N1093" s="120" t="s">
        <v>251</v>
      </c>
      <c r="O1093" s="120">
        <v>1409468.26819079</v>
      </c>
      <c r="P1093" s="120">
        <v>734394.33471722191</v>
      </c>
      <c r="Q1093" s="120">
        <v>675073.93347356818</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3709646.9999999898</v>
      </c>
      <c r="F1097" s="120" t="s">
        <v>251</v>
      </c>
      <c r="G1097" s="120">
        <v>3495772.3780923299</v>
      </c>
      <c r="H1097" s="120" t="s">
        <v>251</v>
      </c>
      <c r="I1097" s="120">
        <v>170711.59924071259</v>
      </c>
      <c r="J1097" s="120">
        <v>43163.022666947079</v>
      </c>
      <c r="K1097" s="120" t="s">
        <v>251</v>
      </c>
      <c r="L1097" s="120" t="s">
        <v>251</v>
      </c>
      <c r="M1097" s="120">
        <v>249.25797590426416</v>
      </c>
      <c r="N1097" s="120" t="s">
        <v>251</v>
      </c>
      <c r="O1097" s="120">
        <v>42913.764691042816</v>
      </c>
      <c r="P1097" s="120">
        <v>22368.106637309938</v>
      </c>
      <c r="Q1097" s="120">
        <v>20545.658053732874</v>
      </c>
      <c r="R1097" s="120"/>
    </row>
    <row r="1098" spans="1:18" ht="15">
      <c r="A1098" s="105">
        <v>2</v>
      </c>
      <c r="B1098" s="105"/>
      <c r="C1098" s="107" t="s">
        <v>1113</v>
      </c>
      <c r="D1098" s="107" t="s">
        <v>1114</v>
      </c>
      <c r="E1098" s="120">
        <v>12381934.999999989</v>
      </c>
      <c r="F1098" s="120" t="s">
        <v>251</v>
      </c>
      <c r="G1098" s="120">
        <v>12264475.094738947</v>
      </c>
      <c r="H1098" s="120" t="s">
        <v>251</v>
      </c>
      <c r="I1098" s="120">
        <v>117447.37664994238</v>
      </c>
      <c r="J1098" s="120">
        <v>12.528611099449819</v>
      </c>
      <c r="K1098" s="120" t="s">
        <v>251</v>
      </c>
      <c r="L1098" s="120" t="s">
        <v>251</v>
      </c>
      <c r="M1098" s="120">
        <v>12.528611099449819</v>
      </c>
      <c r="N1098" s="120" t="s">
        <v>251</v>
      </c>
      <c r="O1098" s="120">
        <v>0</v>
      </c>
      <c r="P1098" s="120">
        <v>0</v>
      </c>
      <c r="Q1098" s="120">
        <v>0</v>
      </c>
      <c r="R1098" s="120"/>
    </row>
    <row r="1099" spans="1:18" ht="15">
      <c r="A1099" s="105">
        <v>3</v>
      </c>
      <c r="B1099" s="105"/>
      <c r="C1099" s="107" t="s">
        <v>1115</v>
      </c>
      <c r="D1099" s="107" t="s">
        <v>525</v>
      </c>
      <c r="E1099" s="120">
        <v>1934886790.0338449</v>
      </c>
      <c r="F1099" s="120" t="s">
        <v>251</v>
      </c>
      <c r="G1099" s="120">
        <v>1930555243.6338449</v>
      </c>
      <c r="H1099" s="120" t="s">
        <v>251</v>
      </c>
      <c r="I1099" s="120">
        <v>0</v>
      </c>
      <c r="J1099" s="120">
        <v>4331546.3999999994</v>
      </c>
      <c r="K1099" s="120" t="s">
        <v>251</v>
      </c>
      <c r="L1099" s="120" t="s">
        <v>251</v>
      </c>
      <c r="M1099" s="120">
        <v>666586.39999999979</v>
      </c>
      <c r="N1099" s="120" t="s">
        <v>251</v>
      </c>
      <c r="O1099" s="120">
        <v>3664960</v>
      </c>
      <c r="P1099" s="120">
        <v>3638108</v>
      </c>
      <c r="Q1099" s="120">
        <v>26852</v>
      </c>
      <c r="R1099" s="120"/>
    </row>
    <row r="1100" spans="1:18" ht="15">
      <c r="A1100" s="105">
        <v>4</v>
      </c>
      <c r="B1100" s="105"/>
      <c r="C1100" s="107" t="s">
        <v>1116</v>
      </c>
      <c r="D1100" s="107" t="s">
        <v>429</v>
      </c>
      <c r="E1100" s="120">
        <v>87186421.497237533</v>
      </c>
      <c r="F1100" s="120" t="s">
        <v>251</v>
      </c>
      <c r="G1100" s="120">
        <v>87186421.497237533</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4413697.0357205123</v>
      </c>
      <c r="F1101" s="120" t="s">
        <v>251</v>
      </c>
      <c r="G1101" s="120">
        <v>0</v>
      </c>
      <c r="H1101" s="120" t="s">
        <v>251</v>
      </c>
      <c r="I1101" s="120">
        <v>4413697.0357205123</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1344699.5186879744</v>
      </c>
      <c r="F1103" s="120" t="s">
        <v>251</v>
      </c>
      <c r="G1103" s="120">
        <v>0</v>
      </c>
      <c r="H1103" s="120" t="s">
        <v>251</v>
      </c>
      <c r="I1103" s="120">
        <v>0</v>
      </c>
      <c r="J1103" s="120">
        <v>1344699.5186879744</v>
      </c>
      <c r="K1103" s="120" t="s">
        <v>251</v>
      </c>
      <c r="L1103" s="120" t="s">
        <v>251</v>
      </c>
      <c r="M1103" s="120">
        <v>0</v>
      </c>
      <c r="N1103" s="120" t="s">
        <v>251</v>
      </c>
      <c r="O1103" s="120">
        <v>1344699.5186879744</v>
      </c>
      <c r="P1103" s="120">
        <v>701531.71307280974</v>
      </c>
      <c r="Q1103" s="120">
        <v>643167.80561516469</v>
      </c>
      <c r="R1103" s="120"/>
    </row>
    <row r="1104" spans="1:18" ht="15">
      <c r="A1104" s="105">
        <v>8</v>
      </c>
      <c r="B1104" s="105"/>
      <c r="C1104" s="107" t="s">
        <v>1123</v>
      </c>
      <c r="D1104" s="107" t="s">
        <v>1124</v>
      </c>
      <c r="E1104" s="120">
        <v>-1535640</v>
      </c>
      <c r="F1104" s="120" t="s">
        <v>251</v>
      </c>
      <c r="G1104" s="120">
        <v>-1512126</v>
      </c>
      <c r="H1104" s="120" t="s">
        <v>251</v>
      </c>
      <c r="I1104" s="120">
        <v>0</v>
      </c>
      <c r="J1104" s="120">
        <v>-23514</v>
      </c>
      <c r="K1104" s="120" t="s">
        <v>251</v>
      </c>
      <c r="L1104" s="120" t="s">
        <v>251</v>
      </c>
      <c r="M1104" s="120">
        <v>-114</v>
      </c>
      <c r="N1104" s="120" t="s">
        <v>251</v>
      </c>
      <c r="O1104" s="120">
        <v>-23400</v>
      </c>
      <c r="P1104" s="120">
        <v>-12162</v>
      </c>
      <c r="Q1104" s="120">
        <v>-11238</v>
      </c>
      <c r="R1104" s="120"/>
    </row>
    <row r="1105" spans="1:18" ht="15">
      <c r="A1105" s="105">
        <v>9</v>
      </c>
      <c r="B1105" s="105"/>
      <c r="C1105" s="107" t="s">
        <v>1125</v>
      </c>
      <c r="D1105" s="107" t="s">
        <v>728</v>
      </c>
      <c r="E1105" s="120">
        <v>176737291.03986996</v>
      </c>
      <c r="F1105" s="120" t="s">
        <v>251</v>
      </c>
      <c r="G1105" s="120">
        <v>168260109.9768514</v>
      </c>
      <c r="H1105" s="120" t="s">
        <v>251</v>
      </c>
      <c r="I1105" s="120">
        <v>8464821.4795001671</v>
      </c>
      <c r="J1105" s="120">
        <v>12359.583518376177</v>
      </c>
      <c r="K1105" s="120" t="s">
        <v>251</v>
      </c>
      <c r="L1105" s="120" t="s">
        <v>251</v>
      </c>
      <c r="M1105" s="120">
        <v>12359.583518376177</v>
      </c>
      <c r="N1105" s="120" t="s">
        <v>251</v>
      </c>
      <c r="O1105" s="120">
        <v>0</v>
      </c>
      <c r="P1105" s="120">
        <v>0</v>
      </c>
      <c r="Q1105" s="120">
        <v>0</v>
      </c>
      <c r="R1105" s="120"/>
    </row>
    <row r="1106" spans="1:18" ht="15">
      <c r="A1106" s="105">
        <v>10</v>
      </c>
      <c r="B1106" s="105"/>
      <c r="C1106" s="107" t="s">
        <v>1126</v>
      </c>
      <c r="D1106" s="107" t="s">
        <v>457</v>
      </c>
      <c r="E1106" s="120">
        <v>1073168343.9856665</v>
      </c>
      <c r="F1106" s="120" t="s">
        <v>251</v>
      </c>
      <c r="G1106" s="120">
        <v>1025412885.8886671</v>
      </c>
      <c r="H1106" s="120" t="s">
        <v>251</v>
      </c>
      <c r="I1106" s="120">
        <v>47752174.953126453</v>
      </c>
      <c r="J1106" s="120">
        <v>3283.1438729639744</v>
      </c>
      <c r="K1106" s="120" t="s">
        <v>251</v>
      </c>
      <c r="L1106" s="120" t="s">
        <v>251</v>
      </c>
      <c r="M1106" s="120">
        <v>3283.1438729639744</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665768165.764902</v>
      </c>
      <c r="F1130" s="120" t="s">
        <v>251</v>
      </c>
      <c r="G1130" s="120">
        <v>627603230.20824051</v>
      </c>
      <c r="H1130" s="120" t="s">
        <v>251</v>
      </c>
      <c r="I1130" s="120">
        <v>38164935.556661539</v>
      </c>
      <c r="J1130" s="120">
        <v>0</v>
      </c>
      <c r="K1130" s="120" t="s">
        <v>251</v>
      </c>
      <c r="L1130" s="120" t="s">
        <v>251</v>
      </c>
      <c r="M1130" s="120">
        <v>0</v>
      </c>
      <c r="N1130" s="120" t="s">
        <v>251</v>
      </c>
      <c r="O1130" s="120">
        <v>0</v>
      </c>
      <c r="P1130" s="120">
        <v>0</v>
      </c>
      <c r="Q1130" s="120">
        <v>0</v>
      </c>
      <c r="R1130" s="120"/>
    </row>
    <row r="1131" spans="1:18" ht="15">
      <c r="A1131" s="105">
        <v>2</v>
      </c>
      <c r="B1131" s="105"/>
      <c r="C1131" s="107" t="s">
        <v>1129</v>
      </c>
      <c r="D1131" s="107" t="s">
        <v>251</v>
      </c>
      <c r="E1131" s="120">
        <v>416936627.96246159</v>
      </c>
      <c r="F1131" s="120" t="s">
        <v>251</v>
      </c>
      <c r="G1131" s="120">
        <v>399075052.97871023</v>
      </c>
      <c r="H1131" s="120" t="s">
        <v>251</v>
      </c>
      <c r="I1131" s="120">
        <v>17861574.983751338</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432582971.44939744</v>
      </c>
      <c r="F1133" s="120" t="s">
        <v>251</v>
      </c>
      <c r="G1133" s="120">
        <v>424459179.00703847</v>
      </c>
      <c r="H1133" s="120" t="s">
        <v>251</v>
      </c>
      <c r="I1133" s="120">
        <v>8123792.442358966</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13596477.613393851</v>
      </c>
      <c r="F1135" s="120" t="s">
        <v>251</v>
      </c>
      <c r="G1135" s="120">
        <v>13142281.488382259</v>
      </c>
      <c r="H1135" s="120" t="s">
        <v>251</v>
      </c>
      <c r="I1135" s="120">
        <v>454196.12501159054</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130931034.2104449</v>
      </c>
      <c r="F1136" s="120" t="s">
        <v>251</v>
      </c>
      <c r="G1136" s="120">
        <v>124368330.20485443</v>
      </c>
      <c r="H1136" s="120" t="s">
        <v>251</v>
      </c>
      <c r="I1136" s="120">
        <v>6562704.0055904742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24857217.745995708</v>
      </c>
      <c r="F1138" s="120" t="s">
        <v>251</v>
      </c>
      <c r="G1138" s="120">
        <v>0</v>
      </c>
      <c r="H1138" s="120" t="s">
        <v>251</v>
      </c>
      <c r="I1138" s="120">
        <v>0</v>
      </c>
      <c r="J1138" s="120">
        <v>24857217.745995708</v>
      </c>
      <c r="K1138" s="120" t="s">
        <v>251</v>
      </c>
      <c r="L1138" s="120" t="s">
        <v>251</v>
      </c>
      <c r="M1138" s="120">
        <v>0</v>
      </c>
      <c r="N1138" s="120" t="s">
        <v>251</v>
      </c>
      <c r="O1138" s="120">
        <v>24857217.745995708</v>
      </c>
      <c r="P1138" s="120">
        <v>12585764.562653359</v>
      </c>
      <c r="Q1138" s="120">
        <v>12271453.183342351</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20" t="s">
        <v>251</v>
      </c>
      <c r="F1141" s="120" t="s">
        <v>251</v>
      </c>
      <c r="G1141" s="120" t="s">
        <v>251</v>
      </c>
      <c r="H1141" s="120" t="s">
        <v>251</v>
      </c>
      <c r="I1141" s="120" t="s">
        <v>251</v>
      </c>
      <c r="J1141" s="120" t="s">
        <v>251</v>
      </c>
      <c r="K1141" s="120" t="s">
        <v>251</v>
      </c>
      <c r="L1141" s="120" t="s">
        <v>251</v>
      </c>
      <c r="M1141" s="120" t="s">
        <v>251</v>
      </c>
      <c r="N1141" s="120" t="s">
        <v>251</v>
      </c>
      <c r="O1141" s="120" t="s">
        <v>251</v>
      </c>
      <c r="P1141" s="120" t="s">
        <v>251</v>
      </c>
      <c r="Q1141" s="120" t="s">
        <v>251</v>
      </c>
      <c r="R1141" s="107"/>
    </row>
    <row r="1142" spans="1:18" ht="15">
      <c r="A1142" s="105">
        <v>13</v>
      </c>
      <c r="B1142" s="105"/>
      <c r="C1142" s="107" t="s">
        <v>251</v>
      </c>
      <c r="D1142" s="107" t="s">
        <v>251</v>
      </c>
      <c r="E1142" s="120" t="s">
        <v>251</v>
      </c>
      <c r="F1142" s="120" t="s">
        <v>251</v>
      </c>
      <c r="G1142" s="120" t="s">
        <v>251</v>
      </c>
      <c r="H1142" s="120" t="s">
        <v>251</v>
      </c>
      <c r="I1142" s="120" t="s">
        <v>251</v>
      </c>
      <c r="J1142" s="120" t="s">
        <v>251</v>
      </c>
      <c r="K1142" s="120" t="s">
        <v>251</v>
      </c>
      <c r="L1142" s="120" t="s">
        <v>251</v>
      </c>
      <c r="M1142" s="120" t="s">
        <v>251</v>
      </c>
      <c r="N1142" s="120" t="s">
        <v>251</v>
      </c>
      <c r="O1142" s="120" t="s">
        <v>251</v>
      </c>
      <c r="P1142" s="120" t="s">
        <v>251</v>
      </c>
      <c r="Q1142" s="120" t="s">
        <v>251</v>
      </c>
      <c r="R1142" s="124"/>
    </row>
    <row r="1143" spans="1:18" ht="15">
      <c r="A1143" s="105" t="s">
        <v>251</v>
      </c>
      <c r="B1143" s="105"/>
      <c r="C1143" s="107" t="s">
        <v>251</v>
      </c>
      <c r="D1143" s="107" t="s">
        <v>251</v>
      </c>
      <c r="E1143" s="120" t="s">
        <v>251</v>
      </c>
      <c r="F1143" s="120" t="s">
        <v>251</v>
      </c>
      <c r="G1143" s="120" t="s">
        <v>251</v>
      </c>
      <c r="H1143" s="120" t="s">
        <v>251</v>
      </c>
      <c r="I1143" s="120" t="s">
        <v>251</v>
      </c>
      <c r="J1143" s="120" t="s">
        <v>251</v>
      </c>
      <c r="K1143" s="120" t="s">
        <v>251</v>
      </c>
      <c r="L1143" s="120" t="s">
        <v>251</v>
      </c>
      <c r="M1143" s="120" t="s">
        <v>251</v>
      </c>
      <c r="N1143" s="120" t="s">
        <v>251</v>
      </c>
      <c r="O1143" s="120" t="s">
        <v>251</v>
      </c>
      <c r="P1143" s="120" t="s">
        <v>251</v>
      </c>
      <c r="Q1143" s="120" t="s">
        <v>251</v>
      </c>
      <c r="R1143" s="124"/>
    </row>
    <row r="1144" spans="1:18" ht="15">
      <c r="A1144" s="105" t="s">
        <v>251</v>
      </c>
      <c r="B1144" s="105"/>
      <c r="C1144" s="107" t="s">
        <v>251</v>
      </c>
      <c r="D1144" s="107" t="s">
        <v>251</v>
      </c>
      <c r="E1144" s="120" t="s">
        <v>251</v>
      </c>
      <c r="F1144" s="120" t="s">
        <v>251</v>
      </c>
      <c r="G1144" s="120" t="s">
        <v>251</v>
      </c>
      <c r="H1144" s="120" t="s">
        <v>251</v>
      </c>
      <c r="I1144" s="120" t="s">
        <v>251</v>
      </c>
      <c r="J1144" s="120" t="s">
        <v>251</v>
      </c>
      <c r="K1144" s="120" t="s">
        <v>251</v>
      </c>
      <c r="L1144" s="120" t="s">
        <v>251</v>
      </c>
      <c r="M1144" s="120" t="s">
        <v>251</v>
      </c>
      <c r="N1144" s="120" t="s">
        <v>251</v>
      </c>
      <c r="O1144" s="120" t="s">
        <v>251</v>
      </c>
      <c r="P1144" s="120" t="s">
        <v>251</v>
      </c>
      <c r="Q1144" s="120" t="s">
        <v>251</v>
      </c>
      <c r="R1144" s="124"/>
    </row>
    <row r="1145" spans="1:18" ht="15">
      <c r="A1145" s="105" t="s">
        <v>251</v>
      </c>
      <c r="B1145" s="105"/>
      <c r="C1145" s="107" t="s">
        <v>251</v>
      </c>
      <c r="D1145" s="107" t="s">
        <v>251</v>
      </c>
      <c r="E1145" s="107" t="s">
        <v>251</v>
      </c>
      <c r="F1145" s="107" t="s">
        <v>251</v>
      </c>
      <c r="G1145" s="107" t="s">
        <v>251</v>
      </c>
      <c r="H1145" s="107" t="s">
        <v>251</v>
      </c>
      <c r="I1145" s="107" t="s">
        <v>251</v>
      </c>
      <c r="J1145" s="107" t="s">
        <v>251</v>
      </c>
      <c r="K1145" s="107" t="s">
        <v>251</v>
      </c>
      <c r="L1145" s="107" t="s">
        <v>251</v>
      </c>
      <c r="M1145" s="107" t="s">
        <v>251</v>
      </c>
      <c r="N1145" s="107" t="s">
        <v>251</v>
      </c>
      <c r="O1145" s="107" t="s">
        <v>251</v>
      </c>
      <c r="P1145" s="107" t="s">
        <v>251</v>
      </c>
      <c r="Q1145" s="107" t="s">
        <v>251</v>
      </c>
      <c r="R1145" s="124"/>
    </row>
    <row r="1146" spans="1:18" ht="15">
      <c r="A1146" s="105" t="s">
        <v>251</v>
      </c>
      <c r="B1146" s="105"/>
      <c r="C1146" s="107" t="s">
        <v>251</v>
      </c>
      <c r="D1146" s="107" t="s">
        <v>251</v>
      </c>
      <c r="E1146" s="107" t="s">
        <v>251</v>
      </c>
      <c r="F1146" s="107" t="s">
        <v>251</v>
      </c>
      <c r="G1146" s="107" t="s">
        <v>251</v>
      </c>
      <c r="H1146" s="107" t="s">
        <v>251</v>
      </c>
      <c r="I1146" s="107" t="s">
        <v>251</v>
      </c>
      <c r="J1146" s="107" t="s">
        <v>251</v>
      </c>
      <c r="K1146" s="107" t="s">
        <v>251</v>
      </c>
      <c r="L1146" s="107" t="s">
        <v>251</v>
      </c>
      <c r="M1146" s="107" t="s">
        <v>251</v>
      </c>
      <c r="N1146" s="107" t="s">
        <v>251</v>
      </c>
      <c r="O1146" s="107" t="s">
        <v>251</v>
      </c>
      <c r="P1146" s="107" t="s">
        <v>251</v>
      </c>
      <c r="Q1146" s="107" t="s">
        <v>251</v>
      </c>
      <c r="R1146" s="124"/>
    </row>
    <row r="1147" spans="1:18" ht="15">
      <c r="A1147" s="105" t="s">
        <v>251</v>
      </c>
      <c r="B1147" s="105"/>
      <c r="C1147" s="107" t="s">
        <v>251</v>
      </c>
      <c r="D1147" s="107" t="s">
        <v>251</v>
      </c>
      <c r="E1147" s="107" t="s">
        <v>251</v>
      </c>
      <c r="F1147" s="107" t="s">
        <v>251</v>
      </c>
      <c r="G1147" s="107" t="s">
        <v>251</v>
      </c>
      <c r="H1147" s="107" t="s">
        <v>251</v>
      </c>
      <c r="I1147" s="107" t="s">
        <v>251</v>
      </c>
      <c r="J1147" s="107" t="s">
        <v>251</v>
      </c>
      <c r="K1147" s="107" t="s">
        <v>251</v>
      </c>
      <c r="L1147" s="107" t="s">
        <v>251</v>
      </c>
      <c r="M1147" s="107" t="s">
        <v>251</v>
      </c>
      <c r="N1147" s="107" t="s">
        <v>251</v>
      </c>
      <c r="O1147" s="107" t="s">
        <v>251</v>
      </c>
      <c r="P1147" s="107" t="s">
        <v>251</v>
      </c>
      <c r="Q1147" s="107" t="s">
        <v>251</v>
      </c>
      <c r="R1147" s="124"/>
    </row>
    <row r="1148" spans="1:18" ht="15">
      <c r="A1148" s="105" t="s">
        <v>251</v>
      </c>
      <c r="B1148" s="105"/>
      <c r="C1148" s="107" t="s">
        <v>1139</v>
      </c>
      <c r="D1148" s="107" t="s">
        <v>251</v>
      </c>
      <c r="E1148" s="107" t="s">
        <v>251</v>
      </c>
      <c r="F1148" s="107" t="s">
        <v>251</v>
      </c>
      <c r="G1148" s="107" t="s">
        <v>251</v>
      </c>
      <c r="H1148" s="107" t="s">
        <v>251</v>
      </c>
      <c r="I1148" s="107" t="s">
        <v>251</v>
      </c>
      <c r="J1148" s="107" t="s">
        <v>251</v>
      </c>
      <c r="K1148" s="107" t="s">
        <v>251</v>
      </c>
      <c r="L1148" s="107" t="s">
        <v>251</v>
      </c>
      <c r="M1148" s="107" t="s">
        <v>251</v>
      </c>
      <c r="N1148" s="107" t="s">
        <v>251</v>
      </c>
      <c r="O1148" s="107" t="s">
        <v>251</v>
      </c>
      <c r="P1148" s="107" t="s">
        <v>251</v>
      </c>
      <c r="Q1148" s="107" t="s">
        <v>251</v>
      </c>
      <c r="R1148" s="124"/>
    </row>
    <row r="1149" spans="1:18" ht="15">
      <c r="A1149" s="105" t="s">
        <v>251</v>
      </c>
      <c r="B1149" s="105"/>
      <c r="C1149" s="107" t="s">
        <v>251</v>
      </c>
      <c r="D1149" s="107" t="s">
        <v>251</v>
      </c>
      <c r="E1149" s="107" t="s">
        <v>251</v>
      </c>
      <c r="F1149" s="107" t="s">
        <v>251</v>
      </c>
      <c r="G1149" s="107" t="s">
        <v>251</v>
      </c>
      <c r="H1149" s="107" t="s">
        <v>251</v>
      </c>
      <c r="I1149" s="107" t="s">
        <v>251</v>
      </c>
      <c r="J1149" s="107" t="s">
        <v>251</v>
      </c>
      <c r="K1149" s="107" t="s">
        <v>251</v>
      </c>
      <c r="L1149" s="107" t="s">
        <v>251</v>
      </c>
      <c r="M1149" s="107" t="s">
        <v>251</v>
      </c>
      <c r="N1149" s="107" t="s">
        <v>251</v>
      </c>
      <c r="O1149" s="107" t="s">
        <v>251</v>
      </c>
      <c r="P1149" s="107" t="s">
        <v>251</v>
      </c>
      <c r="Q1149" s="107" t="s">
        <v>251</v>
      </c>
      <c r="R1149" s="124"/>
    </row>
    <row r="1150" spans="1:18" ht="15">
      <c r="A1150" s="105" t="s">
        <v>251</v>
      </c>
      <c r="B1150" s="105"/>
      <c r="C1150" s="107" t="s">
        <v>1140</v>
      </c>
      <c r="D1150" s="107" t="s">
        <v>251</v>
      </c>
      <c r="E1150" s="107" t="s">
        <v>251</v>
      </c>
      <c r="F1150" s="107" t="s">
        <v>251</v>
      </c>
      <c r="G1150" s="107" t="s">
        <v>251</v>
      </c>
      <c r="H1150" s="107" t="s">
        <v>251</v>
      </c>
      <c r="I1150" s="107" t="s">
        <v>251</v>
      </c>
      <c r="J1150" s="107" t="s">
        <v>251</v>
      </c>
      <c r="K1150" s="107" t="s">
        <v>251</v>
      </c>
      <c r="L1150" s="107" t="s">
        <v>251</v>
      </c>
      <c r="M1150" s="107" t="s">
        <v>251</v>
      </c>
      <c r="N1150" s="107" t="s">
        <v>251</v>
      </c>
      <c r="O1150" s="107" t="s">
        <v>251</v>
      </c>
      <c r="P1150" s="107" t="s">
        <v>251</v>
      </c>
      <c r="Q1150" s="107" t="s">
        <v>251</v>
      </c>
      <c r="R1150" s="124"/>
    </row>
    <row r="1151" spans="1:18" ht="15">
      <c r="A1151" s="105" t="s">
        <v>251</v>
      </c>
      <c r="B1151" s="105"/>
      <c r="C1151" s="107" t="s">
        <v>920</v>
      </c>
      <c r="D1151" s="107" t="s">
        <v>251</v>
      </c>
      <c r="E1151" s="107" t="s">
        <v>251</v>
      </c>
      <c r="F1151" s="107" t="s">
        <v>251</v>
      </c>
      <c r="G1151" s="107" t="s">
        <v>251</v>
      </c>
      <c r="H1151" s="107" t="s">
        <v>251</v>
      </c>
      <c r="I1151" s="107" t="s">
        <v>251</v>
      </c>
      <c r="J1151" s="107" t="s">
        <v>251</v>
      </c>
      <c r="K1151" s="107" t="s">
        <v>251</v>
      </c>
      <c r="L1151" s="107" t="s">
        <v>251</v>
      </c>
      <c r="M1151" s="107" t="s">
        <v>251</v>
      </c>
      <c r="N1151" s="107" t="s">
        <v>251</v>
      </c>
      <c r="O1151" s="107" t="s">
        <v>251</v>
      </c>
      <c r="P1151" s="107" t="s">
        <v>251</v>
      </c>
      <c r="Q1151" s="107" t="s">
        <v>251</v>
      </c>
      <c r="R1151" s="124"/>
    </row>
    <row r="1152" spans="1:18" ht="15">
      <c r="A1152" s="105" t="s">
        <v>251</v>
      </c>
      <c r="B1152" s="105"/>
      <c r="C1152" s="107" t="s">
        <v>921</v>
      </c>
      <c r="D1152" s="107" t="s">
        <v>251</v>
      </c>
      <c r="E1152" s="107" t="s">
        <v>251</v>
      </c>
      <c r="F1152" s="107" t="s">
        <v>251</v>
      </c>
      <c r="G1152" s="107" t="s">
        <v>251</v>
      </c>
      <c r="H1152" s="107" t="s">
        <v>251</v>
      </c>
      <c r="I1152" s="107" t="s">
        <v>251</v>
      </c>
      <c r="J1152" s="107" t="s">
        <v>251</v>
      </c>
      <c r="K1152" s="107" t="s">
        <v>251</v>
      </c>
      <c r="L1152" s="107" t="s">
        <v>251</v>
      </c>
      <c r="M1152" s="107" t="s">
        <v>251</v>
      </c>
      <c r="N1152" s="107" t="s">
        <v>251</v>
      </c>
      <c r="O1152" s="107" t="s">
        <v>251</v>
      </c>
      <c r="P1152" s="107" t="s">
        <v>251</v>
      </c>
      <c r="Q1152" s="107" t="s">
        <v>251</v>
      </c>
      <c r="R1152" s="124"/>
    </row>
    <row r="1153" spans="1:18" ht="15">
      <c r="A1153" s="105">
        <v>1</v>
      </c>
      <c r="B1153" s="105"/>
      <c r="C1153" s="107" t="s">
        <v>922</v>
      </c>
      <c r="D1153" s="107" t="s">
        <v>304</v>
      </c>
      <c r="E1153" s="124">
        <v>1</v>
      </c>
      <c r="F1153" s="124" t="s">
        <v>251</v>
      </c>
      <c r="G1153" s="124">
        <v>0.93741603079505242</v>
      </c>
      <c r="H1153" s="124" t="s">
        <v>251</v>
      </c>
      <c r="I1153" s="124">
        <v>4.2925433691070353E-2</v>
      </c>
      <c r="J1153" s="124">
        <v>1.9658535513877244E-2</v>
      </c>
      <c r="K1153" s="124" t="s">
        <v>251</v>
      </c>
      <c r="L1153" s="124" t="s">
        <v>251</v>
      </c>
      <c r="M1153" s="124">
        <v>3.0089748693427888E-6</v>
      </c>
      <c r="N1153" s="124" t="s">
        <v>251</v>
      </c>
      <c r="O1153" s="124">
        <v>1.96555265390079E-2</v>
      </c>
      <c r="P1153" s="124">
        <v>9.9687337421326596E-3</v>
      </c>
      <c r="Q1153" s="124">
        <v>9.686792796875239E-3</v>
      </c>
      <c r="R1153" s="124"/>
    </row>
    <row r="1154" spans="1:18" ht="15">
      <c r="A1154" s="105">
        <v>2</v>
      </c>
      <c r="B1154" s="105"/>
      <c r="C1154" s="107" t="s">
        <v>923</v>
      </c>
      <c r="D1154" s="107" t="s">
        <v>312</v>
      </c>
      <c r="E1154" s="124">
        <v>1</v>
      </c>
      <c r="F1154" s="124" t="s">
        <v>251</v>
      </c>
      <c r="G1154" s="124">
        <v>0.5251575342465753</v>
      </c>
      <c r="H1154" s="124" t="s">
        <v>251</v>
      </c>
      <c r="I1154" s="124">
        <v>0.32570319634703199</v>
      </c>
      <c r="J1154" s="124">
        <v>0.14913926940639269</v>
      </c>
      <c r="K1154" s="124" t="s">
        <v>251</v>
      </c>
      <c r="L1154" s="124" t="s">
        <v>251</v>
      </c>
      <c r="M1154" s="124">
        <v>0</v>
      </c>
      <c r="N1154" s="124" t="s">
        <v>251</v>
      </c>
      <c r="O1154" s="124">
        <v>0.14913926940639269</v>
      </c>
      <c r="P1154" s="124">
        <v>7.5639269406392692E-2</v>
      </c>
      <c r="Q1154" s="124">
        <v>7.3499999999999996E-2</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0.97946284539709993</v>
      </c>
      <c r="H1156" s="124" t="s">
        <v>251</v>
      </c>
      <c r="I1156" s="124">
        <v>0</v>
      </c>
      <c r="J1156" s="124">
        <v>2.053715460290003E-2</v>
      </c>
      <c r="K1156" s="124" t="s">
        <v>251</v>
      </c>
      <c r="L1156" s="124" t="s">
        <v>251</v>
      </c>
      <c r="M1156" s="124">
        <v>0</v>
      </c>
      <c r="N1156" s="124" t="s">
        <v>251</v>
      </c>
      <c r="O1156" s="124">
        <v>2.053715460290003E-2</v>
      </c>
      <c r="P1156" s="124">
        <v>1.0415870857034706E-2</v>
      </c>
      <c r="Q1156" s="124">
        <v>1.0121283745865326E-2</v>
      </c>
      <c r="R1156" s="124"/>
    </row>
    <row r="1157" spans="1:18" ht="15">
      <c r="A1157" s="105">
        <v>5</v>
      </c>
      <c r="B1157" s="105"/>
      <c r="C1157" s="107" t="s">
        <v>926</v>
      </c>
      <c r="D1157" s="107" t="s">
        <v>314</v>
      </c>
      <c r="E1157" s="124">
        <v>1</v>
      </c>
      <c r="F1157" s="124" t="s">
        <v>251</v>
      </c>
      <c r="G1157" s="124">
        <v>0.7788225176236363</v>
      </c>
      <c r="H1157" s="124" t="s">
        <v>251</v>
      </c>
      <c r="I1157" s="124">
        <v>0</v>
      </c>
      <c r="J1157" s="124">
        <v>0.2211774823763637</v>
      </c>
      <c r="K1157" s="124" t="s">
        <v>251</v>
      </c>
      <c r="L1157" s="124" t="s">
        <v>251</v>
      </c>
      <c r="M1157" s="124">
        <v>0</v>
      </c>
      <c r="N1157" s="124" t="s">
        <v>251</v>
      </c>
      <c r="O1157" s="124">
        <v>0.2211774823763637</v>
      </c>
      <c r="P1157" s="124">
        <v>0.11217503775284247</v>
      </c>
      <c r="Q1157" s="124">
        <v>0.10900244462352121</v>
      </c>
      <c r="R1157" s="124"/>
    </row>
    <row r="1158" spans="1:18" ht="15">
      <c r="A1158" s="105">
        <v>6</v>
      </c>
      <c r="B1158" s="105"/>
      <c r="C1158" s="107" t="s">
        <v>927</v>
      </c>
      <c r="D1158" s="107" t="s">
        <v>928</v>
      </c>
      <c r="E1158" s="124">
        <v>1</v>
      </c>
      <c r="F1158" s="124" t="s">
        <v>251</v>
      </c>
      <c r="G1158" s="124">
        <v>0.97945976603506169</v>
      </c>
      <c r="H1158" s="124" t="s">
        <v>251</v>
      </c>
      <c r="I1158" s="124">
        <v>0</v>
      </c>
      <c r="J1158" s="124">
        <v>2.054023396493827E-2</v>
      </c>
      <c r="K1158" s="124" t="s">
        <v>251</v>
      </c>
      <c r="L1158" s="124" t="s">
        <v>251</v>
      </c>
      <c r="M1158" s="124">
        <v>3.1439294024364822E-6</v>
      </c>
      <c r="N1158" s="124" t="s">
        <v>251</v>
      </c>
      <c r="O1158" s="124">
        <v>2.0537090035535832E-2</v>
      </c>
      <c r="P1158" s="124">
        <v>1.0415838110272066E-2</v>
      </c>
      <c r="Q1158" s="124">
        <v>1.0121251925263768E-2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0.93741603079505242</v>
      </c>
      <c r="H1160" s="124" t="s">
        <v>251</v>
      </c>
      <c r="I1160" s="124">
        <v>4.2925433691070353E-2</v>
      </c>
      <c r="J1160" s="124">
        <v>1.9658535513877244E-2</v>
      </c>
      <c r="K1160" s="124" t="s">
        <v>251</v>
      </c>
      <c r="L1160" s="124" t="s">
        <v>251</v>
      </c>
      <c r="M1160" s="124">
        <v>3.0089748693427888E-6</v>
      </c>
      <c r="N1160" s="124" t="s">
        <v>251</v>
      </c>
      <c r="O1160" s="124">
        <v>1.96555265390079E-2</v>
      </c>
      <c r="P1160" s="124">
        <v>9.9687337421326596E-3</v>
      </c>
      <c r="Q1160" s="124">
        <v>9.686792796875239E-3</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0.68591842524076718</v>
      </c>
      <c r="J1163" s="124">
        <v>0.31408157475923282</v>
      </c>
      <c r="K1163" s="124" t="s">
        <v>251</v>
      </c>
      <c r="L1163" s="124" t="s">
        <v>251</v>
      </c>
      <c r="M1163" s="124">
        <v>0</v>
      </c>
      <c r="N1163" s="124" t="s">
        <v>251</v>
      </c>
      <c r="O1163" s="124">
        <v>0.31408157475923282</v>
      </c>
      <c r="P1163" s="124">
        <v>0.15929339699299455</v>
      </c>
      <c r="Q1163" s="124">
        <v>0.15478817776623827</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0.99901483124385737</v>
      </c>
      <c r="H1167" s="124" t="s">
        <v>251</v>
      </c>
      <c r="I1167" s="124">
        <v>0</v>
      </c>
      <c r="J1167" s="124">
        <v>9.8516875614268083E-4</v>
      </c>
      <c r="K1167" s="124" t="s">
        <v>251</v>
      </c>
      <c r="L1167" s="124" t="s">
        <v>251</v>
      </c>
      <c r="M1167" s="124">
        <v>0</v>
      </c>
      <c r="N1167" s="124" t="s">
        <v>251</v>
      </c>
      <c r="O1167" s="124">
        <v>9.8516875614268083E-4</v>
      </c>
      <c r="P1167" s="124">
        <v>9.8516875614268083E-4</v>
      </c>
      <c r="Q1167" s="124">
        <v>0</v>
      </c>
      <c r="R1167" s="124"/>
    </row>
    <row r="1168" spans="1:18" ht="15">
      <c r="A1168" s="105">
        <v>13</v>
      </c>
      <c r="B1168" s="105"/>
      <c r="C1168" s="107" t="s">
        <v>938</v>
      </c>
      <c r="D1168" s="107" t="s">
        <v>363</v>
      </c>
      <c r="E1168" s="124">
        <v>1</v>
      </c>
      <c r="F1168" s="124" t="s">
        <v>251</v>
      </c>
      <c r="G1168" s="124">
        <v>0.98746795933790532</v>
      </c>
      <c r="H1168" s="124" t="s">
        <v>251</v>
      </c>
      <c r="I1168" s="124">
        <v>0</v>
      </c>
      <c r="J1168" s="124">
        <v>1.2532040662094698E-2</v>
      </c>
      <c r="K1168" s="124" t="s">
        <v>251</v>
      </c>
      <c r="L1168" s="124" t="s">
        <v>251</v>
      </c>
      <c r="M1168" s="124">
        <v>0</v>
      </c>
      <c r="N1168" s="124" t="s">
        <v>251</v>
      </c>
      <c r="O1168" s="124">
        <v>1.2532040662094698E-2</v>
      </c>
      <c r="P1168" s="124">
        <v>1.2532040662094698E-2</v>
      </c>
      <c r="Q1168" s="124">
        <v>0</v>
      </c>
      <c r="R1168" s="124"/>
    </row>
    <row r="1169" spans="1:18" ht="15">
      <c r="A1169" s="105">
        <v>14</v>
      </c>
      <c r="B1169" s="105"/>
      <c r="C1169" s="107" t="s">
        <v>939</v>
      </c>
      <c r="D1169" s="107" t="s">
        <v>365</v>
      </c>
      <c r="E1169" s="124">
        <v>1</v>
      </c>
      <c r="F1169" s="124" t="s">
        <v>251</v>
      </c>
      <c r="G1169" s="124">
        <v>0.98679067105804885</v>
      </c>
      <c r="H1169" s="124" t="s">
        <v>251</v>
      </c>
      <c r="I1169" s="124">
        <v>0</v>
      </c>
      <c r="J1169" s="124">
        <v>1.3209328941951138E-2</v>
      </c>
      <c r="K1169" s="124" t="s">
        <v>251</v>
      </c>
      <c r="L1169" s="124" t="s">
        <v>251</v>
      </c>
      <c r="M1169" s="124">
        <v>0</v>
      </c>
      <c r="N1169" s="124" t="s">
        <v>251</v>
      </c>
      <c r="O1169" s="124">
        <v>1.3209328941951138E-2</v>
      </c>
      <c r="P1169" s="124">
        <v>1.3209328941951138E-2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0.7797452328090192</v>
      </c>
      <c r="H1179" s="124" t="s">
        <v>251</v>
      </c>
      <c r="I1179" s="124">
        <v>0.2202547671909808</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0.99636113976104146</v>
      </c>
      <c r="J1193" s="124">
        <v>3.6388602389585295E-3</v>
      </c>
      <c r="K1193" s="124" t="s">
        <v>251</v>
      </c>
      <c r="L1193" s="124" t="s">
        <v>251</v>
      </c>
      <c r="M1193" s="124">
        <v>3.6388602389585295E-3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0.84955497650355349</v>
      </c>
      <c r="H1197" s="124" t="s">
        <v>251</v>
      </c>
      <c r="I1197" s="124">
        <v>0.10491286151020887</v>
      </c>
      <c r="J1197" s="124">
        <v>4.5532161986237683E-2</v>
      </c>
      <c r="K1197" s="124" t="s">
        <v>251</v>
      </c>
      <c r="L1197" s="124" t="s">
        <v>251</v>
      </c>
      <c r="M1197" s="124">
        <v>1.5558284806411686E-5</v>
      </c>
      <c r="N1197" s="124" t="s">
        <v>251</v>
      </c>
      <c r="O1197" s="124">
        <v>4.551660370143127E-2</v>
      </c>
      <c r="P1197" s="124">
        <v>4.551660370143127E-2</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0.9410091595713157</v>
      </c>
      <c r="H1210" s="124" t="s">
        <v>251</v>
      </c>
      <c r="I1210" s="124">
        <v>3.8388881819017104E-2</v>
      </c>
      <c r="J1210" s="124">
        <v>2.0601958609667261E-2</v>
      </c>
      <c r="K1210" s="124" t="s">
        <v>251</v>
      </c>
      <c r="L1210" s="124" t="s">
        <v>251</v>
      </c>
      <c r="M1210" s="124">
        <v>4.2114427545893434E-6</v>
      </c>
      <c r="N1210" s="124" t="s">
        <v>251</v>
      </c>
      <c r="O1210" s="124">
        <v>2.0597747166912671E-2</v>
      </c>
      <c r="P1210" s="124">
        <v>1.0430856900639138E-2</v>
      </c>
      <c r="Q1210" s="124">
        <v>1.0166890266273531E-2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0.99940025072756267</v>
      </c>
      <c r="H1218" s="124" t="s">
        <v>251</v>
      </c>
      <c r="I1218" s="124">
        <v>0</v>
      </c>
      <c r="J1218" s="124">
        <v>5.9974927243737573E-4</v>
      </c>
      <c r="K1218" s="124" t="s">
        <v>251</v>
      </c>
      <c r="L1218" s="124" t="s">
        <v>251</v>
      </c>
      <c r="M1218" s="124">
        <v>0</v>
      </c>
      <c r="N1218" s="124" t="s">
        <v>251</v>
      </c>
      <c r="O1218" s="124">
        <v>5.9974927243737573E-4</v>
      </c>
      <c r="P1218" s="124">
        <v>2.5933184909484566E-4</v>
      </c>
      <c r="Q1218" s="124">
        <v>3.4041742334253012E-4</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0.95003195393362805</v>
      </c>
      <c r="H1223" s="124" t="s">
        <v>251</v>
      </c>
      <c r="I1223" s="124">
        <v>4.9682107773700267E-2</v>
      </c>
      <c r="J1223" s="124">
        <v>2.8593829267167825E-4</v>
      </c>
      <c r="K1223" s="124" t="s">
        <v>251</v>
      </c>
      <c r="L1223" s="124" t="s">
        <v>251</v>
      </c>
      <c r="M1223" s="124">
        <v>6.5884399233105591E-6</v>
      </c>
      <c r="N1223" s="124" t="s">
        <v>251</v>
      </c>
      <c r="O1223" s="124">
        <v>2.7934985274836771E-4</v>
      </c>
      <c r="P1223" s="124">
        <v>1.1200347869627951E-4</v>
      </c>
      <c r="Q1223" s="124">
        <v>1.6734637405208821E-4</v>
      </c>
      <c r="R1223" s="124"/>
    </row>
    <row r="1224" spans="1:18" ht="15">
      <c r="A1224" s="105">
        <v>8</v>
      </c>
      <c r="B1224" s="105"/>
      <c r="C1224" s="107" t="s">
        <v>983</v>
      </c>
      <c r="D1224" s="107" t="s">
        <v>689</v>
      </c>
      <c r="E1224" s="124">
        <v>1</v>
      </c>
      <c r="F1224" s="124" t="s">
        <v>251</v>
      </c>
      <c r="G1224" s="124">
        <v>0.95003195393362805</v>
      </c>
      <c r="H1224" s="124" t="s">
        <v>251</v>
      </c>
      <c r="I1224" s="124">
        <v>4.9682107773700267E-2</v>
      </c>
      <c r="J1224" s="124">
        <v>2.8593829267167825E-4</v>
      </c>
      <c r="K1224" s="124" t="s">
        <v>251</v>
      </c>
      <c r="L1224" s="124" t="s">
        <v>251</v>
      </c>
      <c r="M1224" s="124">
        <v>6.5884399233105591E-6</v>
      </c>
      <c r="N1224" s="124" t="s">
        <v>251</v>
      </c>
      <c r="O1224" s="124">
        <v>2.7934985274836771E-4</v>
      </c>
      <c r="P1224" s="124">
        <v>1.1200347869627951E-4</v>
      </c>
      <c r="Q1224" s="124">
        <v>1.6734637405208821E-4</v>
      </c>
      <c r="R1224" s="124"/>
    </row>
    <row r="1225" spans="1:18" ht="15">
      <c r="A1225" s="105">
        <v>9</v>
      </c>
      <c r="B1225" s="105"/>
      <c r="C1225" s="107" t="s">
        <v>984</v>
      </c>
      <c r="D1225" s="107" t="s">
        <v>691</v>
      </c>
      <c r="E1225" s="124">
        <v>1</v>
      </c>
      <c r="F1225" s="124" t="s">
        <v>251</v>
      </c>
      <c r="G1225" s="124">
        <v>0.95003195393362805</v>
      </c>
      <c r="H1225" s="124" t="s">
        <v>251</v>
      </c>
      <c r="I1225" s="124">
        <v>4.9682107773700267E-2</v>
      </c>
      <c r="J1225" s="124">
        <v>2.8593829267167825E-4</v>
      </c>
      <c r="K1225" s="124" t="s">
        <v>251</v>
      </c>
      <c r="L1225" s="124" t="s">
        <v>251</v>
      </c>
      <c r="M1225" s="124">
        <v>6.5884399233105591E-6</v>
      </c>
      <c r="N1225" s="124" t="s">
        <v>251</v>
      </c>
      <c r="O1225" s="124">
        <v>2.7934985274836771E-4</v>
      </c>
      <c r="P1225" s="124">
        <v>1.1200347869627951E-4</v>
      </c>
      <c r="Q1225" s="124">
        <v>1.6734637405208821E-4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0.99999999999999989</v>
      </c>
      <c r="F1235" s="124" t="s">
        <v>251</v>
      </c>
      <c r="G1235" s="124">
        <v>0.94970899810523679</v>
      </c>
      <c r="H1235" s="124" t="s">
        <v>251</v>
      </c>
      <c r="I1235" s="124">
        <v>5.0291001894763092E-2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0.99999999999999978</v>
      </c>
      <c r="F1236" s="124" t="s">
        <v>251</v>
      </c>
      <c r="G1236" s="124">
        <v>0.95987638026960376</v>
      </c>
      <c r="H1236" s="124" t="s">
        <v>251</v>
      </c>
      <c r="I1236" s="124">
        <v>4.0100296926837746E-2</v>
      </c>
      <c r="J1236" s="124">
        <v>2.3322803558340756E-5</v>
      </c>
      <c r="K1236" s="124" t="s">
        <v>251</v>
      </c>
      <c r="L1236" s="124" t="s">
        <v>251</v>
      </c>
      <c r="M1236" s="124">
        <v>0</v>
      </c>
      <c r="N1236" s="124" t="s">
        <v>251</v>
      </c>
      <c r="O1236" s="124">
        <v>2.3322803558340756E-5</v>
      </c>
      <c r="P1236" s="124">
        <v>1.4544651268114408E-6</v>
      </c>
      <c r="Q1236" s="124">
        <v>2.1868338431529316E-5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v>
      </c>
      <c r="F1245" s="124" t="s">
        <v>251</v>
      </c>
      <c r="G1245" s="124">
        <v>0.9350015839291943</v>
      </c>
      <c r="H1245" s="124" t="s">
        <v>251</v>
      </c>
      <c r="I1245" s="124">
        <v>5.0459116750936582E-2</v>
      </c>
      <c r="J1245" s="124">
        <v>1.4539299319869052E-2</v>
      </c>
      <c r="K1245" s="124" t="s">
        <v>251</v>
      </c>
      <c r="L1245" s="124" t="s">
        <v>251</v>
      </c>
      <c r="M1245" s="124">
        <v>7.0600162033611634E-5</v>
      </c>
      <c r="N1245" s="124" t="s">
        <v>251</v>
      </c>
      <c r="O1245" s="124">
        <v>1.4468699157835441E-2</v>
      </c>
      <c r="P1245" s="124">
        <v>7.5200609397746343E-3</v>
      </c>
      <c r="Q1245" s="124">
        <v>6.9486382180608073E-3</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0.99999999999999989</v>
      </c>
      <c r="F1247" s="124" t="s">
        <v>251</v>
      </c>
      <c r="G1247" s="124">
        <v>0.94069865484010706</v>
      </c>
      <c r="H1247" s="124" t="s">
        <v>251</v>
      </c>
      <c r="I1247" s="124">
        <v>4.7324622456997985E-2</v>
      </c>
      <c r="J1247" s="124">
        <v>1.1976722702894854E-2</v>
      </c>
      <c r="K1247" s="124" t="s">
        <v>251</v>
      </c>
      <c r="L1247" s="124" t="s">
        <v>251</v>
      </c>
      <c r="M1247" s="124">
        <v>6.9099227331540308E-5</v>
      </c>
      <c r="N1247" s="124" t="s">
        <v>251</v>
      </c>
      <c r="O1247" s="124">
        <v>1.1907623475563314E-2</v>
      </c>
      <c r="P1247" s="124">
        <v>6.2066563867310747E-3</v>
      </c>
      <c r="Q1247" s="124">
        <v>5.7009670888322379E-3</v>
      </c>
      <c r="R1247" s="124"/>
    </row>
    <row r="1248" spans="1:18" ht="15">
      <c r="A1248" s="105">
        <v>4</v>
      </c>
      <c r="B1248" s="105"/>
      <c r="C1248" s="107" t="s">
        <v>1000</v>
      </c>
      <c r="D1248" s="107" t="s">
        <v>904</v>
      </c>
      <c r="E1248" s="124">
        <v>1</v>
      </c>
      <c r="F1248" s="124" t="s">
        <v>251</v>
      </c>
      <c r="G1248" s="124">
        <v>0.94069865484010717</v>
      </c>
      <c r="H1248" s="124" t="s">
        <v>251</v>
      </c>
      <c r="I1248" s="124">
        <v>4.7324622456997992E-2</v>
      </c>
      <c r="J1248" s="124">
        <v>1.1976722702894854E-2</v>
      </c>
      <c r="K1248" s="124" t="s">
        <v>251</v>
      </c>
      <c r="L1248" s="124" t="s">
        <v>251</v>
      </c>
      <c r="M1248" s="124">
        <v>6.9099227331540321E-5</v>
      </c>
      <c r="N1248" s="124" t="s">
        <v>251</v>
      </c>
      <c r="O1248" s="124">
        <v>1.1907623475563314E-2</v>
      </c>
      <c r="P1248" s="124">
        <v>6.2066563867310756E-3</v>
      </c>
      <c r="Q1248" s="124">
        <v>5.7009670888322388E-3</v>
      </c>
      <c r="R1248" s="124"/>
    </row>
    <row r="1249" spans="1:18" ht="15">
      <c r="A1249" s="105">
        <v>5</v>
      </c>
      <c r="B1249" s="105"/>
      <c r="C1249" s="107" t="s">
        <v>1001</v>
      </c>
      <c r="D1249" s="107" t="s">
        <v>444</v>
      </c>
      <c r="E1249" s="124">
        <v>0.99999999999999989</v>
      </c>
      <c r="F1249" s="124" t="s">
        <v>251</v>
      </c>
      <c r="G1249" s="124">
        <v>0.93741603079505231</v>
      </c>
      <c r="H1249" s="124" t="s">
        <v>251</v>
      </c>
      <c r="I1249" s="124">
        <v>4.2925433691070346E-2</v>
      </c>
      <c r="J1249" s="124">
        <v>1.9658535513877237E-2</v>
      </c>
      <c r="K1249" s="124" t="s">
        <v>251</v>
      </c>
      <c r="L1249" s="124" t="s">
        <v>251</v>
      </c>
      <c r="M1249" s="124">
        <v>3.0089748693427876E-6</v>
      </c>
      <c r="N1249" s="124" t="s">
        <v>251</v>
      </c>
      <c r="O1249" s="124">
        <v>1.9655526539007893E-2</v>
      </c>
      <c r="P1249" s="124">
        <v>9.9687337421326579E-3</v>
      </c>
      <c r="Q1249" s="124">
        <v>9.6867927968752373E-3</v>
      </c>
      <c r="R1249" s="124"/>
    </row>
    <row r="1250" spans="1:18" ht="15">
      <c r="A1250" s="105">
        <v>6</v>
      </c>
      <c r="B1250" s="105"/>
      <c r="C1250" s="107" t="s">
        <v>1003</v>
      </c>
      <c r="D1250" s="107" t="s">
        <v>449</v>
      </c>
      <c r="E1250" s="124">
        <v>1.0000000000000002</v>
      </c>
      <c r="F1250" s="124" t="s">
        <v>251</v>
      </c>
      <c r="G1250" s="124">
        <v>0.93741603079505254</v>
      </c>
      <c r="H1250" s="124" t="s">
        <v>251</v>
      </c>
      <c r="I1250" s="124">
        <v>4.2925433691070353E-2</v>
      </c>
      <c r="J1250" s="124">
        <v>1.9658535513877244E-2</v>
      </c>
      <c r="K1250" s="124" t="s">
        <v>251</v>
      </c>
      <c r="L1250" s="124" t="s">
        <v>251</v>
      </c>
      <c r="M1250" s="124">
        <v>3.0089748693427897E-6</v>
      </c>
      <c r="N1250" s="124" t="s">
        <v>251</v>
      </c>
      <c r="O1250" s="124">
        <v>1.96555265390079E-2</v>
      </c>
      <c r="P1250" s="124">
        <v>9.9687337421326596E-3</v>
      </c>
      <c r="Q1250" s="124">
        <v>9.686792796875239E-3</v>
      </c>
      <c r="R1250" s="124"/>
    </row>
    <row r="1251" spans="1:18" ht="15">
      <c r="A1251" s="105">
        <v>7</v>
      </c>
      <c r="B1251" s="105"/>
      <c r="C1251" s="107" t="s">
        <v>1004</v>
      </c>
      <c r="D1251" s="107" t="s">
        <v>452</v>
      </c>
      <c r="E1251" s="124">
        <v>1</v>
      </c>
      <c r="F1251" s="124" t="s">
        <v>251</v>
      </c>
      <c r="G1251" s="124">
        <v>0.93741603079505242</v>
      </c>
      <c r="H1251" s="124" t="s">
        <v>251</v>
      </c>
      <c r="I1251" s="124">
        <v>4.2925433691070353E-2</v>
      </c>
      <c r="J1251" s="124">
        <v>1.9658535513877244E-2</v>
      </c>
      <c r="K1251" s="124" t="s">
        <v>251</v>
      </c>
      <c r="L1251" s="124" t="s">
        <v>251</v>
      </c>
      <c r="M1251" s="124">
        <v>3.0089748693427884E-6</v>
      </c>
      <c r="N1251" s="124" t="s">
        <v>251</v>
      </c>
      <c r="O1251" s="124">
        <v>1.96555265390079E-2</v>
      </c>
      <c r="P1251" s="124">
        <v>9.9687337421326613E-3</v>
      </c>
      <c r="Q1251" s="124">
        <v>9.686792796875239E-3</v>
      </c>
      <c r="R1251" s="124"/>
    </row>
    <row r="1252" spans="1:18" ht="15">
      <c r="A1252" s="105">
        <v>8</v>
      </c>
      <c r="B1252" s="105"/>
      <c r="C1252" s="107" t="s">
        <v>1005</v>
      </c>
      <c r="D1252" s="107" t="s">
        <v>1006</v>
      </c>
      <c r="E1252" s="124">
        <v>1</v>
      </c>
      <c r="F1252" s="124" t="s">
        <v>251</v>
      </c>
      <c r="G1252" s="124">
        <v>0.95484801861125845</v>
      </c>
      <c r="H1252" s="124" t="s">
        <v>251</v>
      </c>
      <c r="I1252" s="124">
        <v>4.4466058761154961E-2</v>
      </c>
      <c r="J1252" s="124">
        <v>6.8592262758657195E-4</v>
      </c>
      <c r="K1252" s="124" t="s">
        <v>251</v>
      </c>
      <c r="L1252" s="124" t="s">
        <v>251</v>
      </c>
      <c r="M1252" s="124">
        <v>3.0572108709151843E-6</v>
      </c>
      <c r="N1252" s="124" t="s">
        <v>251</v>
      </c>
      <c r="O1252" s="124">
        <v>6.8286541671565672E-4</v>
      </c>
      <c r="P1252" s="124">
        <v>3.4633025512897003E-4</v>
      </c>
      <c r="Q1252" s="124">
        <v>3.3653516158668674E-4</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0.99999999999999989</v>
      </c>
      <c r="F1254" s="124" t="s">
        <v>251</v>
      </c>
      <c r="G1254" s="124">
        <v>0.12102305144291675</v>
      </c>
      <c r="H1254" s="124" t="s">
        <v>251</v>
      </c>
      <c r="I1254" s="124">
        <v>0.8789765600899474</v>
      </c>
      <c r="J1254" s="124">
        <v>3.8846713565807527E-7</v>
      </c>
      <c r="K1254" s="124" t="s">
        <v>251</v>
      </c>
      <c r="L1254" s="124" t="s">
        <v>251</v>
      </c>
      <c r="M1254" s="124">
        <v>3.8846713565807527E-7</v>
      </c>
      <c r="N1254" s="124" t="s">
        <v>251</v>
      </c>
      <c r="O1254" s="124">
        <v>0</v>
      </c>
      <c r="P1254" s="124">
        <v>0</v>
      </c>
      <c r="Q1254" s="124">
        <v>0</v>
      </c>
      <c r="R1254" s="124"/>
    </row>
    <row r="1255" spans="1:18" ht="15">
      <c r="A1255" s="105">
        <v>11</v>
      </c>
      <c r="B1255" s="105"/>
      <c r="C1255" s="107" t="s">
        <v>416</v>
      </c>
      <c r="D1255" s="107" t="s">
        <v>502</v>
      </c>
      <c r="E1255" s="124">
        <v>0.99999999999999989</v>
      </c>
      <c r="F1255" s="124" t="s">
        <v>251</v>
      </c>
      <c r="G1255" s="124">
        <v>0.94888382749771294</v>
      </c>
      <c r="H1255" s="124" t="s">
        <v>251</v>
      </c>
      <c r="I1255" s="124">
        <v>4.8987181715533096E-2</v>
      </c>
      <c r="J1255" s="124">
        <v>2.1289907867539275E-3</v>
      </c>
      <c r="K1255" s="124" t="s">
        <v>251</v>
      </c>
      <c r="L1255" s="124" t="s">
        <v>251</v>
      </c>
      <c r="M1255" s="124">
        <v>3.2763271430625044E-4</v>
      </c>
      <c r="N1255" s="124" t="s">
        <v>251</v>
      </c>
      <c r="O1255" s="124">
        <v>1.8013580724476768E-3</v>
      </c>
      <c r="P1255" s="124">
        <v>1.7881600929441175E-3</v>
      </c>
      <c r="Q1255" s="124">
        <v>1.3197979503559389E-5</v>
      </c>
      <c r="R1255" s="124"/>
    </row>
    <row r="1256" spans="1:18" ht="15">
      <c r="A1256" s="105">
        <v>12</v>
      </c>
      <c r="B1256" s="105"/>
      <c r="C1256" s="107" t="s">
        <v>1010</v>
      </c>
      <c r="D1256" s="107" t="s">
        <v>466</v>
      </c>
      <c r="E1256" s="124">
        <v>1</v>
      </c>
      <c r="F1256" s="124" t="s">
        <v>251</v>
      </c>
      <c r="G1256" s="124">
        <v>0.99810520022843596</v>
      </c>
      <c r="H1256" s="124" t="s">
        <v>251</v>
      </c>
      <c r="I1256" s="124">
        <v>0</v>
      </c>
      <c r="J1256" s="124">
        <v>1.8947997715640604E-3</v>
      </c>
      <c r="K1256" s="124" t="s">
        <v>251</v>
      </c>
      <c r="L1256" s="124" t="s">
        <v>251</v>
      </c>
      <c r="M1256" s="124">
        <v>0</v>
      </c>
      <c r="N1256" s="124" t="s">
        <v>251</v>
      </c>
      <c r="O1256" s="124">
        <v>1.8947997715640604E-3</v>
      </c>
      <c r="P1256" s="124">
        <v>1.8809171743553493E-3</v>
      </c>
      <c r="Q1256" s="124">
        <v>1.3882597208711188E-5</v>
      </c>
      <c r="R1256" s="124"/>
    </row>
    <row r="1257" spans="1:18" ht="15">
      <c r="A1257" s="105">
        <v>13</v>
      </c>
      <c r="B1257" s="105"/>
      <c r="C1257" s="107" t="s">
        <v>1011</v>
      </c>
      <c r="D1257" s="107" t="s">
        <v>468</v>
      </c>
      <c r="E1257" s="124">
        <v>1</v>
      </c>
      <c r="F1257" s="124" t="s">
        <v>251</v>
      </c>
      <c r="G1257" s="124">
        <v>0.94276900725831281</v>
      </c>
      <c r="H1257" s="124" t="s">
        <v>251</v>
      </c>
      <c r="I1257" s="124">
        <v>4.5672406199839977E-2</v>
      </c>
      <c r="J1257" s="124">
        <v>1.1558586541847252E-2</v>
      </c>
      <c r="K1257" s="124" t="s">
        <v>251</v>
      </c>
      <c r="L1257" s="124" t="s">
        <v>251</v>
      </c>
      <c r="M1257" s="124">
        <v>6.6686807309426725E-5</v>
      </c>
      <c r="N1257" s="124" t="s">
        <v>251</v>
      </c>
      <c r="O1257" s="124">
        <v>1.1491899734537825E-2</v>
      </c>
      <c r="P1257" s="124">
        <v>5.9899671021188469E-3</v>
      </c>
      <c r="Q1257" s="124">
        <v>5.5019326324189776E-3</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0.9350015839291943</v>
      </c>
      <c r="H1259" s="124" t="s">
        <v>251</v>
      </c>
      <c r="I1259" s="124">
        <v>5.0459116750936582E-2</v>
      </c>
      <c r="J1259" s="124">
        <v>1.4539299319869052E-2</v>
      </c>
      <c r="K1259" s="124" t="s">
        <v>251</v>
      </c>
      <c r="L1259" s="124" t="s">
        <v>251</v>
      </c>
      <c r="M1259" s="124">
        <v>7.0600162033611634E-5</v>
      </c>
      <c r="N1259" s="124" t="s">
        <v>251</v>
      </c>
      <c r="O1259" s="124">
        <v>1.4468699157835441E-2</v>
      </c>
      <c r="P1259" s="124">
        <v>7.5200609397746343E-3</v>
      </c>
      <c r="Q1259" s="124">
        <v>6.9486382180608064E-3</v>
      </c>
      <c r="R1259" s="124"/>
    </row>
    <row r="1260" spans="1:18" ht="15">
      <c r="A1260" s="105">
        <v>16</v>
      </c>
      <c r="B1260" s="105"/>
      <c r="C1260" s="107" t="s">
        <v>1014</v>
      </c>
      <c r="D1260" s="107" t="s">
        <v>478</v>
      </c>
      <c r="E1260" s="124">
        <v>1</v>
      </c>
      <c r="F1260" s="124" t="s">
        <v>251</v>
      </c>
      <c r="G1260" s="124">
        <v>0.93741603079505242</v>
      </c>
      <c r="H1260" s="124" t="s">
        <v>251</v>
      </c>
      <c r="I1260" s="124">
        <v>4.2925433691070346E-2</v>
      </c>
      <c r="J1260" s="124">
        <v>1.9658535513877241E-2</v>
      </c>
      <c r="K1260" s="124" t="s">
        <v>251</v>
      </c>
      <c r="L1260" s="124" t="s">
        <v>251</v>
      </c>
      <c r="M1260" s="124">
        <v>3.0089748693427863E-6</v>
      </c>
      <c r="N1260" s="124" t="s">
        <v>251</v>
      </c>
      <c r="O1260" s="124">
        <v>1.9655526539007897E-2</v>
      </c>
      <c r="P1260" s="124">
        <v>9.9687337421326596E-3</v>
      </c>
      <c r="Q1260" s="124">
        <v>9.6867927968752373E-3</v>
      </c>
      <c r="R1260" s="124"/>
    </row>
    <row r="1261" spans="1:18" ht="15">
      <c r="A1261" s="105">
        <v>17</v>
      </c>
      <c r="B1261" s="105"/>
      <c r="C1261" s="107" t="s">
        <v>336</v>
      </c>
      <c r="D1261" s="107" t="s">
        <v>498</v>
      </c>
      <c r="E1261" s="124">
        <v>1</v>
      </c>
      <c r="F1261" s="124" t="s">
        <v>251</v>
      </c>
      <c r="G1261" s="124">
        <v>0.9356483078528135</v>
      </c>
      <c r="H1261" s="124" t="s">
        <v>251</v>
      </c>
      <c r="I1261" s="124">
        <v>4.3453547977315772E-2</v>
      </c>
      <c r="J1261" s="124">
        <v>2.0898144169870785E-2</v>
      </c>
      <c r="K1261" s="124" t="s">
        <v>251</v>
      </c>
      <c r="L1261" s="124" t="s">
        <v>251</v>
      </c>
      <c r="M1261" s="124">
        <v>2.9877202166818724E-6</v>
      </c>
      <c r="N1261" s="124" t="s">
        <v>251</v>
      </c>
      <c r="O1261" s="124">
        <v>2.0895156449654104E-2</v>
      </c>
      <c r="P1261" s="124">
        <v>1.0597439388531461E-2</v>
      </c>
      <c r="Q1261" s="124">
        <v>1.0297717061122643E-2</v>
      </c>
      <c r="R1261" s="124"/>
    </row>
    <row r="1262" spans="1:18" ht="15">
      <c r="A1262" s="105">
        <v>18</v>
      </c>
      <c r="B1262" s="105"/>
      <c r="C1262" s="107" t="s">
        <v>357</v>
      </c>
      <c r="D1262" s="107" t="s">
        <v>1015</v>
      </c>
      <c r="E1262" s="124">
        <v>1</v>
      </c>
      <c r="F1262" s="124" t="s">
        <v>251</v>
      </c>
      <c r="G1262" s="124">
        <v>0.90518917967221724</v>
      </c>
      <c r="H1262" s="124" t="s">
        <v>251</v>
      </c>
      <c r="I1262" s="124">
        <v>9.416572501024506E-2</v>
      </c>
      <c r="J1262" s="124">
        <v>6.4509531753773552E-4</v>
      </c>
      <c r="K1262" s="124" t="s">
        <v>251</v>
      </c>
      <c r="L1262" s="124" t="s">
        <v>251</v>
      </c>
      <c r="M1262" s="124">
        <v>2.8982725798626061E-6</v>
      </c>
      <c r="N1262" s="124" t="s">
        <v>251</v>
      </c>
      <c r="O1262" s="124">
        <v>6.4219704495787288E-4</v>
      </c>
      <c r="P1262" s="124">
        <v>3.2570439354368794E-4</v>
      </c>
      <c r="Q1262" s="124">
        <v>3.1649265141418494E-4</v>
      </c>
      <c r="R1262" s="124"/>
    </row>
    <row r="1263" spans="1:18" ht="15">
      <c r="A1263" s="105">
        <v>19</v>
      </c>
      <c r="B1263" s="105"/>
      <c r="C1263" s="107" t="s">
        <v>1016</v>
      </c>
      <c r="D1263" s="107" t="s">
        <v>500</v>
      </c>
      <c r="E1263" s="124">
        <v>1</v>
      </c>
      <c r="F1263" s="124" t="s">
        <v>251</v>
      </c>
      <c r="G1263" s="124">
        <v>0.90577086304387289</v>
      </c>
      <c r="H1263" s="124" t="s">
        <v>251</v>
      </c>
      <c r="I1263" s="124">
        <v>9.4226236821089063E-2</v>
      </c>
      <c r="J1263" s="124">
        <v>2.9001350380139975E-6</v>
      </c>
      <c r="K1263" s="124" t="s">
        <v>251</v>
      </c>
      <c r="L1263" s="124" t="s">
        <v>251</v>
      </c>
      <c r="M1263" s="124">
        <v>2.9001350380139975E-6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0.93156190196932931</v>
      </c>
      <c r="H1264" s="124" t="s">
        <v>251</v>
      </c>
      <c r="I1264" s="124">
        <v>5.4476971997722681E-2</v>
      </c>
      <c r="J1264" s="124">
        <v>1.3961126032948032E-2</v>
      </c>
      <c r="K1264" s="124" t="s">
        <v>251</v>
      </c>
      <c r="L1264" s="124" t="s">
        <v>251</v>
      </c>
      <c r="M1264" s="124">
        <v>5.0222172589211682E-5</v>
      </c>
      <c r="N1264" s="124" t="s">
        <v>251</v>
      </c>
      <c r="O1264" s="124">
        <v>1.3910903860358821E-2</v>
      </c>
      <c r="P1264" s="124">
        <v>7.1825141101167665E-3</v>
      </c>
      <c r="Q1264" s="124">
        <v>6.7283897502420538E-3</v>
      </c>
      <c r="R1264" s="124"/>
    </row>
    <row r="1265" spans="1:18" ht="15">
      <c r="A1265" s="105">
        <v>21</v>
      </c>
      <c r="B1265" s="105"/>
      <c r="C1265" s="107" t="s">
        <v>1018</v>
      </c>
      <c r="D1265" s="107" t="s">
        <v>510</v>
      </c>
      <c r="E1265" s="124">
        <v>1</v>
      </c>
      <c r="F1265" s="124" t="s">
        <v>251</v>
      </c>
      <c r="G1265" s="124">
        <v>0.9375480184339865</v>
      </c>
      <c r="H1265" s="124" t="s">
        <v>251</v>
      </c>
      <c r="I1265" s="124">
        <v>4.9058038647519911E-2</v>
      </c>
      <c r="J1265" s="124">
        <v>1.3393942918493624E-2</v>
      </c>
      <c r="K1265" s="124" t="s">
        <v>251</v>
      </c>
      <c r="L1265" s="124" t="s">
        <v>251</v>
      </c>
      <c r="M1265" s="124">
        <v>6.9929121313014431E-5</v>
      </c>
      <c r="N1265" s="124" t="s">
        <v>251</v>
      </c>
      <c r="O1265" s="124">
        <v>1.3324013797180609E-2</v>
      </c>
      <c r="P1265" s="124">
        <v>6.9330280141726899E-3</v>
      </c>
      <c r="Q1265" s="124">
        <v>6.390985783007919E-3</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0.50717205272262456</v>
      </c>
      <c r="Q1267" s="124">
        <v>0.49282794727737539</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0.50717205272262444</v>
      </c>
      <c r="Q1269" s="124">
        <v>0.49282794727737556</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0.50717205272262444</v>
      </c>
      <c r="Q1270" s="124">
        <v>0.4928279472773755</v>
      </c>
      <c r="R1270" s="124"/>
    </row>
    <row r="1271" spans="1:18" ht="15">
      <c r="A1271" s="105">
        <v>27</v>
      </c>
      <c r="B1271" s="105"/>
      <c r="C1271" s="107" t="s">
        <v>1027</v>
      </c>
      <c r="D1271" s="107" t="s">
        <v>1028</v>
      </c>
      <c r="E1271" s="124">
        <v>1</v>
      </c>
      <c r="F1271" s="124" t="s">
        <v>251</v>
      </c>
      <c r="G1271" s="124">
        <v>0.95484801861125845</v>
      </c>
      <c r="H1271" s="124" t="s">
        <v>251</v>
      </c>
      <c r="I1271" s="124">
        <v>4.4466058761154961E-2</v>
      </c>
      <c r="J1271" s="124">
        <v>6.8592262758657195E-4</v>
      </c>
      <c r="K1271" s="124" t="s">
        <v>251</v>
      </c>
      <c r="L1271" s="124" t="s">
        <v>251</v>
      </c>
      <c r="M1271" s="124">
        <v>3.0572108709151843E-6</v>
      </c>
      <c r="N1271" s="124" t="s">
        <v>251</v>
      </c>
      <c r="O1271" s="124">
        <v>6.8286541671565672E-4</v>
      </c>
      <c r="P1271" s="124">
        <v>3.4633025512897003E-4</v>
      </c>
      <c r="Q1271" s="124">
        <v>3.3653516158668674E-4</v>
      </c>
      <c r="R1271" s="124"/>
    </row>
    <row r="1272" spans="1:18" ht="15">
      <c r="A1272" s="105">
        <v>28</v>
      </c>
      <c r="B1272" s="105"/>
      <c r="C1272" s="107" t="s">
        <v>1154</v>
      </c>
      <c r="D1272" s="107" t="s">
        <v>459</v>
      </c>
      <c r="E1272" s="124">
        <v>0.99999999999999989</v>
      </c>
      <c r="F1272" s="124" t="s">
        <v>251</v>
      </c>
      <c r="G1272" s="124">
        <v>0.12102305144291675</v>
      </c>
      <c r="H1272" s="124" t="s">
        <v>251</v>
      </c>
      <c r="I1272" s="124">
        <v>0.8789765600899474</v>
      </c>
      <c r="J1272" s="124">
        <v>3.8846713565807527E-7</v>
      </c>
      <c r="K1272" s="124" t="s">
        <v>251</v>
      </c>
      <c r="L1272" s="124" t="s">
        <v>251</v>
      </c>
      <c r="M1272" s="124">
        <v>3.8846713565807527E-7</v>
      </c>
      <c r="N1272" s="124" t="s">
        <v>251</v>
      </c>
      <c r="O1272" s="124">
        <v>0</v>
      </c>
      <c r="P1272" s="124">
        <v>0</v>
      </c>
      <c r="Q1272" s="124">
        <v>0</v>
      </c>
      <c r="R1272" s="124"/>
    </row>
    <row r="1273" spans="1:18" ht="15">
      <c r="A1273" s="105">
        <v>29</v>
      </c>
      <c r="B1273" s="105"/>
      <c r="C1273" s="107" t="s">
        <v>1030</v>
      </c>
      <c r="D1273" s="107" t="s">
        <v>659</v>
      </c>
      <c r="E1273" s="124">
        <v>1</v>
      </c>
      <c r="F1273" s="124" t="s">
        <v>251</v>
      </c>
      <c r="G1273" s="124">
        <v>0.92994293030131592</v>
      </c>
      <c r="H1273" s="124" t="s">
        <v>251</v>
      </c>
      <c r="I1273" s="124">
        <v>6.9947015624459652E-2</v>
      </c>
      <c r="J1273" s="124">
        <v>1.100540742244918E-4</v>
      </c>
      <c r="K1273" s="124" t="s">
        <v>251</v>
      </c>
      <c r="L1273" s="124" t="s">
        <v>251</v>
      </c>
      <c r="M1273" s="124">
        <v>1.100540742244918E-4</v>
      </c>
      <c r="N1273" s="124" t="s">
        <v>251</v>
      </c>
      <c r="O1273" s="124">
        <v>0</v>
      </c>
      <c r="P1273" s="124">
        <v>0</v>
      </c>
      <c r="Q1273" s="124">
        <v>0</v>
      </c>
      <c r="R1273" s="124"/>
    </row>
    <row r="1274" spans="1:18" ht="15">
      <c r="A1274" s="105">
        <v>30</v>
      </c>
      <c r="B1274" s="105"/>
      <c r="C1274" s="107" t="s">
        <v>439</v>
      </c>
      <c r="D1274" s="107" t="s">
        <v>717</v>
      </c>
      <c r="E1274" s="124">
        <v>0.99999999999999989</v>
      </c>
      <c r="F1274" s="124" t="s">
        <v>251</v>
      </c>
      <c r="G1274" s="124">
        <v>0.93500194448323959</v>
      </c>
      <c r="H1274" s="124" t="s">
        <v>251</v>
      </c>
      <c r="I1274" s="124">
        <v>5.0458836848136387E-2</v>
      </c>
      <c r="J1274" s="124">
        <v>1.4539218668623956E-2</v>
      </c>
      <c r="K1274" s="124" t="s">
        <v>251</v>
      </c>
      <c r="L1274" s="124" t="s">
        <v>251</v>
      </c>
      <c r="M1274" s="124">
        <v>7.059977040600656E-5</v>
      </c>
      <c r="N1274" s="124" t="s">
        <v>251</v>
      </c>
      <c r="O1274" s="124">
        <v>1.4468618898217949E-2</v>
      </c>
      <c r="P1274" s="124">
        <v>7.5200192250905445E-3</v>
      </c>
      <c r="Q1274" s="124">
        <v>6.9485996731274043E-3</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0.98468816389132285</v>
      </c>
      <c r="H1276" s="124" t="s">
        <v>251</v>
      </c>
      <c r="I1276" s="124">
        <v>0</v>
      </c>
      <c r="J1276" s="124">
        <v>1.5311836108677096E-2</v>
      </c>
      <c r="K1276" s="124" t="s">
        <v>251</v>
      </c>
      <c r="L1276" s="124" t="s">
        <v>251</v>
      </c>
      <c r="M1276" s="124">
        <v>7.435145852093542E-5</v>
      </c>
      <c r="N1276" s="124" t="s">
        <v>251</v>
      </c>
      <c r="O1276" s="124">
        <v>1.5237484650156161E-2</v>
      </c>
      <c r="P1276" s="124">
        <v>7.9196347845826246E-3</v>
      </c>
      <c r="Q1276" s="124">
        <v>7.317849865573536E-3</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0.99999999999999989</v>
      </c>
      <c r="F1278" s="124" t="s">
        <v>251</v>
      </c>
      <c r="G1278" s="124">
        <v>0.93543588279995615</v>
      </c>
      <c r="H1278" s="124" t="s">
        <v>251</v>
      </c>
      <c r="I1278" s="124">
        <v>4.3601034523909232E-2</v>
      </c>
      <c r="J1278" s="124">
        <v>2.0963082676134542E-2</v>
      </c>
      <c r="K1278" s="124" t="s">
        <v>251</v>
      </c>
      <c r="L1278" s="124" t="s">
        <v>251</v>
      </c>
      <c r="M1278" s="124">
        <v>2.9861914912378194E-6</v>
      </c>
      <c r="N1278" s="124" t="s">
        <v>251</v>
      </c>
      <c r="O1278" s="124">
        <v>2.0960096484643302E-2</v>
      </c>
      <c r="P1278" s="124">
        <v>1.063037515938081E-2</v>
      </c>
      <c r="Q1278" s="124">
        <v>1.0329721325262491E-2</v>
      </c>
      <c r="R1278" s="124"/>
    </row>
    <row r="1279" spans="1:18" ht="15">
      <c r="A1279" s="105">
        <v>35</v>
      </c>
      <c r="B1279" s="105"/>
      <c r="C1279" s="107" t="s">
        <v>1035</v>
      </c>
      <c r="D1279" s="107" t="s">
        <v>600</v>
      </c>
      <c r="E1279" s="124">
        <v>1</v>
      </c>
      <c r="F1279" s="124" t="s">
        <v>251</v>
      </c>
      <c r="G1279" s="124">
        <v>0.93702754024909529</v>
      </c>
      <c r="H1279" s="124" t="s">
        <v>251</v>
      </c>
      <c r="I1279" s="124">
        <v>4.2827654513430367E-2</v>
      </c>
      <c r="J1279" s="124">
        <v>2.0144805237474261E-2</v>
      </c>
      <c r="K1279" s="124" t="s">
        <v>251</v>
      </c>
      <c r="L1279" s="124" t="s">
        <v>251</v>
      </c>
      <c r="M1279" s="124">
        <v>3.0016940411848834E-6</v>
      </c>
      <c r="N1279" s="124" t="s">
        <v>251</v>
      </c>
      <c r="O1279" s="124">
        <v>2.0141803543433076E-2</v>
      </c>
      <c r="P1279" s="124">
        <v>1.0215359848658786E-2</v>
      </c>
      <c r="Q1279" s="124">
        <v>9.926443694774292E-3</v>
      </c>
      <c r="R1279" s="124"/>
    </row>
    <row r="1280" spans="1:18" ht="15">
      <c r="A1280" s="105">
        <v>36</v>
      </c>
      <c r="B1280" s="105"/>
      <c r="C1280" s="107" t="s">
        <v>1036</v>
      </c>
      <c r="D1280" s="107" t="s">
        <v>615</v>
      </c>
      <c r="E1280" s="124">
        <v>1</v>
      </c>
      <c r="F1280" s="124" t="s">
        <v>251</v>
      </c>
      <c r="G1280" s="124">
        <v>0.93667637631422729</v>
      </c>
      <c r="H1280" s="124" t="s">
        <v>251</v>
      </c>
      <c r="I1280" s="124">
        <v>4.2725949738459466E-2</v>
      </c>
      <c r="J1280" s="124">
        <v>2.0597673947313263E-2</v>
      </c>
      <c r="K1280" s="124" t="s">
        <v>251</v>
      </c>
      <c r="L1280" s="124" t="s">
        <v>251</v>
      </c>
      <c r="M1280" s="124">
        <v>2.9949502028358116E-6</v>
      </c>
      <c r="N1280" s="124" t="s">
        <v>251</v>
      </c>
      <c r="O1280" s="124">
        <v>2.0594678997110427E-2</v>
      </c>
      <c r="P1280" s="124">
        <v>1.0445045622128018E-2</v>
      </c>
      <c r="Q1280" s="124">
        <v>1.014963337498241E-2</v>
      </c>
      <c r="R1280" s="124"/>
    </row>
    <row r="1281" spans="1:18" ht="15">
      <c r="A1281" s="105">
        <v>37</v>
      </c>
      <c r="B1281" s="105"/>
      <c r="C1281" s="107" t="s">
        <v>1037</v>
      </c>
      <c r="D1281" s="107" t="s">
        <v>656</v>
      </c>
      <c r="E1281" s="124">
        <v>1</v>
      </c>
      <c r="F1281" s="124" t="s">
        <v>251</v>
      </c>
      <c r="G1281" s="124">
        <v>0.95311597272981619</v>
      </c>
      <c r="H1281" s="124" t="s">
        <v>251</v>
      </c>
      <c r="I1281" s="124">
        <v>3.2663857470036348E-2</v>
      </c>
      <c r="J1281" s="124">
        <v>1.4220169800147569E-2</v>
      </c>
      <c r="K1281" s="124" t="s">
        <v>251</v>
      </c>
      <c r="L1281" s="124" t="s">
        <v>251</v>
      </c>
      <c r="M1281" s="124">
        <v>1.9193136920073999E-3</v>
      </c>
      <c r="N1281" s="124" t="s">
        <v>251</v>
      </c>
      <c r="O1281" s="124">
        <v>1.2300856108140169E-2</v>
      </c>
      <c r="P1281" s="124">
        <v>1.2300856108140169E-2</v>
      </c>
      <c r="Q1281" s="124">
        <v>0</v>
      </c>
      <c r="R1281" s="124"/>
    </row>
    <row r="1282" spans="1:18" ht="15">
      <c r="A1282" s="105">
        <v>38</v>
      </c>
      <c r="B1282" s="105"/>
      <c r="C1282" s="107" t="s">
        <v>1038</v>
      </c>
      <c r="D1282" s="107" t="s">
        <v>661</v>
      </c>
      <c r="E1282" s="124">
        <v>1</v>
      </c>
      <c r="F1282" s="124" t="s">
        <v>251</v>
      </c>
      <c r="G1282" s="124">
        <v>0.97711121638856713</v>
      </c>
      <c r="H1282" s="124" t="s">
        <v>251</v>
      </c>
      <c r="I1282" s="124">
        <v>2.2888783611432865E-2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0.96949142516512432</v>
      </c>
      <c r="H1283" s="124" t="s">
        <v>251</v>
      </c>
      <c r="I1283" s="124">
        <v>3.0508574834875662E-2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0.95360863349392455</v>
      </c>
      <c r="H1284" s="124" t="s">
        <v>251</v>
      </c>
      <c r="I1284" s="124">
        <v>4.5768300742858072E-2</v>
      </c>
      <c r="J1284" s="124">
        <v>6.2306576321740433E-4</v>
      </c>
      <c r="K1284" s="124" t="s">
        <v>251</v>
      </c>
      <c r="L1284" s="124" t="s">
        <v>251</v>
      </c>
      <c r="M1284" s="124">
        <v>5.079646099177487E-5</v>
      </c>
      <c r="N1284" s="124" t="s">
        <v>251</v>
      </c>
      <c r="O1284" s="124">
        <v>5.7226930222562943E-4</v>
      </c>
      <c r="P1284" s="124">
        <v>2.4744949789311482E-4</v>
      </c>
      <c r="Q1284" s="124">
        <v>3.2481980433251461E-4</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v>
      </c>
      <c r="F1286" s="124" t="s">
        <v>251</v>
      </c>
      <c r="G1286" s="124">
        <v>0.96581993379923559</v>
      </c>
      <c r="H1286" s="124" t="s">
        <v>251</v>
      </c>
      <c r="I1286" s="124">
        <v>3.4170534739469287E-2</v>
      </c>
      <c r="J1286" s="124">
        <v>9.5314612952256327E-6</v>
      </c>
      <c r="K1286" s="124" t="s">
        <v>251</v>
      </c>
      <c r="L1286" s="124" t="s">
        <v>251</v>
      </c>
      <c r="M1286" s="124">
        <v>9.5314612952256327E-6</v>
      </c>
      <c r="N1286" s="124" t="s">
        <v>251</v>
      </c>
      <c r="O1286" s="124">
        <v>0</v>
      </c>
      <c r="P1286" s="124">
        <v>0</v>
      </c>
      <c r="Q1286" s="124">
        <v>0</v>
      </c>
      <c r="R1286" s="124"/>
    </row>
    <row r="1287" spans="1:18" ht="15">
      <c r="A1287" s="105">
        <v>43</v>
      </c>
      <c r="B1287" s="105"/>
      <c r="C1287" s="107" t="s">
        <v>1043</v>
      </c>
      <c r="D1287" s="107" t="s">
        <v>693</v>
      </c>
      <c r="E1287" s="124">
        <v>1.0000000000000002</v>
      </c>
      <c r="F1287" s="124" t="s">
        <v>251</v>
      </c>
      <c r="G1287" s="124">
        <v>0.95003195393362816</v>
      </c>
      <c r="H1287" s="124" t="s">
        <v>251</v>
      </c>
      <c r="I1287" s="124">
        <v>4.9682107773700274E-2</v>
      </c>
      <c r="J1287" s="124">
        <v>2.859382926716783E-4</v>
      </c>
      <c r="K1287" s="124" t="s">
        <v>251</v>
      </c>
      <c r="L1287" s="124" t="s">
        <v>251</v>
      </c>
      <c r="M1287" s="124">
        <v>6.5884399233105599E-6</v>
      </c>
      <c r="N1287" s="124" t="s">
        <v>251</v>
      </c>
      <c r="O1287" s="124">
        <v>2.7934985274836777E-4</v>
      </c>
      <c r="P1287" s="124">
        <v>1.1200347869627952E-4</v>
      </c>
      <c r="Q1287" s="124">
        <v>1.6734637405208823E-4</v>
      </c>
      <c r="R1287" s="124"/>
    </row>
    <row r="1288" spans="1:18" ht="15">
      <c r="A1288" s="105">
        <v>44</v>
      </c>
      <c r="B1288" s="105"/>
      <c r="C1288" s="107" t="s">
        <v>1044</v>
      </c>
      <c r="D1288" s="107" t="s">
        <v>703</v>
      </c>
      <c r="E1288" s="124">
        <v>1</v>
      </c>
      <c r="F1288" s="124" t="s">
        <v>251</v>
      </c>
      <c r="G1288" s="124">
        <v>0.99069472996649699</v>
      </c>
      <c r="H1288" s="124" t="s">
        <v>251</v>
      </c>
      <c r="I1288" s="124">
        <v>9.3042775066559807E-3</v>
      </c>
      <c r="J1288" s="124">
        <v>9.9252684706354029E-7</v>
      </c>
      <c r="K1288" s="124" t="s">
        <v>251</v>
      </c>
      <c r="L1288" s="124" t="s">
        <v>251</v>
      </c>
      <c r="M1288" s="124">
        <v>9.9252684706354029E-7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0.93317600966394321</v>
      </c>
      <c r="H1289" s="124" t="s">
        <v>251</v>
      </c>
      <c r="I1289" s="124">
        <v>6.5228446112549979E-2</v>
      </c>
      <c r="J1289" s="124">
        <v>1.5955442235068013E-3</v>
      </c>
      <c r="K1289" s="124" t="s">
        <v>251</v>
      </c>
      <c r="L1289" s="124" t="s">
        <v>251</v>
      </c>
      <c r="M1289" s="124">
        <v>2.1089371516474307E-4</v>
      </c>
      <c r="N1289" s="124" t="s">
        <v>251</v>
      </c>
      <c r="O1289" s="124">
        <v>1.3846505083420582E-3</v>
      </c>
      <c r="P1289" s="124">
        <v>1.2624209267221127E-3</v>
      </c>
      <c r="Q1289" s="124">
        <v>1.2222958161994552E-4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5.1073574787019391E-2</v>
      </c>
      <c r="J1292" s="124">
        <v>5.4482354073554802E-6</v>
      </c>
      <c r="K1292" s="124" t="s">
        <v>251</v>
      </c>
      <c r="L1292" s="124" t="s">
        <v>251</v>
      </c>
      <c r="M1292" s="124">
        <v>5.4482354073554802E-6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0.50632304693712848</v>
      </c>
      <c r="Q1293" s="124">
        <v>0.49367695306287152</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0.94298756914344861</v>
      </c>
      <c r="H1295" s="124" t="s">
        <v>251</v>
      </c>
      <c r="I1295" s="124">
        <v>4.2222562236253675E-2</v>
      </c>
      <c r="J1295" s="124">
        <v>1.4789868620297776E-2</v>
      </c>
      <c r="K1295" s="124" t="s">
        <v>251</v>
      </c>
      <c r="L1295" s="124" t="s">
        <v>251</v>
      </c>
      <c r="M1295" s="124">
        <v>2.5186850734283827E-8</v>
      </c>
      <c r="N1295" s="124" t="s">
        <v>251</v>
      </c>
      <c r="O1295" s="124">
        <v>1.4789843433447043E-2</v>
      </c>
      <c r="P1295" s="124">
        <v>7.4884385909459884E-3</v>
      </c>
      <c r="Q1295" s="124">
        <v>7.3014048425010542E-3</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0.95714357272741712</v>
      </c>
      <c r="H1297" s="124" t="s">
        <v>251</v>
      </c>
      <c r="I1297" s="124">
        <v>4.2856401707630436E-2</v>
      </c>
      <c r="J1297" s="124">
        <v>2.5564952377328037E-8</v>
      </c>
      <c r="K1297" s="124" t="s">
        <v>251</v>
      </c>
      <c r="L1297" s="124" t="s">
        <v>251</v>
      </c>
      <c r="M1297" s="124">
        <v>2.5564952377328037E-8</v>
      </c>
      <c r="N1297" s="124" t="s">
        <v>251</v>
      </c>
      <c r="O1297" s="124">
        <v>0</v>
      </c>
      <c r="P1297" s="124">
        <v>0</v>
      </c>
      <c r="Q1297" s="124">
        <v>0</v>
      </c>
      <c r="R1297" s="124"/>
    </row>
    <row r="1298" spans="1:18" ht="15">
      <c r="A1298" s="105">
        <v>7</v>
      </c>
      <c r="B1298" s="105"/>
      <c r="C1298" s="107" t="s">
        <v>1056</v>
      </c>
      <c r="D1298" s="107" t="s">
        <v>747</v>
      </c>
      <c r="E1298" s="124">
        <v>1</v>
      </c>
      <c r="F1298" s="124" t="s">
        <v>251</v>
      </c>
      <c r="G1298" s="124">
        <v>0.99810520022843596</v>
      </c>
      <c r="H1298" s="124" t="s">
        <v>251</v>
      </c>
      <c r="I1298" s="124">
        <v>0</v>
      </c>
      <c r="J1298" s="124">
        <v>1.8947997715640604E-3</v>
      </c>
      <c r="K1298" s="124" t="s">
        <v>251</v>
      </c>
      <c r="L1298" s="124" t="s">
        <v>251</v>
      </c>
      <c r="M1298" s="124">
        <v>0</v>
      </c>
      <c r="N1298" s="124" t="s">
        <v>251</v>
      </c>
      <c r="O1298" s="124">
        <v>1.8947997715640604E-3</v>
      </c>
      <c r="P1298" s="124">
        <v>1.8809171743553493E-3</v>
      </c>
      <c r="Q1298" s="124">
        <v>1.3882597208711188E-5</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1.0000000000000002</v>
      </c>
      <c r="F1301" s="124" t="s">
        <v>251</v>
      </c>
      <c r="G1301" s="124">
        <v>0.93811409830939052</v>
      </c>
      <c r="H1301" s="124" t="s">
        <v>251</v>
      </c>
      <c r="I1301" s="124">
        <v>4.7621062903140693E-2</v>
      </c>
      <c r="J1301" s="124">
        <v>1.4264838787468872E-2</v>
      </c>
      <c r="K1301" s="124" t="s">
        <v>251</v>
      </c>
      <c r="L1301" s="124" t="s">
        <v>251</v>
      </c>
      <c r="M1301" s="124">
        <v>8.2242803142685593E-5</v>
      </c>
      <c r="N1301" s="124" t="s">
        <v>251</v>
      </c>
      <c r="O1301" s="124">
        <v>1.4182595984326186E-2</v>
      </c>
      <c r="P1301" s="124">
        <v>7.3734895598169094E-3</v>
      </c>
      <c r="Q1301" s="124">
        <v>6.8091064245092755E-3</v>
      </c>
      <c r="R1301" s="124"/>
    </row>
    <row r="1302" spans="1:18" ht="15">
      <c r="A1302" s="105">
        <v>11</v>
      </c>
      <c r="B1302" s="105"/>
      <c r="C1302" s="107" t="s">
        <v>547</v>
      </c>
      <c r="D1302" s="107" t="s">
        <v>782</v>
      </c>
      <c r="E1302" s="124">
        <v>0.99999999999999989</v>
      </c>
      <c r="F1302" s="124" t="s">
        <v>251</v>
      </c>
      <c r="G1302" s="124">
        <v>0.93818723051555686</v>
      </c>
      <c r="H1302" s="124" t="s">
        <v>251</v>
      </c>
      <c r="I1302" s="124">
        <v>4.7362482254638266E-2</v>
      </c>
      <c r="J1302" s="124">
        <v>1.4450287229804824E-2</v>
      </c>
      <c r="K1302" s="124" t="s">
        <v>251</v>
      </c>
      <c r="L1302" s="124" t="s">
        <v>251</v>
      </c>
      <c r="M1302" s="124">
        <v>7.9492289548238349E-5</v>
      </c>
      <c r="N1302" s="124" t="s">
        <v>251</v>
      </c>
      <c r="O1302" s="124">
        <v>1.4370794940256585E-2</v>
      </c>
      <c r="P1302" s="124">
        <v>7.4551227369687601E-3</v>
      </c>
      <c r="Q1302" s="124">
        <v>6.9156722032878253E-3</v>
      </c>
      <c r="R1302" s="124"/>
    </row>
    <row r="1303" spans="1:18" ht="15">
      <c r="A1303" s="105">
        <v>12</v>
      </c>
      <c r="B1303" s="105"/>
      <c r="C1303" s="107" t="s">
        <v>1059</v>
      </c>
      <c r="D1303" s="107" t="s">
        <v>786</v>
      </c>
      <c r="E1303" s="124">
        <v>1</v>
      </c>
      <c r="F1303" s="124" t="s">
        <v>251</v>
      </c>
      <c r="G1303" s="124">
        <v>0.7788225176236363</v>
      </c>
      <c r="H1303" s="124" t="s">
        <v>251</v>
      </c>
      <c r="I1303" s="124">
        <v>0</v>
      </c>
      <c r="J1303" s="124">
        <v>0.2211774823763637</v>
      </c>
      <c r="K1303" s="124" t="s">
        <v>251</v>
      </c>
      <c r="L1303" s="124" t="s">
        <v>251</v>
      </c>
      <c r="M1303" s="124">
        <v>0</v>
      </c>
      <c r="N1303" s="124" t="s">
        <v>251</v>
      </c>
      <c r="O1303" s="124">
        <v>0.2211774823763637</v>
      </c>
      <c r="P1303" s="124">
        <v>0.11217503775284247</v>
      </c>
      <c r="Q1303" s="124">
        <v>0.10900244462352121</v>
      </c>
      <c r="R1303" s="124"/>
    </row>
    <row r="1304" spans="1:18" ht="15">
      <c r="A1304" s="105">
        <v>13</v>
      </c>
      <c r="B1304" s="105"/>
      <c r="C1304" s="107" t="s">
        <v>1155</v>
      </c>
      <c r="D1304" s="107" t="s">
        <v>1061</v>
      </c>
      <c r="E1304" s="124">
        <v>1</v>
      </c>
      <c r="F1304" s="124" t="s">
        <v>251</v>
      </c>
      <c r="G1304" s="124">
        <v>0.93945361739915301</v>
      </c>
      <c r="H1304" s="124" t="s">
        <v>251</v>
      </c>
      <c r="I1304" s="124">
        <v>4.5937866752472585E-2</v>
      </c>
      <c r="J1304" s="124">
        <v>1.460851584837441E-2</v>
      </c>
      <c r="K1304" s="124" t="s">
        <v>251</v>
      </c>
      <c r="L1304" s="124" t="s">
        <v>251</v>
      </c>
      <c r="M1304" s="124">
        <v>7.0947413438758703E-5</v>
      </c>
      <c r="N1304" s="124" t="s">
        <v>251</v>
      </c>
      <c r="O1304" s="124">
        <v>1.4537568434935651E-2</v>
      </c>
      <c r="P1304" s="124">
        <v>7.5558411863154342E-3</v>
      </c>
      <c r="Q1304" s="124">
        <v>6.9817272486202156E-3</v>
      </c>
      <c r="R1304" s="124"/>
    </row>
    <row r="1305" spans="1:18" ht="15">
      <c r="A1305" s="105">
        <v>14</v>
      </c>
      <c r="B1305" s="105"/>
      <c r="C1305" s="107" t="s">
        <v>1062</v>
      </c>
      <c r="D1305" s="107" t="s">
        <v>1063</v>
      </c>
      <c r="E1305" s="124">
        <v>0.99999999999999989</v>
      </c>
      <c r="F1305" s="124" t="s">
        <v>251</v>
      </c>
      <c r="G1305" s="124">
        <v>0.94019099233219072</v>
      </c>
      <c r="H1305" s="124" t="s">
        <v>251</v>
      </c>
      <c r="I1305" s="124">
        <v>3.9135792051128208E-2</v>
      </c>
      <c r="J1305" s="124">
        <v>2.0673215616681014E-2</v>
      </c>
      <c r="K1305" s="124" t="s">
        <v>251</v>
      </c>
      <c r="L1305" s="124" t="s">
        <v>251</v>
      </c>
      <c r="M1305" s="124">
        <v>4.0512878422399452E-6</v>
      </c>
      <c r="N1305" s="124" t="s">
        <v>251</v>
      </c>
      <c r="O1305" s="124">
        <v>2.0669164328838772E-2</v>
      </c>
      <c r="P1305" s="124">
        <v>1.046961486931368E-2</v>
      </c>
      <c r="Q1305" s="124">
        <v>1.0199549459525092E-2</v>
      </c>
      <c r="R1305" s="124"/>
    </row>
    <row r="1306" spans="1:18" ht="15">
      <c r="A1306" s="105">
        <v>15</v>
      </c>
      <c r="B1306" s="105"/>
      <c r="C1306" s="107" t="s">
        <v>1064</v>
      </c>
      <c r="D1306" s="107" t="s">
        <v>1065</v>
      </c>
      <c r="E1306" s="124">
        <v>0.99999999999999989</v>
      </c>
      <c r="F1306" s="124" t="s">
        <v>251</v>
      </c>
      <c r="G1306" s="124">
        <v>0.92729553775695028</v>
      </c>
      <c r="H1306" s="124" t="s">
        <v>251</v>
      </c>
      <c r="I1306" s="124">
        <v>4.7520725497934235E-2</v>
      </c>
      <c r="J1306" s="124">
        <v>2.5183736745115457E-2</v>
      </c>
      <c r="K1306" s="124" t="s">
        <v>251</v>
      </c>
      <c r="L1306" s="124" t="s">
        <v>251</v>
      </c>
      <c r="M1306" s="124">
        <v>2.722254131274248E-6</v>
      </c>
      <c r="N1306" s="124" t="s">
        <v>251</v>
      </c>
      <c r="O1306" s="124">
        <v>2.5181014490984182E-2</v>
      </c>
      <c r="P1306" s="124">
        <v>1.2753941508101227E-2</v>
      </c>
      <c r="Q1306" s="124">
        <v>1.2427072982882955E-2</v>
      </c>
      <c r="R1306" s="124"/>
    </row>
    <row r="1307" spans="1:18" ht="15">
      <c r="A1307" s="105">
        <v>16</v>
      </c>
      <c r="B1307" s="105"/>
      <c r="C1307" s="107" t="s">
        <v>1066</v>
      </c>
      <c r="D1307" s="107" t="s">
        <v>1067</v>
      </c>
      <c r="E1307" s="124">
        <v>1</v>
      </c>
      <c r="F1307" s="124" t="s">
        <v>251</v>
      </c>
      <c r="G1307" s="124">
        <v>0.9370275402490954</v>
      </c>
      <c r="H1307" s="124" t="s">
        <v>251</v>
      </c>
      <c r="I1307" s="124">
        <v>4.2827654513430367E-2</v>
      </c>
      <c r="J1307" s="124">
        <v>2.0144805237474261E-2</v>
      </c>
      <c r="K1307" s="124" t="s">
        <v>251</v>
      </c>
      <c r="L1307" s="124" t="s">
        <v>251</v>
      </c>
      <c r="M1307" s="124">
        <v>3.0016940411848834E-6</v>
      </c>
      <c r="N1307" s="124" t="s">
        <v>251</v>
      </c>
      <c r="O1307" s="124">
        <v>2.0141803543433076E-2</v>
      </c>
      <c r="P1307" s="124">
        <v>1.0215359848658786E-2</v>
      </c>
      <c r="Q1307" s="124">
        <v>9.926443694774292E-3</v>
      </c>
      <c r="R1307" s="124"/>
    </row>
    <row r="1308" spans="1:18" ht="15">
      <c r="A1308" s="105">
        <v>17</v>
      </c>
      <c r="B1308" s="105"/>
      <c r="C1308" s="107" t="s">
        <v>1068</v>
      </c>
      <c r="D1308" s="107" t="s">
        <v>1069</v>
      </c>
      <c r="E1308" s="124">
        <v>1</v>
      </c>
      <c r="F1308" s="124" t="s">
        <v>251</v>
      </c>
      <c r="G1308" s="124">
        <v>0.93758639334427918</v>
      </c>
      <c r="H1308" s="124" t="s">
        <v>251</v>
      </c>
      <c r="I1308" s="124">
        <v>4.2204636173819997E-2</v>
      </c>
      <c r="J1308" s="124">
        <v>2.0208970481900818E-2</v>
      </c>
      <c r="K1308" s="124" t="s">
        <v>251</v>
      </c>
      <c r="L1308" s="124" t="s">
        <v>251</v>
      </c>
      <c r="M1308" s="124">
        <v>3.1714922459272975E-6</v>
      </c>
      <c r="N1308" s="124" t="s">
        <v>251</v>
      </c>
      <c r="O1308" s="124">
        <v>2.020579898965489E-2</v>
      </c>
      <c r="P1308" s="124">
        <v>1.0245606636399167E-2</v>
      </c>
      <c r="Q1308" s="124">
        <v>9.9601923532557229E-3</v>
      </c>
      <c r="R1308" s="124"/>
    </row>
    <row r="1309" spans="1:18" ht="15">
      <c r="A1309" s="105">
        <v>18</v>
      </c>
      <c r="B1309" s="105"/>
      <c r="C1309" s="107" t="s">
        <v>1070</v>
      </c>
      <c r="D1309" s="107" t="s">
        <v>1071</v>
      </c>
      <c r="E1309" s="124">
        <v>1</v>
      </c>
      <c r="F1309" s="124" t="s">
        <v>251</v>
      </c>
      <c r="G1309" s="124">
        <v>0.94098748733512572</v>
      </c>
      <c r="H1309" s="124" t="s">
        <v>251</v>
      </c>
      <c r="I1309" s="124">
        <v>3.8410575486746312E-2</v>
      </c>
      <c r="J1309" s="124">
        <v>2.0601937178127985E-2</v>
      </c>
      <c r="K1309" s="124" t="s">
        <v>251</v>
      </c>
      <c r="L1309" s="124" t="s">
        <v>251</v>
      </c>
      <c r="M1309" s="124">
        <v>4.2053579558951627E-6</v>
      </c>
      <c r="N1309" s="124" t="s">
        <v>251</v>
      </c>
      <c r="O1309" s="124">
        <v>2.0597731820172091E-2</v>
      </c>
      <c r="P1309" s="124">
        <v>1.0430927871492074E-2</v>
      </c>
      <c r="Q1309" s="124">
        <v>1.0166803948680017E-2</v>
      </c>
      <c r="R1309" s="124"/>
    </row>
    <row r="1310" spans="1:18" ht="15">
      <c r="A1310" s="105">
        <v>19</v>
      </c>
      <c r="B1310" s="105"/>
      <c r="C1310" s="107" t="s">
        <v>1072</v>
      </c>
      <c r="D1310" s="107" t="s">
        <v>1073</v>
      </c>
      <c r="E1310" s="124">
        <v>1.0000000000000002</v>
      </c>
      <c r="F1310" s="124" t="s">
        <v>251</v>
      </c>
      <c r="G1310" s="124">
        <v>0.91165109277845602</v>
      </c>
      <c r="H1310" s="124" t="s">
        <v>251</v>
      </c>
      <c r="I1310" s="124">
        <v>5.9593968669697975E-2</v>
      </c>
      <c r="J1310" s="124">
        <v>2.8754938551846087E-2</v>
      </c>
      <c r="K1310" s="124" t="s">
        <v>251</v>
      </c>
      <c r="L1310" s="124" t="s">
        <v>251</v>
      </c>
      <c r="M1310" s="124">
        <v>2.265694603616043E-6</v>
      </c>
      <c r="N1310" s="124" t="s">
        <v>251</v>
      </c>
      <c r="O1310" s="124">
        <v>2.8752672857242471E-2</v>
      </c>
      <c r="P1310" s="124">
        <v>1.4582552114269754E-2</v>
      </c>
      <c r="Q1310" s="124">
        <v>1.4170120742972718E-2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1.0000000000000002</v>
      </c>
      <c r="F1317" s="124" t="s">
        <v>251</v>
      </c>
      <c r="G1317" s="124">
        <v>0.905770863043873</v>
      </c>
      <c r="H1317" s="124" t="s">
        <v>251</v>
      </c>
      <c r="I1317" s="124">
        <v>9.4226236821089077E-2</v>
      </c>
      <c r="J1317" s="124">
        <v>2.9001350380139979E-6</v>
      </c>
      <c r="K1317" s="124" t="s">
        <v>251</v>
      </c>
      <c r="L1317" s="124" t="s">
        <v>251</v>
      </c>
      <c r="M1317" s="124">
        <v>2.9001350380139979E-6</v>
      </c>
      <c r="N1317" s="124" t="s">
        <v>251</v>
      </c>
      <c r="O1317" s="124">
        <v>0</v>
      </c>
      <c r="P1317" s="124">
        <v>0</v>
      </c>
      <c r="Q1317" s="124">
        <v>0</v>
      </c>
      <c r="R1317" s="124"/>
    </row>
    <row r="1318" spans="1:18" ht="15">
      <c r="A1318" s="105">
        <v>27</v>
      </c>
      <c r="B1318" s="105"/>
      <c r="C1318" s="107" t="s">
        <v>1088</v>
      </c>
      <c r="D1318" s="107" t="s">
        <v>1089</v>
      </c>
      <c r="E1318" s="124">
        <v>0.99999999999999989</v>
      </c>
      <c r="F1318" s="124" t="s">
        <v>251</v>
      </c>
      <c r="G1318" s="124">
        <v>0.90608149546282879</v>
      </c>
      <c r="H1318" s="124" t="s">
        <v>251</v>
      </c>
      <c r="I1318" s="124">
        <v>9.3915613962615052E-2</v>
      </c>
      <c r="J1318" s="124">
        <v>2.8905745560732928E-6</v>
      </c>
      <c r="K1318" s="124" t="s">
        <v>251</v>
      </c>
      <c r="L1318" s="124" t="s">
        <v>251</v>
      </c>
      <c r="M1318" s="124">
        <v>2.8905745560732928E-6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0.90577086304387289</v>
      </c>
      <c r="H1319" s="124" t="s">
        <v>251</v>
      </c>
      <c r="I1319" s="124">
        <v>9.4226236821089077E-2</v>
      </c>
      <c r="J1319" s="124">
        <v>2.9001350380139979E-6</v>
      </c>
      <c r="K1319" s="124" t="s">
        <v>251</v>
      </c>
      <c r="L1319" s="124" t="s">
        <v>251</v>
      </c>
      <c r="M1319" s="124">
        <v>2.9001350380139979E-6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0.94647022099099021</v>
      </c>
      <c r="H1321" s="124" t="s">
        <v>251</v>
      </c>
      <c r="I1321" s="124">
        <v>5.1380427017536291E-2</v>
      </c>
      <c r="J1321" s="124">
        <v>2.1493519914734509E-3</v>
      </c>
      <c r="K1321" s="124" t="s">
        <v>251</v>
      </c>
      <c r="L1321" s="124" t="s">
        <v>251</v>
      </c>
      <c r="M1321" s="124">
        <v>3.1341838879544678E-4</v>
      </c>
      <c r="N1321" s="124" t="s">
        <v>251</v>
      </c>
      <c r="O1321" s="124">
        <v>1.8359336026780044E-3</v>
      </c>
      <c r="P1321" s="124">
        <v>1.7148288357051536E-3</v>
      </c>
      <c r="Q1321" s="124">
        <v>1.2110476697285079E-4</v>
      </c>
      <c r="R1321" s="124"/>
    </row>
    <row r="1322" spans="1:18" ht="15">
      <c r="A1322" s="105">
        <v>31</v>
      </c>
      <c r="B1322" s="105"/>
      <c r="C1322" s="107" t="s">
        <v>1095</v>
      </c>
      <c r="D1322" s="107" t="s">
        <v>1096</v>
      </c>
      <c r="E1322" s="124">
        <v>1</v>
      </c>
      <c r="F1322" s="124" t="s">
        <v>251</v>
      </c>
      <c r="G1322" s="124">
        <v>0.9406762052542389</v>
      </c>
      <c r="H1322" s="124" t="s">
        <v>251</v>
      </c>
      <c r="I1322" s="124">
        <v>5.8699263745593644E-2</v>
      </c>
      <c r="J1322" s="124">
        <v>6.2453100016745167E-4</v>
      </c>
      <c r="K1322" s="124" t="s">
        <v>251</v>
      </c>
      <c r="L1322" s="124" t="s">
        <v>251</v>
      </c>
      <c r="M1322" s="124">
        <v>1.6158331523374549E-4</v>
      </c>
      <c r="N1322" s="124" t="s">
        <v>251</v>
      </c>
      <c r="O1322" s="124">
        <v>4.6294768493370617E-4</v>
      </c>
      <c r="P1322" s="124">
        <v>4.6281434872881306E-4</v>
      </c>
      <c r="Q1322" s="124">
        <v>1.3333620489310622E-7</v>
      </c>
      <c r="R1322" s="124"/>
    </row>
    <row r="1323" spans="1:18" ht="15">
      <c r="A1323" s="105">
        <v>32</v>
      </c>
      <c r="B1323" s="105"/>
      <c r="C1323" s="107" t="s">
        <v>1097</v>
      </c>
      <c r="D1323" s="107" t="s">
        <v>1098</v>
      </c>
      <c r="E1323" s="124">
        <v>0.99999999999999989</v>
      </c>
      <c r="F1323" s="124" t="s">
        <v>251</v>
      </c>
      <c r="G1323" s="124">
        <v>0.94888382749771294</v>
      </c>
      <c r="H1323" s="124" t="s">
        <v>251</v>
      </c>
      <c r="I1323" s="124">
        <v>4.8987181715533103E-2</v>
      </c>
      <c r="J1323" s="124">
        <v>2.1289907867539275E-3</v>
      </c>
      <c r="K1323" s="124" t="s">
        <v>251</v>
      </c>
      <c r="L1323" s="124" t="s">
        <v>251</v>
      </c>
      <c r="M1323" s="124">
        <v>3.2763271430625044E-4</v>
      </c>
      <c r="N1323" s="124" t="s">
        <v>251</v>
      </c>
      <c r="O1323" s="124">
        <v>1.8013580724476768E-3</v>
      </c>
      <c r="P1323" s="124">
        <v>1.7881600929441175E-3</v>
      </c>
      <c r="Q1323" s="124">
        <v>1.319797950355939E-5</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0.95003195393362805</v>
      </c>
      <c r="H1325" s="124" t="s">
        <v>251</v>
      </c>
      <c r="I1325" s="124">
        <v>4.9682107773700267E-2</v>
      </c>
      <c r="J1325" s="124">
        <v>2.8593829267167825E-4</v>
      </c>
      <c r="K1325" s="124" t="s">
        <v>251</v>
      </c>
      <c r="L1325" s="124" t="s">
        <v>251</v>
      </c>
      <c r="M1325" s="124">
        <v>6.5884399233105591E-6</v>
      </c>
      <c r="N1325" s="124" t="s">
        <v>251</v>
      </c>
      <c r="O1325" s="124">
        <v>2.7934985274836771E-4</v>
      </c>
      <c r="P1325" s="124">
        <v>1.1200347869627951E-4</v>
      </c>
      <c r="Q1325" s="124">
        <v>1.6734637405208821E-4</v>
      </c>
      <c r="R1325" s="124"/>
    </row>
    <row r="1326" spans="1:18" ht="15">
      <c r="A1326" s="105">
        <v>35</v>
      </c>
      <c r="B1326" s="105"/>
      <c r="C1326" s="107" t="s">
        <v>1102</v>
      </c>
      <c r="D1326" s="107" t="s">
        <v>685</v>
      </c>
      <c r="E1326" s="124">
        <v>1</v>
      </c>
      <c r="F1326" s="124" t="s">
        <v>251</v>
      </c>
      <c r="G1326" s="124">
        <v>0.95003195393362805</v>
      </c>
      <c r="H1326" s="124" t="s">
        <v>251</v>
      </c>
      <c r="I1326" s="124">
        <v>4.9682107773700267E-2</v>
      </c>
      <c r="J1326" s="124">
        <v>2.8593829267167825E-4</v>
      </c>
      <c r="K1326" s="124" t="s">
        <v>251</v>
      </c>
      <c r="L1326" s="124" t="s">
        <v>251</v>
      </c>
      <c r="M1326" s="124">
        <v>6.5884399233105591E-6</v>
      </c>
      <c r="N1326" s="124" t="s">
        <v>251</v>
      </c>
      <c r="O1326" s="124">
        <v>2.7934985274836771E-4</v>
      </c>
      <c r="P1326" s="124">
        <v>1.1200347869627951E-4</v>
      </c>
      <c r="Q1326" s="124">
        <v>1.6734637405208823E-4</v>
      </c>
      <c r="R1326" s="124"/>
    </row>
    <row r="1327" spans="1:18" ht="15">
      <c r="A1327" s="105">
        <v>36</v>
      </c>
      <c r="B1327" s="105"/>
      <c r="C1327" s="107" t="s">
        <v>1162</v>
      </c>
      <c r="D1327" s="107" t="s">
        <v>893</v>
      </c>
      <c r="E1327" s="124">
        <v>0.99999999999999989</v>
      </c>
      <c r="F1327" s="124" t="s">
        <v>251</v>
      </c>
      <c r="G1327" s="124">
        <v>0.98727798895375041</v>
      </c>
      <c r="H1327" s="124" t="s">
        <v>251</v>
      </c>
      <c r="I1327" s="124">
        <v>1.2720654079985606E-2</v>
      </c>
      <c r="J1327" s="124">
        <v>1.3569662639105649E-6</v>
      </c>
      <c r="K1327" s="124" t="s">
        <v>251</v>
      </c>
      <c r="L1327" s="124" t="s">
        <v>251</v>
      </c>
      <c r="M1327" s="124">
        <v>1.3569662639105649E-6</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0.95003195393362805</v>
      </c>
      <c r="H1328" s="124" t="s">
        <v>251</v>
      </c>
      <c r="I1328" s="124">
        <v>4.9682107773700267E-2</v>
      </c>
      <c r="J1328" s="124">
        <v>2.8593829267167825E-4</v>
      </c>
      <c r="K1328" s="124" t="s">
        <v>251</v>
      </c>
      <c r="L1328" s="124" t="s">
        <v>251</v>
      </c>
      <c r="M1328" s="124">
        <v>6.5884399233105591E-6</v>
      </c>
      <c r="N1328" s="124" t="s">
        <v>251</v>
      </c>
      <c r="O1328" s="124">
        <v>2.7934985274836771E-4</v>
      </c>
      <c r="P1328" s="124">
        <v>1.1200347869627951E-4</v>
      </c>
      <c r="Q1328" s="124">
        <v>1.6734637405208823E-4</v>
      </c>
      <c r="R1328" s="124"/>
    </row>
    <row r="1329" spans="1:18" ht="15">
      <c r="A1329" s="105">
        <v>38</v>
      </c>
      <c r="B1329" s="105"/>
      <c r="C1329" s="107" t="s">
        <v>1106</v>
      </c>
      <c r="D1329" s="107" t="s">
        <v>1107</v>
      </c>
      <c r="E1329" s="124">
        <v>1</v>
      </c>
      <c r="F1329" s="124" t="s">
        <v>251</v>
      </c>
      <c r="G1329" s="124">
        <v>0.94892097697757327</v>
      </c>
      <c r="H1329" s="124" t="s">
        <v>251</v>
      </c>
      <c r="I1329" s="124">
        <v>5.1073574787019391E-2</v>
      </c>
      <c r="J1329" s="124">
        <v>5.4482354073554802E-6</v>
      </c>
      <c r="K1329" s="124" t="s">
        <v>251</v>
      </c>
      <c r="L1329" s="124" t="s">
        <v>251</v>
      </c>
      <c r="M1329" s="124">
        <v>5.4482354073554802E-6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0.98727798895375052</v>
      </c>
      <c r="H1330" s="124" t="s">
        <v>251</v>
      </c>
      <c r="I1330" s="124">
        <v>1.2720654079985608E-2</v>
      </c>
      <c r="J1330" s="124">
        <v>1.3569662639105649E-6</v>
      </c>
      <c r="K1330" s="124" t="s">
        <v>251</v>
      </c>
      <c r="L1330" s="124" t="s">
        <v>251</v>
      </c>
      <c r="M1330" s="124">
        <v>1.3569662639105649E-6</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0.94015460579740817</v>
      </c>
      <c r="H1331" s="124" t="s">
        <v>251</v>
      </c>
      <c r="I1331" s="124">
        <v>4.7624719185309E-2</v>
      </c>
      <c r="J1331" s="124">
        <v>1.222067501728287E-2</v>
      </c>
      <c r="K1331" s="124" t="s">
        <v>251</v>
      </c>
      <c r="L1331" s="124" t="s">
        <v>251</v>
      </c>
      <c r="M1331" s="124">
        <v>6.824037595493786E-5</v>
      </c>
      <c r="N1331" s="124" t="s">
        <v>251</v>
      </c>
      <c r="O1331" s="124">
        <v>1.2152434641327932E-2</v>
      </c>
      <c r="P1331" s="124">
        <v>6.3319475542846877E-3</v>
      </c>
      <c r="Q1331" s="124">
        <v>5.8204870870432442E-3</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0.99999999999999989</v>
      </c>
      <c r="F1335" s="124" t="s">
        <v>251</v>
      </c>
      <c r="G1335" s="124">
        <v>0.94234636829119844</v>
      </c>
      <c r="H1335" s="124" t="s">
        <v>251</v>
      </c>
      <c r="I1335" s="124">
        <v>4.6018286710491067E-2</v>
      </c>
      <c r="J1335" s="124">
        <v>1.1635344998310405E-2</v>
      </c>
      <c r="K1335" s="124" t="s">
        <v>251</v>
      </c>
      <c r="L1335" s="124" t="s">
        <v>251</v>
      </c>
      <c r="M1335" s="124">
        <v>6.7191831434167419E-5</v>
      </c>
      <c r="N1335" s="124" t="s">
        <v>251</v>
      </c>
      <c r="O1335" s="124">
        <v>1.1568153166876236E-2</v>
      </c>
      <c r="P1335" s="124">
        <v>6.0297129719647184E-3</v>
      </c>
      <c r="Q1335" s="124">
        <v>5.5384401949115187E-3</v>
      </c>
      <c r="R1335" s="124"/>
    </row>
    <row r="1336" spans="1:18" ht="15">
      <c r="A1336" s="105">
        <v>2</v>
      </c>
      <c r="B1336" s="105"/>
      <c r="C1336" s="107" t="s">
        <v>1113</v>
      </c>
      <c r="D1336" s="107" t="s">
        <v>1114</v>
      </c>
      <c r="E1336" s="124">
        <v>1</v>
      </c>
      <c r="F1336" s="124" t="s">
        <v>251</v>
      </c>
      <c r="G1336" s="124">
        <v>0.99051360669709199</v>
      </c>
      <c r="H1336" s="124" t="s">
        <v>251</v>
      </c>
      <c r="I1336" s="124">
        <v>9.4853814569324166E-3</v>
      </c>
      <c r="J1336" s="124">
        <v>1.0118459755643872E-6</v>
      </c>
      <c r="K1336" s="124" t="s">
        <v>251</v>
      </c>
      <c r="L1336" s="124" t="s">
        <v>251</v>
      </c>
      <c r="M1336" s="124">
        <v>1.0118459755643872E-6</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0.99776134375286918</v>
      </c>
      <c r="H1337" s="124" t="s">
        <v>251</v>
      </c>
      <c r="I1337" s="124">
        <v>0</v>
      </c>
      <c r="J1337" s="124">
        <v>2.2386562471307337E-3</v>
      </c>
      <c r="K1337" s="124" t="s">
        <v>251</v>
      </c>
      <c r="L1337" s="124" t="s">
        <v>251</v>
      </c>
      <c r="M1337" s="124">
        <v>3.4450925161794084E-4</v>
      </c>
      <c r="N1337" s="124" t="s">
        <v>251</v>
      </c>
      <c r="O1337" s="124">
        <v>1.8941469955127931E-3</v>
      </c>
      <c r="P1337" s="124">
        <v>1.8802691809872568E-3</v>
      </c>
      <c r="Q1337" s="124">
        <v>1.3877814525536301E-5</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0.52170146811482121</v>
      </c>
      <c r="Q1341" s="124">
        <v>0.47829853188517879</v>
      </c>
      <c r="R1341" s="124"/>
    </row>
    <row r="1342" spans="1:18" ht="15">
      <c r="A1342" s="105">
        <v>8</v>
      </c>
      <c r="B1342" s="105"/>
      <c r="C1342" s="107" t="s">
        <v>1123</v>
      </c>
      <c r="D1342" s="107" t="s">
        <v>1124</v>
      </c>
      <c r="E1342" s="124">
        <v>1</v>
      </c>
      <c r="F1342" s="124" t="s">
        <v>251</v>
      </c>
      <c r="G1342" s="124">
        <v>0.98468781745721656</v>
      </c>
      <c r="H1342" s="124" t="s">
        <v>251</v>
      </c>
      <c r="I1342" s="124">
        <v>0</v>
      </c>
      <c r="J1342" s="124">
        <v>1.5312182542783465E-2</v>
      </c>
      <c r="K1342" s="124" t="s">
        <v>251</v>
      </c>
      <c r="L1342" s="124" t="s">
        <v>251</v>
      </c>
      <c r="M1342" s="124">
        <v>7.4236149097444716E-5</v>
      </c>
      <c r="N1342" s="124" t="s">
        <v>251</v>
      </c>
      <c r="O1342" s="124">
        <v>1.523794639368602E-2</v>
      </c>
      <c r="P1342" s="124">
        <v>7.9198249589747596E-3</v>
      </c>
      <c r="Q1342" s="124">
        <v>7.3181214347112604E-3</v>
      </c>
      <c r="R1342" s="124"/>
    </row>
    <row r="1343" spans="1:18" ht="15">
      <c r="A1343" s="105">
        <v>9</v>
      </c>
      <c r="B1343" s="105"/>
      <c r="C1343" s="107" t="s">
        <v>1125</v>
      </c>
      <c r="D1343" s="107" t="s">
        <v>728</v>
      </c>
      <c r="E1343" s="124">
        <v>0.99999999999999989</v>
      </c>
      <c r="F1343" s="124" t="s">
        <v>251</v>
      </c>
      <c r="G1343" s="124">
        <v>0.95203513071213586</v>
      </c>
      <c r="H1343" s="124" t="s">
        <v>251</v>
      </c>
      <c r="I1343" s="124">
        <v>4.7894937337195E-2</v>
      </c>
      <c r="J1343" s="124">
        <v>6.993195066901865E-5</v>
      </c>
      <c r="K1343" s="124" t="s">
        <v>251</v>
      </c>
      <c r="L1343" s="124" t="s">
        <v>251</v>
      </c>
      <c r="M1343" s="124">
        <v>6.993195066901865E-5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0.95550049685621619</v>
      </c>
      <c r="H1344" s="124" t="s">
        <v>251</v>
      </c>
      <c r="I1344" s="124">
        <v>4.4496443843822737E-2</v>
      </c>
      <c r="J1344" s="124">
        <v>3.05929996105795E-6</v>
      </c>
      <c r="K1344" s="124" t="s">
        <v>251</v>
      </c>
      <c r="L1344" s="124" t="s">
        <v>251</v>
      </c>
      <c r="M1344" s="124">
        <v>3.05929996105795E-6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B1346" s="105"/>
      <c r="C1346" s="107" t="s">
        <v>251</v>
      </c>
      <c r="D1346" s="107" t="s">
        <v>251</v>
      </c>
      <c r="E1346" s="124" t="s">
        <v>251</v>
      </c>
      <c r="F1346" s="124" t="s">
        <v>251</v>
      </c>
      <c r="G1346" s="124" t="s">
        <v>251</v>
      </c>
      <c r="H1346" s="124" t="s">
        <v>251</v>
      </c>
      <c r="I1346" s="124" t="s">
        <v>251</v>
      </c>
      <c r="J1346" s="124" t="s">
        <v>251</v>
      </c>
      <c r="K1346" s="124" t="s">
        <v>251</v>
      </c>
      <c r="L1346" s="124" t="s">
        <v>251</v>
      </c>
      <c r="M1346" s="124" t="s">
        <v>251</v>
      </c>
      <c r="N1346" s="124" t="s">
        <v>251</v>
      </c>
      <c r="O1346" s="124" t="s">
        <v>251</v>
      </c>
      <c r="P1346" s="124" t="s">
        <v>251</v>
      </c>
      <c r="Q1346" s="124" t="s">
        <v>251</v>
      </c>
      <c r="R1346" s="124"/>
    </row>
    <row r="1347" spans="1:18" ht="15">
      <c r="A1347" s="105">
        <v>13</v>
      </c>
      <c r="B1347" s="105"/>
      <c r="C1347" s="107" t="s">
        <v>251</v>
      </c>
      <c r="D1347" s="107" t="s">
        <v>251</v>
      </c>
      <c r="E1347" s="124" t="s">
        <v>251</v>
      </c>
      <c r="F1347" s="124" t="s">
        <v>251</v>
      </c>
      <c r="G1347" s="124" t="s">
        <v>251</v>
      </c>
      <c r="H1347" s="124" t="s">
        <v>251</v>
      </c>
      <c r="I1347" s="124" t="s">
        <v>251</v>
      </c>
      <c r="J1347" s="124" t="s">
        <v>251</v>
      </c>
      <c r="K1347" s="124" t="s">
        <v>251</v>
      </c>
      <c r="L1347" s="124" t="s">
        <v>251</v>
      </c>
      <c r="M1347" s="124" t="s">
        <v>251</v>
      </c>
      <c r="N1347" s="124" t="s">
        <v>251</v>
      </c>
      <c r="O1347" s="124" t="s">
        <v>251</v>
      </c>
      <c r="P1347" s="124" t="s">
        <v>251</v>
      </c>
      <c r="Q1347" s="124" t="s">
        <v>251</v>
      </c>
      <c r="R1347" s="124"/>
    </row>
    <row r="1348" spans="1:18" ht="15">
      <c r="C1348" s="107"/>
      <c r="D1348" s="107"/>
      <c r="E1348" s="124"/>
      <c r="F1348" s="124"/>
      <c r="G1348" s="124"/>
      <c r="H1348" s="124"/>
      <c r="I1348" s="124"/>
      <c r="J1348" s="124"/>
      <c r="K1348" s="124"/>
      <c r="L1348" s="124"/>
      <c r="M1348" s="124"/>
      <c r="N1348" s="124"/>
      <c r="O1348" s="124"/>
      <c r="P1348" s="124"/>
      <c r="Q1348" s="124"/>
    </row>
    <row r="1350" spans="1:18" ht="15">
      <c r="B1350" s="125"/>
      <c r="R1350" s="126"/>
    </row>
    <row r="1351" spans="1:18" ht="15">
      <c r="B1351" s="125"/>
      <c r="R1351" s="126"/>
    </row>
    <row r="1352" spans="1:18" ht="15">
      <c r="B1352" s="125"/>
      <c r="R1352" s="126"/>
    </row>
    <row r="1353" spans="1:18">
      <c r="R1353" s="128"/>
    </row>
    <row r="1354" spans="1:18">
      <c r="R1354" s="128"/>
    </row>
    <row r="1355" spans="1:18">
      <c r="R1355" s="128"/>
    </row>
    <row r="1356" spans="1:18">
      <c r="R1356" s="128"/>
    </row>
    <row r="1357" spans="1:18">
      <c r="R1357" s="128"/>
    </row>
    <row r="1358" spans="1:18">
      <c r="R1358" s="128"/>
    </row>
    <row r="1359" spans="1:18">
      <c r="R1359" s="128"/>
    </row>
    <row r="1360" spans="1:18">
      <c r="R1360" s="128"/>
    </row>
    <row r="1361" spans="1:18" ht="15">
      <c r="A1361" s="125"/>
      <c r="R1361" s="128"/>
    </row>
    <row r="1362" spans="1:18" ht="15">
      <c r="A1362" s="125"/>
      <c r="C1362" s="107"/>
      <c r="D1362" s="119"/>
      <c r="E1362" s="126"/>
      <c r="F1362" s="126"/>
      <c r="G1362" s="126"/>
      <c r="H1362" s="126"/>
      <c r="I1362" s="126"/>
      <c r="J1362" s="126"/>
      <c r="K1362" s="126"/>
      <c r="L1362" s="126"/>
      <c r="M1362" s="126"/>
      <c r="N1362" s="126"/>
      <c r="O1362" s="126"/>
      <c r="P1362" s="126"/>
      <c r="Q1362" s="126"/>
      <c r="R1362" s="128"/>
    </row>
    <row r="1363" spans="1:18" ht="15">
      <c r="A1363" s="125"/>
      <c r="C1363" s="107"/>
      <c r="D1363" s="119"/>
      <c r="E1363" s="126"/>
      <c r="F1363" s="126"/>
      <c r="G1363" s="126"/>
      <c r="H1363" s="126"/>
      <c r="I1363" s="126"/>
      <c r="J1363" s="126"/>
      <c r="K1363" s="126"/>
      <c r="L1363" s="126"/>
      <c r="M1363" s="126"/>
      <c r="N1363" s="126"/>
      <c r="O1363" s="126"/>
      <c r="P1363" s="126"/>
      <c r="Q1363" s="126"/>
      <c r="R1363" s="128"/>
    </row>
    <row r="1364" spans="1:18" ht="15">
      <c r="C1364" s="107"/>
      <c r="D1364" s="119"/>
      <c r="E1364" s="126"/>
      <c r="F1364" s="126"/>
      <c r="G1364" s="126"/>
      <c r="H1364" s="126"/>
      <c r="I1364" s="126"/>
      <c r="J1364" s="126"/>
      <c r="K1364" s="126"/>
      <c r="L1364" s="126"/>
      <c r="M1364" s="126"/>
      <c r="N1364" s="126"/>
      <c r="O1364" s="126"/>
      <c r="P1364" s="126"/>
      <c r="Q1364" s="126"/>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row r="1389" spans="5:18">
      <c r="E1389" s="128"/>
      <c r="F1389" s="128"/>
      <c r="G1389" s="128"/>
      <c r="H1389" s="128"/>
      <c r="I1389" s="128"/>
      <c r="J1389" s="128"/>
      <c r="K1389" s="128"/>
      <c r="L1389" s="128"/>
      <c r="M1389" s="128"/>
      <c r="N1389" s="128"/>
      <c r="O1389" s="128"/>
      <c r="P1389" s="128"/>
      <c r="Q1389" s="128"/>
    </row>
    <row r="1390" spans="5:18">
      <c r="E1390" s="128"/>
      <c r="F1390" s="128"/>
      <c r="G1390" s="128"/>
      <c r="H1390" s="128"/>
      <c r="I1390" s="128"/>
      <c r="J1390" s="128"/>
      <c r="K1390" s="128"/>
      <c r="L1390" s="128"/>
      <c r="M1390" s="128"/>
      <c r="N1390" s="128"/>
      <c r="O1390" s="128"/>
      <c r="P1390" s="128"/>
      <c r="Q1390" s="128"/>
    </row>
    <row r="1391" spans="5:18">
      <c r="E1391" s="128"/>
      <c r="F1391" s="128"/>
      <c r="G1391" s="128"/>
      <c r="H1391" s="128"/>
      <c r="I1391" s="128"/>
      <c r="J1391" s="128"/>
      <c r="K1391" s="128"/>
      <c r="L1391" s="128"/>
      <c r="M1391" s="128"/>
      <c r="N1391" s="128"/>
      <c r="O1391" s="128"/>
      <c r="P1391" s="128"/>
      <c r="Q1391" s="128"/>
    </row>
    <row r="1392" spans="5:18">
      <c r="E1392" s="128"/>
      <c r="F1392" s="128"/>
      <c r="G1392" s="128"/>
      <c r="H1392" s="128"/>
      <c r="I1392" s="128"/>
      <c r="J1392" s="128"/>
      <c r="K1392" s="128"/>
      <c r="L1392" s="128"/>
      <c r="M1392" s="128"/>
      <c r="N1392" s="128"/>
      <c r="O1392" s="128"/>
      <c r="P1392" s="128"/>
      <c r="Q1392" s="128"/>
    </row>
    <row r="1393" spans="5:17">
      <c r="E1393" s="128"/>
      <c r="F1393" s="128"/>
      <c r="G1393" s="128"/>
      <c r="H1393" s="128"/>
      <c r="I1393" s="128"/>
      <c r="J1393" s="128"/>
      <c r="K1393" s="128"/>
      <c r="L1393" s="128"/>
      <c r="M1393" s="128"/>
      <c r="N1393" s="128"/>
      <c r="O1393" s="128"/>
      <c r="P1393" s="128"/>
      <c r="Q1393" s="128"/>
    </row>
    <row r="1394" spans="5:17">
      <c r="E1394" s="128"/>
      <c r="F1394" s="128"/>
      <c r="G1394" s="128"/>
      <c r="H1394" s="128"/>
      <c r="I1394" s="128"/>
      <c r="J1394" s="128"/>
      <c r="K1394" s="128"/>
      <c r="L1394" s="128"/>
      <c r="M1394" s="128"/>
      <c r="N1394" s="128"/>
      <c r="O1394" s="128"/>
      <c r="P1394" s="128"/>
      <c r="Q1394" s="128"/>
    </row>
    <row r="1395" spans="5:17">
      <c r="E1395" s="128"/>
      <c r="F1395" s="128"/>
      <c r="G1395" s="128"/>
      <c r="H1395" s="128"/>
      <c r="I1395" s="128"/>
      <c r="J1395" s="128"/>
      <c r="K1395" s="128"/>
      <c r="L1395" s="128"/>
      <c r="M1395" s="128"/>
      <c r="N1395" s="128"/>
      <c r="O1395" s="128"/>
      <c r="P1395" s="128"/>
      <c r="Q1395" s="128"/>
    </row>
    <row r="1396" spans="5:17">
      <c r="E1396" s="128"/>
      <c r="F1396" s="128"/>
      <c r="G1396" s="128"/>
      <c r="H1396" s="128"/>
      <c r="I1396" s="128"/>
      <c r="J1396" s="128"/>
      <c r="K1396" s="128"/>
      <c r="L1396" s="128"/>
      <c r="M1396" s="128"/>
      <c r="N1396" s="128"/>
      <c r="O1396" s="128"/>
      <c r="P1396" s="128"/>
      <c r="Q1396" s="128"/>
    </row>
    <row r="1397" spans="5:17">
      <c r="E1397" s="128"/>
      <c r="F1397" s="128"/>
      <c r="G1397" s="128"/>
      <c r="H1397" s="128"/>
      <c r="I1397" s="128"/>
      <c r="J1397" s="128"/>
      <c r="K1397" s="128"/>
      <c r="L1397" s="128"/>
      <c r="M1397" s="128"/>
      <c r="N1397" s="128"/>
      <c r="O1397" s="128"/>
      <c r="P1397" s="128"/>
      <c r="Q1397" s="128"/>
    </row>
    <row r="1398" spans="5:17">
      <c r="E1398" s="128"/>
      <c r="F1398" s="128"/>
      <c r="G1398" s="128"/>
      <c r="H1398" s="128"/>
      <c r="I1398" s="128"/>
      <c r="J1398" s="128"/>
      <c r="K1398" s="128"/>
      <c r="L1398" s="128"/>
      <c r="M1398" s="128"/>
      <c r="N1398" s="128"/>
      <c r="O1398" s="128"/>
      <c r="P1398" s="128"/>
      <c r="Q1398" s="128"/>
    </row>
    <row r="1399" spans="5:17">
      <c r="E1399" s="128"/>
      <c r="F1399" s="128"/>
      <c r="G1399" s="128"/>
      <c r="H1399" s="128"/>
      <c r="I1399" s="128"/>
      <c r="J1399" s="128"/>
      <c r="K1399" s="128"/>
      <c r="L1399" s="128"/>
      <c r="M1399" s="128"/>
      <c r="N1399" s="128"/>
      <c r="O1399" s="128"/>
      <c r="P1399" s="128"/>
      <c r="Q1399" s="128"/>
    </row>
    <row r="1400" spans="5:17">
      <c r="E1400" s="128"/>
      <c r="F1400" s="128"/>
      <c r="G1400" s="128"/>
      <c r="H1400" s="128"/>
      <c r="I1400" s="128"/>
      <c r="J1400" s="128"/>
      <c r="K1400" s="128"/>
      <c r="L1400" s="128"/>
      <c r="M1400" s="128"/>
      <c r="N1400" s="128"/>
      <c r="O1400" s="128"/>
      <c r="P1400" s="128"/>
      <c r="Q1400" s="128"/>
    </row>
  </sheetData>
  <sheetProtection selectLockedCells="1" selectUnlockedCells="1"/>
  <pageMargins left="0.5" right="0.25" top="1" bottom="0.19" header="1" footer="0.4"/>
  <pageSetup scale="40" pageOrder="overThenDown" orientation="landscape" r:id="rId1"/>
  <headerFooter alignWithMargins="0"/>
  <rowBreaks count="29" manualBreakCount="29">
    <brk id="66" min="4" max="16" man="1"/>
    <brk id="116" min="4" max="16" man="1"/>
    <brk id="155" min="4" max="16" man="1"/>
    <brk id="207" min="4" max="16" man="1"/>
    <brk id="235" min="4" max="16" man="1"/>
    <brk id="280" min="4" max="16" man="1"/>
    <brk id="334" min="4" max="16" man="1"/>
    <brk id="381" min="4" max="16" man="1"/>
    <brk id="419" min="4" max="16" man="1"/>
    <brk id="485" min="4" max="16" man="1"/>
    <brk id="533" min="4" max="16" man="1"/>
    <brk id="594" min="4" max="16" man="1"/>
    <brk id="642" min="4" max="16" man="1"/>
    <brk id="690" min="4" max="16" man="1"/>
    <brk id="721" min="4" max="16" man="1"/>
    <brk id="776" min="4" max="16" man="1"/>
    <brk id="822" min="4" max="16" man="1"/>
    <brk id="866" min="4" max="16" man="1"/>
    <brk id="907" min="4" max="16" man="1"/>
    <brk id="967" min="4" max="16" man="1"/>
    <brk id="1001" min="4" max="16" man="1"/>
    <brk id="1050" min="4" max="16" man="1"/>
    <brk id="1093" min="4" max="16" man="1"/>
    <brk id="1125" max="16383" man="1"/>
    <brk id="1146" min="4" max="16" man="1"/>
    <brk id="1206" min="4" max="16" man="1"/>
    <brk id="1241" min="4" max="16" man="1"/>
    <brk id="1289" min="4" max="16" man="1"/>
    <brk id="1331" min="4"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374"/>
  <sheetViews>
    <sheetView zoomScale="70" zoomScaleNormal="70" workbookViewId="0">
      <selection activeCell="J5" sqref="J5"/>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8.6640625" style="2" customWidth="1"/>
    <col min="17" max="17" width="1.44140625" style="2" customWidth="1"/>
    <col min="18" max="18" width="18.6640625" style="2" customWidth="1"/>
    <col min="19" max="19" width="1.44140625" style="2" customWidth="1"/>
    <col min="20" max="20" width="15.44140625" style="66" customWidth="1"/>
    <col min="21" max="21" width="1.44140625" style="2" customWidth="1"/>
    <col min="22" max="22" width="15.44140625" style="66" customWidth="1"/>
    <col min="23" max="23" width="1.44140625" style="2" customWidth="1"/>
    <col min="24" max="25" width="15.44140625" style="66" customWidth="1"/>
    <col min="26" max="16384" width="9" style="2"/>
  </cols>
  <sheetData>
    <row r="1" spans="1:25" s="1" customFormat="1" ht="15">
      <c r="C1" s="502" t="s">
        <v>0</v>
      </c>
      <c r="D1" s="502"/>
      <c r="E1" s="502"/>
      <c r="F1" s="502"/>
      <c r="G1" s="502"/>
      <c r="H1" s="502"/>
      <c r="I1" s="502"/>
      <c r="J1" s="502"/>
      <c r="K1" s="502"/>
      <c r="L1" s="502"/>
      <c r="M1" s="502"/>
      <c r="N1" s="502"/>
      <c r="O1" s="502"/>
      <c r="P1" s="502"/>
      <c r="Q1" s="502"/>
      <c r="R1" s="502"/>
      <c r="S1" s="425"/>
      <c r="T1" s="425"/>
      <c r="U1" s="425"/>
      <c r="V1" s="425"/>
      <c r="W1" s="425"/>
      <c r="X1" s="425"/>
      <c r="Y1" s="425"/>
    </row>
    <row r="2" spans="1:25" s="1" customFormat="1" ht="15">
      <c r="C2" s="502" t="s">
        <v>1</v>
      </c>
      <c r="D2" s="502"/>
      <c r="E2" s="502"/>
      <c r="F2" s="502"/>
      <c r="G2" s="502"/>
      <c r="H2" s="502"/>
      <c r="I2" s="502"/>
      <c r="J2" s="502"/>
      <c r="K2" s="502"/>
      <c r="L2" s="502"/>
      <c r="M2" s="502"/>
      <c r="N2" s="502"/>
      <c r="O2" s="502"/>
      <c r="P2" s="502"/>
      <c r="Q2" s="502"/>
      <c r="R2" s="502"/>
      <c r="S2" s="425"/>
      <c r="T2" s="425"/>
      <c r="U2" s="425"/>
      <c r="V2" s="425"/>
      <c r="W2" s="425"/>
      <c r="X2" s="425"/>
      <c r="Y2" s="425"/>
    </row>
    <row r="3" spans="1:25">
      <c r="C3" s="503" t="s">
        <v>2484</v>
      </c>
      <c r="D3" s="504"/>
      <c r="E3" s="504"/>
      <c r="F3" s="504"/>
      <c r="G3" s="504"/>
      <c r="H3" s="504"/>
      <c r="I3" s="504"/>
      <c r="J3" s="504"/>
      <c r="K3" s="504"/>
      <c r="L3" s="504"/>
      <c r="M3" s="504"/>
      <c r="N3" s="504"/>
      <c r="O3" s="504"/>
      <c r="P3" s="504"/>
      <c r="Q3" s="504"/>
      <c r="R3" s="504"/>
      <c r="S3" s="427"/>
      <c r="T3" s="427"/>
      <c r="U3" s="427"/>
      <c r="V3" s="427"/>
      <c r="W3" s="427"/>
      <c r="X3" s="427"/>
      <c r="Y3" s="427"/>
    </row>
    <row r="4" spans="1:25">
      <c r="C4" s="3"/>
      <c r="D4" s="3"/>
      <c r="E4" s="3"/>
      <c r="F4" s="3"/>
      <c r="G4" s="3"/>
      <c r="H4" s="3"/>
      <c r="I4" s="3"/>
      <c r="J4" s="3"/>
      <c r="K4" s="3"/>
      <c r="L4" s="3"/>
      <c r="M4" s="3"/>
      <c r="N4" s="3"/>
      <c r="S4" s="3"/>
      <c r="T4" s="3"/>
      <c r="U4" s="3"/>
      <c r="V4" s="3"/>
      <c r="W4" s="3"/>
      <c r="X4" s="32" t="s">
        <v>1717</v>
      </c>
      <c r="Y4" s="32"/>
    </row>
    <row r="5" spans="1:25" ht="15">
      <c r="C5" s="3"/>
      <c r="D5" s="4" t="s">
        <v>2485</v>
      </c>
      <c r="E5" s="3"/>
      <c r="F5" s="3"/>
      <c r="G5" s="3"/>
      <c r="H5" s="3"/>
      <c r="I5" s="3"/>
      <c r="J5" s="3"/>
      <c r="K5" s="3"/>
      <c r="L5" s="3"/>
      <c r="M5" s="3"/>
      <c r="N5" s="4" t="s">
        <v>2486</v>
      </c>
      <c r="S5" s="3"/>
      <c r="T5" s="3"/>
      <c r="U5" s="3"/>
      <c r="V5" s="3"/>
      <c r="W5" s="3"/>
      <c r="X5" s="4" t="s">
        <v>2486</v>
      </c>
      <c r="Y5" s="4"/>
    </row>
    <row r="6" spans="1:25">
      <c r="C6" s="5"/>
      <c r="D6" s="6" t="s">
        <v>2</v>
      </c>
      <c r="E6" s="5"/>
      <c r="F6" s="7"/>
      <c r="G6" s="5"/>
      <c r="H6" s="7"/>
      <c r="I6" s="5"/>
      <c r="J6" s="6" t="s">
        <v>3</v>
      </c>
      <c r="K6" s="5"/>
      <c r="L6" s="7"/>
      <c r="M6" s="5"/>
      <c r="N6" s="6" t="s">
        <v>4</v>
      </c>
      <c r="O6" s="5"/>
      <c r="P6" s="5"/>
      <c r="Q6" s="5"/>
      <c r="R6" s="8" t="s">
        <v>5</v>
      </c>
      <c r="S6" s="5"/>
      <c r="T6" s="231" t="s">
        <v>1204</v>
      </c>
      <c r="U6" s="5"/>
      <c r="V6" s="231" t="s">
        <v>11</v>
      </c>
      <c r="W6" s="5"/>
      <c r="X6" s="6" t="s">
        <v>4</v>
      </c>
      <c r="Y6" s="6"/>
    </row>
    <row r="7" spans="1:25" s="9" customFormat="1">
      <c r="C7" s="5"/>
      <c r="D7" s="10" t="s">
        <v>6</v>
      </c>
      <c r="E7" s="5"/>
      <c r="F7" s="10" t="s">
        <v>7</v>
      </c>
      <c r="G7" s="5"/>
      <c r="H7" s="10" t="s">
        <v>8</v>
      </c>
      <c r="I7" s="5"/>
      <c r="J7" s="10" t="s">
        <v>9</v>
      </c>
      <c r="K7" s="5"/>
      <c r="L7" s="10" t="s">
        <v>10</v>
      </c>
      <c r="M7" s="5"/>
      <c r="N7" s="10" t="s">
        <v>6</v>
      </c>
      <c r="O7" s="5"/>
      <c r="P7" s="10" t="s">
        <v>11</v>
      </c>
      <c r="Q7" s="5"/>
      <c r="R7" s="10" t="s">
        <v>12</v>
      </c>
      <c r="S7" s="5"/>
      <c r="T7" s="10" t="s">
        <v>1205</v>
      </c>
      <c r="U7" s="5"/>
      <c r="V7" s="10" t="s">
        <v>2188</v>
      </c>
      <c r="W7" s="5"/>
      <c r="X7" s="10" t="s">
        <v>6</v>
      </c>
      <c r="Y7" s="10" t="s">
        <v>13</v>
      </c>
    </row>
    <row r="8" spans="1:25" s="9" customFormat="1">
      <c r="C8" s="8" t="s">
        <v>14</v>
      </c>
      <c r="D8" s="11"/>
      <c r="E8" s="5"/>
      <c r="F8" s="11"/>
      <c r="G8" s="5"/>
      <c r="H8" s="11"/>
      <c r="I8" s="5"/>
      <c r="J8" s="11"/>
      <c r="K8" s="5"/>
      <c r="L8" s="11"/>
      <c r="M8" s="5"/>
      <c r="N8" s="11"/>
      <c r="O8" s="5"/>
      <c r="P8" s="5"/>
      <c r="Q8" s="5"/>
      <c r="R8" s="5"/>
      <c r="S8" s="5"/>
      <c r="T8" s="11"/>
      <c r="U8" s="5"/>
      <c r="V8" s="11"/>
      <c r="W8" s="5"/>
      <c r="X8" s="11"/>
      <c r="Y8" s="11"/>
    </row>
    <row r="9" spans="1:25">
      <c r="C9" s="8" t="s">
        <v>15</v>
      </c>
      <c r="D9" s="7"/>
      <c r="E9" s="5"/>
      <c r="F9" s="7"/>
      <c r="G9" s="5"/>
      <c r="H9" s="7"/>
      <c r="I9" s="5"/>
      <c r="J9" s="7"/>
      <c r="K9" s="5"/>
      <c r="L9" s="7"/>
      <c r="M9" s="5"/>
      <c r="N9" s="7"/>
      <c r="O9" s="5"/>
      <c r="P9" s="5"/>
      <c r="Q9" s="5"/>
      <c r="R9" s="5"/>
      <c r="S9" s="5"/>
      <c r="T9" s="7"/>
      <c r="U9" s="5"/>
      <c r="V9" s="7"/>
      <c r="W9" s="5"/>
      <c r="X9" s="7"/>
      <c r="Y9" s="7"/>
    </row>
    <row r="10" spans="1:25">
      <c r="C10" s="8" t="s">
        <v>16</v>
      </c>
      <c r="D10" s="7"/>
      <c r="E10" s="5"/>
      <c r="F10" s="7"/>
      <c r="G10" s="5"/>
      <c r="H10" s="7"/>
      <c r="I10" s="5"/>
      <c r="J10" s="7"/>
      <c r="K10" s="5"/>
      <c r="L10" s="7"/>
      <c r="M10" s="5"/>
      <c r="N10" s="7"/>
      <c r="O10" s="5"/>
      <c r="P10" s="5"/>
      <c r="Q10" s="5"/>
      <c r="R10" s="5"/>
      <c r="S10" s="5"/>
      <c r="T10" s="7"/>
      <c r="U10" s="5"/>
      <c r="V10" s="7"/>
      <c r="W10" s="5"/>
      <c r="X10" s="7"/>
      <c r="Y10" s="7"/>
    </row>
    <row r="11" spans="1:25">
      <c r="A11" s="2" t="s">
        <v>17</v>
      </c>
      <c r="B11" s="2" t="str">
        <f>MID(C11,2,3)</f>
        <v>360</v>
      </c>
      <c r="C11" s="5" t="s">
        <v>2487</v>
      </c>
      <c r="D11" s="7">
        <v>7525705.0799999889</v>
      </c>
      <c r="E11" s="19"/>
      <c r="F11" s="7">
        <v>1653764.32</v>
      </c>
      <c r="G11" s="19"/>
      <c r="H11" s="7">
        <v>0</v>
      </c>
      <c r="I11" s="19"/>
      <c r="J11" s="7">
        <v>0</v>
      </c>
      <c r="K11" s="19"/>
      <c r="L11" s="7">
        <v>1653764.32</v>
      </c>
      <c r="M11" s="19"/>
      <c r="N11" s="7">
        <v>9179469.3999999892</v>
      </c>
      <c r="O11" s="5"/>
      <c r="P11" s="13">
        <v>-1425638.7902240001</v>
      </c>
      <c r="Q11" s="5"/>
      <c r="R11" s="13">
        <v>7753830.6097759893</v>
      </c>
      <c r="S11" s="19"/>
      <c r="T11" s="7">
        <v>1676.5511540148871</v>
      </c>
      <c r="U11" s="5"/>
      <c r="V11" s="12">
        <v>-1423962.2390699852</v>
      </c>
      <c r="W11" s="19"/>
      <c r="X11" s="7">
        <v>9179469.3999999911</v>
      </c>
      <c r="Y11" s="12">
        <v>0</v>
      </c>
    </row>
    <row r="12" spans="1:25">
      <c r="A12" s="2" t="s">
        <v>17</v>
      </c>
      <c r="C12" s="5" t="s">
        <v>18</v>
      </c>
      <c r="D12" s="7">
        <v>0</v>
      </c>
      <c r="E12" s="19"/>
      <c r="F12" s="7">
        <v>0</v>
      </c>
      <c r="G12" s="19"/>
      <c r="H12" s="7">
        <v>0</v>
      </c>
      <c r="I12" s="19"/>
      <c r="J12" s="7">
        <v>0</v>
      </c>
      <c r="K12" s="19"/>
      <c r="L12" s="7">
        <v>0</v>
      </c>
      <c r="M12" s="19"/>
      <c r="N12" s="7">
        <v>0</v>
      </c>
      <c r="O12" s="5"/>
      <c r="P12" s="13">
        <v>0</v>
      </c>
      <c r="Q12" s="5"/>
      <c r="R12" s="13">
        <v>0</v>
      </c>
      <c r="S12" s="19"/>
      <c r="T12" s="7">
        <v>0</v>
      </c>
      <c r="U12" s="19"/>
      <c r="V12" s="7">
        <v>0</v>
      </c>
      <c r="W12" s="19"/>
      <c r="X12" s="7">
        <v>0</v>
      </c>
      <c r="Y12" s="7">
        <v>0</v>
      </c>
    </row>
    <row r="13" spans="1:25">
      <c r="A13" s="2" t="s">
        <v>17</v>
      </c>
      <c r="B13" s="2" t="str">
        <f t="shared" ref="B13:B21" si="0">MID(C13,2,3)</f>
        <v>361</v>
      </c>
      <c r="C13" s="5" t="s">
        <v>19</v>
      </c>
      <c r="D13" s="7">
        <v>13839201.209999999</v>
      </c>
      <c r="E13" s="19"/>
      <c r="F13" s="7">
        <v>6428958.299999997</v>
      </c>
      <c r="G13" s="19"/>
      <c r="H13" s="7">
        <v>-54514.94</v>
      </c>
      <c r="I13" s="19"/>
      <c r="J13" s="7">
        <v>860.21</v>
      </c>
      <c r="K13" s="19"/>
      <c r="L13" s="7">
        <v>6375303.5699999966</v>
      </c>
      <c r="M13" s="19"/>
      <c r="N13" s="7">
        <v>20214504.779999994</v>
      </c>
      <c r="O13" s="5"/>
      <c r="P13" s="13">
        <v>-2551580.911572</v>
      </c>
      <c r="Q13" s="5"/>
      <c r="R13" s="13">
        <v>17662923.868427992</v>
      </c>
      <c r="S13" s="19"/>
      <c r="T13" s="7">
        <v>6517.5414214877865</v>
      </c>
      <c r="U13" s="19"/>
      <c r="V13" s="7">
        <v>-2545063.3701505121</v>
      </c>
      <c r="W13" s="19"/>
      <c r="X13" s="7">
        <v>20214504.779999997</v>
      </c>
      <c r="Y13" s="7">
        <v>0</v>
      </c>
    </row>
    <row r="14" spans="1:25">
      <c r="A14" s="2" t="s">
        <v>17</v>
      </c>
      <c r="B14" s="2" t="str">
        <f t="shared" si="0"/>
        <v>362</v>
      </c>
      <c r="C14" s="5" t="s">
        <v>20</v>
      </c>
      <c r="D14" s="7">
        <v>189587126.80000001</v>
      </c>
      <c r="E14" s="19"/>
      <c r="F14" s="7">
        <v>43582361.499999985</v>
      </c>
      <c r="G14" s="19"/>
      <c r="H14" s="7">
        <v>-1376945.6199999999</v>
      </c>
      <c r="I14" s="19"/>
      <c r="J14" s="7">
        <v>0</v>
      </c>
      <c r="K14" s="19"/>
      <c r="L14" s="7">
        <v>42205415.879999988</v>
      </c>
      <c r="M14" s="19"/>
      <c r="N14" s="7">
        <v>231792542.68000001</v>
      </c>
      <c r="O14" s="5"/>
      <c r="P14" s="13">
        <v>-49902932.02956</v>
      </c>
      <c r="Q14" s="5"/>
      <c r="R14" s="13">
        <v>181889610.65044001</v>
      </c>
      <c r="S14" s="19"/>
      <c r="T14" s="7">
        <v>44182.872724886802</v>
      </c>
      <c r="U14" s="19"/>
      <c r="V14" s="7">
        <v>-49858749.156835116</v>
      </c>
      <c r="W14" s="19"/>
      <c r="X14" s="7">
        <v>231792542.67999899</v>
      </c>
      <c r="Y14" s="7">
        <v>-1.0132789611816406E-6</v>
      </c>
    </row>
    <row r="15" spans="1:25">
      <c r="A15" s="2" t="s">
        <v>17</v>
      </c>
      <c r="B15" s="2" t="str">
        <f t="shared" si="0"/>
        <v>364</v>
      </c>
      <c r="C15" s="5" t="s">
        <v>21</v>
      </c>
      <c r="D15" s="7">
        <v>360033063.20000005</v>
      </c>
      <c r="E15" s="19"/>
      <c r="F15" s="7">
        <v>23649660.649999991</v>
      </c>
      <c r="G15" s="19"/>
      <c r="H15" s="7">
        <v>-1145993.67</v>
      </c>
      <c r="I15" s="19"/>
      <c r="J15" s="7">
        <v>0</v>
      </c>
      <c r="K15" s="19"/>
      <c r="L15" s="7">
        <v>22503666.979999989</v>
      </c>
      <c r="M15" s="19"/>
      <c r="N15" s="7">
        <v>382536730.18000007</v>
      </c>
      <c r="O15" s="5"/>
      <c r="P15" s="13">
        <v>-158149471.67266402</v>
      </c>
      <c r="Q15" s="5"/>
      <c r="R15" s="13">
        <v>224387258.50733605</v>
      </c>
      <c r="S15" s="19"/>
      <c r="T15" s="7">
        <v>23975.523824832519</v>
      </c>
      <c r="U15" s="19"/>
      <c r="V15" s="7">
        <v>-158125496.14883918</v>
      </c>
      <c r="W15" s="19"/>
      <c r="X15" s="7">
        <v>382536730.12999904</v>
      </c>
      <c r="Y15" s="7">
        <v>-5.0001025199890137E-2</v>
      </c>
    </row>
    <row r="16" spans="1:25">
      <c r="A16" s="2" t="s">
        <v>17</v>
      </c>
      <c r="B16" s="2" t="str">
        <f t="shared" si="0"/>
        <v>365</v>
      </c>
      <c r="C16" s="5" t="s">
        <v>22</v>
      </c>
      <c r="D16" s="7">
        <v>343969480.71000004</v>
      </c>
      <c r="E16" s="19"/>
      <c r="F16" s="7">
        <v>43036955.869999982</v>
      </c>
      <c r="G16" s="19"/>
      <c r="H16" s="7">
        <v>-5681609.1399999997</v>
      </c>
      <c r="I16" s="19"/>
      <c r="J16" s="7">
        <v>0</v>
      </c>
      <c r="K16" s="19"/>
      <c r="L16" s="7">
        <v>37355346.729999982</v>
      </c>
      <c r="M16" s="19"/>
      <c r="N16" s="7">
        <v>381324827.44</v>
      </c>
      <c r="O16" s="5"/>
      <c r="P16" s="13">
        <v>-108820261.6914725</v>
      </c>
      <c r="Q16" s="5"/>
      <c r="R16" s="13">
        <v>272504565.74852753</v>
      </c>
      <c r="S16" s="19"/>
      <c r="T16" s="7">
        <v>43629.952077534392</v>
      </c>
      <c r="U16" s="19"/>
      <c r="V16" s="7">
        <v>-108776631.73939496</v>
      </c>
      <c r="W16" s="19"/>
      <c r="X16" s="7">
        <v>381324827.49000001</v>
      </c>
      <c r="Y16" s="7">
        <v>5.0000011920928955E-2</v>
      </c>
    </row>
    <row r="17" spans="1:25">
      <c r="A17" s="2" t="s">
        <v>17</v>
      </c>
      <c r="B17" s="2" t="str">
        <f t="shared" si="0"/>
        <v>366</v>
      </c>
      <c r="C17" s="5" t="s">
        <v>23</v>
      </c>
      <c r="D17" s="7">
        <v>2390171.06</v>
      </c>
      <c r="E17" s="19"/>
      <c r="F17" s="7">
        <v>-65.02</v>
      </c>
      <c r="G17" s="19"/>
      <c r="H17" s="7">
        <v>0</v>
      </c>
      <c r="I17" s="19"/>
      <c r="J17" s="7">
        <v>0</v>
      </c>
      <c r="K17" s="19"/>
      <c r="L17" s="7">
        <v>-65.02</v>
      </c>
      <c r="M17" s="19"/>
      <c r="N17" s="7">
        <v>2390106.04</v>
      </c>
      <c r="O17" s="5"/>
      <c r="P17" s="13">
        <v>-1006561.0600619999</v>
      </c>
      <c r="Q17" s="5"/>
      <c r="R17" s="13">
        <v>1383544.979938</v>
      </c>
      <c r="S17" s="19"/>
      <c r="T17" s="7">
        <v>-6.5915895460876769E-2</v>
      </c>
      <c r="U17" s="19"/>
      <c r="V17" s="7">
        <v>-1006561.1259778955</v>
      </c>
      <c r="W17" s="19"/>
      <c r="X17" s="7">
        <v>2390106.04</v>
      </c>
      <c r="Y17" s="7">
        <v>0</v>
      </c>
    </row>
    <row r="18" spans="1:25">
      <c r="A18" s="2" t="s">
        <v>17</v>
      </c>
      <c r="B18" s="2" t="str">
        <f t="shared" si="0"/>
        <v>367</v>
      </c>
      <c r="C18" s="5" t="s">
        <v>24</v>
      </c>
      <c r="D18" s="7">
        <v>189553868.47000003</v>
      </c>
      <c r="E18" s="19"/>
      <c r="F18" s="7">
        <v>14362954.90999998</v>
      </c>
      <c r="G18" s="19"/>
      <c r="H18" s="7">
        <v>-461287.31</v>
      </c>
      <c r="I18" s="19"/>
      <c r="J18" s="7">
        <v>0</v>
      </c>
      <c r="K18" s="19"/>
      <c r="L18" s="7">
        <v>13901667.599999979</v>
      </c>
      <c r="M18" s="19"/>
      <c r="N18" s="7">
        <v>203455536.06999999</v>
      </c>
      <c r="O18" s="5"/>
      <c r="P18" s="13">
        <v>-50802549.363254599</v>
      </c>
      <c r="Q18" s="5"/>
      <c r="R18" s="13">
        <v>152652986.70674539</v>
      </c>
      <c r="S18" s="19"/>
      <c r="T18" s="7">
        <v>14560.858725881964</v>
      </c>
      <c r="U18" s="19"/>
      <c r="V18" s="7">
        <v>-50787988.504528716</v>
      </c>
      <c r="W18" s="19"/>
      <c r="X18" s="7">
        <v>203455536.09</v>
      </c>
      <c r="Y18" s="7">
        <v>2.000001072883606E-2</v>
      </c>
    </row>
    <row r="19" spans="1:25">
      <c r="A19" s="2" t="s">
        <v>17</v>
      </c>
      <c r="B19" s="2" t="str">
        <f t="shared" si="0"/>
        <v>368</v>
      </c>
      <c r="C19" s="5" t="s">
        <v>25</v>
      </c>
      <c r="D19" s="7">
        <v>302516057</v>
      </c>
      <c r="E19" s="19"/>
      <c r="F19" s="7">
        <v>8296215.7199999997</v>
      </c>
      <c r="G19" s="19"/>
      <c r="H19" s="7">
        <v>-332240.52</v>
      </c>
      <c r="I19" s="19"/>
      <c r="J19" s="7">
        <v>0</v>
      </c>
      <c r="K19" s="19"/>
      <c r="L19" s="7">
        <v>7963975.1999999993</v>
      </c>
      <c r="M19" s="19"/>
      <c r="N19" s="7">
        <v>310480032.19999999</v>
      </c>
      <c r="O19" s="5"/>
      <c r="P19" s="13">
        <v>-143767541.13502899</v>
      </c>
      <c r="Q19" s="5"/>
      <c r="R19" s="13">
        <v>166712491.064971</v>
      </c>
      <c r="S19" s="19"/>
      <c r="T19" s="7">
        <v>8410.5273472839508</v>
      </c>
      <c r="U19" s="19"/>
      <c r="V19" s="7">
        <v>-143759130.60768169</v>
      </c>
      <c r="W19" s="19"/>
      <c r="X19" s="7">
        <v>310480032.14999998</v>
      </c>
      <c r="Y19" s="7">
        <v>-5.0000011920928955E-2</v>
      </c>
    </row>
    <row r="20" spans="1:25">
      <c r="A20" s="2" t="s">
        <v>17</v>
      </c>
      <c r="B20" s="2" t="str">
        <f t="shared" si="0"/>
        <v>369</v>
      </c>
      <c r="C20" s="5" t="s">
        <v>26</v>
      </c>
      <c r="D20" s="7">
        <v>108515054.2</v>
      </c>
      <c r="E20" s="19"/>
      <c r="F20" s="7">
        <v>135495.57</v>
      </c>
      <c r="G20" s="19"/>
      <c r="H20" s="7">
        <v>0</v>
      </c>
      <c r="I20" s="19"/>
      <c r="J20" s="7">
        <v>0</v>
      </c>
      <c r="K20" s="19"/>
      <c r="L20" s="7">
        <v>135495.57</v>
      </c>
      <c r="M20" s="19"/>
      <c r="N20" s="7">
        <v>108650549.77</v>
      </c>
      <c r="O20" s="5"/>
      <c r="P20" s="13">
        <v>-61529962.440219998</v>
      </c>
      <c r="Q20" s="5"/>
      <c r="R20" s="13">
        <v>47120587.329779997</v>
      </c>
      <c r="S20" s="19"/>
      <c r="T20" s="7">
        <v>137.36253195219797</v>
      </c>
      <c r="U20" s="19"/>
      <c r="V20" s="7">
        <v>-61529825.077688046</v>
      </c>
      <c r="W20" s="19"/>
      <c r="X20" s="7">
        <v>108650549.7</v>
      </c>
      <c r="Y20" s="7">
        <v>-6.9999992847442627E-2</v>
      </c>
    </row>
    <row r="21" spans="1:25">
      <c r="A21" s="2" t="s">
        <v>17</v>
      </c>
      <c r="B21" s="2" t="str">
        <f t="shared" si="0"/>
        <v>370</v>
      </c>
      <c r="C21" s="5" t="s">
        <v>27</v>
      </c>
      <c r="D21" s="7">
        <v>74941722.320000008</v>
      </c>
      <c r="E21" s="19"/>
      <c r="F21" s="7">
        <v>2424971.7399999984</v>
      </c>
      <c r="G21" s="19"/>
      <c r="H21" s="7">
        <v>-122654.26</v>
      </c>
      <c r="I21" s="19"/>
      <c r="J21" s="7">
        <v>0</v>
      </c>
      <c r="K21" s="19"/>
      <c r="L21" s="7">
        <v>2302317.4799999986</v>
      </c>
      <c r="M21" s="19"/>
      <c r="N21" s="7">
        <v>77244039.800000012</v>
      </c>
      <c r="O21" s="5"/>
      <c r="P21" s="13">
        <v>-39322938.297430001</v>
      </c>
      <c r="Q21" s="5"/>
      <c r="R21" s="13">
        <v>37921101.502570011</v>
      </c>
      <c r="S21" s="19"/>
      <c r="T21" s="7">
        <v>2458.3848617259359</v>
      </c>
      <c r="U21" s="19"/>
      <c r="V21" s="7">
        <v>-39320479.912568279</v>
      </c>
      <c r="W21" s="19"/>
      <c r="X21" s="7">
        <v>77244039.799999893</v>
      </c>
      <c r="Y21" s="7">
        <v>-1.1920928955078125E-7</v>
      </c>
    </row>
    <row r="22" spans="1:25">
      <c r="A22" s="2" t="s">
        <v>17</v>
      </c>
      <c r="C22" s="5" t="s">
        <v>2189</v>
      </c>
      <c r="D22" s="7">
        <v>0</v>
      </c>
      <c r="E22" s="19"/>
      <c r="F22" s="7">
        <v>0</v>
      </c>
      <c r="G22" s="19"/>
      <c r="H22" s="7">
        <v>0</v>
      </c>
      <c r="I22" s="19"/>
      <c r="J22" s="7">
        <v>0</v>
      </c>
      <c r="K22" s="19"/>
      <c r="L22" s="7">
        <v>0</v>
      </c>
      <c r="M22" s="19"/>
      <c r="N22" s="7">
        <v>0</v>
      </c>
      <c r="O22" s="5"/>
      <c r="P22" s="13">
        <v>0</v>
      </c>
      <c r="Q22" s="5"/>
      <c r="R22" s="13">
        <v>0</v>
      </c>
      <c r="S22" s="19"/>
      <c r="T22" s="7">
        <v>0</v>
      </c>
      <c r="U22" s="19"/>
      <c r="V22" s="7">
        <v>0</v>
      </c>
      <c r="W22" s="19"/>
      <c r="X22" s="7">
        <v>0</v>
      </c>
      <c r="Y22" s="7">
        <v>0</v>
      </c>
    </row>
    <row r="23" spans="1:25">
      <c r="A23" s="9" t="s">
        <v>17</v>
      </c>
      <c r="B23" s="9"/>
      <c r="C23" s="5" t="s">
        <v>2488</v>
      </c>
      <c r="D23" s="7">
        <v>0</v>
      </c>
      <c r="E23" s="19"/>
      <c r="F23" s="7">
        <v>0</v>
      </c>
      <c r="G23" s="19"/>
      <c r="H23" s="7">
        <v>0</v>
      </c>
      <c r="I23" s="19"/>
      <c r="J23" s="7">
        <v>0</v>
      </c>
      <c r="K23" s="19"/>
      <c r="L23" s="7">
        <v>0</v>
      </c>
      <c r="M23" s="19"/>
      <c r="N23" s="7">
        <v>0</v>
      </c>
      <c r="O23" s="5"/>
      <c r="P23" s="13">
        <v>0</v>
      </c>
      <c r="Q23" s="5"/>
      <c r="R23" s="13">
        <v>0</v>
      </c>
      <c r="S23" s="19"/>
      <c r="T23" s="7">
        <v>0</v>
      </c>
      <c r="U23" s="19"/>
      <c r="V23" s="7">
        <v>0</v>
      </c>
      <c r="W23" s="19"/>
      <c r="X23" s="7">
        <v>0</v>
      </c>
      <c r="Y23" s="7">
        <v>0</v>
      </c>
    </row>
    <row r="24" spans="1:25">
      <c r="A24" s="2" t="s">
        <v>17</v>
      </c>
      <c r="B24" s="2" t="str">
        <f t="shared" ref="B24:B26" si="1">MID(C24,2,3)</f>
        <v>371</v>
      </c>
      <c r="C24" s="5" t="s">
        <v>28</v>
      </c>
      <c r="D24" s="7">
        <v>6164.11</v>
      </c>
      <c r="E24" s="19"/>
      <c r="F24" s="7">
        <v>142654.25999999995</v>
      </c>
      <c r="G24" s="19"/>
      <c r="H24" s="7">
        <v>0</v>
      </c>
      <c r="I24" s="19"/>
      <c r="J24" s="7">
        <v>0</v>
      </c>
      <c r="K24" s="19"/>
      <c r="L24" s="7">
        <v>142654.25999999995</v>
      </c>
      <c r="M24" s="19"/>
      <c r="N24" s="7">
        <v>148818.36999999994</v>
      </c>
      <c r="O24" s="5"/>
      <c r="P24" s="13">
        <v>-4213.4365456999994</v>
      </c>
      <c r="Q24" s="5"/>
      <c r="R24" s="13">
        <v>144604.93345429993</v>
      </c>
      <c r="S24" s="19"/>
      <c r="T24" s="7">
        <v>144.61985987709522</v>
      </c>
      <c r="U24" s="19"/>
      <c r="V24" s="7">
        <v>-4068.8166858229042</v>
      </c>
      <c r="W24" s="19"/>
      <c r="X24" s="7">
        <v>148818.36999999901</v>
      </c>
      <c r="Y24" s="7">
        <v>-9.3132257461547852E-10</v>
      </c>
    </row>
    <row r="25" spans="1:25" s="9" customFormat="1">
      <c r="A25" s="2" t="s">
        <v>17</v>
      </c>
      <c r="B25" s="2" t="str">
        <f t="shared" si="1"/>
        <v>373</v>
      </c>
      <c r="C25" s="5" t="s">
        <v>29</v>
      </c>
      <c r="D25" s="7">
        <v>117191650.09999999</v>
      </c>
      <c r="E25" s="18"/>
      <c r="F25" s="7">
        <v>6820966.8699999964</v>
      </c>
      <c r="G25" s="18"/>
      <c r="H25" s="7">
        <v>-78692.759999999995</v>
      </c>
      <c r="I25" s="18"/>
      <c r="J25" s="7">
        <v>0</v>
      </c>
      <c r="K25" s="18"/>
      <c r="L25" s="17">
        <v>6742274.1099999966</v>
      </c>
      <c r="M25" s="18"/>
      <c r="N25" s="17">
        <v>123933924.20999999</v>
      </c>
      <c r="O25" s="5"/>
      <c r="P25" s="13">
        <v>-43550948.960430004</v>
      </c>
      <c r="Q25" s="5"/>
      <c r="R25" s="13">
        <v>80382975.249569982</v>
      </c>
      <c r="S25" s="18"/>
      <c r="T25" s="7">
        <v>6914.9513864199262</v>
      </c>
      <c r="U25" s="18"/>
      <c r="V25" s="7">
        <v>-43544034.009043582</v>
      </c>
      <c r="W25" s="18"/>
      <c r="X25" s="7">
        <v>123933924.17</v>
      </c>
      <c r="Y25" s="7">
        <v>-3.9999991655349731E-2</v>
      </c>
    </row>
    <row r="26" spans="1:25" s="9" customFormat="1">
      <c r="A26" s="2" t="s">
        <v>17</v>
      </c>
      <c r="B26" s="2" t="str">
        <f t="shared" si="1"/>
        <v>374</v>
      </c>
      <c r="C26" s="5" t="s">
        <v>30</v>
      </c>
      <c r="D26" s="17">
        <v>670190.36999999906</v>
      </c>
      <c r="E26" s="18"/>
      <c r="F26" s="17">
        <v>0</v>
      </c>
      <c r="G26" s="18"/>
      <c r="H26" s="17">
        <v>-11903.18</v>
      </c>
      <c r="I26" s="18"/>
      <c r="J26" s="17">
        <v>0</v>
      </c>
      <c r="K26" s="18"/>
      <c r="L26" s="17">
        <v>-11903.18</v>
      </c>
      <c r="M26" s="18"/>
      <c r="N26" s="17">
        <v>658287.18999999901</v>
      </c>
      <c r="O26" s="14"/>
      <c r="P26" s="15">
        <v>-123218.49</v>
      </c>
      <c r="Q26" s="14"/>
      <c r="R26" s="15">
        <v>535068.69999999902</v>
      </c>
      <c r="S26" s="18"/>
      <c r="T26" s="17">
        <v>0</v>
      </c>
      <c r="U26" s="18"/>
      <c r="V26" s="17">
        <v>-123218.49</v>
      </c>
      <c r="W26" s="18"/>
      <c r="X26" s="17">
        <v>658287.19000000006</v>
      </c>
      <c r="Y26" s="17">
        <v>1.0477378964424133E-9</v>
      </c>
    </row>
    <row r="27" spans="1:25">
      <c r="C27" s="16" t="s">
        <v>31</v>
      </c>
      <c r="D27" s="17">
        <v>0</v>
      </c>
      <c r="E27" s="18"/>
      <c r="F27" s="17">
        <v>0</v>
      </c>
      <c r="G27" s="18"/>
      <c r="H27" s="17">
        <v>0</v>
      </c>
      <c r="I27" s="18"/>
      <c r="J27" s="17">
        <v>0</v>
      </c>
      <c r="K27" s="18"/>
      <c r="L27" s="17">
        <v>0</v>
      </c>
      <c r="M27" s="18"/>
      <c r="N27" s="17">
        <v>0</v>
      </c>
      <c r="O27" s="5"/>
      <c r="P27" s="15">
        <v>0</v>
      </c>
      <c r="Q27" s="5"/>
      <c r="R27" s="15">
        <v>0</v>
      </c>
      <c r="S27" s="18"/>
      <c r="T27" s="17">
        <v>0</v>
      </c>
      <c r="U27" s="18"/>
      <c r="V27" s="17">
        <v>0</v>
      </c>
      <c r="W27" s="18"/>
      <c r="X27" s="17">
        <v>0</v>
      </c>
      <c r="Y27" s="17">
        <v>0</v>
      </c>
    </row>
    <row r="28" spans="1:25">
      <c r="C28" s="5"/>
      <c r="D28" s="437">
        <v>1710739454.6299999</v>
      </c>
      <c r="E28" s="18"/>
      <c r="F28" s="437">
        <v>150534894.68999994</v>
      </c>
      <c r="G28" s="18"/>
      <c r="H28" s="437">
        <v>-9265841.3999999985</v>
      </c>
      <c r="I28" s="18"/>
      <c r="J28" s="437">
        <v>860.21</v>
      </c>
      <c r="K28" s="18"/>
      <c r="L28" s="437">
        <v>141269913.49999991</v>
      </c>
      <c r="M28" s="18"/>
      <c r="N28" s="437">
        <v>1852009368.1299999</v>
      </c>
      <c r="O28" s="5"/>
      <c r="P28" s="437">
        <v>-660957818.27846384</v>
      </c>
      <c r="Q28" s="5"/>
      <c r="R28" s="437">
        <v>1191051549.851536</v>
      </c>
      <c r="S28" s="18"/>
      <c r="T28" s="437">
        <v>152609.080000002</v>
      </c>
      <c r="U28" s="18"/>
      <c r="V28" s="437">
        <v>-660805209.1984638</v>
      </c>
      <c r="W28" s="18"/>
      <c r="X28" s="437">
        <v>1852009367.9899979</v>
      </c>
      <c r="Y28" s="437">
        <v>-0.14000213134568185</v>
      </c>
    </row>
    <row r="29" spans="1:25">
      <c r="C29" s="5"/>
      <c r="D29" s="17"/>
      <c r="E29" s="18"/>
      <c r="F29" s="17"/>
      <c r="G29" s="18"/>
      <c r="H29" s="17"/>
      <c r="I29" s="18"/>
      <c r="J29" s="17"/>
      <c r="K29" s="18"/>
      <c r="L29" s="17"/>
      <c r="M29" s="18"/>
      <c r="N29" s="17"/>
      <c r="O29" s="5"/>
      <c r="P29" s="5"/>
      <c r="Q29" s="5"/>
      <c r="R29" s="5"/>
      <c r="S29" s="18"/>
      <c r="T29" s="17"/>
      <c r="U29" s="18"/>
      <c r="V29" s="17"/>
      <c r="W29" s="18"/>
      <c r="X29" s="17"/>
      <c r="Y29" s="17"/>
    </row>
    <row r="30" spans="1:25">
      <c r="C30" s="8" t="s">
        <v>32</v>
      </c>
      <c r="D30" s="17"/>
      <c r="E30" s="18"/>
      <c r="F30" s="17"/>
      <c r="G30" s="18"/>
      <c r="H30" s="17"/>
      <c r="I30" s="18"/>
      <c r="J30" s="17"/>
      <c r="K30" s="18"/>
      <c r="L30" s="17"/>
      <c r="M30" s="18"/>
      <c r="N30" s="17"/>
      <c r="O30" s="5"/>
      <c r="P30" s="5"/>
      <c r="Q30" s="5"/>
      <c r="R30" s="5"/>
      <c r="S30" s="18"/>
      <c r="T30" s="17"/>
      <c r="U30" s="18"/>
      <c r="V30" s="17"/>
      <c r="W30" s="18"/>
      <c r="X30" s="17"/>
      <c r="Y30" s="17"/>
    </row>
    <row r="31" spans="1:25">
      <c r="A31" s="2" t="s">
        <v>17</v>
      </c>
      <c r="B31" s="2" t="str">
        <f t="shared" ref="B31:B44" si="2">MID(C31,2,3)</f>
        <v>389</v>
      </c>
      <c r="C31" s="5" t="s">
        <v>2489</v>
      </c>
      <c r="D31" s="7">
        <v>3017082.76</v>
      </c>
      <c r="E31" s="19"/>
      <c r="F31" s="7">
        <v>112175.43999999999</v>
      </c>
      <c r="G31" s="19"/>
      <c r="H31" s="7">
        <v>0</v>
      </c>
      <c r="I31" s="19"/>
      <c r="J31" s="7">
        <v>0</v>
      </c>
      <c r="K31" s="19"/>
      <c r="L31" s="7">
        <v>112175.43999999999</v>
      </c>
      <c r="M31" s="19"/>
      <c r="N31" s="7">
        <v>3129258.1999999997</v>
      </c>
      <c r="O31" s="5"/>
      <c r="P31" s="13">
        <v>0</v>
      </c>
      <c r="Q31" s="5"/>
      <c r="R31" s="13">
        <v>3129258.1999999997</v>
      </c>
      <c r="S31" s="19"/>
      <c r="T31" s="7">
        <v>-3.7362846840657762E-14</v>
      </c>
      <c r="U31" s="19"/>
      <c r="V31" s="7">
        <v>-3.7362846840657762E-14</v>
      </c>
      <c r="W31" s="19"/>
      <c r="X31" s="7">
        <v>3129258.1999999904</v>
      </c>
      <c r="Y31" s="7">
        <v>-9.3132257461547852E-9</v>
      </c>
    </row>
    <row r="32" spans="1:25">
      <c r="A32" s="2" t="s">
        <v>17</v>
      </c>
      <c r="B32" s="2" t="str">
        <f t="shared" si="2"/>
        <v>390</v>
      </c>
      <c r="C32" s="5" t="s">
        <v>34</v>
      </c>
      <c r="D32" s="7">
        <v>61924872.359999999</v>
      </c>
      <c r="E32" s="19"/>
      <c r="F32" s="7">
        <v>6822444.299999998</v>
      </c>
      <c r="G32" s="19"/>
      <c r="H32" s="7">
        <v>-281986.65999999997</v>
      </c>
      <c r="I32" s="19"/>
      <c r="J32" s="7">
        <v>-860.21</v>
      </c>
      <c r="K32" s="19"/>
      <c r="L32" s="7">
        <v>6539597.4299999978</v>
      </c>
      <c r="M32" s="19"/>
      <c r="N32" s="7">
        <v>68464469.789999992</v>
      </c>
      <c r="O32" s="5"/>
      <c r="P32" s="13">
        <v>-13705705.774238754</v>
      </c>
      <c r="Q32" s="5"/>
      <c r="R32" s="13">
        <v>54758764.015761241</v>
      </c>
      <c r="S32" s="19"/>
      <c r="T32" s="7">
        <v>-2.2723863749481931E-12</v>
      </c>
      <c r="U32" s="19"/>
      <c r="V32" s="7">
        <v>-13705705.774238754</v>
      </c>
      <c r="W32" s="19"/>
      <c r="X32" s="7">
        <v>68464469.790000007</v>
      </c>
      <c r="Y32" s="7">
        <v>0</v>
      </c>
    </row>
    <row r="33" spans="1:25">
      <c r="A33" s="2" t="s">
        <v>17</v>
      </c>
      <c r="C33" s="5" t="s">
        <v>35</v>
      </c>
      <c r="D33" s="7">
        <v>0</v>
      </c>
      <c r="E33" s="19"/>
      <c r="F33" s="7">
        <v>0</v>
      </c>
      <c r="G33" s="19"/>
      <c r="H33" s="7">
        <v>0</v>
      </c>
      <c r="I33" s="19"/>
      <c r="J33" s="7">
        <v>0</v>
      </c>
      <c r="K33" s="19"/>
      <c r="L33" s="7">
        <v>0</v>
      </c>
      <c r="M33" s="19"/>
      <c r="N33" s="7">
        <v>0</v>
      </c>
      <c r="O33" s="5"/>
      <c r="P33" s="13">
        <v>0</v>
      </c>
      <c r="Q33" s="5"/>
      <c r="R33" s="13">
        <v>0</v>
      </c>
      <c r="S33" s="19"/>
      <c r="T33" s="7">
        <v>0</v>
      </c>
      <c r="U33" s="19"/>
      <c r="V33" s="7">
        <v>0</v>
      </c>
      <c r="W33" s="19"/>
      <c r="X33" s="7">
        <v>0</v>
      </c>
      <c r="Y33" s="7">
        <v>0</v>
      </c>
    </row>
    <row r="34" spans="1:25">
      <c r="A34" s="2" t="s">
        <v>17</v>
      </c>
      <c r="B34" s="2" t="str">
        <f t="shared" ref="B34" si="3">MID(C34,2,3)</f>
        <v>391</v>
      </c>
      <c r="C34" s="5" t="s">
        <v>36</v>
      </c>
      <c r="D34" s="7">
        <v>38262138.25</v>
      </c>
      <c r="E34" s="19"/>
      <c r="F34" s="7">
        <v>12649667.129999999</v>
      </c>
      <c r="G34" s="19"/>
      <c r="H34" s="7">
        <v>-4605502.8399999989</v>
      </c>
      <c r="I34" s="19"/>
      <c r="J34" s="7">
        <v>0</v>
      </c>
      <c r="K34" s="19"/>
      <c r="L34" s="7">
        <v>8044164.29</v>
      </c>
      <c r="M34" s="19"/>
      <c r="N34" s="7">
        <v>46306302.539999999</v>
      </c>
      <c r="O34" s="5"/>
      <c r="P34" s="13">
        <v>-21645861.529449899</v>
      </c>
      <c r="Q34" s="5"/>
      <c r="R34" s="13">
        <v>24660441.0105501</v>
      </c>
      <c r="S34" s="19"/>
      <c r="T34" s="7">
        <v>-4.2132892508689327E-12</v>
      </c>
      <c r="U34" s="19"/>
      <c r="V34" s="7">
        <v>-21645861.529449899</v>
      </c>
      <c r="W34" s="19"/>
      <c r="X34" s="7">
        <v>46306302.539999895</v>
      </c>
      <c r="Y34" s="7">
        <v>-1.0430812835693359E-7</v>
      </c>
    </row>
    <row r="35" spans="1:25">
      <c r="A35" s="2" t="s">
        <v>17</v>
      </c>
      <c r="C35" s="5" t="s">
        <v>37</v>
      </c>
      <c r="D35" s="7">
        <v>0</v>
      </c>
      <c r="E35" s="19"/>
      <c r="F35" s="7">
        <v>0</v>
      </c>
      <c r="G35" s="19"/>
      <c r="H35" s="7">
        <v>0</v>
      </c>
      <c r="I35" s="19"/>
      <c r="J35" s="7">
        <v>0</v>
      </c>
      <c r="K35" s="19"/>
      <c r="L35" s="7">
        <v>0</v>
      </c>
      <c r="M35" s="19"/>
      <c r="N35" s="7">
        <v>0</v>
      </c>
      <c r="O35" s="5"/>
      <c r="P35" s="13">
        <v>0</v>
      </c>
      <c r="Q35" s="5"/>
      <c r="R35" s="13">
        <v>0</v>
      </c>
      <c r="S35" s="19"/>
      <c r="T35" s="7">
        <v>0</v>
      </c>
      <c r="U35" s="19"/>
      <c r="V35" s="7">
        <v>0</v>
      </c>
      <c r="W35" s="19"/>
      <c r="X35" s="7">
        <v>0</v>
      </c>
      <c r="Y35" s="7">
        <v>0</v>
      </c>
    </row>
    <row r="36" spans="1:25">
      <c r="A36" s="9" t="s">
        <v>17</v>
      </c>
      <c r="B36" s="9"/>
      <c r="C36" s="5" t="s">
        <v>38</v>
      </c>
      <c r="D36" s="7">
        <v>0</v>
      </c>
      <c r="E36" s="19"/>
      <c r="F36" s="7">
        <v>0</v>
      </c>
      <c r="G36" s="19"/>
      <c r="H36" s="7">
        <v>0</v>
      </c>
      <c r="I36" s="19"/>
      <c r="J36" s="7">
        <v>0</v>
      </c>
      <c r="K36" s="19"/>
      <c r="L36" s="7">
        <v>0</v>
      </c>
      <c r="M36" s="19"/>
      <c r="N36" s="7">
        <v>0</v>
      </c>
      <c r="O36" s="5"/>
      <c r="P36" s="13">
        <v>0</v>
      </c>
      <c r="Q36" s="5"/>
      <c r="R36" s="13">
        <v>0</v>
      </c>
      <c r="S36" s="19"/>
      <c r="T36" s="7">
        <v>0</v>
      </c>
      <c r="U36" s="19"/>
      <c r="V36" s="7">
        <v>0</v>
      </c>
      <c r="W36" s="19"/>
      <c r="X36" s="7">
        <v>0</v>
      </c>
      <c r="Y36" s="7">
        <v>0</v>
      </c>
    </row>
    <row r="37" spans="1:25">
      <c r="A37" s="2" t="s">
        <v>17</v>
      </c>
      <c r="C37" s="5" t="s">
        <v>39</v>
      </c>
      <c r="D37" s="7">
        <v>0</v>
      </c>
      <c r="E37" s="19"/>
      <c r="F37" s="7">
        <v>0</v>
      </c>
      <c r="G37" s="19"/>
      <c r="H37" s="7">
        <v>0</v>
      </c>
      <c r="I37" s="19"/>
      <c r="J37" s="7">
        <v>0</v>
      </c>
      <c r="K37" s="19"/>
      <c r="L37" s="7">
        <v>0</v>
      </c>
      <c r="M37" s="19"/>
      <c r="N37" s="7">
        <v>0</v>
      </c>
      <c r="O37" s="5"/>
      <c r="P37" s="13">
        <v>0</v>
      </c>
      <c r="Q37" s="5"/>
      <c r="R37" s="13">
        <v>0</v>
      </c>
      <c r="S37" s="19"/>
      <c r="T37" s="7">
        <v>0</v>
      </c>
      <c r="U37" s="19"/>
      <c r="V37" s="7">
        <v>0</v>
      </c>
      <c r="W37" s="19"/>
      <c r="X37" s="7">
        <v>0</v>
      </c>
      <c r="Y37" s="7">
        <v>0</v>
      </c>
    </row>
    <row r="38" spans="1:25">
      <c r="A38" s="2" t="s">
        <v>17</v>
      </c>
      <c r="B38" s="2" t="str">
        <f t="shared" si="2"/>
        <v>392</v>
      </c>
      <c r="C38" s="5" t="s">
        <v>40</v>
      </c>
      <c r="D38" s="7">
        <v>7247022.6799999997</v>
      </c>
      <c r="E38" s="19"/>
      <c r="F38" s="7">
        <v>491084.27</v>
      </c>
      <c r="G38" s="19"/>
      <c r="H38" s="7">
        <v>-214781.65000000002</v>
      </c>
      <c r="I38" s="19"/>
      <c r="J38" s="7">
        <v>0</v>
      </c>
      <c r="K38" s="19"/>
      <c r="L38" s="7">
        <v>276302.62</v>
      </c>
      <c r="M38" s="19"/>
      <c r="N38" s="7">
        <v>7523325.2999999998</v>
      </c>
      <c r="O38" s="5"/>
      <c r="P38" s="13">
        <v>-4207079.6996879997</v>
      </c>
      <c r="Q38" s="5"/>
      <c r="R38" s="13">
        <v>3316245.6003120001</v>
      </c>
      <c r="S38" s="19"/>
      <c r="T38" s="7">
        <v>-1.6356794647621822E-13</v>
      </c>
      <c r="U38" s="19"/>
      <c r="V38" s="7">
        <v>-4207079.6996879997</v>
      </c>
      <c r="W38" s="19"/>
      <c r="X38" s="7">
        <v>7523325.3000000007</v>
      </c>
      <c r="Y38" s="7">
        <v>0</v>
      </c>
    </row>
    <row r="39" spans="1:25">
      <c r="A39" s="2" t="s">
        <v>17</v>
      </c>
      <c r="C39" s="5" t="s">
        <v>41</v>
      </c>
      <c r="D39" s="7">
        <v>0</v>
      </c>
      <c r="E39" s="19"/>
      <c r="F39" s="7">
        <v>0</v>
      </c>
      <c r="G39" s="19"/>
      <c r="H39" s="7">
        <v>0</v>
      </c>
      <c r="I39" s="19"/>
      <c r="J39" s="7">
        <v>0</v>
      </c>
      <c r="K39" s="19"/>
      <c r="L39" s="7">
        <v>0</v>
      </c>
      <c r="M39" s="19"/>
      <c r="N39" s="7">
        <v>0</v>
      </c>
      <c r="O39" s="5"/>
      <c r="P39" s="13">
        <v>0</v>
      </c>
      <c r="Q39" s="5"/>
      <c r="R39" s="13">
        <v>0</v>
      </c>
      <c r="S39" s="19"/>
      <c r="T39" s="7">
        <v>0</v>
      </c>
      <c r="U39" s="19"/>
      <c r="V39" s="7">
        <v>0</v>
      </c>
      <c r="W39" s="19"/>
      <c r="X39" s="7">
        <v>0</v>
      </c>
      <c r="Y39" s="7">
        <v>0</v>
      </c>
    </row>
    <row r="40" spans="1:25">
      <c r="A40" s="2" t="s">
        <v>17</v>
      </c>
      <c r="B40" s="2" t="str">
        <f t="shared" si="2"/>
        <v>393</v>
      </c>
      <c r="C40" s="5" t="s">
        <v>42</v>
      </c>
      <c r="D40" s="7">
        <v>906444.57</v>
      </c>
      <c r="E40" s="19"/>
      <c r="F40" s="7">
        <v>51064.5</v>
      </c>
      <c r="G40" s="19"/>
      <c r="H40" s="7">
        <v>-6848.4400000000005</v>
      </c>
      <c r="I40" s="19"/>
      <c r="J40" s="7">
        <v>0</v>
      </c>
      <c r="K40" s="19"/>
      <c r="L40" s="7">
        <v>44216.06</v>
      </c>
      <c r="M40" s="19"/>
      <c r="N40" s="7">
        <v>950660.62999999989</v>
      </c>
      <c r="O40" s="5"/>
      <c r="P40" s="13">
        <v>-453174.20347599901</v>
      </c>
      <c r="Q40" s="5"/>
      <c r="R40" s="13">
        <v>497486.42652400088</v>
      </c>
      <c r="S40" s="19"/>
      <c r="T40" s="7">
        <v>-1.7008313874184658E-14</v>
      </c>
      <c r="U40" s="19"/>
      <c r="V40" s="7">
        <v>-453174.20347599901</v>
      </c>
      <c r="W40" s="19"/>
      <c r="X40" s="7">
        <v>950660.63</v>
      </c>
      <c r="Y40" s="7">
        <v>0</v>
      </c>
    </row>
    <row r="41" spans="1:25">
      <c r="A41" s="2" t="s">
        <v>17</v>
      </c>
      <c r="B41" s="2" t="str">
        <f t="shared" si="2"/>
        <v>394</v>
      </c>
      <c r="C41" s="5" t="s">
        <v>43</v>
      </c>
      <c r="D41" s="7">
        <v>12826549.380000001</v>
      </c>
      <c r="E41" s="19"/>
      <c r="F41" s="7">
        <v>1998205.07</v>
      </c>
      <c r="G41" s="19"/>
      <c r="H41" s="7">
        <v>-54865.239999999991</v>
      </c>
      <c r="I41" s="19"/>
      <c r="J41" s="7">
        <v>0</v>
      </c>
      <c r="K41" s="19"/>
      <c r="L41" s="7">
        <v>1943339.83</v>
      </c>
      <c r="M41" s="19"/>
      <c r="N41" s="7">
        <v>14769889.210000001</v>
      </c>
      <c r="O41" s="5"/>
      <c r="P41" s="13">
        <v>-4586007.5235000001</v>
      </c>
      <c r="Q41" s="5"/>
      <c r="R41" s="13">
        <v>10183881.686500002</v>
      </c>
      <c r="S41" s="19"/>
      <c r="T41" s="7">
        <v>-6.6555237034627045E-13</v>
      </c>
      <c r="U41" s="19"/>
      <c r="V41" s="7">
        <v>-4586007.5235000001</v>
      </c>
      <c r="W41" s="19"/>
      <c r="X41" s="7">
        <v>14769889.209999999</v>
      </c>
      <c r="Y41" s="7">
        <v>0</v>
      </c>
    </row>
    <row r="42" spans="1:25">
      <c r="A42" s="2" t="s">
        <v>17</v>
      </c>
      <c r="B42" s="2" t="str">
        <f t="shared" si="2"/>
        <v>395</v>
      </c>
      <c r="C42" s="5" t="s">
        <v>44</v>
      </c>
      <c r="D42" s="7">
        <v>0</v>
      </c>
      <c r="E42" s="19"/>
      <c r="F42" s="7">
        <v>0</v>
      </c>
      <c r="G42" s="19"/>
      <c r="H42" s="7">
        <v>0</v>
      </c>
      <c r="I42" s="19"/>
      <c r="J42" s="7">
        <v>0</v>
      </c>
      <c r="K42" s="19"/>
      <c r="L42" s="7">
        <v>0</v>
      </c>
      <c r="M42" s="19"/>
      <c r="N42" s="7">
        <v>0</v>
      </c>
      <c r="O42" s="5"/>
      <c r="P42" s="13">
        <v>0</v>
      </c>
      <c r="Q42" s="5"/>
      <c r="R42" s="13">
        <v>0</v>
      </c>
      <c r="S42" s="19"/>
      <c r="T42" s="7">
        <v>0</v>
      </c>
      <c r="U42" s="19"/>
      <c r="V42" s="7">
        <v>0</v>
      </c>
      <c r="W42" s="19"/>
      <c r="X42" s="7">
        <v>0</v>
      </c>
      <c r="Y42" s="7">
        <v>0</v>
      </c>
    </row>
    <row r="43" spans="1:25" s="9" customFormat="1">
      <c r="A43" s="2" t="s">
        <v>17</v>
      </c>
      <c r="B43" s="2" t="str">
        <f t="shared" si="2"/>
        <v>396</v>
      </c>
      <c r="C43" s="5" t="s">
        <v>2490</v>
      </c>
      <c r="D43" s="7">
        <v>3175738.5599999996</v>
      </c>
      <c r="E43" s="19"/>
      <c r="F43" s="7">
        <v>679891.58</v>
      </c>
      <c r="G43" s="19"/>
      <c r="H43" s="7">
        <v>0</v>
      </c>
      <c r="I43" s="19"/>
      <c r="J43" s="7">
        <v>0</v>
      </c>
      <c r="K43" s="19"/>
      <c r="L43" s="7">
        <v>679891.58</v>
      </c>
      <c r="M43" s="19"/>
      <c r="N43" s="7">
        <v>3855630.1399999997</v>
      </c>
      <c r="O43" s="5"/>
      <c r="P43" s="13">
        <v>-1224508.0261699979</v>
      </c>
      <c r="Q43" s="5"/>
      <c r="R43" s="13">
        <v>2631122.113830002</v>
      </c>
      <c r="S43" s="19"/>
      <c r="T43" s="7">
        <v>-2.2645496172596082E-13</v>
      </c>
      <c r="U43" s="19"/>
      <c r="V43" s="7">
        <v>-1224508.0261699979</v>
      </c>
      <c r="W43" s="19"/>
      <c r="X43" s="7">
        <v>3855630.14</v>
      </c>
      <c r="Y43" s="7">
        <v>0</v>
      </c>
    </row>
    <row r="44" spans="1:25" s="9" customFormat="1">
      <c r="A44" s="2" t="s">
        <v>17</v>
      </c>
      <c r="B44" s="2" t="str">
        <f t="shared" si="2"/>
        <v>397</v>
      </c>
      <c r="C44" s="5" t="s">
        <v>2190</v>
      </c>
      <c r="D44" s="7">
        <v>48289238.399999999</v>
      </c>
      <c r="E44" s="19"/>
      <c r="F44" s="7">
        <v>9002316.4500000011</v>
      </c>
      <c r="G44" s="19"/>
      <c r="H44" s="7">
        <v>0</v>
      </c>
      <c r="I44" s="19"/>
      <c r="J44" s="7">
        <v>0</v>
      </c>
      <c r="K44" s="19"/>
      <c r="L44" s="7">
        <v>9002316.4500000011</v>
      </c>
      <c r="M44" s="19"/>
      <c r="N44" s="7">
        <v>57291554.850000001</v>
      </c>
      <c r="O44" s="5"/>
      <c r="P44" s="13">
        <v>-23744485.2194</v>
      </c>
      <c r="Q44" s="5"/>
      <c r="R44" s="13">
        <v>33547069.630600002</v>
      </c>
      <c r="S44" s="19"/>
      <c r="T44" s="7">
        <v>-2.9984475276627754E-12</v>
      </c>
      <c r="U44" s="19"/>
      <c r="V44" s="7">
        <v>-23744485.2194</v>
      </c>
      <c r="W44" s="19"/>
      <c r="X44" s="7">
        <v>57291554.849999897</v>
      </c>
      <c r="Y44" s="7">
        <v>-1.0430812835693359E-7</v>
      </c>
    </row>
    <row r="45" spans="1:25" s="9" customFormat="1">
      <c r="A45" s="2" t="s">
        <v>17</v>
      </c>
      <c r="C45" s="5" t="s">
        <v>2191</v>
      </c>
      <c r="D45" s="7">
        <v>0</v>
      </c>
      <c r="E45" s="19"/>
      <c r="F45" s="7">
        <v>0</v>
      </c>
      <c r="G45" s="19"/>
      <c r="H45" s="7">
        <v>0</v>
      </c>
      <c r="I45" s="19"/>
      <c r="J45" s="7">
        <v>0</v>
      </c>
      <c r="K45" s="19"/>
      <c r="L45" s="7">
        <v>0</v>
      </c>
      <c r="M45" s="19"/>
      <c r="N45" s="7">
        <v>0</v>
      </c>
      <c r="O45" s="5"/>
      <c r="P45" s="13">
        <v>0</v>
      </c>
      <c r="Q45" s="5"/>
      <c r="R45" s="13">
        <v>0</v>
      </c>
      <c r="S45" s="19"/>
      <c r="T45" s="7">
        <v>0</v>
      </c>
      <c r="U45" s="19"/>
      <c r="V45" s="7">
        <v>0</v>
      </c>
      <c r="W45" s="19"/>
      <c r="X45" s="7">
        <v>0</v>
      </c>
      <c r="Y45" s="7">
        <v>0</v>
      </c>
    </row>
    <row r="46" spans="1:25">
      <c r="A46" s="2" t="s">
        <v>17</v>
      </c>
      <c r="B46" s="515">
        <v>397</v>
      </c>
      <c r="C46" s="5" t="s">
        <v>45</v>
      </c>
      <c r="D46" s="7">
        <v>7584827.0099999998</v>
      </c>
      <c r="E46" s="19"/>
      <c r="F46" s="7">
        <v>192363.35000000003</v>
      </c>
      <c r="G46" s="19"/>
      <c r="H46" s="7">
        <v>0</v>
      </c>
      <c r="I46" s="19"/>
      <c r="J46" s="7">
        <v>0</v>
      </c>
      <c r="K46" s="19"/>
      <c r="L46" s="7">
        <v>192363.35000000003</v>
      </c>
      <c r="M46" s="19"/>
      <c r="N46" s="7">
        <v>7777190.3599999994</v>
      </c>
      <c r="O46" s="5"/>
      <c r="P46" s="13">
        <v>-2660674.1801899998</v>
      </c>
      <c r="Q46" s="5"/>
      <c r="R46" s="13">
        <v>5116516.1798099997</v>
      </c>
      <c r="S46" s="19"/>
      <c r="T46" s="7">
        <v>-6.407144365830744E-14</v>
      </c>
      <c r="U46" s="19"/>
      <c r="V46" s="7">
        <v>-2660674.1801899998</v>
      </c>
      <c r="W46" s="19"/>
      <c r="X46" s="7">
        <v>7777190.3599999994</v>
      </c>
      <c r="Y46" s="7">
        <v>0</v>
      </c>
    </row>
    <row r="47" spans="1:25">
      <c r="A47" s="2" t="s">
        <v>17</v>
      </c>
      <c r="B47" s="2" t="str">
        <f t="shared" ref="B47" si="4">MID(C47,2,3)</f>
        <v>398</v>
      </c>
      <c r="C47" s="5" t="s">
        <v>46</v>
      </c>
      <c r="D47" s="20">
        <v>0</v>
      </c>
      <c r="E47" s="18"/>
      <c r="F47" s="20">
        <v>0</v>
      </c>
      <c r="G47" s="18"/>
      <c r="H47" s="20">
        <v>0</v>
      </c>
      <c r="I47" s="18"/>
      <c r="J47" s="20">
        <v>0</v>
      </c>
      <c r="K47" s="18"/>
      <c r="L47" s="20">
        <v>0</v>
      </c>
      <c r="M47" s="18"/>
      <c r="N47" s="20">
        <v>0</v>
      </c>
      <c r="O47" s="5"/>
      <c r="P47" s="21">
        <v>0</v>
      </c>
      <c r="Q47" s="5"/>
      <c r="R47" s="21">
        <v>0</v>
      </c>
      <c r="S47" s="18"/>
      <c r="T47" s="20">
        <v>0</v>
      </c>
      <c r="U47" s="18"/>
      <c r="V47" s="20">
        <v>0</v>
      </c>
      <c r="W47" s="18"/>
      <c r="X47" s="20">
        <v>0</v>
      </c>
      <c r="Y47" s="20">
        <v>0</v>
      </c>
    </row>
    <row r="48" spans="1:25">
      <c r="C48" s="5"/>
      <c r="D48" s="17">
        <v>183233913.97</v>
      </c>
      <c r="E48" s="18"/>
      <c r="F48" s="17">
        <v>31999212.089999996</v>
      </c>
      <c r="G48" s="18"/>
      <c r="H48" s="17">
        <v>-5163984.83</v>
      </c>
      <c r="I48" s="18"/>
      <c r="J48" s="17">
        <v>-860.21</v>
      </c>
      <c r="K48" s="18"/>
      <c r="L48" s="17">
        <v>26834367.049999997</v>
      </c>
      <c r="M48" s="18"/>
      <c r="N48" s="17">
        <v>210068281.01999998</v>
      </c>
      <c r="O48" s="5"/>
      <c r="P48" s="17">
        <v>-72227496.156112656</v>
      </c>
      <c r="Q48" s="5"/>
      <c r="R48" s="17">
        <v>137840784.86388734</v>
      </c>
      <c r="S48" s="18"/>
      <c r="T48" s="17">
        <v>-1.06581410364015E-11</v>
      </c>
      <c r="U48" s="18"/>
      <c r="V48" s="17">
        <v>-72227496.156112656</v>
      </c>
      <c r="W48" s="18"/>
      <c r="X48" s="17">
        <v>210068281.01999974</v>
      </c>
      <c r="Y48" s="17">
        <v>-2.1792948246002197E-7</v>
      </c>
    </row>
    <row r="49" spans="1:25">
      <c r="C49" s="5"/>
      <c r="D49" s="17"/>
      <c r="E49" s="18"/>
      <c r="F49" s="17"/>
      <c r="G49" s="18"/>
      <c r="H49" s="17"/>
      <c r="I49" s="18"/>
      <c r="J49" s="17"/>
      <c r="K49" s="18"/>
      <c r="L49" s="17"/>
      <c r="M49" s="18"/>
      <c r="N49" s="17"/>
      <c r="O49" s="5"/>
      <c r="P49" s="5"/>
      <c r="Q49" s="5"/>
      <c r="R49" s="5"/>
      <c r="S49" s="18"/>
      <c r="T49" s="17"/>
      <c r="U49" s="18"/>
      <c r="V49" s="17"/>
      <c r="W49" s="18"/>
      <c r="X49" s="17"/>
      <c r="Y49" s="17"/>
    </row>
    <row r="50" spans="1:25">
      <c r="C50" s="8" t="s">
        <v>47</v>
      </c>
      <c r="D50" s="17"/>
      <c r="E50" s="18"/>
      <c r="F50" s="17"/>
      <c r="G50" s="18"/>
      <c r="H50" s="17"/>
      <c r="I50" s="18"/>
      <c r="J50" s="17"/>
      <c r="K50" s="18"/>
      <c r="L50" s="17"/>
      <c r="M50" s="18"/>
      <c r="N50" s="17"/>
      <c r="O50" s="5"/>
      <c r="P50" s="5"/>
      <c r="Q50" s="5"/>
      <c r="R50" s="5"/>
      <c r="S50" s="18"/>
      <c r="T50" s="17"/>
      <c r="U50" s="18"/>
      <c r="V50" s="17"/>
      <c r="W50" s="18"/>
      <c r="X50" s="17"/>
      <c r="Y50" s="17"/>
    </row>
    <row r="51" spans="1:25">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5"/>
      <c r="P51" s="13">
        <v>-912332.6</v>
      </c>
      <c r="Q51" s="5"/>
      <c r="R51" s="13">
        <v>-56696.129999999888</v>
      </c>
      <c r="S51" s="18"/>
      <c r="T51" s="7">
        <v>0</v>
      </c>
      <c r="U51" s="19"/>
      <c r="V51" s="7">
        <v>-912332.6</v>
      </c>
      <c r="W51" s="19"/>
      <c r="X51" s="7">
        <v>855636.47000000009</v>
      </c>
      <c r="Y51" s="7">
        <v>0</v>
      </c>
    </row>
    <row r="52" spans="1:25">
      <c r="A52" s="2" t="s">
        <v>17</v>
      </c>
      <c r="B52" s="2" t="str">
        <f t="shared" si="5"/>
        <v>331</v>
      </c>
      <c r="C52" s="5" t="s">
        <v>49</v>
      </c>
      <c r="D52" s="17">
        <v>2999390.54</v>
      </c>
      <c r="E52" s="18"/>
      <c r="F52" s="17">
        <v>1410447.7999999998</v>
      </c>
      <c r="G52" s="18"/>
      <c r="H52" s="17">
        <v>0</v>
      </c>
      <c r="I52" s="18"/>
      <c r="J52" s="17">
        <v>0</v>
      </c>
      <c r="K52" s="18"/>
      <c r="L52" s="17">
        <v>1410447.7999999998</v>
      </c>
      <c r="M52" s="18"/>
      <c r="N52" s="17">
        <v>4409838.34</v>
      </c>
      <c r="O52" s="5"/>
      <c r="P52" s="13">
        <v>-325403.647236499</v>
      </c>
      <c r="Q52" s="5"/>
      <c r="R52" s="13">
        <v>4084434.6927635008</v>
      </c>
      <c r="S52" s="18"/>
      <c r="T52" s="7">
        <v>0</v>
      </c>
      <c r="U52" s="19"/>
      <c r="V52" s="7">
        <v>-325403.647236499</v>
      </c>
      <c r="W52" s="19"/>
      <c r="X52" s="7">
        <v>4409838.34</v>
      </c>
      <c r="Y52" s="7">
        <v>0</v>
      </c>
    </row>
    <row r="53" spans="1:25">
      <c r="A53" s="2" t="s">
        <v>17</v>
      </c>
      <c r="B53" s="2" t="str">
        <f t="shared" si="5"/>
        <v>332</v>
      </c>
      <c r="C53" s="5" t="s">
        <v>50</v>
      </c>
      <c r="D53" s="17">
        <v>21885646.369999997</v>
      </c>
      <c r="E53" s="18"/>
      <c r="F53" s="17">
        <v>0</v>
      </c>
      <c r="G53" s="18"/>
      <c r="H53" s="17">
        <v>0</v>
      </c>
      <c r="I53" s="18"/>
      <c r="J53" s="17">
        <v>0</v>
      </c>
      <c r="K53" s="18"/>
      <c r="L53" s="17">
        <v>0</v>
      </c>
      <c r="M53" s="18"/>
      <c r="N53" s="17">
        <v>21885646.369999997</v>
      </c>
      <c r="O53" s="5"/>
      <c r="P53" s="13">
        <v>-9887589.4151059892</v>
      </c>
      <c r="Q53" s="5"/>
      <c r="R53" s="13">
        <v>11998056.954894008</v>
      </c>
      <c r="S53" s="18"/>
      <c r="T53" s="17">
        <v>0</v>
      </c>
      <c r="U53" s="18"/>
      <c r="V53" s="17">
        <v>-9887589.4151059892</v>
      </c>
      <c r="W53" s="18"/>
      <c r="X53" s="17">
        <v>21885646.369999997</v>
      </c>
      <c r="Y53" s="17">
        <v>0</v>
      </c>
    </row>
    <row r="54" spans="1:25">
      <c r="A54" s="2" t="s">
        <v>17</v>
      </c>
      <c r="B54" s="2" t="str">
        <f t="shared" si="5"/>
        <v>333</v>
      </c>
      <c r="C54" s="5" t="s">
        <v>51</v>
      </c>
      <c r="D54" s="17">
        <v>14046741.58</v>
      </c>
      <c r="E54" s="18"/>
      <c r="F54" s="17">
        <v>0</v>
      </c>
      <c r="G54" s="18"/>
      <c r="H54" s="17">
        <v>0</v>
      </c>
      <c r="I54" s="18"/>
      <c r="J54" s="17">
        <v>0</v>
      </c>
      <c r="K54" s="18"/>
      <c r="L54" s="17">
        <v>0</v>
      </c>
      <c r="M54" s="18"/>
      <c r="N54" s="17">
        <v>14046741.58</v>
      </c>
      <c r="O54" s="5"/>
      <c r="P54" s="13">
        <v>-2389412.4025121899</v>
      </c>
      <c r="Q54" s="5"/>
      <c r="R54" s="13">
        <v>11657329.177487809</v>
      </c>
      <c r="S54" s="18"/>
      <c r="T54" s="17">
        <v>0</v>
      </c>
      <c r="U54" s="18"/>
      <c r="V54" s="17">
        <v>-2389412.4025121899</v>
      </c>
      <c r="W54" s="18"/>
      <c r="X54" s="17">
        <v>14046741.58</v>
      </c>
      <c r="Y54" s="17">
        <v>0</v>
      </c>
    </row>
    <row r="55" spans="1:25">
      <c r="A55" s="2" t="s">
        <v>17</v>
      </c>
      <c r="B55" s="2" t="str">
        <f t="shared" si="5"/>
        <v>334</v>
      </c>
      <c r="C55" s="5" t="s">
        <v>52</v>
      </c>
      <c r="D55" s="17">
        <v>1381870.67</v>
      </c>
      <c r="E55" s="18"/>
      <c r="F55" s="17">
        <v>0</v>
      </c>
      <c r="G55" s="18"/>
      <c r="H55" s="17">
        <v>0</v>
      </c>
      <c r="I55" s="18"/>
      <c r="J55" s="17">
        <v>0</v>
      </c>
      <c r="K55" s="18"/>
      <c r="L55" s="17">
        <v>0</v>
      </c>
      <c r="M55" s="18"/>
      <c r="N55" s="17">
        <v>1381870.67</v>
      </c>
      <c r="O55" s="5"/>
      <c r="P55" s="13">
        <v>-370958.606262599</v>
      </c>
      <c r="Q55" s="5"/>
      <c r="R55" s="13">
        <v>1010912.0637374009</v>
      </c>
      <c r="S55" s="18"/>
      <c r="T55" s="17">
        <v>0</v>
      </c>
      <c r="U55" s="18"/>
      <c r="V55" s="17">
        <v>-370958.606262599</v>
      </c>
      <c r="W55" s="18"/>
      <c r="X55" s="17">
        <v>1381870.67</v>
      </c>
      <c r="Y55" s="17">
        <v>0</v>
      </c>
    </row>
    <row r="56" spans="1:25">
      <c r="A56" s="2" t="s">
        <v>17</v>
      </c>
      <c r="B56" s="2" t="str">
        <f t="shared" si="5"/>
        <v>335</v>
      </c>
      <c r="C56" s="5" t="s">
        <v>53</v>
      </c>
      <c r="D56" s="17">
        <v>329374.18000000005</v>
      </c>
      <c r="E56" s="18"/>
      <c r="F56" s="17">
        <v>0</v>
      </c>
      <c r="G56" s="18"/>
      <c r="H56" s="17">
        <v>0</v>
      </c>
      <c r="I56" s="18"/>
      <c r="J56" s="17">
        <v>0</v>
      </c>
      <c r="K56" s="18"/>
      <c r="L56" s="17">
        <v>0</v>
      </c>
      <c r="M56" s="18"/>
      <c r="N56" s="17">
        <v>329374.18000000005</v>
      </c>
      <c r="O56" s="5"/>
      <c r="P56" s="13">
        <v>-155938.28458301999</v>
      </c>
      <c r="Q56" s="5"/>
      <c r="R56" s="13">
        <v>173435.89541698006</v>
      </c>
      <c r="S56" s="18"/>
      <c r="T56" s="17">
        <v>0</v>
      </c>
      <c r="U56" s="18"/>
      <c r="V56" s="17">
        <v>-155938.28458301999</v>
      </c>
      <c r="W56" s="18"/>
      <c r="X56" s="17">
        <v>329374.18000000005</v>
      </c>
      <c r="Y56" s="17">
        <v>0</v>
      </c>
    </row>
    <row r="57" spans="1:25">
      <c r="A57" s="2" t="s">
        <v>17</v>
      </c>
      <c r="B57" s="2" t="str">
        <f t="shared" si="5"/>
        <v>336</v>
      </c>
      <c r="C57" s="5" t="s">
        <v>54</v>
      </c>
      <c r="D57" s="17">
        <v>234509.13</v>
      </c>
      <c r="E57" s="18"/>
      <c r="F57" s="17">
        <v>0</v>
      </c>
      <c r="G57" s="18"/>
      <c r="H57" s="17">
        <v>0</v>
      </c>
      <c r="I57" s="18"/>
      <c r="J57" s="17">
        <v>0</v>
      </c>
      <c r="K57" s="18"/>
      <c r="L57" s="17">
        <v>0</v>
      </c>
      <c r="M57" s="18"/>
      <c r="N57" s="17">
        <v>234509.13</v>
      </c>
      <c r="O57" s="5"/>
      <c r="P57" s="13">
        <v>-95823.9370147999</v>
      </c>
      <c r="Q57" s="5"/>
      <c r="R57" s="13">
        <v>138685.19298520009</v>
      </c>
      <c r="S57" s="18"/>
      <c r="T57" s="17">
        <v>0</v>
      </c>
      <c r="U57" s="18"/>
      <c r="V57" s="17">
        <v>-95823.9370147999</v>
      </c>
      <c r="W57" s="18"/>
      <c r="X57" s="17">
        <v>234509.13</v>
      </c>
      <c r="Y57" s="17">
        <v>0</v>
      </c>
    </row>
    <row r="58" spans="1:25">
      <c r="A58" s="2" t="s">
        <v>17</v>
      </c>
      <c r="B58" s="2" t="str">
        <f t="shared" si="5"/>
        <v>337</v>
      </c>
      <c r="C58" s="5" t="s">
        <v>55</v>
      </c>
      <c r="D58" s="20">
        <v>645787.99</v>
      </c>
      <c r="E58" s="18"/>
      <c r="F58" s="20">
        <v>0</v>
      </c>
      <c r="G58" s="18"/>
      <c r="H58" s="20">
        <v>0</v>
      </c>
      <c r="I58" s="18"/>
      <c r="J58" s="20">
        <v>0</v>
      </c>
      <c r="K58" s="18"/>
      <c r="L58" s="20">
        <v>0</v>
      </c>
      <c r="M58" s="18"/>
      <c r="N58" s="20">
        <v>645787.99</v>
      </c>
      <c r="O58" s="5"/>
      <c r="P58" s="21">
        <v>-55478.109999999899</v>
      </c>
      <c r="Q58" s="5"/>
      <c r="R58" s="21">
        <v>590309.88000000012</v>
      </c>
      <c r="S58" s="18"/>
      <c r="T58" s="20">
        <v>0</v>
      </c>
      <c r="U58" s="18"/>
      <c r="V58" s="20">
        <v>-55478.109999999899</v>
      </c>
      <c r="W58" s="18"/>
      <c r="X58" s="20">
        <v>645787.99</v>
      </c>
      <c r="Y58" s="20">
        <v>0</v>
      </c>
    </row>
    <row r="59" spans="1:25">
      <c r="C59" s="5"/>
      <c r="D59" s="17">
        <v>42378956.930000007</v>
      </c>
      <c r="E59" s="18"/>
      <c r="F59" s="17">
        <v>1410447.7999999998</v>
      </c>
      <c r="G59" s="18"/>
      <c r="H59" s="17">
        <v>0</v>
      </c>
      <c r="I59" s="18"/>
      <c r="J59" s="17">
        <v>0</v>
      </c>
      <c r="K59" s="18"/>
      <c r="L59" s="17">
        <v>1410447.7999999998</v>
      </c>
      <c r="M59" s="18"/>
      <c r="N59" s="17">
        <v>43789404.730000004</v>
      </c>
      <c r="O59" s="5"/>
      <c r="P59" s="17">
        <v>-14192937.002715094</v>
      </c>
      <c r="Q59" s="5"/>
      <c r="R59" s="17">
        <v>29596467.727284893</v>
      </c>
      <c r="S59" s="18"/>
      <c r="T59" s="17">
        <v>0</v>
      </c>
      <c r="U59" s="18"/>
      <c r="V59" s="17">
        <v>-14192937.002715094</v>
      </c>
      <c r="W59" s="18">
        <v>0</v>
      </c>
      <c r="X59" s="17">
        <v>43789404.730000004</v>
      </c>
      <c r="Y59" s="17">
        <v>0</v>
      </c>
    </row>
    <row r="60" spans="1:25">
      <c r="C60" s="5"/>
      <c r="D60" s="17"/>
      <c r="E60" s="18"/>
      <c r="F60" s="17"/>
      <c r="G60" s="18"/>
      <c r="H60" s="17"/>
      <c r="I60" s="18"/>
      <c r="J60" s="17"/>
      <c r="K60" s="18"/>
      <c r="L60" s="17"/>
      <c r="M60" s="18"/>
      <c r="N60" s="17"/>
      <c r="O60" s="5"/>
      <c r="P60" s="5"/>
      <c r="Q60" s="5"/>
      <c r="R60" s="5"/>
      <c r="S60" s="18"/>
      <c r="T60" s="17"/>
      <c r="U60" s="18"/>
      <c r="V60" s="17"/>
      <c r="W60" s="18"/>
      <c r="X60" s="17"/>
      <c r="Y60" s="17"/>
    </row>
    <row r="61" spans="1:25">
      <c r="C61" s="8" t="s">
        <v>56</v>
      </c>
      <c r="D61" s="17"/>
      <c r="E61" s="18"/>
      <c r="F61" s="17"/>
      <c r="G61" s="18"/>
      <c r="H61" s="17"/>
      <c r="I61" s="18"/>
      <c r="J61" s="17"/>
      <c r="K61" s="18"/>
      <c r="L61" s="17"/>
      <c r="M61" s="18"/>
      <c r="N61" s="17"/>
      <c r="O61" s="5"/>
      <c r="P61" s="5"/>
      <c r="Q61" s="5"/>
      <c r="R61" s="5"/>
      <c r="S61" s="18"/>
      <c r="T61" s="17"/>
      <c r="U61" s="18"/>
      <c r="V61" s="17"/>
      <c r="W61" s="18"/>
      <c r="X61" s="17"/>
      <c r="Y61" s="17"/>
    </row>
    <row r="62" spans="1:25">
      <c r="A62" s="2" t="s">
        <v>17</v>
      </c>
      <c r="B62" s="2" t="str">
        <f t="shared" ref="B62:B64" si="6">MID(C62,2,3)</f>
        <v>301</v>
      </c>
      <c r="C62" s="5" t="s">
        <v>57</v>
      </c>
      <c r="D62" s="17">
        <v>39116.89</v>
      </c>
      <c r="E62" s="18"/>
      <c r="F62" s="17">
        <v>0</v>
      </c>
      <c r="G62" s="18"/>
      <c r="H62" s="17">
        <v>0</v>
      </c>
      <c r="I62" s="18"/>
      <c r="J62" s="17">
        <v>0</v>
      </c>
      <c r="K62" s="18"/>
      <c r="L62" s="17">
        <v>0</v>
      </c>
      <c r="M62" s="18"/>
      <c r="N62" s="17">
        <v>39116.89</v>
      </c>
      <c r="O62" s="5"/>
      <c r="P62" s="13">
        <v>0</v>
      </c>
      <c r="Q62" s="5"/>
      <c r="R62" s="13">
        <v>39116.89</v>
      </c>
      <c r="S62" s="18"/>
      <c r="T62" s="17"/>
      <c r="U62" s="18"/>
      <c r="V62" s="17">
        <v>0</v>
      </c>
      <c r="W62" s="18"/>
      <c r="X62" s="17">
        <v>39116.89</v>
      </c>
      <c r="Y62" s="17"/>
    </row>
    <row r="63" spans="1:25">
      <c r="A63" s="2" t="s">
        <v>17</v>
      </c>
      <c r="B63" s="2" t="str">
        <f t="shared" si="6"/>
        <v>302</v>
      </c>
      <c r="C63" s="5" t="s">
        <v>58</v>
      </c>
      <c r="D63" s="17">
        <v>55918.83</v>
      </c>
      <c r="E63" s="18"/>
      <c r="F63" s="17">
        <v>0</v>
      </c>
      <c r="G63" s="18"/>
      <c r="H63" s="17">
        <v>0</v>
      </c>
      <c r="I63" s="18"/>
      <c r="J63" s="17">
        <v>0</v>
      </c>
      <c r="K63" s="18"/>
      <c r="L63" s="17">
        <v>0</v>
      </c>
      <c r="M63" s="18"/>
      <c r="N63" s="17">
        <v>55918.83</v>
      </c>
      <c r="O63" s="5"/>
      <c r="P63" s="13">
        <v>-71375.296764800005</v>
      </c>
      <c r="Q63" s="5"/>
      <c r="R63" s="13">
        <v>-15456.466764800003</v>
      </c>
      <c r="S63" s="18"/>
      <c r="T63" s="7"/>
      <c r="U63" s="18"/>
      <c r="V63" s="17">
        <v>-71375.296764800005</v>
      </c>
      <c r="W63" s="18"/>
      <c r="X63" s="17">
        <v>55918.83</v>
      </c>
      <c r="Y63" s="17"/>
    </row>
    <row r="64" spans="1:25">
      <c r="A64" s="2" t="s">
        <v>17</v>
      </c>
      <c r="B64" s="2" t="str">
        <f t="shared" si="6"/>
        <v>303</v>
      </c>
      <c r="C64" s="5" t="s">
        <v>59</v>
      </c>
      <c r="D64" s="17">
        <v>118588359.95</v>
      </c>
      <c r="E64" s="18"/>
      <c r="F64" s="17">
        <v>20286054.979999997</v>
      </c>
      <c r="G64" s="18"/>
      <c r="H64" s="17">
        <v>-7125529.3799999896</v>
      </c>
      <c r="I64" s="18"/>
      <c r="J64" s="17">
        <v>0</v>
      </c>
      <c r="K64" s="18"/>
      <c r="L64" s="17">
        <v>13160525.600000007</v>
      </c>
      <c r="M64" s="18"/>
      <c r="N64" s="17">
        <v>131748885.55000001</v>
      </c>
      <c r="O64" s="5"/>
      <c r="P64" s="13">
        <v>-70608529.674599901</v>
      </c>
      <c r="Q64" s="5"/>
      <c r="R64" s="13">
        <v>61140355.875400111</v>
      </c>
      <c r="S64" s="18"/>
      <c r="T64" s="7">
        <v>3675.35</v>
      </c>
      <c r="U64" s="18"/>
      <c r="V64" s="17">
        <v>-70604854.324599907</v>
      </c>
      <c r="W64" s="18"/>
      <c r="X64" s="17">
        <v>131748885.55000001</v>
      </c>
      <c r="Y64" s="17"/>
    </row>
    <row r="65" spans="1:25">
      <c r="A65" s="2" t="s">
        <v>17</v>
      </c>
      <c r="C65" s="5" t="s">
        <v>60</v>
      </c>
      <c r="D65" s="20">
        <v>0</v>
      </c>
      <c r="E65" s="18"/>
      <c r="F65" s="20">
        <v>0</v>
      </c>
      <c r="G65" s="18"/>
      <c r="H65" s="20">
        <v>0</v>
      </c>
      <c r="I65" s="18"/>
      <c r="J65" s="20">
        <v>0</v>
      </c>
      <c r="K65" s="18"/>
      <c r="L65" s="20">
        <v>0</v>
      </c>
      <c r="M65" s="18"/>
      <c r="N65" s="20">
        <v>0</v>
      </c>
      <c r="O65" s="5"/>
      <c r="P65" s="21">
        <v>0</v>
      </c>
      <c r="Q65" s="5"/>
      <c r="R65" s="21">
        <v>0</v>
      </c>
      <c r="S65" s="18"/>
      <c r="T65" s="20"/>
      <c r="U65" s="18"/>
      <c r="V65" s="20">
        <v>0</v>
      </c>
      <c r="W65" s="18"/>
      <c r="X65" s="20">
        <v>0</v>
      </c>
      <c r="Y65" s="20"/>
    </row>
    <row r="66" spans="1:25">
      <c r="C66" s="5"/>
      <c r="D66" s="17">
        <v>118683395.67</v>
      </c>
      <c r="E66" s="18"/>
      <c r="F66" s="17">
        <v>20286054.979999997</v>
      </c>
      <c r="G66" s="18"/>
      <c r="H66" s="17">
        <v>-7125529.3799999896</v>
      </c>
      <c r="I66" s="18"/>
      <c r="J66" s="17">
        <v>0</v>
      </c>
      <c r="K66" s="18"/>
      <c r="L66" s="17">
        <v>13160525.600000007</v>
      </c>
      <c r="M66" s="18"/>
      <c r="N66" s="17">
        <v>131843921.27000001</v>
      </c>
      <c r="O66" s="5"/>
      <c r="P66" s="17">
        <v>-70679904.971364707</v>
      </c>
      <c r="Q66" s="5"/>
      <c r="R66" s="17">
        <v>61164016.298635311</v>
      </c>
      <c r="S66" s="18"/>
      <c r="T66" s="17">
        <v>3675.35</v>
      </c>
      <c r="U66" s="18"/>
      <c r="V66" s="17">
        <v>-70676229.621364713</v>
      </c>
      <c r="W66" s="18"/>
      <c r="X66" s="17">
        <v>131843921.27000001</v>
      </c>
      <c r="Y66" s="17">
        <v>0</v>
      </c>
    </row>
    <row r="67" spans="1:25">
      <c r="C67" s="5"/>
      <c r="D67" s="17"/>
      <c r="E67" s="18"/>
      <c r="F67" s="17"/>
      <c r="G67" s="18"/>
      <c r="H67" s="17"/>
      <c r="I67" s="18"/>
      <c r="J67" s="17"/>
      <c r="K67" s="18"/>
      <c r="L67" s="17"/>
      <c r="M67" s="18"/>
      <c r="N67" s="17"/>
      <c r="O67" s="5"/>
      <c r="P67" s="5"/>
      <c r="Q67" s="5"/>
      <c r="R67" s="5"/>
      <c r="S67" s="18"/>
      <c r="T67" s="17"/>
      <c r="U67" s="18"/>
      <c r="V67" s="17"/>
      <c r="W67" s="18"/>
      <c r="X67" s="17"/>
      <c r="Y67" s="17"/>
    </row>
    <row r="68" spans="1:25">
      <c r="C68" s="8" t="s">
        <v>61</v>
      </c>
      <c r="D68" s="17"/>
      <c r="E68" s="18"/>
      <c r="F68" s="17"/>
      <c r="G68" s="18"/>
      <c r="H68" s="17"/>
      <c r="I68" s="18"/>
      <c r="J68" s="17"/>
      <c r="K68" s="18"/>
      <c r="L68" s="17"/>
      <c r="M68" s="18"/>
      <c r="N68" s="17"/>
      <c r="O68" s="5"/>
      <c r="P68" s="5"/>
      <c r="Q68" s="5"/>
      <c r="R68" s="5"/>
      <c r="S68" s="18"/>
      <c r="T68" s="17"/>
      <c r="U68" s="18"/>
      <c r="V68" s="17"/>
      <c r="W68" s="18"/>
      <c r="X68" s="17"/>
      <c r="Y68" s="17"/>
    </row>
    <row r="69" spans="1:25">
      <c r="A69" s="2" t="s">
        <v>17</v>
      </c>
      <c r="B69" s="2" t="str">
        <f t="shared" ref="B69" si="7">MID(C69,2,3)</f>
        <v>340</v>
      </c>
      <c r="C69" s="5" t="s">
        <v>2491</v>
      </c>
      <c r="D69" s="17">
        <v>473578.52</v>
      </c>
      <c r="E69" s="18"/>
      <c r="F69" s="17">
        <v>429922.65</v>
      </c>
      <c r="G69" s="18"/>
      <c r="H69" s="17">
        <v>0</v>
      </c>
      <c r="I69" s="18"/>
      <c r="J69" s="17">
        <v>0</v>
      </c>
      <c r="K69" s="18"/>
      <c r="L69" s="17">
        <v>429922.65</v>
      </c>
      <c r="M69" s="18"/>
      <c r="N69" s="17">
        <v>903501.17</v>
      </c>
      <c r="O69" s="5"/>
      <c r="P69" s="13">
        <v>-128860.370543899</v>
      </c>
      <c r="Q69" s="5"/>
      <c r="R69" s="13">
        <v>774640.79945610103</v>
      </c>
      <c r="S69" s="18"/>
      <c r="T69" s="7">
        <v>7.095812946827839E-12</v>
      </c>
      <c r="U69" s="19"/>
      <c r="V69" s="7">
        <v>-128860.370543899</v>
      </c>
      <c r="W69" s="19"/>
      <c r="X69" s="7">
        <v>903501.16999999981</v>
      </c>
      <c r="Y69" s="7">
        <v>0</v>
      </c>
    </row>
    <row r="70" spans="1:25">
      <c r="A70" s="2" t="s">
        <v>17</v>
      </c>
      <c r="C70" s="5" t="s">
        <v>62</v>
      </c>
      <c r="D70" s="17">
        <v>0</v>
      </c>
      <c r="E70" s="18"/>
      <c r="F70" s="17">
        <v>0</v>
      </c>
      <c r="G70" s="18"/>
      <c r="H70" s="17">
        <v>0</v>
      </c>
      <c r="I70" s="18"/>
      <c r="J70" s="17">
        <v>0</v>
      </c>
      <c r="K70" s="18"/>
      <c r="L70" s="17">
        <v>0</v>
      </c>
      <c r="M70" s="18"/>
      <c r="N70" s="17">
        <v>0</v>
      </c>
      <c r="O70" s="5"/>
      <c r="P70" s="13">
        <v>0</v>
      </c>
      <c r="Q70" s="5"/>
      <c r="R70" s="13">
        <v>0</v>
      </c>
      <c r="S70" s="18"/>
      <c r="T70" s="17">
        <v>0</v>
      </c>
      <c r="U70" s="18"/>
      <c r="V70" s="17">
        <v>0</v>
      </c>
      <c r="W70" s="18"/>
      <c r="X70" s="17">
        <v>0</v>
      </c>
      <c r="Y70" s="17">
        <v>0</v>
      </c>
    </row>
    <row r="71" spans="1:25">
      <c r="A71" s="2" t="s">
        <v>17</v>
      </c>
      <c r="B71" s="2" t="str">
        <f t="shared" ref="B71:B79" si="8">MID(C71,2,3)</f>
        <v>341</v>
      </c>
      <c r="C71" s="5" t="s">
        <v>63</v>
      </c>
      <c r="D71" s="17">
        <v>85707409.529999986</v>
      </c>
      <c r="E71" s="18"/>
      <c r="F71" s="17">
        <v>1444189.4799999997</v>
      </c>
      <c r="G71" s="18"/>
      <c r="H71" s="17">
        <v>0</v>
      </c>
      <c r="I71" s="18"/>
      <c r="J71" s="17">
        <v>0</v>
      </c>
      <c r="K71" s="18"/>
      <c r="L71" s="17">
        <v>1444189.4799999997</v>
      </c>
      <c r="M71" s="18"/>
      <c r="N71" s="17">
        <v>87151599.00999999</v>
      </c>
      <c r="O71" s="5"/>
      <c r="P71" s="13">
        <v>-26609799.760221101</v>
      </c>
      <c r="Q71" s="5"/>
      <c r="R71" s="13">
        <v>60541799.249778889</v>
      </c>
      <c r="S71" s="18"/>
      <c r="T71" s="17">
        <v>2.3836144501473841E-11</v>
      </c>
      <c r="U71" s="18"/>
      <c r="V71" s="17">
        <v>-26609799.760221101</v>
      </c>
      <c r="W71" s="18"/>
      <c r="X71" s="17">
        <v>87151599.009999901</v>
      </c>
      <c r="Y71" s="17">
        <v>0</v>
      </c>
    </row>
    <row r="72" spans="1:25">
      <c r="A72" s="2" t="s">
        <v>17</v>
      </c>
      <c r="B72" s="2" t="str">
        <f t="shared" si="8"/>
        <v>342</v>
      </c>
      <c r="C72" s="5" t="s">
        <v>64</v>
      </c>
      <c r="D72" s="17">
        <v>62586648.629999988</v>
      </c>
      <c r="E72" s="18"/>
      <c r="F72" s="17">
        <v>519299.58</v>
      </c>
      <c r="G72" s="18"/>
      <c r="H72" s="17">
        <v>0</v>
      </c>
      <c r="I72" s="18"/>
      <c r="J72" s="17">
        <v>0</v>
      </c>
      <c r="K72" s="18"/>
      <c r="L72" s="17">
        <v>519299.58</v>
      </c>
      <c r="M72" s="18"/>
      <c r="N72" s="17">
        <v>63105948.209999986</v>
      </c>
      <c r="O72" s="5"/>
      <c r="P72" s="13">
        <v>-21394497.10163838</v>
      </c>
      <c r="Q72" s="5"/>
      <c r="R72" s="13">
        <v>41711451.108361602</v>
      </c>
      <c r="S72" s="18"/>
      <c r="T72" s="17">
        <v>8.5709666216614981E-12</v>
      </c>
      <c r="U72" s="18"/>
      <c r="V72" s="17">
        <v>-21394497.10163838</v>
      </c>
      <c r="W72" s="18"/>
      <c r="X72" s="17">
        <v>63105948.209999986</v>
      </c>
      <c r="Y72" s="17">
        <v>0</v>
      </c>
    </row>
    <row r="73" spans="1:25">
      <c r="A73" s="2" t="s">
        <v>17</v>
      </c>
      <c r="C73" s="5" t="s">
        <v>65</v>
      </c>
      <c r="D73" s="17">
        <v>0</v>
      </c>
      <c r="E73" s="18"/>
      <c r="F73" s="17">
        <v>0</v>
      </c>
      <c r="G73" s="18"/>
      <c r="H73" s="17">
        <v>0</v>
      </c>
      <c r="I73" s="18"/>
      <c r="J73" s="17">
        <v>0</v>
      </c>
      <c r="K73" s="18"/>
      <c r="L73" s="17">
        <v>0</v>
      </c>
      <c r="M73" s="18"/>
      <c r="N73" s="17">
        <v>0</v>
      </c>
      <c r="O73" s="5"/>
      <c r="P73" s="13">
        <v>0</v>
      </c>
      <c r="Q73" s="5"/>
      <c r="R73" s="13">
        <v>0</v>
      </c>
      <c r="S73" s="18"/>
      <c r="T73" s="17">
        <v>0</v>
      </c>
      <c r="U73" s="18"/>
      <c r="V73" s="17">
        <v>0</v>
      </c>
      <c r="W73" s="18"/>
      <c r="X73" s="17">
        <v>0</v>
      </c>
      <c r="Y73" s="17">
        <v>0</v>
      </c>
    </row>
    <row r="74" spans="1:25">
      <c r="A74" s="2" t="s">
        <v>17</v>
      </c>
      <c r="B74" s="2" t="str">
        <f t="shared" si="8"/>
        <v>343</v>
      </c>
      <c r="C74" s="5" t="s">
        <v>66</v>
      </c>
      <c r="D74" s="17">
        <v>657987557.62000012</v>
      </c>
      <c r="E74" s="18"/>
      <c r="F74" s="17">
        <v>16529431.900000004</v>
      </c>
      <c r="G74" s="18"/>
      <c r="H74" s="17">
        <v>-9132411.8499999996</v>
      </c>
      <c r="I74" s="18"/>
      <c r="J74" s="17">
        <v>0</v>
      </c>
      <c r="K74" s="18"/>
      <c r="L74" s="17">
        <v>7397020.0500000045</v>
      </c>
      <c r="M74" s="18"/>
      <c r="N74" s="17">
        <v>665384577.67000008</v>
      </c>
      <c r="O74" s="5"/>
      <c r="P74" s="13">
        <v>-221240216.03387788</v>
      </c>
      <c r="Q74" s="5"/>
      <c r="R74" s="13">
        <v>444144361.63612223</v>
      </c>
      <c r="S74" s="18"/>
      <c r="T74" s="17">
        <v>2.7281595161299154E-10</v>
      </c>
      <c r="U74" s="18"/>
      <c r="V74" s="17">
        <v>-221240216.03387788</v>
      </c>
      <c r="W74" s="18"/>
      <c r="X74" s="17">
        <v>665384577.67999899</v>
      </c>
      <c r="Y74" s="17">
        <v>9.9989175796508789E-3</v>
      </c>
    </row>
    <row r="75" spans="1:25">
      <c r="A75" s="2" t="s">
        <v>17</v>
      </c>
      <c r="B75" s="2" t="str">
        <f t="shared" si="8"/>
        <v>344</v>
      </c>
      <c r="C75" s="5" t="s">
        <v>67</v>
      </c>
      <c r="D75" s="17">
        <v>131571205.04000001</v>
      </c>
      <c r="E75" s="18"/>
      <c r="F75" s="17">
        <v>808632.27</v>
      </c>
      <c r="G75" s="18"/>
      <c r="H75" s="17">
        <v>0</v>
      </c>
      <c r="I75" s="18"/>
      <c r="J75" s="17">
        <v>0</v>
      </c>
      <c r="K75" s="18"/>
      <c r="L75" s="17">
        <v>808632.27</v>
      </c>
      <c r="M75" s="18"/>
      <c r="N75" s="17">
        <v>132379837.31</v>
      </c>
      <c r="O75" s="5"/>
      <c r="P75" s="13">
        <v>-45876590.448143795</v>
      </c>
      <c r="Q75" s="5"/>
      <c r="R75" s="13">
        <v>86503246.861856207</v>
      </c>
      <c r="S75" s="18"/>
      <c r="T75" s="17">
        <v>1.3346362027422337E-11</v>
      </c>
      <c r="U75" s="18"/>
      <c r="V75" s="17">
        <v>-45876590.448143795</v>
      </c>
      <c r="W75" s="18"/>
      <c r="X75" s="17">
        <v>132379837.31</v>
      </c>
      <c r="Y75" s="17">
        <v>0</v>
      </c>
    </row>
    <row r="76" spans="1:25">
      <c r="A76" s="2" t="s">
        <v>17</v>
      </c>
      <c r="B76" s="2" t="str">
        <f t="shared" si="8"/>
        <v>345</v>
      </c>
      <c r="C76" s="5" t="s">
        <v>68</v>
      </c>
      <c r="D76" s="17">
        <v>78605669.599999994</v>
      </c>
      <c r="E76" s="18"/>
      <c r="F76" s="17">
        <v>244927.33</v>
      </c>
      <c r="G76" s="18"/>
      <c r="H76" s="17">
        <v>0</v>
      </c>
      <c r="I76" s="18"/>
      <c r="J76" s="17">
        <v>0</v>
      </c>
      <c r="K76" s="18"/>
      <c r="L76" s="17">
        <v>244927.33</v>
      </c>
      <c r="M76" s="18"/>
      <c r="N76" s="17">
        <v>78850596.929999992</v>
      </c>
      <c r="O76" s="5"/>
      <c r="P76" s="13">
        <v>-28646415.016734298</v>
      </c>
      <c r="Q76" s="5"/>
      <c r="R76" s="13">
        <v>50204181.91326569</v>
      </c>
      <c r="S76" s="18"/>
      <c r="T76" s="17">
        <v>4.0424911766011268E-12</v>
      </c>
      <c r="U76" s="18"/>
      <c r="V76" s="17">
        <v>-28646415.016734298</v>
      </c>
      <c r="W76" s="18"/>
      <c r="X76" s="17">
        <v>78850596.929999888</v>
      </c>
      <c r="Y76" s="17">
        <v>0</v>
      </c>
    </row>
    <row r="77" spans="1:25">
      <c r="A77" s="2" t="s">
        <v>17</v>
      </c>
      <c r="C77" s="5" t="s">
        <v>69</v>
      </c>
      <c r="D77" s="17">
        <v>0</v>
      </c>
      <c r="E77" s="18"/>
      <c r="F77" s="17">
        <v>0</v>
      </c>
      <c r="G77" s="18"/>
      <c r="H77" s="17">
        <v>0</v>
      </c>
      <c r="I77" s="18"/>
      <c r="J77" s="17">
        <v>0</v>
      </c>
      <c r="K77" s="18"/>
      <c r="L77" s="17">
        <v>0</v>
      </c>
      <c r="M77" s="18"/>
      <c r="N77" s="17">
        <v>0</v>
      </c>
      <c r="O77" s="5"/>
      <c r="P77" s="13">
        <v>0</v>
      </c>
      <c r="Q77" s="5"/>
      <c r="R77" s="13">
        <v>0</v>
      </c>
      <c r="S77" s="18"/>
      <c r="T77" s="17">
        <v>0</v>
      </c>
      <c r="U77" s="18"/>
      <c r="V77" s="17">
        <v>0</v>
      </c>
      <c r="W77" s="18"/>
      <c r="X77" s="17">
        <v>0</v>
      </c>
      <c r="Y77" s="17">
        <v>0</v>
      </c>
    </row>
    <row r="78" spans="1:25">
      <c r="A78" s="2" t="s">
        <v>17</v>
      </c>
      <c r="B78" s="2" t="str">
        <f t="shared" si="8"/>
        <v>346</v>
      </c>
      <c r="C78" s="5" t="s">
        <v>70</v>
      </c>
      <c r="D78" s="17">
        <v>9077175.629999999</v>
      </c>
      <c r="E78" s="18"/>
      <c r="F78" s="17">
        <v>687844.95000000007</v>
      </c>
      <c r="G78" s="18"/>
      <c r="H78" s="17">
        <v>0</v>
      </c>
      <c r="I78" s="18"/>
      <c r="J78" s="17">
        <v>0</v>
      </c>
      <c r="K78" s="18"/>
      <c r="L78" s="17">
        <v>687844.95000000007</v>
      </c>
      <c r="M78" s="18"/>
      <c r="N78" s="17">
        <v>9765020.5799999982</v>
      </c>
      <c r="O78" s="5"/>
      <c r="P78" s="13">
        <v>-3752783.9813117199</v>
      </c>
      <c r="Q78" s="5"/>
      <c r="R78" s="13">
        <v>6012236.5986882783</v>
      </c>
      <c r="S78" s="18"/>
      <c r="T78" s="17">
        <v>1.1352784277869862E-11</v>
      </c>
      <c r="U78" s="18"/>
      <c r="V78" s="17">
        <v>-3752783.9813117199</v>
      </c>
      <c r="W78" s="18"/>
      <c r="X78" s="17">
        <v>9765020.5799999908</v>
      </c>
      <c r="Y78" s="17">
        <v>0</v>
      </c>
    </row>
    <row r="79" spans="1:25">
      <c r="A79" s="2" t="s">
        <v>17</v>
      </c>
      <c r="B79" s="2" t="str">
        <f t="shared" si="8"/>
        <v>347</v>
      </c>
      <c r="C79" s="5" t="s">
        <v>71</v>
      </c>
      <c r="D79" s="20">
        <v>406991.12</v>
      </c>
      <c r="E79" s="18"/>
      <c r="F79" s="20">
        <v>0</v>
      </c>
      <c r="G79" s="18"/>
      <c r="H79" s="20">
        <v>0</v>
      </c>
      <c r="I79" s="18"/>
      <c r="J79" s="20">
        <v>0</v>
      </c>
      <c r="K79" s="18"/>
      <c r="L79" s="20">
        <v>0</v>
      </c>
      <c r="M79" s="18"/>
      <c r="N79" s="20">
        <v>406991.12</v>
      </c>
      <c r="O79" s="5"/>
      <c r="P79" s="21">
        <v>-73527.01999999999</v>
      </c>
      <c r="Q79" s="5"/>
      <c r="R79" s="21">
        <v>333464.09999999998</v>
      </c>
      <c r="S79" s="18"/>
      <c r="T79" s="20">
        <v>0</v>
      </c>
      <c r="U79" s="18"/>
      <c r="V79" s="20">
        <v>-73527.01999999999</v>
      </c>
      <c r="W79" s="18"/>
      <c r="X79" s="20">
        <v>406991.12</v>
      </c>
      <c r="Y79" s="20">
        <v>0</v>
      </c>
    </row>
    <row r="80" spans="1:25">
      <c r="C80" s="5"/>
      <c r="D80" s="17">
        <v>1026416235.6900001</v>
      </c>
      <c r="E80" s="18"/>
      <c r="F80" s="17">
        <v>20664248.16</v>
      </c>
      <c r="G80" s="18"/>
      <c r="H80" s="17">
        <v>-9132411.8499999996</v>
      </c>
      <c r="I80" s="18"/>
      <c r="J80" s="17">
        <v>0</v>
      </c>
      <c r="K80" s="18"/>
      <c r="L80" s="17">
        <v>11531836.310000004</v>
      </c>
      <c r="M80" s="18"/>
      <c r="N80" s="17">
        <v>1037948072.0000001</v>
      </c>
      <c r="O80" s="5"/>
      <c r="P80" s="17">
        <v>-347722689.73247105</v>
      </c>
      <c r="Q80" s="5"/>
      <c r="R80" s="17">
        <v>690225382.26752901</v>
      </c>
      <c r="S80" s="18"/>
      <c r="T80" s="17">
        <v>3.4106051316484799E-10</v>
      </c>
      <c r="U80" s="18"/>
      <c r="V80" s="17">
        <v>-347722689.73247105</v>
      </c>
      <c r="W80" s="18">
        <v>0</v>
      </c>
      <c r="X80" s="17">
        <v>1037948072.0099988</v>
      </c>
      <c r="Y80" s="17">
        <v>9.9989175796508789E-3</v>
      </c>
    </row>
    <row r="81" spans="1:25">
      <c r="C81" s="5"/>
      <c r="D81" s="17"/>
      <c r="E81" s="18"/>
      <c r="F81" s="17"/>
      <c r="G81" s="18"/>
      <c r="H81" s="17"/>
      <c r="I81" s="18"/>
      <c r="J81" s="17"/>
      <c r="K81" s="18"/>
      <c r="L81" s="17"/>
      <c r="M81" s="18"/>
      <c r="N81" s="17"/>
      <c r="O81" s="5"/>
      <c r="P81" s="5"/>
      <c r="Q81" s="5"/>
      <c r="R81" s="5"/>
      <c r="S81" s="18"/>
      <c r="T81" s="17"/>
      <c r="U81" s="18"/>
      <c r="V81" s="17"/>
      <c r="W81" s="18"/>
      <c r="X81" s="17"/>
      <c r="Y81" s="17"/>
    </row>
    <row r="82" spans="1:25">
      <c r="C82" s="8" t="s">
        <v>72</v>
      </c>
      <c r="D82" s="7"/>
      <c r="E82" s="19"/>
      <c r="F82" s="7"/>
      <c r="G82" s="19"/>
      <c r="H82" s="7"/>
      <c r="I82" s="19"/>
      <c r="J82" s="7"/>
      <c r="K82" s="19"/>
      <c r="L82" s="7"/>
      <c r="M82" s="19"/>
      <c r="N82" s="7"/>
      <c r="O82" s="5"/>
      <c r="P82" s="5"/>
      <c r="Q82" s="5"/>
      <c r="R82" s="5"/>
      <c r="S82" s="19"/>
      <c r="T82" s="7"/>
      <c r="U82" s="19"/>
      <c r="V82" s="7"/>
      <c r="W82" s="19"/>
      <c r="X82" s="7"/>
      <c r="Y82" s="7"/>
    </row>
    <row r="83" spans="1:25">
      <c r="A83" s="2" t="s">
        <v>17</v>
      </c>
      <c r="B83" s="2" t="str">
        <f t="shared" ref="B83:B93" si="9">MID(C83,2,3)</f>
        <v>310</v>
      </c>
      <c r="C83" s="5" t="s">
        <v>73</v>
      </c>
      <c r="D83" s="7">
        <v>24171385.919999901</v>
      </c>
      <c r="E83" s="19"/>
      <c r="F83" s="7">
        <v>275961.96999999997</v>
      </c>
      <c r="G83" s="19"/>
      <c r="H83" s="7">
        <v>0</v>
      </c>
      <c r="I83" s="19"/>
      <c r="J83" s="7">
        <v>0</v>
      </c>
      <c r="K83" s="19"/>
      <c r="L83" s="7">
        <v>275961.96999999997</v>
      </c>
      <c r="M83" s="19"/>
      <c r="N83" s="7">
        <v>24447347.8899999</v>
      </c>
      <c r="O83" s="5"/>
      <c r="P83" s="13">
        <v>0</v>
      </c>
      <c r="Q83" s="5"/>
      <c r="R83" s="13">
        <v>24447347.8899999</v>
      </c>
      <c r="S83" s="19"/>
      <c r="T83" s="7"/>
      <c r="U83" s="19"/>
      <c r="V83" s="7">
        <v>0</v>
      </c>
      <c r="W83" s="19"/>
      <c r="X83" s="7">
        <v>24447347.889999904</v>
      </c>
      <c r="Y83" s="7">
        <v>0</v>
      </c>
    </row>
    <row r="84" spans="1:25">
      <c r="A84" s="2" t="s">
        <v>17</v>
      </c>
      <c r="B84" s="2" t="str">
        <f t="shared" si="9"/>
        <v>311</v>
      </c>
      <c r="C84" s="5" t="s">
        <v>74</v>
      </c>
      <c r="D84" s="7">
        <v>351757110.73000002</v>
      </c>
      <c r="E84" s="19"/>
      <c r="F84" s="7">
        <v>3680625.5299999984</v>
      </c>
      <c r="G84" s="19"/>
      <c r="H84" s="7">
        <v>-34696.36</v>
      </c>
      <c r="I84" s="19"/>
      <c r="J84" s="7">
        <v>2066298.3999999997</v>
      </c>
      <c r="K84" s="19"/>
      <c r="L84" s="7">
        <v>5712227.5699999984</v>
      </c>
      <c r="M84" s="19"/>
      <c r="N84" s="7">
        <v>357469338.30000001</v>
      </c>
      <c r="O84" s="5"/>
      <c r="P84" s="13">
        <v>-192188796.8813948</v>
      </c>
      <c r="Q84" s="5"/>
      <c r="R84" s="13">
        <v>165280541.41860521</v>
      </c>
      <c r="S84" s="19"/>
      <c r="T84" s="7">
        <v>236157.69290772616</v>
      </c>
      <c r="U84" s="19"/>
      <c r="V84" s="7">
        <v>-191952639.18848708</v>
      </c>
      <c r="W84" s="19"/>
      <c r="X84" s="7">
        <v>357469338.299999</v>
      </c>
      <c r="Y84" s="7">
        <v>-1.0132789611816406E-6</v>
      </c>
    </row>
    <row r="85" spans="1:25">
      <c r="A85" s="2" t="s">
        <v>17</v>
      </c>
      <c r="C85" s="5" t="s">
        <v>75</v>
      </c>
      <c r="D85" s="7">
        <v>0</v>
      </c>
      <c r="E85" s="19"/>
      <c r="F85" s="7">
        <v>0</v>
      </c>
      <c r="G85" s="19"/>
      <c r="H85" s="7">
        <v>0</v>
      </c>
      <c r="I85" s="19"/>
      <c r="J85" s="7">
        <v>0</v>
      </c>
      <c r="K85" s="19"/>
      <c r="L85" s="7">
        <v>0</v>
      </c>
      <c r="M85" s="19"/>
      <c r="N85" s="7">
        <v>0</v>
      </c>
      <c r="O85" s="5"/>
      <c r="P85" s="13">
        <v>0</v>
      </c>
      <c r="Q85" s="5"/>
      <c r="R85" s="13">
        <v>0</v>
      </c>
      <c r="S85" s="19"/>
      <c r="T85" s="7">
        <v>0</v>
      </c>
      <c r="U85" s="19"/>
      <c r="V85" s="7">
        <v>0</v>
      </c>
      <c r="W85" s="19"/>
      <c r="X85" s="7">
        <v>0</v>
      </c>
      <c r="Y85" s="7">
        <v>0</v>
      </c>
    </row>
    <row r="86" spans="1:25">
      <c r="A86" s="2" t="s">
        <v>17</v>
      </c>
      <c r="B86" s="2" t="str">
        <f t="shared" si="9"/>
        <v>312</v>
      </c>
      <c r="C86" s="5" t="s">
        <v>76</v>
      </c>
      <c r="D86" s="7">
        <v>3968896484.9799895</v>
      </c>
      <c r="E86" s="19"/>
      <c r="F86" s="7">
        <v>139516890.51998976</v>
      </c>
      <c r="G86" s="19"/>
      <c r="H86" s="7">
        <v>-7387110.2299999893</v>
      </c>
      <c r="I86" s="19"/>
      <c r="J86" s="7">
        <v>-706125.60000000009</v>
      </c>
      <c r="K86" s="19"/>
      <c r="L86" s="7">
        <v>131423654.68998978</v>
      </c>
      <c r="M86" s="19"/>
      <c r="N86" s="7">
        <v>4100320139.6699791</v>
      </c>
      <c r="O86" s="5"/>
      <c r="P86" s="13">
        <v>-1286690600.3164124</v>
      </c>
      <c r="Q86" s="5"/>
      <c r="R86" s="13">
        <v>2813629539.3535666</v>
      </c>
      <c r="S86" s="19"/>
      <c r="T86" s="7">
        <v>8951735.7085931543</v>
      </c>
      <c r="U86" s="19"/>
      <c r="V86" s="7">
        <v>-1277738864.6078193</v>
      </c>
      <c r="W86" s="19"/>
      <c r="X86" s="7">
        <v>4100320139.5799894</v>
      </c>
      <c r="Y86" s="7">
        <v>-8.9989662170410156E-2</v>
      </c>
    </row>
    <row r="87" spans="1:25">
      <c r="A87" s="2" t="s">
        <v>17</v>
      </c>
      <c r="C87" s="5" t="s">
        <v>77</v>
      </c>
      <c r="D87" s="7">
        <v>0</v>
      </c>
      <c r="E87" s="19"/>
      <c r="F87" s="7">
        <v>0</v>
      </c>
      <c r="G87" s="19"/>
      <c r="H87" s="7">
        <v>0</v>
      </c>
      <c r="I87" s="19"/>
      <c r="J87" s="7">
        <v>0</v>
      </c>
      <c r="K87" s="19"/>
      <c r="L87" s="7">
        <v>0</v>
      </c>
      <c r="M87" s="19"/>
      <c r="N87" s="7">
        <v>0</v>
      </c>
      <c r="O87" s="5"/>
      <c r="P87" s="13">
        <v>0</v>
      </c>
      <c r="Q87" s="5"/>
      <c r="R87" s="13">
        <v>0</v>
      </c>
      <c r="S87" s="19"/>
      <c r="T87" s="7">
        <v>0</v>
      </c>
      <c r="U87" s="19"/>
      <c r="V87" s="7">
        <v>0</v>
      </c>
      <c r="W87" s="19"/>
      <c r="X87" s="7">
        <v>0</v>
      </c>
      <c r="Y87" s="7">
        <v>0</v>
      </c>
    </row>
    <row r="88" spans="1:25">
      <c r="A88" s="2" t="s">
        <v>17</v>
      </c>
      <c r="B88" s="2" t="str">
        <f t="shared" si="9"/>
        <v>314</v>
      </c>
      <c r="C88" s="5" t="s">
        <v>78</v>
      </c>
      <c r="D88" s="7">
        <v>337507665.61000001</v>
      </c>
      <c r="E88" s="19"/>
      <c r="F88" s="7">
        <v>23802347.889999997</v>
      </c>
      <c r="G88" s="19"/>
      <c r="H88" s="7">
        <v>-6414979.8799999999</v>
      </c>
      <c r="I88" s="19"/>
      <c r="J88" s="7">
        <v>-164486.25999999998</v>
      </c>
      <c r="K88" s="19"/>
      <c r="L88" s="7">
        <v>17222881.749999996</v>
      </c>
      <c r="M88" s="19"/>
      <c r="N88" s="7">
        <v>354730547.36000001</v>
      </c>
      <c r="O88" s="5"/>
      <c r="P88" s="13">
        <v>-166016823.50884402</v>
      </c>
      <c r="Q88" s="5"/>
      <c r="R88" s="13">
        <v>188713723.851156</v>
      </c>
      <c r="S88" s="19"/>
      <c r="T88" s="7">
        <v>1527215.2838350511</v>
      </c>
      <c r="U88" s="19"/>
      <c r="V88" s="7">
        <v>-164489608.22500896</v>
      </c>
      <c r="W88" s="19"/>
      <c r="X88" s="7">
        <v>354730547.359999</v>
      </c>
      <c r="Y88" s="7">
        <v>-1.0132789611816406E-6</v>
      </c>
    </row>
    <row r="89" spans="1:25">
      <c r="A89" s="2" t="s">
        <v>17</v>
      </c>
      <c r="C89" s="5" t="s">
        <v>79</v>
      </c>
      <c r="D89" s="7">
        <v>0</v>
      </c>
      <c r="E89" s="19"/>
      <c r="F89" s="7">
        <v>0</v>
      </c>
      <c r="G89" s="19"/>
      <c r="H89" s="7">
        <v>0</v>
      </c>
      <c r="I89" s="19"/>
      <c r="J89" s="7">
        <v>0</v>
      </c>
      <c r="K89" s="19"/>
      <c r="L89" s="7">
        <v>0</v>
      </c>
      <c r="M89" s="19"/>
      <c r="N89" s="7">
        <v>0</v>
      </c>
      <c r="O89" s="5"/>
      <c r="P89" s="13">
        <v>0</v>
      </c>
      <c r="Q89" s="5"/>
      <c r="R89" s="13">
        <v>0</v>
      </c>
      <c r="S89" s="19"/>
      <c r="T89" s="7">
        <v>0</v>
      </c>
      <c r="U89" s="19"/>
      <c r="V89" s="7">
        <v>0</v>
      </c>
      <c r="W89" s="19"/>
      <c r="X89" s="7">
        <v>0</v>
      </c>
      <c r="Y89" s="7">
        <v>0</v>
      </c>
    </row>
    <row r="90" spans="1:25">
      <c r="A90" s="2" t="s">
        <v>17</v>
      </c>
      <c r="B90" s="2" t="str">
        <f t="shared" si="9"/>
        <v>315</v>
      </c>
      <c r="C90" s="5" t="s">
        <v>80</v>
      </c>
      <c r="D90" s="7">
        <v>251867428.06</v>
      </c>
      <c r="E90" s="19"/>
      <c r="F90" s="7">
        <v>2413510.71</v>
      </c>
      <c r="G90" s="19"/>
      <c r="H90" s="7">
        <v>-6115.6100000000006</v>
      </c>
      <c r="I90" s="19"/>
      <c r="J90" s="7">
        <v>-670417.05999999994</v>
      </c>
      <c r="K90" s="19"/>
      <c r="L90" s="7">
        <v>1736978.04</v>
      </c>
      <c r="M90" s="19"/>
      <c r="N90" s="7">
        <v>253604406.09999999</v>
      </c>
      <c r="O90" s="5"/>
      <c r="P90" s="13">
        <v>-114913148.27664638</v>
      </c>
      <c r="Q90" s="5"/>
      <c r="R90" s="13">
        <v>138691257.82335362</v>
      </c>
      <c r="S90" s="19"/>
      <c r="T90" s="7">
        <v>154856.59066264433</v>
      </c>
      <c r="U90" s="19"/>
      <c r="V90" s="7">
        <v>-114758291.68598373</v>
      </c>
      <c r="W90" s="19"/>
      <c r="X90" s="7">
        <v>253604406.09999901</v>
      </c>
      <c r="Y90" s="7">
        <v>-9.8347663879394531E-7</v>
      </c>
    </row>
    <row r="91" spans="1:25">
      <c r="A91" s="2" t="s">
        <v>17</v>
      </c>
      <c r="C91" s="5" t="s">
        <v>81</v>
      </c>
      <c r="D91" s="7">
        <v>0</v>
      </c>
      <c r="E91" s="19"/>
      <c r="F91" s="7">
        <v>0</v>
      </c>
      <c r="G91" s="19"/>
      <c r="H91" s="7">
        <v>0</v>
      </c>
      <c r="I91" s="19"/>
      <c r="J91" s="7">
        <v>0</v>
      </c>
      <c r="K91" s="19"/>
      <c r="L91" s="7">
        <v>0</v>
      </c>
      <c r="M91" s="19"/>
      <c r="N91" s="7">
        <v>0</v>
      </c>
      <c r="O91" s="5"/>
      <c r="P91" s="13">
        <v>0</v>
      </c>
      <c r="Q91" s="5"/>
      <c r="R91" s="13">
        <v>0</v>
      </c>
      <c r="S91" s="19"/>
      <c r="T91" s="7">
        <v>0</v>
      </c>
      <c r="U91" s="19"/>
      <c r="V91" s="7">
        <v>0</v>
      </c>
      <c r="W91" s="19"/>
      <c r="X91" s="7">
        <v>0</v>
      </c>
      <c r="Y91" s="7">
        <v>0</v>
      </c>
    </row>
    <row r="92" spans="1:25">
      <c r="A92" s="2" t="s">
        <v>17</v>
      </c>
      <c r="B92" s="2" t="str">
        <f t="shared" si="9"/>
        <v>316</v>
      </c>
      <c r="C92" s="5" t="s">
        <v>82</v>
      </c>
      <c r="D92" s="7">
        <v>36601585.720000006</v>
      </c>
      <c r="E92" s="19"/>
      <c r="F92" s="7">
        <v>2235849.4899999988</v>
      </c>
      <c r="G92" s="19"/>
      <c r="H92" s="7">
        <v>-40955.609999999899</v>
      </c>
      <c r="I92" s="19"/>
      <c r="J92" s="7">
        <v>-525269.4800000001</v>
      </c>
      <c r="K92" s="19"/>
      <c r="L92" s="7">
        <v>1669624.399999999</v>
      </c>
      <c r="M92" s="19"/>
      <c r="N92" s="7">
        <v>38271210.120000005</v>
      </c>
      <c r="O92" s="5"/>
      <c r="P92" s="13">
        <v>-17113074.496947199</v>
      </c>
      <c r="Q92" s="5"/>
      <c r="R92" s="13">
        <v>21158135.623052806</v>
      </c>
      <c r="S92" s="19"/>
      <c r="T92" s="7">
        <v>143457.42400132623</v>
      </c>
      <c r="U92" s="19"/>
      <c r="V92" s="7">
        <v>-16969617.072945874</v>
      </c>
      <c r="W92" s="19"/>
      <c r="X92" s="7">
        <v>38271210.1199999</v>
      </c>
      <c r="Y92" s="7">
        <v>-1.0430812835693359E-7</v>
      </c>
    </row>
    <row r="93" spans="1:25">
      <c r="A93" s="2" t="s">
        <v>17</v>
      </c>
      <c r="B93" s="2" t="str">
        <f t="shared" si="9"/>
        <v>317</v>
      </c>
      <c r="C93" s="5" t="s">
        <v>83</v>
      </c>
      <c r="D93" s="7">
        <v>202001563.71999991</v>
      </c>
      <c r="E93" s="19"/>
      <c r="F93" s="7">
        <v>0</v>
      </c>
      <c r="G93" s="19"/>
      <c r="H93" s="7">
        <v>0</v>
      </c>
      <c r="I93" s="19"/>
      <c r="J93" s="7">
        <v>-4624832.9699999904</v>
      </c>
      <c r="K93" s="19"/>
      <c r="L93" s="7">
        <v>-4624832.9699999904</v>
      </c>
      <c r="M93" s="19"/>
      <c r="N93" s="7">
        <v>197376730.74999991</v>
      </c>
      <c r="O93" s="5"/>
      <c r="P93" s="13">
        <v>-134179168.45999999</v>
      </c>
      <c r="Q93" s="5"/>
      <c r="R93" s="13">
        <v>63197562.289999917</v>
      </c>
      <c r="S93" s="19"/>
      <c r="T93" s="7">
        <v>0</v>
      </c>
      <c r="U93" s="19"/>
      <c r="V93" s="7">
        <v>-134179168.45999999</v>
      </c>
      <c r="W93" s="19"/>
      <c r="X93" s="7">
        <v>197376730.81</v>
      </c>
      <c r="Y93" s="7">
        <v>6.0000091791152954E-2</v>
      </c>
    </row>
    <row r="94" spans="1:25">
      <c r="A94" s="2" t="s">
        <v>17</v>
      </c>
      <c r="C94" s="5" t="s">
        <v>2492</v>
      </c>
      <c r="D94" s="20">
        <v>0</v>
      </c>
      <c r="E94" s="18"/>
      <c r="F94" s="20">
        <v>0</v>
      </c>
      <c r="G94" s="18"/>
      <c r="H94" s="20">
        <v>0</v>
      </c>
      <c r="I94" s="18"/>
      <c r="J94" s="20">
        <v>0</v>
      </c>
      <c r="K94" s="18"/>
      <c r="L94" s="20">
        <v>0</v>
      </c>
      <c r="M94" s="18"/>
      <c r="N94" s="20">
        <v>0</v>
      </c>
      <c r="O94" s="5"/>
      <c r="P94" s="21">
        <v>0</v>
      </c>
      <c r="Q94" s="5"/>
      <c r="R94" s="21">
        <v>0</v>
      </c>
      <c r="S94" s="18"/>
      <c r="T94" s="20">
        <v>0</v>
      </c>
      <c r="U94" s="18"/>
      <c r="V94" s="20">
        <v>0</v>
      </c>
      <c r="W94" s="18"/>
      <c r="X94" s="20">
        <v>0</v>
      </c>
      <c r="Y94" s="20">
        <v>0</v>
      </c>
    </row>
    <row r="95" spans="1:25">
      <c r="C95" s="5"/>
      <c r="D95" s="17">
        <v>5172803224.7399902</v>
      </c>
      <c r="E95" s="18"/>
      <c r="F95" s="17">
        <v>171925186.10998976</v>
      </c>
      <c r="G95" s="18"/>
      <c r="H95" s="17">
        <v>-13883857.689999988</v>
      </c>
      <c r="I95" s="18"/>
      <c r="J95" s="17">
        <v>-4624832.9699999914</v>
      </c>
      <c r="K95" s="18"/>
      <c r="L95" s="17">
        <v>153416495.44998977</v>
      </c>
      <c r="M95" s="18"/>
      <c r="N95" s="17">
        <v>5326219720.1899786</v>
      </c>
      <c r="O95" s="5"/>
      <c r="P95" s="17">
        <v>-1911101611.9402449</v>
      </c>
      <c r="Q95" s="5"/>
      <c r="R95" s="17">
        <v>3415118108.2497339</v>
      </c>
      <c r="S95" s="18"/>
      <c r="T95" s="17">
        <v>11013422.699999902</v>
      </c>
      <c r="U95" s="18"/>
      <c r="V95" s="17">
        <v>-1900088189.2402449</v>
      </c>
      <c r="W95" s="18">
        <v>0</v>
      </c>
      <c r="X95" s="17">
        <v>5326219720.1599865</v>
      </c>
      <c r="Y95" s="17">
        <v>-2.9992684721946716E-2</v>
      </c>
    </row>
    <row r="96" spans="1:25">
      <c r="B96" s="2" t="str">
        <f t="shared" ref="B96:B110" si="10">MID(C96,2,3)</f>
        <v/>
      </c>
      <c r="C96" s="5"/>
      <c r="D96" s="17"/>
      <c r="E96" s="18"/>
      <c r="F96" s="17"/>
      <c r="G96" s="18"/>
      <c r="H96" s="17"/>
      <c r="I96" s="18"/>
      <c r="J96" s="17"/>
      <c r="K96" s="18"/>
      <c r="L96" s="17"/>
      <c r="M96" s="18"/>
      <c r="N96" s="17"/>
      <c r="O96" s="5"/>
      <c r="P96" s="5"/>
      <c r="Q96" s="5"/>
      <c r="R96" s="5"/>
      <c r="S96" s="18"/>
      <c r="T96" s="17"/>
      <c r="U96" s="18"/>
      <c r="V96" s="17"/>
      <c r="W96" s="18"/>
      <c r="X96" s="17"/>
      <c r="Y96" s="17"/>
    </row>
    <row r="97" spans="1:25">
      <c r="C97" s="8" t="s">
        <v>84</v>
      </c>
      <c r="D97" s="17"/>
      <c r="E97" s="18"/>
      <c r="F97" s="17"/>
      <c r="G97" s="18"/>
      <c r="H97" s="17"/>
      <c r="I97" s="18"/>
      <c r="J97" s="17"/>
      <c r="K97" s="18"/>
      <c r="L97" s="17"/>
      <c r="M97" s="18"/>
      <c r="N97" s="17"/>
      <c r="O97" s="5"/>
      <c r="P97" s="5"/>
      <c r="Q97" s="5"/>
      <c r="R97" s="5"/>
      <c r="S97" s="18"/>
      <c r="T97" s="17"/>
      <c r="U97" s="18"/>
      <c r="V97" s="17"/>
      <c r="W97" s="18"/>
      <c r="X97" s="17"/>
      <c r="Y97" s="17"/>
    </row>
    <row r="98" spans="1:25">
      <c r="A98" s="2" t="s">
        <v>17</v>
      </c>
      <c r="B98" s="2" t="str">
        <f t="shared" si="10"/>
        <v>350</v>
      </c>
      <c r="C98" s="5" t="s">
        <v>85</v>
      </c>
      <c r="D98" s="17">
        <v>29624494.120000001</v>
      </c>
      <c r="E98" s="18"/>
      <c r="F98" s="17">
        <v>137108.73000000001</v>
      </c>
      <c r="G98" s="18"/>
      <c r="H98" s="17">
        <v>0</v>
      </c>
      <c r="I98" s="18"/>
      <c r="J98" s="17">
        <v>0</v>
      </c>
      <c r="K98" s="18"/>
      <c r="L98" s="17">
        <v>137108.73000000001</v>
      </c>
      <c r="M98" s="18"/>
      <c r="N98" s="17">
        <v>29761602.850000001</v>
      </c>
      <c r="O98" s="5"/>
      <c r="P98" s="13">
        <v>-15884658.175549999</v>
      </c>
      <c r="Q98" s="5"/>
      <c r="R98" s="13">
        <v>13876944.674450003</v>
      </c>
      <c r="S98" s="18"/>
      <c r="T98" s="7">
        <v>468.90754040287413</v>
      </c>
      <c r="U98" s="19"/>
      <c r="V98" s="7">
        <v>-15884189.268009596</v>
      </c>
      <c r="W98" s="19"/>
      <c r="X98" s="7">
        <v>29761602.849999998</v>
      </c>
      <c r="Y98" s="7">
        <v>0</v>
      </c>
    </row>
    <row r="99" spans="1:25">
      <c r="A99" s="2" t="s">
        <v>17</v>
      </c>
      <c r="C99" s="5" t="s">
        <v>86</v>
      </c>
      <c r="D99" s="17">
        <v>0</v>
      </c>
      <c r="E99" s="18"/>
      <c r="F99" s="17">
        <v>0</v>
      </c>
      <c r="G99" s="18"/>
      <c r="H99" s="17">
        <v>0</v>
      </c>
      <c r="I99" s="18"/>
      <c r="J99" s="17">
        <v>0</v>
      </c>
      <c r="K99" s="18"/>
      <c r="L99" s="17">
        <v>0</v>
      </c>
      <c r="M99" s="18"/>
      <c r="N99" s="17">
        <v>0</v>
      </c>
      <c r="O99" s="5"/>
      <c r="P99" s="13">
        <v>0</v>
      </c>
      <c r="Q99" s="5"/>
      <c r="R99" s="13">
        <v>0</v>
      </c>
      <c r="S99" s="18"/>
      <c r="T99" s="17">
        <v>0</v>
      </c>
      <c r="U99" s="18"/>
      <c r="V99" s="17">
        <v>0</v>
      </c>
      <c r="W99" s="18"/>
      <c r="X99" s="17">
        <v>0</v>
      </c>
      <c r="Y99" s="17">
        <v>0</v>
      </c>
    </row>
    <row r="100" spans="1:25">
      <c r="A100" s="2" t="s">
        <v>17</v>
      </c>
      <c r="B100" s="2" t="str">
        <f t="shared" si="10"/>
        <v>352</v>
      </c>
      <c r="C100" s="5" t="s">
        <v>87</v>
      </c>
      <c r="D100" s="17">
        <v>27763592.539999999</v>
      </c>
      <c r="E100" s="18"/>
      <c r="F100" s="17">
        <v>126038.78000000001</v>
      </c>
      <c r="G100" s="18"/>
      <c r="H100" s="17">
        <v>-6735.58</v>
      </c>
      <c r="I100" s="18"/>
      <c r="J100" s="17">
        <v>0</v>
      </c>
      <c r="K100" s="18"/>
      <c r="L100" s="17">
        <v>119303.20000000001</v>
      </c>
      <c r="M100" s="18"/>
      <c r="N100" s="17">
        <v>27882895.739999998</v>
      </c>
      <c r="O100" s="5"/>
      <c r="P100" s="13">
        <v>-6837264.9020807995</v>
      </c>
      <c r="Q100" s="5"/>
      <c r="R100" s="13">
        <v>21045630.837919198</v>
      </c>
      <c r="S100" s="18"/>
      <c r="T100" s="17">
        <v>431.04865988605513</v>
      </c>
      <c r="U100" s="18"/>
      <c r="V100" s="17">
        <v>-6836833.8534209132</v>
      </c>
      <c r="W100" s="18"/>
      <c r="X100" s="17">
        <v>27882895.739999998</v>
      </c>
      <c r="Y100" s="17">
        <v>0</v>
      </c>
    </row>
    <row r="101" spans="1:25">
      <c r="A101" s="2" t="s">
        <v>17</v>
      </c>
      <c r="C101" s="5" t="s">
        <v>88</v>
      </c>
      <c r="D101" s="17">
        <v>0</v>
      </c>
      <c r="E101" s="18"/>
      <c r="F101" s="17">
        <v>0</v>
      </c>
      <c r="G101" s="18"/>
      <c r="H101" s="17">
        <v>0</v>
      </c>
      <c r="I101" s="18"/>
      <c r="J101" s="17">
        <v>0</v>
      </c>
      <c r="K101" s="18"/>
      <c r="L101" s="17">
        <v>0</v>
      </c>
      <c r="M101" s="18"/>
      <c r="N101" s="17">
        <v>0</v>
      </c>
      <c r="O101" s="5"/>
      <c r="P101" s="13">
        <v>0</v>
      </c>
      <c r="Q101" s="5"/>
      <c r="R101" s="13">
        <v>0</v>
      </c>
      <c r="S101" s="18"/>
      <c r="T101" s="17">
        <v>0</v>
      </c>
      <c r="U101" s="18"/>
      <c r="V101" s="17">
        <v>0</v>
      </c>
      <c r="W101" s="18"/>
      <c r="X101" s="17">
        <v>0</v>
      </c>
      <c r="Y101" s="17">
        <v>0</v>
      </c>
    </row>
    <row r="102" spans="1:25">
      <c r="A102" s="2" t="s">
        <v>17</v>
      </c>
      <c r="B102" s="2" t="str">
        <f t="shared" si="10"/>
        <v>353</v>
      </c>
      <c r="C102" s="5" t="s">
        <v>89</v>
      </c>
      <c r="D102" s="17">
        <v>265005987.25</v>
      </c>
      <c r="E102" s="18"/>
      <c r="F102" s="17">
        <v>65476572.50999999</v>
      </c>
      <c r="G102" s="18"/>
      <c r="H102" s="17">
        <v>-1899358.0699999998</v>
      </c>
      <c r="I102" s="18"/>
      <c r="J102" s="17">
        <v>0</v>
      </c>
      <c r="K102" s="18"/>
      <c r="L102" s="17">
        <v>63577214.43999999</v>
      </c>
      <c r="M102" s="18"/>
      <c r="N102" s="17">
        <v>328583201.69</v>
      </c>
      <c r="O102" s="5"/>
      <c r="P102" s="13">
        <v>-73582334.4428</v>
      </c>
      <c r="Q102" s="5"/>
      <c r="R102" s="13">
        <v>255000867.24720001</v>
      </c>
      <c r="S102" s="18"/>
      <c r="T102" s="17">
        <v>223927.81677486573</v>
      </c>
      <c r="U102" s="18"/>
      <c r="V102" s="17">
        <v>-73358406.62602514</v>
      </c>
      <c r="W102" s="18"/>
      <c r="X102" s="17">
        <v>328583201.70999998</v>
      </c>
      <c r="Y102" s="17">
        <v>1.9999980926513672E-2</v>
      </c>
    </row>
    <row r="103" spans="1:25">
      <c r="A103" s="2" t="s">
        <v>17</v>
      </c>
      <c r="C103" s="5" t="s">
        <v>90</v>
      </c>
      <c r="D103" s="17">
        <v>0</v>
      </c>
      <c r="E103" s="18"/>
      <c r="F103" s="17">
        <v>0</v>
      </c>
      <c r="G103" s="18"/>
      <c r="H103" s="17">
        <v>0</v>
      </c>
      <c r="I103" s="18"/>
      <c r="J103" s="17">
        <v>0</v>
      </c>
      <c r="K103" s="18"/>
      <c r="L103" s="17">
        <v>0</v>
      </c>
      <c r="M103" s="18"/>
      <c r="N103" s="17">
        <v>0</v>
      </c>
      <c r="O103" s="5"/>
      <c r="P103" s="13">
        <v>0</v>
      </c>
      <c r="Q103" s="5"/>
      <c r="R103" s="13">
        <v>0</v>
      </c>
      <c r="S103" s="18"/>
      <c r="T103" s="17">
        <v>0</v>
      </c>
      <c r="U103" s="18"/>
      <c r="V103" s="17">
        <v>0</v>
      </c>
      <c r="W103" s="18"/>
      <c r="X103" s="17">
        <v>0</v>
      </c>
      <c r="Y103" s="17">
        <v>0</v>
      </c>
    </row>
    <row r="104" spans="1:25">
      <c r="A104" s="2" t="s">
        <v>17</v>
      </c>
      <c r="C104" s="5" t="s">
        <v>91</v>
      </c>
      <c r="D104" s="17">
        <v>0</v>
      </c>
      <c r="E104" s="18"/>
      <c r="F104" s="17">
        <v>0</v>
      </c>
      <c r="G104" s="18"/>
      <c r="H104" s="17">
        <v>0</v>
      </c>
      <c r="I104" s="18"/>
      <c r="J104" s="17">
        <v>0</v>
      </c>
      <c r="K104" s="18"/>
      <c r="L104" s="17">
        <v>0</v>
      </c>
      <c r="M104" s="18"/>
      <c r="N104" s="17">
        <v>0</v>
      </c>
      <c r="O104" s="5"/>
      <c r="P104" s="13">
        <v>0</v>
      </c>
      <c r="Q104" s="5"/>
      <c r="R104" s="13">
        <v>0</v>
      </c>
      <c r="S104" s="18"/>
      <c r="T104" s="17">
        <v>0</v>
      </c>
      <c r="U104" s="18"/>
      <c r="V104" s="17">
        <v>0</v>
      </c>
      <c r="W104" s="18"/>
      <c r="X104" s="17">
        <v>0</v>
      </c>
      <c r="Y104" s="17">
        <v>0</v>
      </c>
    </row>
    <row r="105" spans="1:25">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5"/>
      <c r="P105" s="13">
        <v>-47314380.988561898</v>
      </c>
      <c r="Q105" s="5"/>
      <c r="R105" s="13">
        <v>23537631.861438096</v>
      </c>
      <c r="S105" s="18"/>
      <c r="T105" s="17">
        <v>0</v>
      </c>
      <c r="U105" s="18"/>
      <c r="V105" s="17">
        <v>-47314380.988561898</v>
      </c>
      <c r="W105" s="18"/>
      <c r="X105" s="17">
        <v>70852012.849999994</v>
      </c>
      <c r="Y105" s="17">
        <v>0</v>
      </c>
    </row>
    <row r="106" spans="1:25">
      <c r="A106" s="2" t="s">
        <v>17</v>
      </c>
      <c r="B106" s="2" t="str">
        <f t="shared" si="10"/>
        <v>355</v>
      </c>
      <c r="C106" s="5" t="s">
        <v>93</v>
      </c>
      <c r="D106" s="17">
        <v>293544880.59999996</v>
      </c>
      <c r="E106" s="18"/>
      <c r="F106" s="17">
        <v>88320734.10999991</v>
      </c>
      <c r="G106" s="18"/>
      <c r="H106" s="17">
        <v>-1860577.7699999998</v>
      </c>
      <c r="I106" s="18"/>
      <c r="J106" s="17">
        <v>0</v>
      </c>
      <c r="K106" s="18"/>
      <c r="L106" s="17">
        <v>86460156.339999914</v>
      </c>
      <c r="M106" s="18"/>
      <c r="N106" s="17">
        <v>380005036.93999988</v>
      </c>
      <c r="O106" s="5"/>
      <c r="P106" s="13">
        <v>-68919425.713630006</v>
      </c>
      <c r="Q106" s="5"/>
      <c r="R106" s="13">
        <v>311085611.22636986</v>
      </c>
      <c r="S106" s="18"/>
      <c r="T106" s="17">
        <v>302054.13031027484</v>
      </c>
      <c r="U106" s="18"/>
      <c r="V106" s="17">
        <v>-68617371.583319724</v>
      </c>
      <c r="W106" s="18"/>
      <c r="X106" s="17">
        <v>380005036.87</v>
      </c>
      <c r="Y106" s="17">
        <v>-6.9999873638153076E-2</v>
      </c>
    </row>
    <row r="107" spans="1:25">
      <c r="A107" s="2" t="s">
        <v>17</v>
      </c>
      <c r="B107" s="2" t="str">
        <f t="shared" si="10"/>
        <v>356</v>
      </c>
      <c r="C107" s="5" t="s">
        <v>94</v>
      </c>
      <c r="D107" s="17">
        <v>170106301.40000001</v>
      </c>
      <c r="E107" s="18"/>
      <c r="F107" s="17">
        <v>2046891.0799999998</v>
      </c>
      <c r="G107" s="18"/>
      <c r="H107" s="17">
        <v>-1240769.6099999989</v>
      </c>
      <c r="I107" s="18"/>
      <c r="J107" s="17">
        <v>0</v>
      </c>
      <c r="K107" s="18"/>
      <c r="L107" s="17">
        <v>806121.4700000009</v>
      </c>
      <c r="M107" s="18"/>
      <c r="N107" s="17">
        <v>170912422.87</v>
      </c>
      <c r="O107" s="5"/>
      <c r="P107" s="13">
        <v>-105349136.78106001</v>
      </c>
      <c r="Q107" s="5"/>
      <c r="R107" s="13">
        <v>65563286.088939995</v>
      </c>
      <c r="S107" s="18"/>
      <c r="T107" s="17">
        <v>7000.3030572552343</v>
      </c>
      <c r="U107" s="18"/>
      <c r="V107" s="17">
        <v>-105342136.47800276</v>
      </c>
      <c r="W107" s="18"/>
      <c r="X107" s="17">
        <v>170912422.88</v>
      </c>
      <c r="Y107" s="17">
        <v>9.9999904632568359E-3</v>
      </c>
    </row>
    <row r="108" spans="1:25">
      <c r="A108" s="2" t="s">
        <v>17</v>
      </c>
      <c r="B108" s="2" t="str">
        <f t="shared" si="10"/>
        <v>357</v>
      </c>
      <c r="C108" s="5" t="s">
        <v>95</v>
      </c>
      <c r="D108" s="17">
        <v>448760.26</v>
      </c>
      <c r="E108" s="18"/>
      <c r="F108" s="17">
        <v>0</v>
      </c>
      <c r="G108" s="18"/>
      <c r="H108" s="17">
        <v>0</v>
      </c>
      <c r="I108" s="18"/>
      <c r="J108" s="17">
        <v>0</v>
      </c>
      <c r="K108" s="18"/>
      <c r="L108" s="17">
        <v>0</v>
      </c>
      <c r="M108" s="18"/>
      <c r="N108" s="17">
        <v>448760.26</v>
      </c>
      <c r="O108" s="5"/>
      <c r="P108" s="13">
        <v>-256369.33221019898</v>
      </c>
      <c r="Q108" s="5"/>
      <c r="R108" s="13">
        <v>192390.92778980103</v>
      </c>
      <c r="S108" s="18"/>
      <c r="T108" s="17">
        <v>0</v>
      </c>
      <c r="U108" s="18"/>
      <c r="V108" s="17">
        <v>-256369.33221019898</v>
      </c>
      <c r="W108" s="18"/>
      <c r="X108" s="17">
        <v>448760.26</v>
      </c>
      <c r="Y108" s="17">
        <v>0</v>
      </c>
    </row>
    <row r="109" spans="1:25">
      <c r="A109" s="2" t="s">
        <v>17</v>
      </c>
      <c r="B109" s="2" t="str">
        <f t="shared" si="10"/>
        <v>358</v>
      </c>
      <c r="C109" s="5" t="s">
        <v>96</v>
      </c>
      <c r="D109" s="17">
        <v>1299094.3999999999</v>
      </c>
      <c r="E109" s="18"/>
      <c r="F109" s="17">
        <v>498.15</v>
      </c>
      <c r="G109" s="18"/>
      <c r="H109" s="17">
        <v>0</v>
      </c>
      <c r="I109" s="18"/>
      <c r="J109" s="17">
        <v>0</v>
      </c>
      <c r="K109" s="18"/>
      <c r="L109" s="17">
        <v>498.15</v>
      </c>
      <c r="M109" s="18"/>
      <c r="N109" s="17">
        <v>1299592.5499999998</v>
      </c>
      <c r="O109" s="5"/>
      <c r="P109" s="13">
        <v>-958370.21243479894</v>
      </c>
      <c r="Q109" s="5"/>
      <c r="R109" s="13">
        <v>341222.33756520087</v>
      </c>
      <c r="S109" s="18"/>
      <c r="T109" s="17">
        <v>1.7036573181860244</v>
      </c>
      <c r="U109" s="18"/>
      <c r="V109" s="17">
        <v>-958368.50877748081</v>
      </c>
      <c r="W109" s="18"/>
      <c r="X109" s="17">
        <v>1299592.55</v>
      </c>
      <c r="Y109" s="17">
        <v>0</v>
      </c>
    </row>
    <row r="110" spans="1:25">
      <c r="A110" s="2" t="s">
        <v>17</v>
      </c>
      <c r="B110" s="2" t="str">
        <f t="shared" si="10"/>
        <v>359</v>
      </c>
      <c r="C110" s="5" t="s">
        <v>97</v>
      </c>
      <c r="D110" s="17">
        <v>556857.62</v>
      </c>
      <c r="E110" s="18"/>
      <c r="F110" s="17">
        <v>0</v>
      </c>
      <c r="G110" s="18"/>
      <c r="H110" s="17">
        <v>-5533.74</v>
      </c>
      <c r="I110" s="18"/>
      <c r="J110" s="17">
        <v>0</v>
      </c>
      <c r="K110" s="18"/>
      <c r="L110" s="17">
        <v>-5533.74</v>
      </c>
      <c r="M110" s="18"/>
      <c r="N110" s="17">
        <v>551323.88</v>
      </c>
      <c r="O110" s="5"/>
      <c r="P110" s="13">
        <v>-91218.789999999892</v>
      </c>
      <c r="Q110" s="5"/>
      <c r="R110" s="13">
        <v>460105.09000000008</v>
      </c>
      <c r="S110" s="18"/>
      <c r="T110" s="17">
        <v>0</v>
      </c>
      <c r="U110" s="18"/>
      <c r="V110" s="17">
        <v>-91218.789999999892</v>
      </c>
      <c r="W110" s="18"/>
      <c r="X110" s="17">
        <v>551323.88</v>
      </c>
      <c r="Y110" s="17">
        <v>0</v>
      </c>
    </row>
    <row r="111" spans="1:25">
      <c r="A111" s="2" t="s">
        <v>17</v>
      </c>
      <c r="C111" s="5" t="s">
        <v>98</v>
      </c>
      <c r="D111" s="20">
        <v>0</v>
      </c>
      <c r="E111" s="18"/>
      <c r="F111" s="20">
        <v>0</v>
      </c>
      <c r="G111" s="18"/>
      <c r="H111" s="20">
        <v>0</v>
      </c>
      <c r="I111" s="18"/>
      <c r="J111" s="20">
        <v>0</v>
      </c>
      <c r="K111" s="18"/>
      <c r="L111" s="20">
        <v>0</v>
      </c>
      <c r="M111" s="18"/>
      <c r="N111" s="20">
        <v>0</v>
      </c>
      <c r="O111" s="5"/>
      <c r="P111" s="21">
        <v>0</v>
      </c>
      <c r="Q111" s="5"/>
      <c r="R111" s="21">
        <v>0</v>
      </c>
      <c r="S111" s="18"/>
      <c r="T111" s="20">
        <v>0</v>
      </c>
      <c r="U111" s="18"/>
      <c r="V111" s="20">
        <v>0</v>
      </c>
      <c r="W111" s="18"/>
      <c r="X111" s="20">
        <v>0</v>
      </c>
      <c r="Y111" s="20">
        <v>0</v>
      </c>
    </row>
    <row r="112" spans="1:25">
      <c r="C112" s="5"/>
      <c r="D112" s="17">
        <v>859201981.03999984</v>
      </c>
      <c r="E112" s="18"/>
      <c r="F112" s="17">
        <v>156107843.35999992</v>
      </c>
      <c r="G112" s="18"/>
      <c r="H112" s="17">
        <v>-5012974.7699999996</v>
      </c>
      <c r="I112" s="18"/>
      <c r="J112" s="17">
        <v>0</v>
      </c>
      <c r="K112" s="18"/>
      <c r="L112" s="17">
        <v>151094868.58999991</v>
      </c>
      <c r="M112" s="18"/>
      <c r="N112" s="17">
        <v>1010296849.6299999</v>
      </c>
      <c r="O112" s="5"/>
      <c r="P112" s="17">
        <v>-319193159.33832777</v>
      </c>
      <c r="Q112" s="5"/>
      <c r="R112" s="17">
        <v>691103690.29167223</v>
      </c>
      <c r="S112" s="18"/>
      <c r="T112" s="17">
        <v>533883.91000000294</v>
      </c>
      <c r="U112" s="18"/>
      <c r="V112" s="17">
        <v>-318659275.42832774</v>
      </c>
      <c r="W112" s="18">
        <v>0</v>
      </c>
      <c r="X112" s="17">
        <v>1010296849.5899999</v>
      </c>
      <c r="Y112" s="17">
        <v>-3.9999902248382568E-2</v>
      </c>
    </row>
    <row r="113" spans="3:25">
      <c r="C113" s="5"/>
      <c r="D113" s="17"/>
      <c r="E113" s="19"/>
      <c r="F113" s="17"/>
      <c r="G113" s="19"/>
      <c r="H113" s="17"/>
      <c r="I113" s="19"/>
      <c r="J113" s="17"/>
      <c r="K113" s="19"/>
      <c r="L113" s="17"/>
      <c r="M113" s="19"/>
      <c r="N113" s="17"/>
      <c r="O113" s="5"/>
      <c r="P113" s="5"/>
      <c r="Q113" s="5"/>
      <c r="R113" s="5"/>
      <c r="S113" s="19"/>
      <c r="T113" s="17"/>
      <c r="U113" s="19"/>
      <c r="V113" s="17"/>
      <c r="W113" s="19"/>
      <c r="X113" s="17"/>
      <c r="Y113" s="17"/>
    </row>
    <row r="114" spans="3:25">
      <c r="C114" s="5"/>
      <c r="D114" s="7"/>
      <c r="E114" s="19"/>
      <c r="F114" s="7"/>
      <c r="G114" s="19"/>
      <c r="H114" s="7"/>
      <c r="I114" s="19"/>
      <c r="J114" s="7"/>
      <c r="K114" s="19"/>
      <c r="L114" s="7"/>
      <c r="M114" s="19"/>
      <c r="N114" s="7"/>
      <c r="O114" s="5"/>
      <c r="P114" s="5"/>
      <c r="Q114" s="5"/>
      <c r="R114" s="5"/>
      <c r="S114" s="19"/>
      <c r="T114" s="7"/>
      <c r="U114" s="19"/>
      <c r="V114" s="7"/>
      <c r="W114" s="19"/>
      <c r="X114" s="7"/>
      <c r="Y114" s="7"/>
    </row>
    <row r="115" spans="3:25" s="29" customFormat="1" ht="13.5" thickBot="1">
      <c r="C115" s="8" t="s">
        <v>99</v>
      </c>
      <c r="D115" s="22">
        <v>9113457162.6699905</v>
      </c>
      <c r="E115" s="18"/>
      <c r="F115" s="22">
        <v>552927887.18998957</v>
      </c>
      <c r="G115" s="18"/>
      <c r="H115" s="22">
        <v>-49584599.919999972</v>
      </c>
      <c r="I115" s="18"/>
      <c r="J115" s="22">
        <v>-4624832.9699999914</v>
      </c>
      <c r="K115" s="18"/>
      <c r="L115" s="22">
        <v>498718454.29998958</v>
      </c>
      <c r="M115" s="18"/>
      <c r="N115" s="22">
        <v>9612175616.9699783</v>
      </c>
      <c r="O115" s="5"/>
      <c r="P115" s="22">
        <v>-3396075617.4197001</v>
      </c>
      <c r="Q115" s="5"/>
      <c r="R115" s="22">
        <v>6216099999.5502777</v>
      </c>
      <c r="S115" s="18"/>
      <c r="T115" s="22">
        <v>11703591.039999906</v>
      </c>
      <c r="U115" s="18"/>
      <c r="V115" s="22">
        <v>-3384372026.3796997</v>
      </c>
      <c r="W115" s="18"/>
      <c r="X115" s="22">
        <v>9612175616.7699833</v>
      </c>
      <c r="Y115" s="22">
        <v>-0.19999601866584271</v>
      </c>
    </row>
    <row r="116" spans="3:25" s="29" customFormat="1" ht="13.5" thickTop="1">
      <c r="C116" s="23"/>
      <c r="D116" s="232"/>
      <c r="E116" s="505"/>
      <c r="F116" s="232"/>
      <c r="G116" s="505"/>
      <c r="H116" s="232"/>
      <c r="I116" s="505"/>
      <c r="J116" s="232"/>
      <c r="K116" s="505"/>
      <c r="L116" s="232"/>
      <c r="M116" s="505"/>
      <c r="N116" s="232"/>
      <c r="O116" s="2"/>
      <c r="P116" s="2"/>
      <c r="Q116" s="2"/>
      <c r="R116" s="2"/>
      <c r="S116" s="25"/>
      <c r="T116" s="232"/>
      <c r="U116" s="25"/>
      <c r="V116" s="232"/>
      <c r="W116" s="25"/>
      <c r="X116" s="232"/>
      <c r="Y116" s="232"/>
    </row>
    <row r="117" spans="3:25" s="29" customFormat="1">
      <c r="C117" s="2" t="s">
        <v>2493</v>
      </c>
      <c r="D117" s="66">
        <v>9113457162.6199989</v>
      </c>
      <c r="E117" s="506"/>
      <c r="F117" s="66"/>
      <c r="G117" s="506"/>
      <c r="H117" s="66"/>
      <c r="I117" s="506"/>
      <c r="J117" s="66"/>
      <c r="K117" s="506"/>
      <c r="L117" s="66"/>
      <c r="M117" s="506"/>
      <c r="N117" s="66"/>
      <c r="O117" s="2"/>
      <c r="P117" s="2"/>
      <c r="Q117" s="2"/>
      <c r="R117" s="2"/>
      <c r="S117" s="27"/>
      <c r="T117" s="66"/>
      <c r="U117" s="27"/>
      <c r="V117" s="66"/>
      <c r="W117" s="27"/>
      <c r="X117" s="66"/>
      <c r="Y117" s="66"/>
    </row>
    <row r="118" spans="3:25" s="29" customFormat="1">
      <c r="C118" s="28"/>
      <c r="D118" s="232">
        <v>4.9991607666015625E-2</v>
      </c>
      <c r="E118" s="505"/>
      <c r="F118" s="232"/>
      <c r="G118" s="505"/>
      <c r="H118" s="232"/>
      <c r="I118" s="505"/>
      <c r="J118" s="232"/>
      <c r="K118" s="505"/>
      <c r="L118" s="232"/>
      <c r="M118" s="505"/>
      <c r="N118" s="232"/>
      <c r="S118" s="25"/>
      <c r="T118" s="232"/>
      <c r="U118" s="25"/>
      <c r="V118" s="232"/>
      <c r="W118" s="25"/>
      <c r="X118" s="232"/>
      <c r="Y118" s="232"/>
    </row>
    <row r="119" spans="3:25" s="29" customFormat="1">
      <c r="C119" s="28"/>
      <c r="D119" s="232"/>
      <c r="E119" s="505"/>
      <c r="F119" s="232"/>
      <c r="G119" s="505"/>
      <c r="H119" s="232"/>
      <c r="I119" s="505"/>
      <c r="J119" s="232"/>
      <c r="K119" s="505"/>
      <c r="L119" s="232"/>
      <c r="M119" s="505"/>
      <c r="N119" s="232"/>
      <c r="S119" s="25"/>
      <c r="T119" s="232"/>
      <c r="U119" s="25"/>
      <c r="V119" s="232"/>
      <c r="W119" s="25"/>
      <c r="X119" s="232"/>
      <c r="Y119" s="232"/>
    </row>
    <row r="120" spans="3:25" s="29" customFormat="1">
      <c r="D120" s="232"/>
      <c r="E120" s="505"/>
      <c r="F120" s="232"/>
      <c r="G120" s="505"/>
      <c r="H120" s="232"/>
      <c r="I120" s="505"/>
      <c r="J120" s="232"/>
      <c r="K120" s="505"/>
      <c r="L120" s="232"/>
      <c r="M120" s="505"/>
      <c r="N120" s="232"/>
      <c r="S120" s="25"/>
      <c r="T120" s="232"/>
      <c r="U120" s="25"/>
      <c r="V120" s="232"/>
      <c r="W120" s="25"/>
      <c r="X120" s="232"/>
      <c r="Y120" s="232"/>
    </row>
    <row r="121" spans="3:25" s="29" customFormat="1">
      <c r="D121" s="232"/>
      <c r="E121" s="505"/>
      <c r="F121" s="232"/>
      <c r="G121" s="505"/>
      <c r="H121" s="232"/>
      <c r="I121" s="505"/>
      <c r="J121" s="232"/>
      <c r="K121" s="505"/>
      <c r="L121" s="232"/>
      <c r="M121" s="505"/>
      <c r="N121" s="232"/>
      <c r="S121" s="25"/>
      <c r="T121" s="232"/>
      <c r="U121" s="25"/>
      <c r="V121" s="232"/>
      <c r="W121" s="25"/>
      <c r="X121" s="232"/>
      <c r="Y121" s="232"/>
    </row>
    <row r="122" spans="3:25" s="29" customFormat="1">
      <c r="D122" s="232"/>
      <c r="E122" s="505"/>
      <c r="F122" s="232"/>
      <c r="G122" s="505"/>
      <c r="H122" s="232"/>
      <c r="I122" s="505"/>
      <c r="J122" s="232"/>
      <c r="K122" s="505"/>
      <c r="L122" s="232"/>
      <c r="M122" s="505"/>
      <c r="N122" s="232"/>
      <c r="S122" s="25"/>
      <c r="T122" s="232"/>
      <c r="U122" s="25"/>
      <c r="V122" s="232"/>
      <c r="W122" s="25"/>
      <c r="X122" s="232"/>
      <c r="Y122" s="232"/>
    </row>
    <row r="123" spans="3:25" s="29" customFormat="1">
      <c r="D123" s="232"/>
      <c r="E123" s="505"/>
      <c r="F123" s="232"/>
      <c r="G123" s="505"/>
      <c r="H123" s="232"/>
      <c r="I123" s="505"/>
      <c r="J123" s="232"/>
      <c r="K123" s="505"/>
      <c r="L123" s="232"/>
      <c r="M123" s="505"/>
      <c r="N123" s="232"/>
      <c r="S123" s="25"/>
      <c r="T123" s="232"/>
      <c r="U123" s="25"/>
      <c r="V123" s="232"/>
      <c r="W123" s="25"/>
      <c r="X123" s="232"/>
      <c r="Y123" s="232"/>
    </row>
    <row r="124" spans="3:25" s="29" customFormat="1">
      <c r="D124" s="232"/>
      <c r="E124" s="505"/>
      <c r="F124" s="232"/>
      <c r="G124" s="505"/>
      <c r="H124" s="232"/>
      <c r="I124" s="505"/>
      <c r="J124" s="232"/>
      <c r="K124" s="505"/>
      <c r="L124" s="232"/>
      <c r="M124" s="505"/>
      <c r="N124" s="232"/>
      <c r="S124" s="25"/>
      <c r="T124" s="232"/>
      <c r="U124" s="25"/>
      <c r="V124" s="232"/>
      <c r="W124" s="25"/>
      <c r="X124" s="232"/>
      <c r="Y124" s="232"/>
    </row>
    <row r="125" spans="3:25" s="29" customFormat="1">
      <c r="D125" s="232"/>
      <c r="E125" s="505"/>
      <c r="F125" s="232"/>
      <c r="G125" s="505"/>
      <c r="H125" s="232"/>
      <c r="I125" s="505"/>
      <c r="J125" s="232"/>
      <c r="K125" s="505"/>
      <c r="L125" s="232"/>
      <c r="M125" s="505"/>
      <c r="N125" s="232"/>
      <c r="S125" s="25"/>
      <c r="T125" s="232"/>
      <c r="U125" s="25"/>
      <c r="V125" s="232"/>
      <c r="W125" s="25"/>
      <c r="X125" s="232"/>
      <c r="Y125" s="232"/>
    </row>
    <row r="126" spans="3:25" s="29" customFormat="1">
      <c r="D126" s="232"/>
      <c r="E126" s="505"/>
      <c r="F126" s="232"/>
      <c r="G126" s="505"/>
      <c r="H126" s="232"/>
      <c r="I126" s="505"/>
      <c r="J126" s="232"/>
      <c r="K126" s="505"/>
      <c r="L126" s="232"/>
      <c r="M126" s="505"/>
      <c r="N126" s="232"/>
      <c r="S126" s="25"/>
      <c r="T126" s="232"/>
      <c r="U126" s="25"/>
      <c r="V126" s="232"/>
      <c r="W126" s="25"/>
      <c r="X126" s="232"/>
      <c r="Y126" s="232"/>
    </row>
    <row r="127" spans="3:25" s="29" customFormat="1">
      <c r="D127" s="232"/>
      <c r="E127" s="505"/>
      <c r="F127" s="232"/>
      <c r="G127" s="505"/>
      <c r="H127" s="232"/>
      <c r="I127" s="505"/>
      <c r="J127" s="232"/>
      <c r="K127" s="505"/>
      <c r="L127" s="232"/>
      <c r="M127" s="505"/>
      <c r="N127" s="232"/>
      <c r="S127" s="25"/>
      <c r="T127" s="232"/>
      <c r="U127" s="25"/>
      <c r="V127" s="232"/>
      <c r="W127" s="25"/>
      <c r="X127" s="232"/>
      <c r="Y127" s="232"/>
    </row>
    <row r="128" spans="3:25" s="29" customFormat="1">
      <c r="D128" s="232"/>
      <c r="E128" s="505"/>
      <c r="F128" s="232"/>
      <c r="G128" s="505"/>
      <c r="H128" s="232"/>
      <c r="I128" s="505"/>
      <c r="J128" s="232"/>
      <c r="K128" s="505"/>
      <c r="L128" s="232"/>
      <c r="M128" s="505"/>
      <c r="N128" s="232"/>
      <c r="S128" s="25"/>
      <c r="T128" s="232"/>
      <c r="U128" s="25"/>
      <c r="V128" s="232"/>
      <c r="W128" s="25"/>
      <c r="X128" s="232"/>
      <c r="Y128" s="232"/>
    </row>
    <row r="129" spans="3:25" s="29" customFormat="1">
      <c r="D129" s="232"/>
      <c r="E129" s="505"/>
      <c r="F129" s="232"/>
      <c r="G129" s="505"/>
      <c r="H129" s="232"/>
      <c r="I129" s="505"/>
      <c r="J129" s="232"/>
      <c r="K129" s="505"/>
      <c r="L129" s="232"/>
      <c r="M129" s="505"/>
      <c r="N129" s="232"/>
      <c r="S129" s="25"/>
      <c r="T129" s="232"/>
      <c r="U129" s="25"/>
      <c r="V129" s="232"/>
      <c r="W129" s="25"/>
      <c r="X129" s="232"/>
      <c r="Y129" s="232"/>
    </row>
    <row r="130" spans="3:25" s="29" customFormat="1">
      <c r="D130" s="232"/>
      <c r="E130" s="505"/>
      <c r="F130" s="232"/>
      <c r="G130" s="505"/>
      <c r="H130" s="232"/>
      <c r="I130" s="505"/>
      <c r="J130" s="232"/>
      <c r="K130" s="505"/>
      <c r="L130" s="232"/>
      <c r="M130" s="505"/>
      <c r="N130" s="232"/>
      <c r="S130" s="25"/>
      <c r="T130" s="232"/>
      <c r="U130" s="25"/>
      <c r="V130" s="232"/>
      <c r="W130" s="25"/>
      <c r="X130" s="232"/>
      <c r="Y130" s="232"/>
    </row>
    <row r="131" spans="3:25" s="29" customFormat="1">
      <c r="D131" s="232"/>
      <c r="E131" s="505"/>
      <c r="F131" s="232"/>
      <c r="G131" s="505"/>
      <c r="H131" s="232"/>
      <c r="I131" s="505"/>
      <c r="J131" s="232"/>
      <c r="K131" s="505"/>
      <c r="L131" s="232"/>
      <c r="M131" s="505"/>
      <c r="N131" s="232"/>
      <c r="S131" s="25"/>
      <c r="T131" s="232"/>
      <c r="U131" s="25"/>
      <c r="V131" s="232"/>
      <c r="W131" s="25"/>
      <c r="X131" s="232"/>
      <c r="Y131" s="232"/>
    </row>
    <row r="132" spans="3:25" s="29" customFormat="1">
      <c r="C132" s="28"/>
      <c r="D132" s="232"/>
      <c r="E132" s="505"/>
      <c r="F132" s="232"/>
      <c r="G132" s="505"/>
      <c r="H132" s="232"/>
      <c r="I132" s="505"/>
      <c r="J132" s="232"/>
      <c r="K132" s="505"/>
      <c r="L132" s="232"/>
      <c r="M132" s="505"/>
      <c r="N132" s="232"/>
      <c r="S132" s="25"/>
      <c r="T132" s="232"/>
      <c r="U132" s="25"/>
      <c r="V132" s="232"/>
      <c r="W132" s="25"/>
      <c r="X132" s="232"/>
      <c r="Y132" s="232"/>
    </row>
    <row r="133" spans="3:25" s="29" customFormat="1">
      <c r="D133" s="232"/>
      <c r="E133" s="505"/>
      <c r="F133" s="232"/>
      <c r="G133" s="505"/>
      <c r="H133" s="232"/>
      <c r="I133" s="505"/>
      <c r="J133" s="232"/>
      <c r="K133" s="505"/>
      <c r="L133" s="232"/>
      <c r="M133" s="505"/>
      <c r="N133" s="232"/>
      <c r="S133" s="25"/>
      <c r="T133" s="232"/>
      <c r="U133" s="25"/>
      <c r="V133" s="232"/>
      <c r="W133" s="25"/>
      <c r="X133" s="232"/>
      <c r="Y133" s="232"/>
    </row>
    <row r="134" spans="3:25" s="29" customFormat="1">
      <c r="D134" s="232"/>
      <c r="E134" s="505"/>
      <c r="F134" s="232"/>
      <c r="G134" s="505"/>
      <c r="H134" s="232"/>
      <c r="I134" s="505"/>
      <c r="J134" s="232"/>
      <c r="K134" s="505"/>
      <c r="L134" s="232"/>
      <c r="M134" s="505"/>
      <c r="N134" s="232"/>
      <c r="S134" s="25"/>
      <c r="T134" s="232"/>
      <c r="U134" s="25"/>
      <c r="V134" s="232"/>
      <c r="W134" s="25"/>
      <c r="X134" s="232"/>
      <c r="Y134" s="232"/>
    </row>
    <row r="135" spans="3:25" s="29" customFormat="1">
      <c r="D135" s="232"/>
      <c r="E135" s="505"/>
      <c r="F135" s="232"/>
      <c r="G135" s="505"/>
      <c r="H135" s="232"/>
      <c r="I135" s="505"/>
      <c r="J135" s="232"/>
      <c r="K135" s="505"/>
      <c r="L135" s="232"/>
      <c r="M135" s="505"/>
      <c r="N135" s="232"/>
      <c r="S135" s="25"/>
      <c r="T135" s="232"/>
      <c r="U135" s="25"/>
      <c r="V135" s="232"/>
      <c r="W135" s="25"/>
      <c r="X135" s="232"/>
      <c r="Y135" s="232"/>
    </row>
    <row r="136" spans="3:25" s="29" customFormat="1">
      <c r="D136" s="232"/>
      <c r="E136" s="505"/>
      <c r="F136" s="232"/>
      <c r="G136" s="505"/>
      <c r="H136" s="232"/>
      <c r="I136" s="505"/>
      <c r="J136" s="232"/>
      <c r="K136" s="505"/>
      <c r="L136" s="232"/>
      <c r="M136" s="505"/>
      <c r="N136" s="232"/>
      <c r="S136" s="25"/>
      <c r="T136" s="232"/>
      <c r="U136" s="25"/>
      <c r="V136" s="232"/>
      <c r="W136" s="25"/>
      <c r="X136" s="232"/>
      <c r="Y136" s="232"/>
    </row>
    <row r="137" spans="3:25" s="29" customFormat="1">
      <c r="D137" s="232"/>
      <c r="E137" s="505"/>
      <c r="F137" s="232"/>
      <c r="G137" s="505"/>
      <c r="H137" s="232"/>
      <c r="I137" s="505"/>
      <c r="J137" s="232"/>
      <c r="K137" s="505"/>
      <c r="L137" s="232"/>
      <c r="M137" s="505"/>
      <c r="N137" s="232"/>
      <c r="S137" s="25"/>
      <c r="T137" s="232"/>
      <c r="U137" s="25"/>
      <c r="V137" s="232"/>
      <c r="W137" s="25"/>
      <c r="X137" s="232"/>
      <c r="Y137" s="232"/>
    </row>
    <row r="138" spans="3:25" s="29" customFormat="1">
      <c r="D138" s="232"/>
      <c r="E138" s="505"/>
      <c r="F138" s="232"/>
      <c r="G138" s="505"/>
      <c r="H138" s="232"/>
      <c r="I138" s="505"/>
      <c r="J138" s="232"/>
      <c r="K138" s="505"/>
      <c r="L138" s="232"/>
      <c r="M138" s="505"/>
      <c r="N138" s="232"/>
      <c r="S138" s="25"/>
      <c r="T138" s="232"/>
      <c r="U138" s="25"/>
      <c r="V138" s="232"/>
      <c r="W138" s="25"/>
      <c r="X138" s="232"/>
      <c r="Y138" s="232"/>
    </row>
    <row r="139" spans="3:25" s="29" customFormat="1">
      <c r="D139" s="232"/>
      <c r="E139" s="505"/>
      <c r="F139" s="232"/>
      <c r="G139" s="505"/>
      <c r="H139" s="232"/>
      <c r="I139" s="505"/>
      <c r="J139" s="232"/>
      <c r="K139" s="505"/>
      <c r="L139" s="232"/>
      <c r="M139" s="505"/>
      <c r="N139" s="232"/>
      <c r="S139" s="25"/>
      <c r="T139" s="232"/>
      <c r="U139" s="25"/>
      <c r="V139" s="232"/>
      <c r="W139" s="25"/>
      <c r="X139" s="232"/>
      <c r="Y139" s="232"/>
    </row>
    <row r="140" spans="3:25" s="29" customFormat="1">
      <c r="D140" s="232"/>
      <c r="E140" s="505"/>
      <c r="F140" s="232"/>
      <c r="G140" s="505"/>
      <c r="H140" s="232"/>
      <c r="I140" s="505"/>
      <c r="J140" s="232"/>
      <c r="K140" s="505"/>
      <c r="L140" s="232"/>
      <c r="M140" s="505"/>
      <c r="N140" s="232"/>
      <c r="S140" s="25"/>
      <c r="T140" s="232"/>
      <c r="U140" s="25"/>
      <c r="V140" s="232"/>
      <c r="W140" s="25"/>
      <c r="X140" s="232"/>
      <c r="Y140" s="232"/>
    </row>
    <row r="141" spans="3:25" s="29" customFormat="1">
      <c r="D141" s="232"/>
      <c r="E141" s="505"/>
      <c r="F141" s="232"/>
      <c r="G141" s="505"/>
      <c r="H141" s="232"/>
      <c r="I141" s="505"/>
      <c r="J141" s="232"/>
      <c r="K141" s="505"/>
      <c r="L141" s="232"/>
      <c r="M141" s="505"/>
      <c r="N141" s="232"/>
      <c r="S141" s="25"/>
      <c r="T141" s="232"/>
      <c r="U141" s="25"/>
      <c r="V141" s="232"/>
      <c r="W141" s="25"/>
      <c r="X141" s="232"/>
      <c r="Y141" s="232"/>
    </row>
    <row r="142" spans="3:25" s="29" customFormat="1">
      <c r="C142" s="28"/>
      <c r="D142" s="232"/>
      <c r="E142" s="505"/>
      <c r="F142" s="232"/>
      <c r="G142" s="505"/>
      <c r="H142" s="232"/>
      <c r="I142" s="505"/>
      <c r="J142" s="232"/>
      <c r="K142" s="505"/>
      <c r="L142" s="232"/>
      <c r="M142" s="505"/>
      <c r="N142" s="232"/>
      <c r="S142" s="25"/>
      <c r="T142" s="232"/>
      <c r="U142" s="25"/>
      <c r="V142" s="232"/>
      <c r="W142" s="25"/>
      <c r="X142" s="232"/>
      <c r="Y142" s="232"/>
    </row>
    <row r="143" spans="3:25" s="29" customFormat="1">
      <c r="D143" s="232"/>
      <c r="E143" s="505"/>
      <c r="F143" s="232"/>
      <c r="G143" s="505"/>
      <c r="H143" s="232"/>
      <c r="I143" s="505"/>
      <c r="J143" s="232"/>
      <c r="K143" s="505"/>
      <c r="L143" s="232"/>
      <c r="M143" s="505"/>
      <c r="N143" s="232"/>
      <c r="S143" s="25"/>
      <c r="T143" s="232"/>
      <c r="U143" s="25"/>
      <c r="V143" s="232"/>
      <c r="W143" s="25"/>
      <c r="X143" s="232"/>
      <c r="Y143" s="232"/>
    </row>
    <row r="144" spans="3:25" s="29" customFormat="1">
      <c r="D144" s="232"/>
      <c r="E144" s="505"/>
      <c r="F144" s="232"/>
      <c r="G144" s="505"/>
      <c r="H144" s="232"/>
      <c r="I144" s="505"/>
      <c r="J144" s="232"/>
      <c r="K144" s="505"/>
      <c r="L144" s="232"/>
      <c r="M144" s="505"/>
      <c r="N144" s="232"/>
      <c r="S144" s="25"/>
      <c r="T144" s="232"/>
      <c r="U144" s="25"/>
      <c r="V144" s="232"/>
      <c r="W144" s="25"/>
      <c r="X144" s="232"/>
      <c r="Y144" s="232"/>
    </row>
    <row r="145" spans="3:25" s="29" customFormat="1">
      <c r="D145" s="232"/>
      <c r="E145" s="505"/>
      <c r="F145" s="232"/>
      <c r="G145" s="505"/>
      <c r="H145" s="232"/>
      <c r="I145" s="505"/>
      <c r="J145" s="232"/>
      <c r="K145" s="505"/>
      <c r="L145" s="232"/>
      <c r="M145" s="505"/>
      <c r="N145" s="232"/>
      <c r="S145" s="25"/>
      <c r="T145" s="232"/>
      <c r="U145" s="25"/>
      <c r="V145" s="232"/>
      <c r="W145" s="25"/>
      <c r="X145" s="232"/>
      <c r="Y145" s="232"/>
    </row>
    <row r="146" spans="3:25" s="29" customFormat="1">
      <c r="D146" s="232"/>
      <c r="E146" s="505"/>
      <c r="F146" s="232"/>
      <c r="G146" s="505"/>
      <c r="H146" s="232"/>
      <c r="I146" s="505"/>
      <c r="J146" s="232"/>
      <c r="K146" s="505"/>
      <c r="L146" s="232"/>
      <c r="M146" s="505"/>
      <c r="N146" s="232"/>
      <c r="S146" s="25"/>
      <c r="T146" s="232"/>
      <c r="U146" s="25"/>
      <c r="V146" s="232"/>
      <c r="W146" s="25"/>
      <c r="X146" s="232"/>
      <c r="Y146" s="232"/>
    </row>
    <row r="147" spans="3:25" s="29" customFormat="1">
      <c r="D147" s="232"/>
      <c r="E147" s="505"/>
      <c r="F147" s="232"/>
      <c r="G147" s="505"/>
      <c r="H147" s="232"/>
      <c r="I147" s="505"/>
      <c r="J147" s="232"/>
      <c r="K147" s="505"/>
      <c r="L147" s="232"/>
      <c r="M147" s="505"/>
      <c r="N147" s="232"/>
      <c r="S147" s="25"/>
      <c r="T147" s="232"/>
      <c r="U147" s="25"/>
      <c r="V147" s="232"/>
      <c r="W147" s="25"/>
      <c r="X147" s="232"/>
      <c r="Y147" s="232"/>
    </row>
    <row r="148" spans="3:25" s="29" customFormat="1">
      <c r="D148" s="232"/>
      <c r="E148" s="505"/>
      <c r="F148" s="232"/>
      <c r="G148" s="505"/>
      <c r="H148" s="232"/>
      <c r="I148" s="505"/>
      <c r="J148" s="232"/>
      <c r="K148" s="505"/>
      <c r="L148" s="232"/>
      <c r="M148" s="505"/>
      <c r="N148" s="232"/>
      <c r="S148" s="25"/>
      <c r="T148" s="232"/>
      <c r="U148" s="25"/>
      <c r="V148" s="232"/>
      <c r="W148" s="25"/>
      <c r="X148" s="232"/>
      <c r="Y148" s="232"/>
    </row>
    <row r="149" spans="3:25" s="29" customFormat="1">
      <c r="D149" s="232"/>
      <c r="E149" s="505"/>
      <c r="F149" s="232"/>
      <c r="G149" s="505"/>
      <c r="H149" s="232"/>
      <c r="I149" s="505"/>
      <c r="J149" s="232"/>
      <c r="K149" s="505"/>
      <c r="L149" s="232"/>
      <c r="M149" s="505"/>
      <c r="N149" s="232"/>
      <c r="S149" s="25"/>
      <c r="T149" s="232"/>
      <c r="U149" s="25"/>
      <c r="V149" s="232"/>
      <c r="W149" s="25"/>
      <c r="X149" s="232"/>
      <c r="Y149" s="232"/>
    </row>
    <row r="150" spans="3:25" s="29" customFormat="1">
      <c r="D150" s="232"/>
      <c r="E150" s="505"/>
      <c r="F150" s="232"/>
      <c r="G150" s="505"/>
      <c r="H150" s="232"/>
      <c r="I150" s="505"/>
      <c r="J150" s="232"/>
      <c r="K150" s="505"/>
      <c r="L150" s="232"/>
      <c r="M150" s="505"/>
      <c r="N150" s="232"/>
      <c r="S150" s="25"/>
      <c r="T150" s="232"/>
      <c r="U150" s="25"/>
      <c r="V150" s="232"/>
      <c r="W150" s="25"/>
      <c r="X150" s="232"/>
      <c r="Y150" s="232"/>
    </row>
    <row r="151" spans="3:25" s="29" customFormat="1">
      <c r="C151" s="28"/>
      <c r="D151" s="232"/>
      <c r="E151" s="505"/>
      <c r="F151" s="232"/>
      <c r="G151" s="505"/>
      <c r="H151" s="232"/>
      <c r="I151" s="505"/>
      <c r="J151" s="232"/>
      <c r="K151" s="505"/>
      <c r="L151" s="232"/>
      <c r="M151" s="505"/>
      <c r="N151" s="232"/>
      <c r="S151" s="25"/>
      <c r="T151" s="232"/>
      <c r="U151" s="25"/>
      <c r="V151" s="232"/>
      <c r="W151" s="25"/>
      <c r="X151" s="232"/>
      <c r="Y151" s="232"/>
    </row>
    <row r="152" spans="3:25" s="29" customFormat="1">
      <c r="D152" s="232"/>
      <c r="E152" s="505"/>
      <c r="F152" s="232"/>
      <c r="G152" s="505"/>
      <c r="H152" s="232"/>
      <c r="I152" s="505"/>
      <c r="J152" s="232"/>
      <c r="K152" s="505"/>
      <c r="L152" s="232"/>
      <c r="M152" s="505"/>
      <c r="N152" s="232"/>
      <c r="S152" s="25"/>
      <c r="T152" s="232"/>
      <c r="U152" s="25"/>
      <c r="V152" s="232"/>
      <c r="W152" s="25"/>
      <c r="X152" s="232"/>
      <c r="Y152" s="232"/>
    </row>
    <row r="153" spans="3:25" s="29" customFormat="1">
      <c r="D153" s="232"/>
      <c r="E153" s="505"/>
      <c r="F153" s="232"/>
      <c r="G153" s="505"/>
      <c r="H153" s="232"/>
      <c r="I153" s="505"/>
      <c r="J153" s="232"/>
      <c r="K153" s="505"/>
      <c r="L153" s="232"/>
      <c r="M153" s="505"/>
      <c r="N153" s="232"/>
      <c r="S153" s="25"/>
      <c r="T153" s="232"/>
      <c r="U153" s="25"/>
      <c r="V153" s="232"/>
      <c r="W153" s="25"/>
      <c r="X153" s="232"/>
      <c r="Y153" s="232"/>
    </row>
    <row r="154" spans="3:25" s="29" customFormat="1">
      <c r="D154" s="232"/>
      <c r="E154" s="505"/>
      <c r="F154" s="232"/>
      <c r="G154" s="505"/>
      <c r="H154" s="232"/>
      <c r="I154" s="505"/>
      <c r="J154" s="232"/>
      <c r="K154" s="505"/>
      <c r="L154" s="232"/>
      <c r="M154" s="505"/>
      <c r="N154" s="232"/>
      <c r="S154" s="25"/>
      <c r="T154" s="232"/>
      <c r="U154" s="25"/>
      <c r="V154" s="232"/>
      <c r="W154" s="25"/>
      <c r="X154" s="232"/>
      <c r="Y154" s="232"/>
    </row>
    <row r="155" spans="3:25" s="29" customFormat="1">
      <c r="D155" s="232"/>
      <c r="E155" s="505"/>
      <c r="F155" s="232"/>
      <c r="G155" s="505"/>
      <c r="H155" s="232"/>
      <c r="I155" s="505"/>
      <c r="J155" s="232"/>
      <c r="K155" s="505"/>
      <c r="L155" s="232"/>
      <c r="M155" s="505"/>
      <c r="N155" s="232"/>
      <c r="S155" s="25"/>
      <c r="T155" s="232"/>
      <c r="U155" s="25"/>
      <c r="V155" s="232"/>
      <c r="W155" s="25"/>
      <c r="X155" s="232"/>
      <c r="Y155" s="232"/>
    </row>
    <row r="156" spans="3:25" s="29" customFormat="1">
      <c r="C156" s="28"/>
      <c r="D156" s="232"/>
      <c r="E156" s="505"/>
      <c r="F156" s="232"/>
      <c r="G156" s="505"/>
      <c r="H156" s="232"/>
      <c r="I156" s="505"/>
      <c r="J156" s="232"/>
      <c r="K156" s="505"/>
      <c r="L156" s="232"/>
      <c r="M156" s="505"/>
      <c r="N156" s="232"/>
      <c r="S156" s="25"/>
      <c r="T156" s="232"/>
      <c r="U156" s="25"/>
      <c r="V156" s="232"/>
      <c r="W156" s="25"/>
      <c r="X156" s="232"/>
      <c r="Y156" s="232"/>
    </row>
    <row r="157" spans="3:25" s="29" customFormat="1">
      <c r="D157" s="232"/>
      <c r="E157" s="505"/>
      <c r="F157" s="232"/>
      <c r="G157" s="505"/>
      <c r="H157" s="232"/>
      <c r="I157" s="505"/>
      <c r="J157" s="232"/>
      <c r="K157" s="505"/>
      <c r="L157" s="232"/>
      <c r="M157" s="505"/>
      <c r="N157" s="232"/>
      <c r="S157" s="25"/>
      <c r="T157" s="232"/>
      <c r="U157" s="25"/>
      <c r="V157" s="232"/>
      <c r="W157" s="25"/>
      <c r="X157" s="232"/>
      <c r="Y157" s="232"/>
    </row>
    <row r="158" spans="3:25" s="29" customFormat="1">
      <c r="D158" s="232"/>
      <c r="E158" s="505"/>
      <c r="F158" s="232"/>
      <c r="G158" s="505"/>
      <c r="H158" s="232"/>
      <c r="I158" s="505"/>
      <c r="J158" s="232"/>
      <c r="K158" s="505"/>
      <c r="L158" s="232"/>
      <c r="M158" s="505"/>
      <c r="N158" s="232"/>
      <c r="S158" s="25"/>
      <c r="T158" s="232"/>
      <c r="U158" s="25"/>
      <c r="V158" s="232"/>
      <c r="W158" s="25"/>
      <c r="X158" s="232"/>
      <c r="Y158" s="232"/>
    </row>
    <row r="159" spans="3:25" s="29" customFormat="1">
      <c r="D159" s="232"/>
      <c r="E159" s="505"/>
      <c r="F159" s="232"/>
      <c r="G159" s="505"/>
      <c r="H159" s="232"/>
      <c r="I159" s="505"/>
      <c r="J159" s="232"/>
      <c r="K159" s="505"/>
      <c r="L159" s="232"/>
      <c r="M159" s="505"/>
      <c r="N159" s="232"/>
      <c r="S159" s="25"/>
      <c r="T159" s="232"/>
      <c r="U159" s="25"/>
      <c r="V159" s="232"/>
      <c r="W159" s="25"/>
      <c r="X159" s="232"/>
      <c r="Y159" s="232"/>
    </row>
    <row r="160" spans="3:25" s="29" customFormat="1">
      <c r="D160" s="232"/>
      <c r="E160" s="505"/>
      <c r="F160" s="232"/>
      <c r="G160" s="505"/>
      <c r="H160" s="232"/>
      <c r="I160" s="505"/>
      <c r="J160" s="232"/>
      <c r="K160" s="505"/>
      <c r="L160" s="232"/>
      <c r="M160" s="505"/>
      <c r="N160" s="232"/>
      <c r="S160" s="25"/>
      <c r="T160" s="232"/>
      <c r="U160" s="25"/>
      <c r="V160" s="232"/>
      <c r="W160" s="25"/>
      <c r="X160" s="232"/>
      <c r="Y160" s="232"/>
    </row>
    <row r="161" spans="3:25" s="29" customFormat="1">
      <c r="D161" s="232"/>
      <c r="E161" s="505"/>
      <c r="F161" s="232"/>
      <c r="G161" s="505"/>
      <c r="H161" s="232"/>
      <c r="I161" s="505"/>
      <c r="J161" s="232"/>
      <c r="K161" s="505"/>
      <c r="L161" s="232"/>
      <c r="M161" s="505"/>
      <c r="N161" s="232"/>
      <c r="S161" s="25"/>
      <c r="T161" s="232"/>
      <c r="U161" s="25"/>
      <c r="V161" s="232"/>
      <c r="W161" s="25"/>
      <c r="X161" s="232"/>
      <c r="Y161" s="232"/>
    </row>
    <row r="162" spans="3:25" s="29" customFormat="1">
      <c r="D162" s="232"/>
      <c r="E162" s="505"/>
      <c r="F162" s="232"/>
      <c r="G162" s="505"/>
      <c r="H162" s="232"/>
      <c r="I162" s="505"/>
      <c r="J162" s="232"/>
      <c r="K162" s="505"/>
      <c r="L162" s="232"/>
      <c r="M162" s="505"/>
      <c r="N162" s="232"/>
      <c r="S162" s="25"/>
      <c r="T162" s="232"/>
      <c r="U162" s="25"/>
      <c r="V162" s="232"/>
      <c r="W162" s="25"/>
      <c r="X162" s="232"/>
      <c r="Y162" s="232"/>
    </row>
    <row r="163" spans="3:25" s="29" customFormat="1">
      <c r="D163" s="232"/>
      <c r="E163" s="505"/>
      <c r="F163" s="232"/>
      <c r="G163" s="505"/>
      <c r="H163" s="232"/>
      <c r="I163" s="505"/>
      <c r="J163" s="232"/>
      <c r="K163" s="505"/>
      <c r="L163" s="232"/>
      <c r="M163" s="505"/>
      <c r="N163" s="232"/>
      <c r="S163" s="25"/>
      <c r="T163" s="232"/>
      <c r="U163" s="25"/>
      <c r="V163" s="232"/>
      <c r="W163" s="25"/>
      <c r="X163" s="232"/>
      <c r="Y163" s="232"/>
    </row>
    <row r="164" spans="3:25" s="29" customFormat="1">
      <c r="D164" s="232"/>
      <c r="E164" s="505"/>
      <c r="F164" s="232"/>
      <c r="G164" s="505"/>
      <c r="H164" s="232"/>
      <c r="I164" s="505"/>
      <c r="J164" s="232"/>
      <c r="K164" s="505"/>
      <c r="L164" s="232"/>
      <c r="M164" s="505"/>
      <c r="N164" s="232"/>
      <c r="S164" s="25"/>
      <c r="T164" s="232"/>
      <c r="U164" s="25"/>
      <c r="V164" s="232"/>
      <c r="W164" s="25"/>
      <c r="X164" s="232"/>
      <c r="Y164" s="232"/>
    </row>
    <row r="165" spans="3:25" s="29" customFormat="1">
      <c r="C165" s="28"/>
      <c r="D165" s="232"/>
      <c r="E165" s="505"/>
      <c r="F165" s="232"/>
      <c r="G165" s="505"/>
      <c r="H165" s="232"/>
      <c r="I165" s="505"/>
      <c r="J165" s="232"/>
      <c r="K165" s="505"/>
      <c r="L165" s="232"/>
      <c r="M165" s="505"/>
      <c r="N165" s="232"/>
      <c r="S165" s="25"/>
      <c r="T165" s="232"/>
      <c r="U165" s="25"/>
      <c r="V165" s="232"/>
      <c r="W165" s="25"/>
      <c r="X165" s="232"/>
      <c r="Y165" s="232"/>
    </row>
    <row r="166" spans="3:25" s="29" customFormat="1">
      <c r="D166" s="232"/>
      <c r="E166" s="505"/>
      <c r="F166" s="232"/>
      <c r="G166" s="505"/>
      <c r="H166" s="232"/>
      <c r="I166" s="505"/>
      <c r="J166" s="232"/>
      <c r="K166" s="505"/>
      <c r="L166" s="232"/>
      <c r="M166" s="505"/>
      <c r="N166" s="232"/>
      <c r="S166" s="25"/>
      <c r="T166" s="232"/>
      <c r="U166" s="25"/>
      <c r="V166" s="232"/>
      <c r="W166" s="25"/>
      <c r="X166" s="232"/>
      <c r="Y166" s="232"/>
    </row>
    <row r="167" spans="3:25" s="29" customFormat="1">
      <c r="D167" s="232"/>
      <c r="E167" s="505"/>
      <c r="F167" s="232"/>
      <c r="G167" s="505"/>
      <c r="H167" s="232"/>
      <c r="I167" s="505"/>
      <c r="J167" s="232"/>
      <c r="K167" s="505"/>
      <c r="L167" s="232"/>
      <c r="M167" s="505"/>
      <c r="N167" s="232"/>
      <c r="S167" s="25"/>
      <c r="T167" s="232"/>
      <c r="U167" s="25"/>
      <c r="V167" s="232"/>
      <c r="W167" s="25"/>
      <c r="X167" s="232"/>
      <c r="Y167" s="232"/>
    </row>
    <row r="168" spans="3:25" s="29" customFormat="1">
      <c r="D168" s="232"/>
      <c r="E168" s="505"/>
      <c r="F168" s="232"/>
      <c r="G168" s="505"/>
      <c r="H168" s="232"/>
      <c r="I168" s="505"/>
      <c r="J168" s="232"/>
      <c r="K168" s="505"/>
      <c r="L168" s="232"/>
      <c r="M168" s="505"/>
      <c r="N168" s="232"/>
      <c r="S168" s="25"/>
      <c r="T168" s="232"/>
      <c r="U168" s="25"/>
      <c r="V168" s="232"/>
      <c r="W168" s="25"/>
      <c r="X168" s="232"/>
      <c r="Y168" s="232"/>
    </row>
    <row r="169" spans="3:25" s="29" customFormat="1">
      <c r="D169" s="232"/>
      <c r="E169" s="505"/>
      <c r="F169" s="232"/>
      <c r="G169" s="505"/>
      <c r="H169" s="232"/>
      <c r="I169" s="505"/>
      <c r="J169" s="232"/>
      <c r="K169" s="505"/>
      <c r="L169" s="232"/>
      <c r="M169" s="505"/>
      <c r="N169" s="232"/>
      <c r="S169" s="25"/>
      <c r="T169" s="232"/>
      <c r="U169" s="25"/>
      <c r="V169" s="232"/>
      <c r="W169" s="25"/>
      <c r="X169" s="232"/>
      <c r="Y169" s="232"/>
    </row>
    <row r="170" spans="3:25" s="29" customFormat="1">
      <c r="D170" s="232"/>
      <c r="E170" s="505"/>
      <c r="F170" s="232"/>
      <c r="G170" s="505"/>
      <c r="H170" s="232"/>
      <c r="I170" s="505"/>
      <c r="J170" s="232"/>
      <c r="K170" s="505"/>
      <c r="L170" s="232"/>
      <c r="M170" s="505"/>
      <c r="N170" s="232"/>
      <c r="S170" s="25"/>
      <c r="T170" s="232"/>
      <c r="U170" s="25"/>
      <c r="V170" s="232"/>
      <c r="W170" s="25"/>
      <c r="X170" s="232"/>
      <c r="Y170" s="232"/>
    </row>
    <row r="171" spans="3:25" s="29" customFormat="1">
      <c r="D171" s="232"/>
      <c r="E171" s="505"/>
      <c r="F171" s="232"/>
      <c r="G171" s="505"/>
      <c r="H171" s="232"/>
      <c r="I171" s="505"/>
      <c r="J171" s="232"/>
      <c r="K171" s="505"/>
      <c r="L171" s="232"/>
      <c r="M171" s="505"/>
      <c r="N171" s="232"/>
      <c r="S171" s="25"/>
      <c r="T171" s="232"/>
      <c r="U171" s="25"/>
      <c r="V171" s="232"/>
      <c r="W171" s="25"/>
      <c r="X171" s="232"/>
      <c r="Y171" s="232"/>
    </row>
    <row r="172" spans="3:25" s="29" customFormat="1">
      <c r="D172" s="232"/>
      <c r="E172" s="505"/>
      <c r="F172" s="232"/>
      <c r="G172" s="505"/>
      <c r="H172" s="232"/>
      <c r="I172" s="505"/>
      <c r="J172" s="232"/>
      <c r="K172" s="505"/>
      <c r="L172" s="232"/>
      <c r="M172" s="505"/>
      <c r="N172" s="232"/>
      <c r="S172" s="25"/>
      <c r="T172" s="232"/>
      <c r="U172" s="25"/>
      <c r="V172" s="232"/>
      <c r="W172" s="25"/>
      <c r="X172" s="232"/>
      <c r="Y172" s="232"/>
    </row>
    <row r="173" spans="3:25" s="29" customFormat="1">
      <c r="C173" s="28"/>
      <c r="D173" s="232"/>
      <c r="E173" s="505"/>
      <c r="F173" s="232"/>
      <c r="G173" s="505"/>
      <c r="H173" s="232"/>
      <c r="I173" s="505"/>
      <c r="J173" s="232"/>
      <c r="K173" s="505"/>
      <c r="L173" s="232"/>
      <c r="M173" s="505"/>
      <c r="N173" s="232"/>
      <c r="S173" s="25"/>
      <c r="T173" s="232"/>
      <c r="U173" s="25"/>
      <c r="V173" s="232"/>
      <c r="W173" s="25"/>
      <c r="X173" s="232"/>
      <c r="Y173" s="232"/>
    </row>
    <row r="174" spans="3:25" s="29" customFormat="1">
      <c r="D174" s="232"/>
      <c r="E174" s="505"/>
      <c r="F174" s="232"/>
      <c r="G174" s="505"/>
      <c r="H174" s="232"/>
      <c r="I174" s="505"/>
      <c r="J174" s="232"/>
      <c r="K174" s="505"/>
      <c r="L174" s="232"/>
      <c r="M174" s="505"/>
      <c r="N174" s="232"/>
      <c r="S174" s="25"/>
      <c r="T174" s="232"/>
      <c r="U174" s="25"/>
      <c r="V174" s="232"/>
      <c r="W174" s="25"/>
      <c r="X174" s="232"/>
      <c r="Y174" s="232"/>
    </row>
    <row r="175" spans="3:25" s="29" customFormat="1">
      <c r="D175" s="232"/>
      <c r="E175" s="505"/>
      <c r="F175" s="232"/>
      <c r="G175" s="505"/>
      <c r="H175" s="232"/>
      <c r="I175" s="505"/>
      <c r="J175" s="232"/>
      <c r="K175" s="505"/>
      <c r="L175" s="232"/>
      <c r="M175" s="505"/>
      <c r="N175" s="232"/>
      <c r="S175" s="25"/>
      <c r="T175" s="232"/>
      <c r="U175" s="25"/>
      <c r="V175" s="232"/>
      <c r="W175" s="25"/>
      <c r="X175" s="232"/>
      <c r="Y175" s="232"/>
    </row>
    <row r="176" spans="3:25" s="29" customFormat="1">
      <c r="D176" s="232"/>
      <c r="E176" s="505"/>
      <c r="F176" s="232"/>
      <c r="G176" s="505"/>
      <c r="H176" s="232"/>
      <c r="I176" s="505"/>
      <c r="J176" s="232"/>
      <c r="K176" s="505"/>
      <c r="L176" s="232"/>
      <c r="M176" s="505"/>
      <c r="N176" s="232"/>
      <c r="O176" s="30"/>
      <c r="S176" s="25"/>
      <c r="T176" s="232"/>
      <c r="U176" s="25"/>
      <c r="V176" s="232"/>
      <c r="W176" s="25"/>
      <c r="X176" s="232"/>
      <c r="Y176" s="232"/>
    </row>
    <row r="177" spans="3:25" s="29" customFormat="1">
      <c r="D177" s="232"/>
      <c r="E177" s="505"/>
      <c r="F177" s="232"/>
      <c r="G177" s="505"/>
      <c r="H177" s="232"/>
      <c r="I177" s="505"/>
      <c r="J177" s="232"/>
      <c r="K177" s="505"/>
      <c r="L177" s="232"/>
      <c r="M177" s="505"/>
      <c r="N177" s="232"/>
      <c r="O177" s="30"/>
      <c r="S177" s="25"/>
      <c r="T177" s="232"/>
      <c r="U177" s="25"/>
      <c r="V177" s="232"/>
      <c r="W177" s="25"/>
      <c r="X177" s="232"/>
      <c r="Y177" s="232"/>
    </row>
    <row r="178" spans="3:25" s="29" customFormat="1">
      <c r="D178" s="232"/>
      <c r="E178" s="505"/>
      <c r="F178" s="232"/>
      <c r="G178" s="505"/>
      <c r="H178" s="232"/>
      <c r="I178" s="505"/>
      <c r="J178" s="232"/>
      <c r="K178" s="505"/>
      <c r="L178" s="232"/>
      <c r="M178" s="505"/>
      <c r="N178" s="232"/>
      <c r="O178" s="30"/>
      <c r="S178" s="25"/>
      <c r="T178" s="232"/>
      <c r="U178" s="25"/>
      <c r="V178" s="232"/>
      <c r="W178" s="25"/>
      <c r="X178" s="232"/>
      <c r="Y178" s="232"/>
    </row>
    <row r="179" spans="3:25" s="29" customFormat="1">
      <c r="D179" s="232"/>
      <c r="E179" s="505"/>
      <c r="F179" s="232"/>
      <c r="G179" s="505"/>
      <c r="H179" s="232"/>
      <c r="I179" s="505"/>
      <c r="J179" s="232"/>
      <c r="K179" s="505"/>
      <c r="L179" s="232"/>
      <c r="M179" s="505"/>
      <c r="N179" s="232"/>
      <c r="O179" s="30"/>
      <c r="S179" s="25"/>
      <c r="T179" s="232"/>
      <c r="U179" s="25"/>
      <c r="V179" s="232"/>
      <c r="W179" s="25"/>
      <c r="X179" s="232"/>
      <c r="Y179" s="232"/>
    </row>
    <row r="180" spans="3:25" s="29" customFormat="1">
      <c r="D180" s="232"/>
      <c r="E180" s="505"/>
      <c r="F180" s="232"/>
      <c r="G180" s="505"/>
      <c r="H180" s="232"/>
      <c r="I180" s="505"/>
      <c r="J180" s="232"/>
      <c r="K180" s="505"/>
      <c r="L180" s="232"/>
      <c r="M180" s="505"/>
      <c r="N180" s="232"/>
      <c r="S180" s="25"/>
      <c r="T180" s="232"/>
      <c r="U180" s="25"/>
      <c r="V180" s="232"/>
      <c r="W180" s="25"/>
      <c r="X180" s="232"/>
      <c r="Y180" s="232"/>
    </row>
    <row r="181" spans="3:25" s="29" customFormat="1">
      <c r="D181" s="232"/>
      <c r="E181" s="505"/>
      <c r="F181" s="232"/>
      <c r="G181" s="505"/>
      <c r="H181" s="232"/>
      <c r="I181" s="505"/>
      <c r="J181" s="232"/>
      <c r="K181" s="505"/>
      <c r="L181" s="232"/>
      <c r="M181" s="505"/>
      <c r="N181" s="232"/>
      <c r="S181" s="25"/>
      <c r="T181" s="232"/>
      <c r="U181" s="25"/>
      <c r="V181" s="232"/>
      <c r="W181" s="25"/>
      <c r="X181" s="232"/>
      <c r="Y181" s="232"/>
    </row>
    <row r="182" spans="3:25" s="29" customFormat="1">
      <c r="D182" s="232"/>
      <c r="E182" s="505"/>
      <c r="F182" s="232"/>
      <c r="G182" s="505"/>
      <c r="H182" s="232"/>
      <c r="I182" s="505"/>
      <c r="J182" s="232"/>
      <c r="K182" s="505"/>
      <c r="L182" s="232"/>
      <c r="M182" s="505"/>
      <c r="N182" s="232"/>
      <c r="S182" s="25"/>
      <c r="T182" s="232"/>
      <c r="U182" s="25"/>
      <c r="V182" s="232"/>
      <c r="W182" s="25"/>
      <c r="X182" s="232"/>
      <c r="Y182" s="232"/>
    </row>
    <row r="183" spans="3:25" s="29" customFormat="1">
      <c r="C183" s="28"/>
      <c r="D183" s="232"/>
      <c r="E183" s="505"/>
      <c r="F183" s="232"/>
      <c r="G183" s="505"/>
      <c r="H183" s="232"/>
      <c r="I183" s="505"/>
      <c r="J183" s="232"/>
      <c r="K183" s="505"/>
      <c r="L183" s="232"/>
      <c r="M183" s="505"/>
      <c r="N183" s="232"/>
      <c r="S183" s="25"/>
      <c r="T183" s="232"/>
      <c r="U183" s="25"/>
      <c r="V183" s="232"/>
      <c r="W183" s="25"/>
      <c r="X183" s="232"/>
      <c r="Y183" s="232"/>
    </row>
    <row r="184" spans="3:25">
      <c r="C184" s="29"/>
      <c r="D184" s="232"/>
      <c r="E184" s="505"/>
      <c r="F184" s="232"/>
      <c r="G184" s="505"/>
      <c r="H184" s="232"/>
      <c r="I184" s="505"/>
      <c r="J184" s="232"/>
      <c r="K184" s="505"/>
      <c r="L184" s="232"/>
      <c r="M184" s="505"/>
      <c r="N184" s="232"/>
      <c r="O184" s="29"/>
      <c r="P184" s="29"/>
      <c r="Q184" s="29"/>
      <c r="R184" s="29"/>
      <c r="S184" s="25"/>
      <c r="T184" s="232"/>
      <c r="U184" s="25"/>
      <c r="V184" s="232"/>
      <c r="W184" s="25"/>
      <c r="X184" s="232"/>
      <c r="Y184" s="232"/>
    </row>
    <row r="185" spans="3:25">
      <c r="C185" s="29"/>
      <c r="D185" s="232"/>
      <c r="E185" s="505"/>
      <c r="F185" s="232"/>
      <c r="G185" s="505"/>
      <c r="H185" s="232"/>
      <c r="I185" s="505"/>
      <c r="J185" s="232"/>
      <c r="K185" s="505"/>
      <c r="L185" s="232"/>
      <c r="M185" s="505"/>
      <c r="N185" s="232"/>
      <c r="O185" s="29"/>
      <c r="P185" s="29"/>
      <c r="Q185" s="29"/>
      <c r="R185" s="29"/>
      <c r="S185" s="25"/>
      <c r="T185" s="232"/>
      <c r="U185" s="25"/>
      <c r="V185" s="232"/>
      <c r="W185" s="25"/>
      <c r="X185" s="232"/>
      <c r="Y185" s="232"/>
    </row>
    <row r="186" spans="3:25">
      <c r="C186" s="28"/>
      <c r="D186" s="232"/>
      <c r="E186" s="505"/>
      <c r="F186" s="232"/>
      <c r="G186" s="505"/>
      <c r="H186" s="232"/>
      <c r="I186" s="505"/>
      <c r="J186" s="232"/>
      <c r="K186" s="505"/>
      <c r="L186" s="232"/>
      <c r="M186" s="505"/>
      <c r="N186" s="232"/>
      <c r="O186" s="29"/>
      <c r="P186" s="29"/>
      <c r="Q186" s="29"/>
      <c r="R186" s="29"/>
      <c r="S186" s="25"/>
      <c r="T186" s="232"/>
      <c r="U186" s="25"/>
      <c r="V186" s="232"/>
      <c r="W186" s="25"/>
      <c r="X186" s="232"/>
      <c r="Y186" s="232"/>
    </row>
    <row r="187" spans="3:25">
      <c r="E187" s="506"/>
      <c r="G187" s="506"/>
      <c r="I187" s="506"/>
      <c r="K187" s="506"/>
      <c r="M187" s="506"/>
      <c r="S187" s="27"/>
      <c r="U187" s="27"/>
      <c r="W187" s="27"/>
    </row>
    <row r="188" spans="3:25">
      <c r="E188" s="506"/>
      <c r="G188" s="506"/>
      <c r="I188" s="506"/>
      <c r="K188" s="506"/>
      <c r="M188" s="506"/>
      <c r="S188" s="27"/>
      <c r="U188" s="27"/>
      <c r="W188" s="27"/>
    </row>
    <row r="189" spans="3:25">
      <c r="C189" s="502" t="s">
        <v>0</v>
      </c>
      <c r="D189" s="502"/>
      <c r="E189" s="502"/>
      <c r="F189" s="502"/>
      <c r="G189" s="502"/>
      <c r="H189" s="502"/>
      <c r="I189" s="502"/>
      <c r="J189" s="502"/>
      <c r="K189" s="502"/>
      <c r="L189" s="502"/>
      <c r="M189" s="502"/>
      <c r="N189" s="502"/>
      <c r="O189" s="502"/>
      <c r="P189" s="502"/>
      <c r="Q189" s="502"/>
      <c r="R189" s="502"/>
      <c r="S189" s="425"/>
      <c r="T189" s="425"/>
      <c r="U189" s="425"/>
      <c r="V189" s="425"/>
      <c r="W189" s="425"/>
      <c r="X189" s="425"/>
      <c r="Y189" s="425"/>
    </row>
    <row r="190" spans="3:25">
      <c r="C190" s="502" t="s">
        <v>100</v>
      </c>
      <c r="D190" s="502"/>
      <c r="E190" s="502"/>
      <c r="F190" s="502"/>
      <c r="G190" s="502"/>
      <c r="H190" s="502"/>
      <c r="I190" s="502"/>
      <c r="J190" s="502"/>
      <c r="K190" s="502"/>
      <c r="L190" s="502"/>
      <c r="M190" s="502"/>
      <c r="N190" s="502"/>
      <c r="O190" s="502"/>
      <c r="P190" s="502"/>
      <c r="Q190" s="502"/>
      <c r="R190" s="502"/>
      <c r="S190" s="425"/>
      <c r="T190" s="425"/>
      <c r="U190" s="425"/>
      <c r="V190" s="425"/>
      <c r="W190" s="425"/>
      <c r="X190" s="425"/>
      <c r="Y190" s="425"/>
    </row>
    <row r="191" spans="3:25">
      <c r="C191" s="503" t="str">
        <f>C$3</f>
        <v>BASE PERIOD: DECEMBER 2018</v>
      </c>
      <c r="D191" s="504"/>
      <c r="E191" s="504"/>
      <c r="F191" s="504"/>
      <c r="G191" s="504"/>
      <c r="H191" s="504"/>
      <c r="I191" s="504"/>
      <c r="J191" s="504"/>
      <c r="K191" s="504"/>
      <c r="L191" s="504"/>
      <c r="M191" s="504"/>
      <c r="N191" s="504"/>
      <c r="O191" s="504"/>
      <c r="P191" s="504"/>
      <c r="Q191" s="504"/>
      <c r="R191" s="504"/>
      <c r="S191" s="426"/>
      <c r="T191" s="426"/>
      <c r="U191" s="426"/>
      <c r="V191" s="426"/>
      <c r="W191" s="426"/>
      <c r="X191" s="426"/>
      <c r="Y191" s="426"/>
    </row>
    <row r="192" spans="3:25">
      <c r="C192" s="3"/>
      <c r="D192" s="3"/>
      <c r="E192" s="3"/>
      <c r="F192" s="3"/>
      <c r="G192" s="3"/>
      <c r="H192" s="3"/>
      <c r="I192" s="3"/>
      <c r="J192" s="3"/>
      <c r="K192" s="3"/>
      <c r="L192" s="3"/>
      <c r="M192" s="3"/>
      <c r="N192" s="3"/>
      <c r="O192" s="31"/>
      <c r="P192" s="31"/>
      <c r="Q192" s="31"/>
      <c r="R192" s="31"/>
      <c r="S192" s="3"/>
      <c r="T192" s="3"/>
      <c r="U192" s="3"/>
      <c r="V192" s="3"/>
      <c r="W192" s="3"/>
      <c r="X192" s="32" t="s">
        <v>1717</v>
      </c>
      <c r="Y192" s="32"/>
    </row>
    <row r="193" spans="1:25" ht="15">
      <c r="C193" s="3"/>
      <c r="D193" s="32" t="s">
        <v>2485</v>
      </c>
      <c r="E193" s="32"/>
      <c r="F193" s="32"/>
      <c r="G193" s="32"/>
      <c r="H193" s="32"/>
      <c r="I193" s="32"/>
      <c r="J193" s="32"/>
      <c r="K193" s="32"/>
      <c r="L193" s="32"/>
      <c r="M193" s="32"/>
      <c r="N193" s="32" t="s">
        <v>2486</v>
      </c>
      <c r="O193" s="34"/>
      <c r="P193" s="34"/>
      <c r="Q193" s="34"/>
      <c r="R193" s="34"/>
      <c r="S193" s="32"/>
      <c r="T193" s="32"/>
      <c r="U193" s="32"/>
      <c r="V193" s="32"/>
      <c r="W193" s="32"/>
      <c r="X193" s="32" t="s">
        <v>2486</v>
      </c>
      <c r="Y193" s="4"/>
    </row>
    <row r="194" spans="1:25">
      <c r="C194" s="31"/>
      <c r="D194" s="33" t="s">
        <v>2</v>
      </c>
      <c r="E194" s="31"/>
      <c r="F194" s="26"/>
      <c r="G194" s="31"/>
      <c r="H194" s="26"/>
      <c r="I194" s="31"/>
      <c r="J194" s="33" t="s">
        <v>3</v>
      </c>
      <c r="K194" s="31"/>
      <c r="L194" s="26"/>
      <c r="M194" s="31"/>
      <c r="N194" s="33" t="s">
        <v>4</v>
      </c>
      <c r="O194" s="31"/>
      <c r="P194" s="31"/>
      <c r="Q194" s="31"/>
      <c r="R194" s="34" t="s">
        <v>5</v>
      </c>
      <c r="S194" s="31"/>
      <c r="T194" s="231" t="s">
        <v>1204</v>
      </c>
      <c r="U194" s="5"/>
      <c r="V194" s="231" t="s">
        <v>11</v>
      </c>
      <c r="W194" s="5"/>
      <c r="X194" s="6" t="s">
        <v>4</v>
      </c>
      <c r="Y194" s="6"/>
    </row>
    <row r="195" spans="1:25">
      <c r="C195" s="5"/>
      <c r="D195" s="35" t="s">
        <v>6</v>
      </c>
      <c r="E195" s="31"/>
      <c r="F195" s="35" t="s">
        <v>7</v>
      </c>
      <c r="G195" s="31"/>
      <c r="H195" s="35" t="s">
        <v>8</v>
      </c>
      <c r="I195" s="31"/>
      <c r="J195" s="35" t="s">
        <v>9</v>
      </c>
      <c r="K195" s="31"/>
      <c r="L195" s="35" t="s">
        <v>10</v>
      </c>
      <c r="M195" s="31"/>
      <c r="N195" s="35" t="s">
        <v>6</v>
      </c>
      <c r="O195" s="5"/>
      <c r="P195" s="35" t="s">
        <v>11</v>
      </c>
      <c r="Q195" s="5"/>
      <c r="R195" s="35" t="s">
        <v>12</v>
      </c>
      <c r="S195" s="31"/>
      <c r="T195" s="10" t="s">
        <v>1205</v>
      </c>
      <c r="U195" s="5"/>
      <c r="V195" s="10" t="s">
        <v>2188</v>
      </c>
      <c r="W195" s="5"/>
      <c r="X195" s="10" t="s">
        <v>6</v>
      </c>
      <c r="Y195" s="10" t="s">
        <v>13</v>
      </c>
    </row>
    <row r="196" spans="1:25">
      <c r="C196" s="8" t="s">
        <v>14</v>
      </c>
      <c r="D196" s="36"/>
      <c r="E196" s="31"/>
      <c r="F196" s="36"/>
      <c r="G196" s="31"/>
      <c r="H196" s="36"/>
      <c r="I196" s="31"/>
      <c r="J196" s="36"/>
      <c r="K196" s="31"/>
      <c r="L196" s="36"/>
      <c r="M196" s="31"/>
      <c r="N196" s="36"/>
      <c r="O196" s="5"/>
      <c r="P196" s="5"/>
      <c r="Q196" s="5"/>
      <c r="R196" s="5"/>
      <c r="S196" s="31"/>
      <c r="T196" s="36"/>
      <c r="U196" s="31"/>
      <c r="V196" s="36"/>
      <c r="W196" s="31"/>
      <c r="X196" s="36"/>
      <c r="Y196" s="36"/>
    </row>
    <row r="197" spans="1:25">
      <c r="C197" s="34" t="s">
        <v>15</v>
      </c>
      <c r="D197" s="26"/>
      <c r="E197" s="31"/>
      <c r="F197" s="26"/>
      <c r="G197" s="31"/>
      <c r="H197" s="26"/>
      <c r="I197" s="31"/>
      <c r="J197" s="26"/>
      <c r="K197" s="31"/>
      <c r="L197" s="26"/>
      <c r="M197" s="31"/>
      <c r="N197" s="26"/>
      <c r="O197" s="5"/>
      <c r="P197" s="5"/>
      <c r="Q197" s="5"/>
      <c r="R197" s="5"/>
      <c r="S197" s="31"/>
      <c r="T197" s="26"/>
      <c r="U197" s="31"/>
      <c r="V197" s="26"/>
      <c r="W197" s="31"/>
      <c r="X197" s="26"/>
      <c r="Y197" s="26"/>
    </row>
    <row r="198" spans="1:25">
      <c r="C198" s="34" t="s">
        <v>16</v>
      </c>
      <c r="D198" s="26"/>
      <c r="E198" s="37"/>
      <c r="F198" s="26"/>
      <c r="G198" s="37"/>
      <c r="H198" s="26"/>
      <c r="I198" s="37"/>
      <c r="J198" s="26"/>
      <c r="K198" s="37"/>
      <c r="L198" s="26"/>
      <c r="M198" s="37"/>
      <c r="N198" s="26"/>
      <c r="O198" s="37"/>
      <c r="P198" s="31"/>
      <c r="Q198" s="31"/>
      <c r="R198" s="31"/>
      <c r="S198" s="37"/>
      <c r="T198" s="26"/>
      <c r="U198" s="37"/>
      <c r="V198" s="26"/>
      <c r="W198" s="37"/>
      <c r="X198" s="26"/>
      <c r="Y198" s="26"/>
    </row>
    <row r="199" spans="1:25">
      <c r="A199" s="2" t="s">
        <v>101</v>
      </c>
      <c r="B199" s="2" t="str">
        <f t="shared" ref="B199:B209" si="11">MID(C199,2,3)</f>
        <v>360</v>
      </c>
      <c r="C199" s="31" t="s">
        <v>102</v>
      </c>
      <c r="D199" s="26">
        <v>193250.44</v>
      </c>
      <c r="E199" s="37"/>
      <c r="F199" s="26">
        <v>125000</v>
      </c>
      <c r="G199" s="37"/>
      <c r="H199" s="26">
        <v>0</v>
      </c>
      <c r="I199" s="37"/>
      <c r="J199" s="26">
        <v>0</v>
      </c>
      <c r="K199" s="37"/>
      <c r="L199" s="26">
        <v>125000</v>
      </c>
      <c r="M199" s="37"/>
      <c r="N199" s="26">
        <v>318250.44</v>
      </c>
      <c r="O199" s="37"/>
      <c r="P199" s="38">
        <v>-69671.505855979907</v>
      </c>
      <c r="Q199" s="31"/>
      <c r="R199" s="38">
        <v>248578.93414402008</v>
      </c>
      <c r="S199" s="37"/>
      <c r="T199" s="17">
        <v>-2.7250935301704742E-12</v>
      </c>
      <c r="U199" s="18"/>
      <c r="V199" s="17">
        <v>-69671.505855979907</v>
      </c>
      <c r="W199" s="18"/>
      <c r="X199" s="17">
        <v>318250.44</v>
      </c>
      <c r="Y199" s="17">
        <v>0</v>
      </c>
    </row>
    <row r="200" spans="1:25">
      <c r="A200" s="2" t="s">
        <v>101</v>
      </c>
      <c r="C200" s="31" t="s">
        <v>18</v>
      </c>
      <c r="D200" s="26">
        <v>0</v>
      </c>
      <c r="E200" s="37"/>
      <c r="F200" s="26">
        <v>0</v>
      </c>
      <c r="G200" s="37"/>
      <c r="H200" s="26">
        <v>0</v>
      </c>
      <c r="I200" s="37"/>
      <c r="J200" s="26">
        <v>0</v>
      </c>
      <c r="K200" s="37"/>
      <c r="L200" s="26">
        <v>0</v>
      </c>
      <c r="M200" s="37"/>
      <c r="N200" s="26">
        <v>0</v>
      </c>
      <c r="O200" s="37"/>
      <c r="P200" s="38">
        <v>0</v>
      </c>
      <c r="Q200" s="31"/>
      <c r="R200" s="38">
        <v>0</v>
      </c>
      <c r="S200" s="37"/>
      <c r="T200" s="26">
        <v>0</v>
      </c>
      <c r="U200" s="37"/>
      <c r="V200" s="26">
        <v>0</v>
      </c>
      <c r="W200" s="37"/>
      <c r="X200" s="26">
        <v>0</v>
      </c>
      <c r="Y200" s="26">
        <v>0</v>
      </c>
    </row>
    <row r="201" spans="1:25">
      <c r="A201" s="2" t="s">
        <v>101</v>
      </c>
      <c r="B201" s="2" t="str">
        <f t="shared" si="11"/>
        <v>361</v>
      </c>
      <c r="C201" s="31" t="s">
        <v>19</v>
      </c>
      <c r="D201" s="26">
        <v>570187.38</v>
      </c>
      <c r="E201" s="37"/>
      <c r="F201" s="26">
        <v>204691.65000000002</v>
      </c>
      <c r="G201" s="37"/>
      <c r="H201" s="26">
        <v>0</v>
      </c>
      <c r="I201" s="37"/>
      <c r="J201" s="26">
        <v>0</v>
      </c>
      <c r="K201" s="37"/>
      <c r="L201" s="26">
        <v>204691.65000000002</v>
      </c>
      <c r="M201" s="37"/>
      <c r="N201" s="26">
        <v>774879.03</v>
      </c>
      <c r="O201" s="37"/>
      <c r="P201" s="38">
        <v>-146912.95700680002</v>
      </c>
      <c r="Q201" s="31"/>
      <c r="R201" s="38">
        <v>627966.07299320004</v>
      </c>
      <c r="S201" s="37"/>
      <c r="T201" s="26">
        <v>-4.4624311287593536E-12</v>
      </c>
      <c r="U201" s="37"/>
      <c r="V201" s="26">
        <v>-146912.95700680002</v>
      </c>
      <c r="W201" s="37"/>
      <c r="X201" s="26">
        <v>774879.02999999991</v>
      </c>
      <c r="Y201" s="26">
        <v>0</v>
      </c>
    </row>
    <row r="202" spans="1:25" s="9" customFormat="1">
      <c r="A202" s="2" t="s">
        <v>101</v>
      </c>
      <c r="B202" s="2" t="str">
        <f t="shared" si="11"/>
        <v>362</v>
      </c>
      <c r="C202" s="31" t="s">
        <v>20</v>
      </c>
      <c r="D202" s="26">
        <v>8381485.290000001</v>
      </c>
      <c r="E202" s="37"/>
      <c r="F202" s="26">
        <v>149519.24</v>
      </c>
      <c r="G202" s="37"/>
      <c r="H202" s="26">
        <v>-17772.599999999897</v>
      </c>
      <c r="I202" s="37"/>
      <c r="J202" s="26">
        <v>0</v>
      </c>
      <c r="K202" s="37"/>
      <c r="L202" s="26">
        <v>131746.6400000001</v>
      </c>
      <c r="M202" s="37"/>
      <c r="N202" s="26">
        <v>8513231.9300000016</v>
      </c>
      <c r="O202" s="37"/>
      <c r="P202" s="38">
        <v>-3310982.8156061997</v>
      </c>
      <c r="Q202" s="31"/>
      <c r="R202" s="38">
        <v>5202249.1143938024</v>
      </c>
      <c r="S202" s="37"/>
      <c r="T202" s="26">
        <v>-3.2596313084800507E-12</v>
      </c>
      <c r="U202" s="37"/>
      <c r="V202" s="26">
        <v>-3310982.8156061997</v>
      </c>
      <c r="W202" s="37"/>
      <c r="X202" s="26">
        <v>8513231.9299999997</v>
      </c>
      <c r="Y202" s="26">
        <v>0</v>
      </c>
    </row>
    <row r="203" spans="1:25">
      <c r="A203" s="2" t="s">
        <v>101</v>
      </c>
      <c r="B203" s="2" t="str">
        <f t="shared" si="11"/>
        <v>364</v>
      </c>
      <c r="C203" s="31" t="s">
        <v>21</v>
      </c>
      <c r="D203" s="26">
        <v>29011087.989999998</v>
      </c>
      <c r="E203" s="37"/>
      <c r="F203" s="26">
        <v>1499078.4099999988</v>
      </c>
      <c r="G203" s="37"/>
      <c r="H203" s="26">
        <v>-91579.72</v>
      </c>
      <c r="I203" s="37"/>
      <c r="J203" s="26">
        <v>0</v>
      </c>
      <c r="K203" s="37"/>
      <c r="L203" s="26">
        <v>1407498.6899999988</v>
      </c>
      <c r="M203" s="37"/>
      <c r="N203" s="26">
        <v>30418586.679999996</v>
      </c>
      <c r="O203" s="37"/>
      <c r="P203" s="38">
        <v>-13109287.136606999</v>
      </c>
      <c r="Q203" s="31"/>
      <c r="R203" s="38">
        <v>17309299.543392997</v>
      </c>
      <c r="S203" s="37"/>
      <c r="T203" s="26">
        <v>-3.2681031010473907E-11</v>
      </c>
      <c r="U203" s="37"/>
      <c r="V203" s="26">
        <v>-13109287.136606999</v>
      </c>
      <c r="W203" s="37"/>
      <c r="X203" s="26">
        <v>30418586.679999899</v>
      </c>
      <c r="Y203" s="26">
        <v>-9.6857547760009766E-8</v>
      </c>
    </row>
    <row r="204" spans="1:25">
      <c r="A204" s="2" t="s">
        <v>101</v>
      </c>
      <c r="B204" s="2" t="str">
        <f t="shared" si="11"/>
        <v>365</v>
      </c>
      <c r="C204" s="31" t="s">
        <v>22</v>
      </c>
      <c r="D204" s="26">
        <v>25545123.390000001</v>
      </c>
      <c r="E204" s="37"/>
      <c r="F204" s="26">
        <v>2755545.5099999988</v>
      </c>
      <c r="G204" s="37"/>
      <c r="H204" s="26">
        <v>-307278.89999999892</v>
      </c>
      <c r="I204" s="37"/>
      <c r="J204" s="26">
        <v>0</v>
      </c>
      <c r="K204" s="37"/>
      <c r="L204" s="26">
        <v>2448266.61</v>
      </c>
      <c r="M204" s="37"/>
      <c r="N204" s="26">
        <v>27993390</v>
      </c>
      <c r="O204" s="37"/>
      <c r="P204" s="38">
        <v>-8610937.627257999</v>
      </c>
      <c r="Q204" s="31"/>
      <c r="R204" s="38">
        <v>19382452.372742001</v>
      </c>
      <c r="S204" s="37"/>
      <c r="T204" s="26">
        <v>-6.0072953931130369E-11</v>
      </c>
      <c r="U204" s="37"/>
      <c r="V204" s="26">
        <v>-8610937.627257999</v>
      </c>
      <c r="W204" s="37"/>
      <c r="X204" s="26">
        <v>27993390</v>
      </c>
      <c r="Y204" s="26">
        <v>0</v>
      </c>
    </row>
    <row r="205" spans="1:25">
      <c r="A205" s="2" t="s">
        <v>101</v>
      </c>
      <c r="B205" s="2" t="str">
        <f t="shared" si="11"/>
        <v>366</v>
      </c>
      <c r="C205" s="5" t="s">
        <v>23</v>
      </c>
      <c r="D205" s="7">
        <v>0</v>
      </c>
      <c r="E205" s="39"/>
      <c r="F205" s="7">
        <v>0</v>
      </c>
      <c r="G205" s="39"/>
      <c r="H205" s="7">
        <v>0</v>
      </c>
      <c r="I205" s="39"/>
      <c r="J205" s="7">
        <v>0</v>
      </c>
      <c r="K205" s="39"/>
      <c r="L205" s="7">
        <v>0</v>
      </c>
      <c r="M205" s="39"/>
      <c r="N205" s="7">
        <v>0</v>
      </c>
      <c r="O205" s="39"/>
      <c r="P205" s="13">
        <v>0</v>
      </c>
      <c r="Q205" s="5"/>
      <c r="R205" s="13">
        <v>0</v>
      </c>
      <c r="S205" s="39"/>
      <c r="T205" s="7">
        <v>0</v>
      </c>
      <c r="U205" s="39"/>
      <c r="V205" s="7">
        <v>0</v>
      </c>
      <c r="W205" s="39"/>
      <c r="X205" s="7">
        <v>0</v>
      </c>
      <c r="Y205" s="7">
        <v>0</v>
      </c>
    </row>
    <row r="206" spans="1:25">
      <c r="A206" s="2" t="s">
        <v>101</v>
      </c>
      <c r="B206" s="2" t="str">
        <f t="shared" si="11"/>
        <v>367</v>
      </c>
      <c r="C206" s="31" t="s">
        <v>24</v>
      </c>
      <c r="D206" s="26">
        <v>4698482.3600000003</v>
      </c>
      <c r="E206" s="37"/>
      <c r="F206" s="26">
        <v>-1713.4400000000162</v>
      </c>
      <c r="G206" s="37"/>
      <c r="H206" s="26">
        <v>-5048.6299999999992</v>
      </c>
      <c r="I206" s="37"/>
      <c r="J206" s="26">
        <v>0</v>
      </c>
      <c r="K206" s="37"/>
      <c r="L206" s="26">
        <v>-6762.0700000000152</v>
      </c>
      <c r="M206" s="37"/>
      <c r="N206" s="26">
        <v>4691720.29</v>
      </c>
      <c r="O206" s="37"/>
      <c r="P206" s="38">
        <v>-756424.990022399</v>
      </c>
      <c r="Q206" s="31"/>
      <c r="R206" s="38">
        <v>3935295.299977601</v>
      </c>
      <c r="S206" s="37"/>
      <c r="T206" s="26">
        <v>3.7354274066682728E-14</v>
      </c>
      <c r="U206" s="37"/>
      <c r="V206" s="26">
        <v>-756424.990022399</v>
      </c>
      <c r="W206" s="37"/>
      <c r="X206" s="26">
        <v>4691720.29</v>
      </c>
      <c r="Y206" s="26">
        <v>0</v>
      </c>
    </row>
    <row r="207" spans="1:25">
      <c r="A207" s="2" t="s">
        <v>101</v>
      </c>
      <c r="B207" s="2" t="str">
        <f t="shared" si="11"/>
        <v>368</v>
      </c>
      <c r="C207" s="31" t="s">
        <v>25</v>
      </c>
      <c r="D207" s="26">
        <v>11127499.6</v>
      </c>
      <c r="E207" s="37"/>
      <c r="F207" s="26">
        <v>68363.17</v>
      </c>
      <c r="G207" s="37"/>
      <c r="H207" s="26">
        <v>-69655.319999999905</v>
      </c>
      <c r="I207" s="37"/>
      <c r="J207" s="26">
        <v>0</v>
      </c>
      <c r="K207" s="37"/>
      <c r="L207" s="26">
        <v>-1292.1499999999069</v>
      </c>
      <c r="M207" s="37"/>
      <c r="N207" s="26">
        <v>11126207.449999999</v>
      </c>
      <c r="O207" s="37"/>
      <c r="P207" s="38">
        <v>-5530123.2211891003</v>
      </c>
      <c r="Q207" s="31"/>
      <c r="R207" s="38">
        <v>5596084.228810899</v>
      </c>
      <c r="S207" s="37"/>
      <c r="T207" s="26">
        <v>-1.490368258151554E-12</v>
      </c>
      <c r="U207" s="37"/>
      <c r="V207" s="26">
        <v>-5530123.2211891003</v>
      </c>
      <c r="W207" s="37"/>
      <c r="X207" s="26">
        <v>11126207.449999999</v>
      </c>
      <c r="Y207" s="26">
        <v>0</v>
      </c>
    </row>
    <row r="208" spans="1:25">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38">
        <v>-4360557.8823739998</v>
      </c>
      <c r="Q208" s="31"/>
      <c r="R208" s="38">
        <v>1492389.6476260005</v>
      </c>
      <c r="S208" s="37"/>
      <c r="T208" s="26">
        <v>0</v>
      </c>
      <c r="U208" s="37"/>
      <c r="V208" s="26">
        <v>-4360557.8823739998</v>
      </c>
      <c r="W208" s="37"/>
      <c r="X208" s="26">
        <v>5852947.5300000003</v>
      </c>
      <c r="Y208" s="26">
        <v>0</v>
      </c>
    </row>
    <row r="209" spans="1:25">
      <c r="A209" s="2" t="s">
        <v>101</v>
      </c>
      <c r="B209" s="2" t="str">
        <f t="shared" si="11"/>
        <v>370</v>
      </c>
      <c r="C209" s="31" t="s">
        <v>27</v>
      </c>
      <c r="D209" s="26">
        <v>3881847.58</v>
      </c>
      <c r="E209" s="37"/>
      <c r="F209" s="26">
        <v>-90469.879999999073</v>
      </c>
      <c r="G209" s="37"/>
      <c r="H209" s="26">
        <v>-7832.5</v>
      </c>
      <c r="I209" s="37"/>
      <c r="J209" s="26">
        <v>0</v>
      </c>
      <c r="K209" s="37"/>
      <c r="L209" s="26">
        <v>-98302.379999999073</v>
      </c>
      <c r="M209" s="37"/>
      <c r="N209" s="26">
        <v>3783545.2000000011</v>
      </c>
      <c r="O209" s="37"/>
      <c r="P209" s="38">
        <v>-2699228.9553019898</v>
      </c>
      <c r="Q209" s="31"/>
      <c r="R209" s="38">
        <v>1084316.2446980113</v>
      </c>
      <c r="S209" s="37"/>
      <c r="T209" s="26">
        <v>1.9723110773063733E-12</v>
      </c>
      <c r="U209" s="37"/>
      <c r="V209" s="26">
        <v>-2699228.9553019898</v>
      </c>
      <c r="W209" s="37"/>
      <c r="X209" s="26">
        <v>3783545.2</v>
      </c>
      <c r="Y209" s="26">
        <v>0</v>
      </c>
    </row>
    <row r="210" spans="1:25">
      <c r="A210" s="9" t="s">
        <v>101</v>
      </c>
      <c r="B210" s="9"/>
      <c r="C210" s="5" t="s">
        <v>2488</v>
      </c>
      <c r="D210" s="7">
        <v>0</v>
      </c>
      <c r="E210" s="39"/>
      <c r="F210" s="7">
        <v>0</v>
      </c>
      <c r="G210" s="39"/>
      <c r="H210" s="7">
        <v>0</v>
      </c>
      <c r="I210" s="39"/>
      <c r="J210" s="7">
        <v>0</v>
      </c>
      <c r="K210" s="39"/>
      <c r="L210" s="7">
        <v>0</v>
      </c>
      <c r="M210" s="39"/>
      <c r="N210" s="7">
        <v>0</v>
      </c>
      <c r="O210" s="39"/>
      <c r="P210" s="13">
        <v>0</v>
      </c>
      <c r="Q210" s="5"/>
      <c r="R210" s="13">
        <v>0</v>
      </c>
      <c r="S210" s="39"/>
      <c r="T210" s="7">
        <v>0</v>
      </c>
      <c r="U210" s="39"/>
      <c r="V210" s="7">
        <v>0</v>
      </c>
      <c r="W210" s="39"/>
      <c r="X210" s="7">
        <v>0</v>
      </c>
      <c r="Y210" s="7">
        <v>0</v>
      </c>
    </row>
    <row r="211" spans="1:25">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37"/>
      <c r="P211" s="38">
        <v>0</v>
      </c>
      <c r="Q211" s="31"/>
      <c r="R211" s="38">
        <v>0</v>
      </c>
      <c r="S211" s="40"/>
      <c r="T211" s="26">
        <v>0</v>
      </c>
      <c r="U211" s="40"/>
      <c r="V211" s="26">
        <v>0</v>
      </c>
      <c r="W211" s="40"/>
      <c r="X211" s="26">
        <v>0</v>
      </c>
      <c r="Y211" s="26">
        <v>0</v>
      </c>
    </row>
    <row r="212" spans="1:25">
      <c r="A212" s="2" t="s">
        <v>101</v>
      </c>
      <c r="B212" s="2" t="str">
        <f t="shared" si="12"/>
        <v>373</v>
      </c>
      <c r="C212" s="31" t="s">
        <v>29</v>
      </c>
      <c r="D212" s="41">
        <v>3671298.05</v>
      </c>
      <c r="E212" s="40"/>
      <c r="F212" s="41">
        <v>178873.05999999994</v>
      </c>
      <c r="G212" s="40"/>
      <c r="H212" s="41">
        <v>-23620.6499999999</v>
      </c>
      <c r="I212" s="40"/>
      <c r="J212" s="41">
        <v>0</v>
      </c>
      <c r="K212" s="40"/>
      <c r="L212" s="41">
        <v>155252.41000000003</v>
      </c>
      <c r="M212" s="40"/>
      <c r="N212" s="41">
        <v>3826550.46</v>
      </c>
      <c r="O212" s="37"/>
      <c r="P212" s="42">
        <v>-1832327.0223628001</v>
      </c>
      <c r="Q212" s="31"/>
      <c r="R212" s="42">
        <v>1994223.4376371999</v>
      </c>
      <c r="S212" s="40"/>
      <c r="T212" s="41">
        <v>-3.8995665482223591E-12</v>
      </c>
      <c r="U212" s="40"/>
      <c r="V212" s="41">
        <v>-1832327.0223628001</v>
      </c>
      <c r="W212" s="40"/>
      <c r="X212" s="41">
        <v>3826550.46</v>
      </c>
      <c r="Y212" s="41">
        <v>0</v>
      </c>
    </row>
    <row r="213" spans="1:25">
      <c r="C213" s="31"/>
      <c r="D213" s="24">
        <v>92933209.609999999</v>
      </c>
      <c r="E213" s="40"/>
      <c r="F213" s="24">
        <v>4888887.7199999979</v>
      </c>
      <c r="G213" s="40"/>
      <c r="H213" s="24">
        <v>-522788.31999999861</v>
      </c>
      <c r="I213" s="40"/>
      <c r="J213" s="24">
        <v>0</v>
      </c>
      <c r="K213" s="40"/>
      <c r="L213" s="24">
        <v>4366099.4000000004</v>
      </c>
      <c r="M213" s="40"/>
      <c r="N213" s="24">
        <v>97299309.010000005</v>
      </c>
      <c r="O213" s="37"/>
      <c r="P213" s="24">
        <v>-40426454.113584265</v>
      </c>
      <c r="Q213" s="31"/>
      <c r="R213" s="24">
        <v>56872854.896415733</v>
      </c>
      <c r="S213" s="40"/>
      <c r="T213" s="17">
        <v>-1.06581410364015E-10</v>
      </c>
      <c r="U213" s="40"/>
      <c r="V213" s="24">
        <v>-40426454.113584265</v>
      </c>
      <c r="W213" s="40">
        <v>0</v>
      </c>
      <c r="X213" s="24">
        <v>97299309.009999901</v>
      </c>
      <c r="Y213" s="24">
        <v>-9.6857547760009766E-8</v>
      </c>
    </row>
    <row r="214" spans="1:25">
      <c r="C214" s="31"/>
      <c r="D214" s="24"/>
      <c r="E214" s="40"/>
      <c r="F214" s="24"/>
      <c r="G214" s="40"/>
      <c r="H214" s="24"/>
      <c r="I214" s="40"/>
      <c r="J214" s="24"/>
      <c r="K214" s="40"/>
      <c r="L214" s="24"/>
      <c r="M214" s="40"/>
      <c r="N214" s="24"/>
      <c r="O214" s="37"/>
      <c r="P214" s="31"/>
      <c r="Q214" s="31"/>
      <c r="R214" s="31"/>
      <c r="S214" s="40"/>
      <c r="T214" s="24"/>
      <c r="U214" s="40"/>
      <c r="V214" s="24"/>
      <c r="W214" s="40"/>
      <c r="X214" s="24"/>
      <c r="Y214" s="24"/>
    </row>
    <row r="215" spans="1:25">
      <c r="C215" s="34" t="s">
        <v>32</v>
      </c>
      <c r="D215" s="24"/>
      <c r="E215" s="40"/>
      <c r="F215" s="24"/>
      <c r="G215" s="40"/>
      <c r="H215" s="24"/>
      <c r="I215" s="40"/>
      <c r="J215" s="24"/>
      <c r="K215" s="40"/>
      <c r="L215" s="24"/>
      <c r="M215" s="40"/>
      <c r="N215" s="24"/>
      <c r="O215" s="37"/>
      <c r="P215" s="31"/>
      <c r="Q215" s="31"/>
      <c r="R215" s="31"/>
      <c r="S215" s="40"/>
      <c r="T215" s="24"/>
      <c r="U215" s="40"/>
      <c r="V215" s="24"/>
      <c r="W215" s="40"/>
      <c r="X215" s="24"/>
      <c r="Y215" s="24"/>
    </row>
    <row r="216" spans="1:25">
      <c r="A216" s="2" t="s">
        <v>101</v>
      </c>
      <c r="B216" s="2" t="str">
        <f>MID(C216,2,3)</f>
        <v>389</v>
      </c>
      <c r="C216" s="31" t="s">
        <v>33</v>
      </c>
      <c r="D216" s="24">
        <v>380629.44</v>
      </c>
      <c r="E216" s="40"/>
      <c r="F216" s="24">
        <v>611286.75</v>
      </c>
      <c r="G216" s="40"/>
      <c r="H216" s="24">
        <v>0</v>
      </c>
      <c r="I216" s="40"/>
      <c r="J216" s="24">
        <v>0</v>
      </c>
      <c r="K216" s="40"/>
      <c r="L216" s="24">
        <v>611286.75</v>
      </c>
      <c r="M216" s="40"/>
      <c r="N216" s="24">
        <v>991916.19</v>
      </c>
      <c r="O216" s="37"/>
      <c r="P216" s="38">
        <v>0</v>
      </c>
      <c r="Q216" s="31"/>
      <c r="R216" s="38">
        <v>991916.19</v>
      </c>
      <c r="S216" s="40"/>
      <c r="T216" s="17">
        <v>0</v>
      </c>
      <c r="U216" s="18"/>
      <c r="V216" s="17">
        <v>0</v>
      </c>
      <c r="W216" s="18"/>
      <c r="X216" s="17">
        <v>991916.19000000006</v>
      </c>
      <c r="Y216" s="17">
        <v>0</v>
      </c>
    </row>
    <row r="217" spans="1:25">
      <c r="A217" s="2" t="s">
        <v>101</v>
      </c>
      <c r="B217" s="2" t="str">
        <f t="shared" ref="B217:B222" si="13">MID(C217,2,3)</f>
        <v>390</v>
      </c>
      <c r="C217" s="31" t="s">
        <v>34</v>
      </c>
      <c r="D217" s="24">
        <v>1084455.6499999901</v>
      </c>
      <c r="E217" s="40"/>
      <c r="F217" s="24">
        <v>78984.2</v>
      </c>
      <c r="G217" s="40"/>
      <c r="H217" s="24">
        <v>-7195.76</v>
      </c>
      <c r="I217" s="40"/>
      <c r="J217" s="24">
        <v>0</v>
      </c>
      <c r="K217" s="40"/>
      <c r="L217" s="24">
        <v>71788.44</v>
      </c>
      <c r="M217" s="40"/>
      <c r="N217" s="24">
        <v>1156244.0899999901</v>
      </c>
      <c r="O217" s="37"/>
      <c r="P217" s="38">
        <v>-369717.65493372199</v>
      </c>
      <c r="Q217" s="31"/>
      <c r="R217" s="38">
        <v>786526.43506626808</v>
      </c>
      <c r="S217" s="40"/>
      <c r="T217" s="24">
        <v>0</v>
      </c>
      <c r="U217" s="40"/>
      <c r="V217" s="24">
        <v>-369717.65493372199</v>
      </c>
      <c r="W217" s="40"/>
      <c r="X217" s="24">
        <v>1156244.0899999999</v>
      </c>
      <c r="Y217" s="24">
        <v>9.7788870334625244E-9</v>
      </c>
    </row>
    <row r="218" spans="1:25">
      <c r="A218" s="2" t="s">
        <v>101</v>
      </c>
      <c r="C218" s="31" t="s">
        <v>103</v>
      </c>
      <c r="D218" s="24">
        <v>0</v>
      </c>
      <c r="E218" s="40"/>
      <c r="F218" s="24">
        <v>0</v>
      </c>
      <c r="G218" s="40"/>
      <c r="H218" s="24">
        <v>0</v>
      </c>
      <c r="I218" s="40"/>
      <c r="J218" s="24">
        <v>0</v>
      </c>
      <c r="K218" s="40"/>
      <c r="L218" s="24">
        <v>0</v>
      </c>
      <c r="M218" s="40"/>
      <c r="N218" s="24">
        <v>0</v>
      </c>
      <c r="O218" s="37"/>
      <c r="P218" s="38">
        <v>0</v>
      </c>
      <c r="Q218" s="31"/>
      <c r="R218" s="38">
        <v>0</v>
      </c>
      <c r="S218" s="40"/>
      <c r="T218" s="24">
        <v>0</v>
      </c>
      <c r="U218" s="40"/>
      <c r="V218" s="24">
        <v>0</v>
      </c>
      <c r="W218" s="40"/>
      <c r="X218" s="24">
        <v>0</v>
      </c>
      <c r="Y218" s="24">
        <v>0</v>
      </c>
    </row>
    <row r="219" spans="1:25">
      <c r="A219" s="2" t="s">
        <v>101</v>
      </c>
      <c r="B219" s="2" t="str">
        <f t="shared" si="13"/>
        <v>391</v>
      </c>
      <c r="C219" s="31" t="s">
        <v>36</v>
      </c>
      <c r="D219" s="24">
        <v>0</v>
      </c>
      <c r="E219" s="40"/>
      <c r="F219" s="24">
        <v>0</v>
      </c>
      <c r="G219" s="40"/>
      <c r="H219" s="24">
        <v>0</v>
      </c>
      <c r="I219" s="40"/>
      <c r="J219" s="24">
        <v>0</v>
      </c>
      <c r="K219" s="40"/>
      <c r="L219" s="24">
        <v>0</v>
      </c>
      <c r="M219" s="40"/>
      <c r="N219" s="24">
        <v>0</v>
      </c>
      <c r="O219" s="37"/>
      <c r="P219" s="38">
        <v>308.64999999999998</v>
      </c>
      <c r="Q219" s="31"/>
      <c r="R219" s="38">
        <v>308.64999999999998</v>
      </c>
      <c r="S219" s="40"/>
      <c r="T219" s="24">
        <v>0</v>
      </c>
      <c r="U219" s="40"/>
      <c r="V219" s="24">
        <v>308.64999999999998</v>
      </c>
      <c r="W219" s="40"/>
      <c r="X219" s="24">
        <v>0</v>
      </c>
      <c r="Y219" s="24">
        <v>0</v>
      </c>
    </row>
    <row r="220" spans="1:25">
      <c r="A220" s="2" t="s">
        <v>101</v>
      </c>
      <c r="C220" s="31" t="s">
        <v>104</v>
      </c>
      <c r="D220" s="24">
        <v>0</v>
      </c>
      <c r="E220" s="40"/>
      <c r="F220" s="24">
        <v>0</v>
      </c>
      <c r="G220" s="40"/>
      <c r="H220" s="24">
        <v>0</v>
      </c>
      <c r="I220" s="40"/>
      <c r="J220" s="24">
        <v>0</v>
      </c>
      <c r="K220" s="40"/>
      <c r="L220" s="24">
        <v>0</v>
      </c>
      <c r="M220" s="40"/>
      <c r="N220" s="24">
        <v>0</v>
      </c>
      <c r="O220" s="37"/>
      <c r="P220" s="38">
        <v>0</v>
      </c>
      <c r="Q220" s="31"/>
      <c r="R220" s="38">
        <v>0</v>
      </c>
      <c r="S220" s="40"/>
      <c r="T220" s="24">
        <v>0</v>
      </c>
      <c r="U220" s="40"/>
      <c r="V220" s="24">
        <v>0</v>
      </c>
      <c r="W220" s="40"/>
      <c r="X220" s="24">
        <v>0</v>
      </c>
      <c r="Y220" s="24">
        <v>0</v>
      </c>
    </row>
    <row r="221" spans="1:25">
      <c r="A221" s="2" t="s">
        <v>101</v>
      </c>
      <c r="B221" s="2" t="str">
        <f t="shared" si="13"/>
        <v>392</v>
      </c>
      <c r="C221" s="31" t="s">
        <v>40</v>
      </c>
      <c r="D221" s="24">
        <v>0</v>
      </c>
      <c r="E221" s="40"/>
      <c r="F221" s="24">
        <v>14946.400000000001</v>
      </c>
      <c r="G221" s="40"/>
      <c r="H221" s="24">
        <v>0</v>
      </c>
      <c r="I221" s="40"/>
      <c r="J221" s="24">
        <v>0</v>
      </c>
      <c r="K221" s="40"/>
      <c r="L221" s="24">
        <v>14946.400000000001</v>
      </c>
      <c r="M221" s="40"/>
      <c r="N221" s="24">
        <v>14946.400000000001</v>
      </c>
      <c r="O221" s="37"/>
      <c r="P221" s="38">
        <v>-257.65204001999996</v>
      </c>
      <c r="Q221" s="31"/>
      <c r="R221" s="38">
        <v>14688.747959980001</v>
      </c>
      <c r="S221" s="40"/>
      <c r="T221" s="24">
        <v>0</v>
      </c>
      <c r="U221" s="40"/>
      <c r="V221" s="24">
        <v>-257.65204001999996</v>
      </c>
      <c r="W221" s="40"/>
      <c r="X221" s="24">
        <v>14946.400000000001</v>
      </c>
      <c r="Y221" s="24">
        <v>0</v>
      </c>
    </row>
    <row r="222" spans="1:25">
      <c r="A222" s="2" t="s">
        <v>101</v>
      </c>
      <c r="B222" s="2" t="str">
        <f t="shared" si="13"/>
        <v>393</v>
      </c>
      <c r="C222" s="31" t="s">
        <v>42</v>
      </c>
      <c r="D222" s="24">
        <v>4526.22</v>
      </c>
      <c r="E222" s="40"/>
      <c r="F222" s="24">
        <v>0</v>
      </c>
      <c r="G222" s="40"/>
      <c r="H222" s="24">
        <v>-3649.67</v>
      </c>
      <c r="I222" s="40"/>
      <c r="J222" s="24">
        <v>0</v>
      </c>
      <c r="K222" s="40"/>
      <c r="L222" s="24">
        <v>-3649.67</v>
      </c>
      <c r="M222" s="40"/>
      <c r="N222" s="24">
        <v>876.55000000000018</v>
      </c>
      <c r="O222" s="37"/>
      <c r="P222" s="38">
        <v>-209.23940833399902</v>
      </c>
      <c r="Q222" s="31"/>
      <c r="R222" s="38">
        <v>667.31059166600119</v>
      </c>
      <c r="S222" s="40"/>
      <c r="T222" s="24">
        <v>0</v>
      </c>
      <c r="U222" s="40"/>
      <c r="V222" s="24">
        <v>-209.23940833399902</v>
      </c>
      <c r="W222" s="40"/>
      <c r="X222" s="24">
        <v>876.55000000000007</v>
      </c>
      <c r="Y222" s="24">
        <v>0</v>
      </c>
    </row>
    <row r="223" spans="1:25" s="9" customFormat="1">
      <c r="A223" s="2" t="s">
        <v>101</v>
      </c>
      <c r="B223" s="2" t="str">
        <f>MID(C223,2,3)</f>
        <v>394</v>
      </c>
      <c r="C223" s="31" t="s">
        <v>43</v>
      </c>
      <c r="D223" s="24">
        <v>477017.17000000004</v>
      </c>
      <c r="E223" s="40"/>
      <c r="F223" s="24">
        <v>159464.23000000001</v>
      </c>
      <c r="G223" s="40"/>
      <c r="H223" s="24">
        <v>-6243.31</v>
      </c>
      <c r="I223" s="40"/>
      <c r="J223" s="24">
        <v>0</v>
      </c>
      <c r="K223" s="40"/>
      <c r="L223" s="24">
        <v>153220.92000000001</v>
      </c>
      <c r="M223" s="40"/>
      <c r="N223" s="24">
        <v>630238.09000000008</v>
      </c>
      <c r="O223" s="37"/>
      <c r="P223" s="38">
        <v>-219568.97664400001</v>
      </c>
      <c r="Q223" s="31"/>
      <c r="R223" s="38">
        <v>410669.11335600005</v>
      </c>
      <c r="S223" s="40"/>
      <c r="T223" s="24">
        <v>0</v>
      </c>
      <c r="U223" s="40"/>
      <c r="V223" s="24">
        <v>-219568.97664400001</v>
      </c>
      <c r="W223" s="40"/>
      <c r="X223" s="24">
        <v>630238.09000000008</v>
      </c>
      <c r="Y223" s="24">
        <v>0</v>
      </c>
    </row>
    <row r="224" spans="1:25">
      <c r="A224" s="2" t="s">
        <v>101</v>
      </c>
      <c r="B224" s="2" t="str">
        <f>MID(C224,2,3)</f>
        <v>395</v>
      </c>
      <c r="C224" s="31" t="s">
        <v>44</v>
      </c>
      <c r="D224" s="24">
        <v>0</v>
      </c>
      <c r="E224" s="40"/>
      <c r="F224" s="24">
        <v>0</v>
      </c>
      <c r="G224" s="40"/>
      <c r="H224" s="24">
        <v>0</v>
      </c>
      <c r="I224" s="40"/>
      <c r="J224" s="24">
        <v>0</v>
      </c>
      <c r="K224" s="40"/>
      <c r="L224" s="24">
        <v>0</v>
      </c>
      <c r="M224" s="40"/>
      <c r="N224" s="24">
        <v>0</v>
      </c>
      <c r="O224" s="37"/>
      <c r="P224" s="38">
        <v>0</v>
      </c>
      <c r="Q224" s="31"/>
      <c r="R224" s="38">
        <v>0</v>
      </c>
      <c r="S224" s="40"/>
      <c r="T224" s="24">
        <v>0</v>
      </c>
      <c r="U224" s="40"/>
      <c r="V224" s="24">
        <v>0</v>
      </c>
      <c r="W224" s="40"/>
      <c r="X224" s="24">
        <v>0</v>
      </c>
      <c r="Y224" s="24">
        <v>0</v>
      </c>
    </row>
    <row r="225" spans="1:25">
      <c r="A225" s="2" t="s">
        <v>101</v>
      </c>
      <c r="B225" s="2" t="str">
        <f>MID(C225,2,3)</f>
        <v>396</v>
      </c>
      <c r="C225" s="31" t="s">
        <v>2490</v>
      </c>
      <c r="D225" s="24">
        <v>282277.26</v>
      </c>
      <c r="E225" s="40"/>
      <c r="F225" s="24">
        <v>0</v>
      </c>
      <c r="G225" s="40"/>
      <c r="H225" s="24">
        <v>0</v>
      </c>
      <c r="I225" s="40"/>
      <c r="J225" s="24">
        <v>0</v>
      </c>
      <c r="K225" s="40"/>
      <c r="L225" s="24">
        <v>0</v>
      </c>
      <c r="M225" s="40"/>
      <c r="N225" s="24">
        <v>282277.26</v>
      </c>
      <c r="O225" s="37"/>
      <c r="P225" s="38">
        <v>-130217.79259799999</v>
      </c>
      <c r="Q225" s="31"/>
      <c r="R225" s="38">
        <v>152059.46740200004</v>
      </c>
      <c r="S225" s="40"/>
      <c r="T225" s="24">
        <v>0</v>
      </c>
      <c r="U225" s="40"/>
      <c r="V225" s="24">
        <v>-130217.79259799999</v>
      </c>
      <c r="W225" s="40"/>
      <c r="X225" s="24">
        <v>282277.26</v>
      </c>
      <c r="Y225" s="24">
        <v>0</v>
      </c>
    </row>
    <row r="226" spans="1:25">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37"/>
      <c r="P226" s="38">
        <v>-705988.64905999997</v>
      </c>
      <c r="Q226" s="31"/>
      <c r="R226" s="38">
        <v>274109.96094000002</v>
      </c>
      <c r="S226" s="40"/>
      <c r="T226" s="24">
        <v>0</v>
      </c>
      <c r="U226" s="40"/>
      <c r="V226" s="24">
        <v>-705988.64905999997</v>
      </c>
      <c r="W226" s="40"/>
      <c r="X226" s="24">
        <v>980098.61</v>
      </c>
      <c r="Y226" s="24">
        <v>0</v>
      </c>
    </row>
    <row r="227" spans="1:25">
      <c r="A227" s="2" t="s">
        <v>101</v>
      </c>
      <c r="C227" s="5" t="s">
        <v>2191</v>
      </c>
      <c r="D227" s="17">
        <v>0</v>
      </c>
      <c r="E227" s="43"/>
      <c r="F227" s="17">
        <v>0</v>
      </c>
      <c r="G227" s="43"/>
      <c r="H227" s="17">
        <v>0</v>
      </c>
      <c r="I227" s="43"/>
      <c r="J227" s="17">
        <v>0</v>
      </c>
      <c r="K227" s="43"/>
      <c r="L227" s="17">
        <v>0</v>
      </c>
      <c r="M227" s="43"/>
      <c r="N227" s="17">
        <v>0</v>
      </c>
      <c r="O227" s="39"/>
      <c r="P227" s="13">
        <v>0</v>
      </c>
      <c r="Q227" s="5"/>
      <c r="R227" s="13">
        <v>0</v>
      </c>
      <c r="S227" s="43"/>
      <c r="T227" s="17">
        <v>0</v>
      </c>
      <c r="U227" s="43"/>
      <c r="V227" s="17">
        <v>0</v>
      </c>
      <c r="W227" s="43"/>
      <c r="X227" s="17">
        <v>0</v>
      </c>
      <c r="Y227" s="17">
        <v>0</v>
      </c>
    </row>
    <row r="228" spans="1:25">
      <c r="A228" s="2" t="s">
        <v>101</v>
      </c>
      <c r="B228" s="2" t="str">
        <f t="shared" si="14"/>
        <v>398</v>
      </c>
      <c r="C228" s="31" t="s">
        <v>46</v>
      </c>
      <c r="D228" s="41">
        <v>0</v>
      </c>
      <c r="E228" s="40"/>
      <c r="F228" s="41">
        <v>0</v>
      </c>
      <c r="G228" s="40"/>
      <c r="H228" s="41">
        <v>0</v>
      </c>
      <c r="I228" s="40"/>
      <c r="J228" s="41">
        <v>0</v>
      </c>
      <c r="K228" s="40"/>
      <c r="L228" s="41">
        <v>0</v>
      </c>
      <c r="M228" s="40"/>
      <c r="N228" s="41">
        <v>0</v>
      </c>
      <c r="O228" s="37"/>
      <c r="P228" s="42">
        <v>0</v>
      </c>
      <c r="Q228" s="31"/>
      <c r="R228" s="42">
        <v>0</v>
      </c>
      <c r="S228" s="40"/>
      <c r="T228" s="41">
        <v>0</v>
      </c>
      <c r="U228" s="40"/>
      <c r="V228" s="41">
        <v>0</v>
      </c>
      <c r="W228" s="40"/>
      <c r="X228" s="41">
        <v>0</v>
      </c>
      <c r="Y228" s="41">
        <v>0</v>
      </c>
    </row>
    <row r="229" spans="1:25">
      <c r="C229" s="31"/>
      <c r="D229" s="24">
        <v>3209004.3499999898</v>
      </c>
      <c r="E229" s="40"/>
      <c r="F229" s="24">
        <v>864681.58</v>
      </c>
      <c r="G229" s="40"/>
      <c r="H229" s="24">
        <v>-17088.740000000002</v>
      </c>
      <c r="I229" s="40"/>
      <c r="J229" s="24">
        <v>0</v>
      </c>
      <c r="K229" s="40"/>
      <c r="L229" s="24">
        <v>847592.84</v>
      </c>
      <c r="M229" s="40"/>
      <c r="N229" s="24">
        <v>4056597.1899999897</v>
      </c>
      <c r="O229" s="37"/>
      <c r="P229" s="24">
        <v>-1425651.314684076</v>
      </c>
      <c r="Q229" s="31"/>
      <c r="R229" s="24">
        <v>2630945.8753159144</v>
      </c>
      <c r="S229" s="40"/>
      <c r="T229" s="17">
        <v>0</v>
      </c>
      <c r="U229" s="40"/>
      <c r="V229" s="24">
        <v>-1425651.314684076</v>
      </c>
      <c r="W229" s="40">
        <v>0</v>
      </c>
      <c r="X229" s="24">
        <v>4056597.189999999</v>
      </c>
      <c r="Y229" s="24">
        <v>9.7788870334625244E-9</v>
      </c>
    </row>
    <row r="230" spans="1:25">
      <c r="C230" s="31"/>
      <c r="D230" s="24"/>
      <c r="E230" s="40"/>
      <c r="F230" s="24"/>
      <c r="G230" s="40"/>
      <c r="H230" s="24"/>
      <c r="I230" s="40"/>
      <c r="J230" s="24"/>
      <c r="K230" s="40"/>
      <c r="L230" s="24"/>
      <c r="M230" s="40"/>
      <c r="N230" s="24"/>
      <c r="O230" s="37"/>
      <c r="P230" s="31"/>
      <c r="Q230" s="31"/>
      <c r="R230" s="31"/>
      <c r="S230" s="40"/>
      <c r="T230" s="24"/>
      <c r="U230" s="40"/>
      <c r="V230" s="24"/>
      <c r="W230" s="40"/>
      <c r="X230" s="24"/>
      <c r="Y230" s="24"/>
    </row>
    <row r="231" spans="1:25">
      <c r="C231" s="34" t="s">
        <v>56</v>
      </c>
      <c r="D231" s="24"/>
      <c r="E231" s="40"/>
      <c r="F231" s="24"/>
      <c r="G231" s="40"/>
      <c r="H231" s="24"/>
      <c r="I231" s="40"/>
      <c r="J231" s="24"/>
      <c r="K231" s="40"/>
      <c r="L231" s="24"/>
      <c r="M231" s="40"/>
      <c r="N231" s="24"/>
      <c r="O231" s="37"/>
      <c r="P231" s="31"/>
      <c r="Q231" s="31"/>
      <c r="R231" s="31"/>
      <c r="S231" s="40"/>
      <c r="T231" s="24"/>
      <c r="U231" s="40"/>
      <c r="V231" s="24"/>
      <c r="W231" s="40"/>
      <c r="X231" s="24"/>
      <c r="Y231" s="24"/>
    </row>
    <row r="232" spans="1:25">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37"/>
      <c r="P232" s="42">
        <v>0</v>
      </c>
      <c r="Q232" s="31"/>
      <c r="R232" s="42">
        <v>5338.69</v>
      </c>
      <c r="S232" s="40"/>
      <c r="T232" s="41"/>
      <c r="U232" s="40"/>
      <c r="V232" s="41">
        <v>0</v>
      </c>
      <c r="W232" s="40"/>
      <c r="X232" s="41">
        <v>5338.69</v>
      </c>
      <c r="Y232" s="41">
        <v>0</v>
      </c>
    </row>
    <row r="233" spans="1:25">
      <c r="C233" s="31"/>
      <c r="D233" s="24">
        <v>5338.69</v>
      </c>
      <c r="E233" s="40"/>
      <c r="F233" s="24">
        <v>0</v>
      </c>
      <c r="G233" s="40"/>
      <c r="H233" s="24">
        <v>0</v>
      </c>
      <c r="I233" s="40"/>
      <c r="J233" s="24">
        <v>0</v>
      </c>
      <c r="K233" s="40"/>
      <c r="L233" s="24">
        <v>0</v>
      </c>
      <c r="M233" s="40"/>
      <c r="N233" s="24">
        <v>5338.69</v>
      </c>
      <c r="O233" s="37"/>
      <c r="P233" s="24">
        <v>0</v>
      </c>
      <c r="Q233" s="31"/>
      <c r="R233" s="24">
        <v>5338.69</v>
      </c>
      <c r="S233" s="40"/>
      <c r="T233" s="24">
        <v>0</v>
      </c>
      <c r="U233" s="40"/>
      <c r="V233" s="24">
        <v>0</v>
      </c>
      <c r="W233" s="40">
        <v>0</v>
      </c>
      <c r="X233" s="24">
        <v>5338.69</v>
      </c>
      <c r="Y233" s="24">
        <v>0</v>
      </c>
    </row>
    <row r="234" spans="1:25">
      <c r="C234" s="31"/>
      <c r="D234" s="24"/>
      <c r="E234" s="40"/>
      <c r="F234" s="24"/>
      <c r="G234" s="40"/>
      <c r="H234" s="24"/>
      <c r="I234" s="40"/>
      <c r="J234" s="24"/>
      <c r="K234" s="40"/>
      <c r="L234" s="24"/>
      <c r="M234" s="40"/>
      <c r="N234" s="24"/>
      <c r="O234" s="37"/>
      <c r="P234" s="31"/>
      <c r="Q234" s="31"/>
      <c r="R234" s="31"/>
      <c r="S234" s="40"/>
      <c r="T234" s="24"/>
      <c r="U234" s="40"/>
      <c r="V234" s="24"/>
      <c r="W234" s="40"/>
      <c r="X234" s="24"/>
      <c r="Y234" s="24"/>
    </row>
    <row r="235" spans="1:25">
      <c r="C235" s="34" t="s">
        <v>84</v>
      </c>
      <c r="D235" s="24"/>
      <c r="E235" s="40"/>
      <c r="F235" s="24"/>
      <c r="G235" s="40"/>
      <c r="H235" s="24"/>
      <c r="I235" s="40"/>
      <c r="J235" s="24"/>
      <c r="K235" s="40"/>
      <c r="L235" s="24"/>
      <c r="M235" s="40"/>
      <c r="N235" s="24"/>
      <c r="O235" s="37"/>
      <c r="P235" s="31"/>
      <c r="Q235" s="31"/>
      <c r="R235" s="31"/>
      <c r="S235" s="40"/>
      <c r="T235" s="24"/>
      <c r="U235" s="40"/>
      <c r="V235" s="24"/>
      <c r="W235" s="40"/>
      <c r="X235" s="24"/>
      <c r="Y235" s="24"/>
    </row>
    <row r="236" spans="1:25">
      <c r="A236" s="2" t="s">
        <v>101</v>
      </c>
      <c r="B236" s="2" t="str">
        <f t="shared" ref="B236:B244" si="16">MID(C236,2,3)</f>
        <v>350</v>
      </c>
      <c r="C236" s="31" t="s">
        <v>85</v>
      </c>
      <c r="D236" s="24">
        <v>2265176.1</v>
      </c>
      <c r="E236" s="40"/>
      <c r="F236" s="24">
        <v>0</v>
      </c>
      <c r="G236" s="40"/>
      <c r="H236" s="24">
        <v>0</v>
      </c>
      <c r="I236" s="40"/>
      <c r="J236" s="24">
        <v>0</v>
      </c>
      <c r="K236" s="40"/>
      <c r="L236" s="24">
        <v>0</v>
      </c>
      <c r="M236" s="40"/>
      <c r="N236" s="24">
        <v>2265176.1</v>
      </c>
      <c r="O236" s="37"/>
      <c r="P236" s="38">
        <v>-1964956.43508</v>
      </c>
      <c r="Q236" s="31"/>
      <c r="R236" s="38">
        <v>300219.66492000013</v>
      </c>
      <c r="S236" s="40"/>
      <c r="T236" s="17">
        <v>0</v>
      </c>
      <c r="U236" s="43"/>
      <c r="V236" s="17">
        <v>-1964956.43508</v>
      </c>
      <c r="W236" s="43"/>
      <c r="X236" s="17">
        <v>2265176.1</v>
      </c>
      <c r="Y236" s="17">
        <v>0</v>
      </c>
    </row>
    <row r="237" spans="1:25">
      <c r="A237" s="2" t="s">
        <v>101</v>
      </c>
      <c r="C237" s="31" t="s">
        <v>86</v>
      </c>
      <c r="D237" s="24">
        <v>0</v>
      </c>
      <c r="E237" s="40"/>
      <c r="F237" s="24">
        <v>0</v>
      </c>
      <c r="G237" s="40"/>
      <c r="H237" s="24">
        <v>0</v>
      </c>
      <c r="I237" s="40"/>
      <c r="J237" s="24">
        <v>0</v>
      </c>
      <c r="K237" s="40"/>
      <c r="L237" s="24">
        <v>0</v>
      </c>
      <c r="M237" s="40"/>
      <c r="N237" s="24">
        <v>0</v>
      </c>
      <c r="O237" s="37"/>
      <c r="P237" s="38">
        <v>0</v>
      </c>
      <c r="Q237" s="31"/>
      <c r="R237" s="38">
        <v>0</v>
      </c>
      <c r="S237" s="40"/>
      <c r="T237" s="24">
        <v>0</v>
      </c>
      <c r="U237" s="40"/>
      <c r="V237" s="24">
        <v>0</v>
      </c>
      <c r="W237" s="40"/>
      <c r="X237" s="24">
        <v>0</v>
      </c>
      <c r="Y237" s="24">
        <v>0</v>
      </c>
    </row>
    <row r="238" spans="1:25">
      <c r="A238" s="2" t="s">
        <v>101</v>
      </c>
      <c r="B238" s="2" t="str">
        <f t="shared" si="16"/>
        <v>352</v>
      </c>
      <c r="C238" s="31" t="s">
        <v>87</v>
      </c>
      <c r="D238" s="24">
        <v>1743198.88</v>
      </c>
      <c r="E238" s="40"/>
      <c r="F238" s="24">
        <v>0</v>
      </c>
      <c r="G238" s="40"/>
      <c r="H238" s="24">
        <v>0</v>
      </c>
      <c r="I238" s="40"/>
      <c r="J238" s="24">
        <v>0</v>
      </c>
      <c r="K238" s="40"/>
      <c r="L238" s="24">
        <v>0</v>
      </c>
      <c r="M238" s="40"/>
      <c r="N238" s="24">
        <v>1743198.88</v>
      </c>
      <c r="O238" s="37"/>
      <c r="P238" s="38">
        <v>-815854.45070199901</v>
      </c>
      <c r="Q238" s="31"/>
      <c r="R238" s="38">
        <v>927344.42929800088</v>
      </c>
      <c r="S238" s="40"/>
      <c r="T238" s="24">
        <v>0</v>
      </c>
      <c r="U238" s="40"/>
      <c r="V238" s="24">
        <v>-815854.45070199901</v>
      </c>
      <c r="W238" s="40"/>
      <c r="X238" s="24">
        <v>1743198.88</v>
      </c>
      <c r="Y238" s="24">
        <v>0</v>
      </c>
    </row>
    <row r="239" spans="1:25" s="9" customFormat="1">
      <c r="A239" s="2" t="s">
        <v>101</v>
      </c>
      <c r="B239" s="2" t="str">
        <f t="shared" si="16"/>
        <v>353</v>
      </c>
      <c r="C239" s="31" t="s">
        <v>89</v>
      </c>
      <c r="D239" s="24">
        <v>22833884.27</v>
      </c>
      <c r="E239" s="40"/>
      <c r="F239" s="24">
        <v>131688.16999999998</v>
      </c>
      <c r="G239" s="40"/>
      <c r="H239" s="24">
        <v>-13437.33</v>
      </c>
      <c r="I239" s="40"/>
      <c r="J239" s="24">
        <v>0</v>
      </c>
      <c r="K239" s="40"/>
      <c r="L239" s="24">
        <v>118250.83999999998</v>
      </c>
      <c r="M239" s="40"/>
      <c r="N239" s="24">
        <v>22952135.109999999</v>
      </c>
      <c r="O239" s="37"/>
      <c r="P239" s="38">
        <v>-8317213.633570591</v>
      </c>
      <c r="Q239" s="31"/>
      <c r="R239" s="38">
        <v>14634921.476429408</v>
      </c>
      <c r="S239" s="40"/>
      <c r="T239" s="24">
        <v>843.40879489063275</v>
      </c>
      <c r="U239" s="40"/>
      <c r="V239" s="24">
        <v>-8316370.2247756999</v>
      </c>
      <c r="W239" s="40"/>
      <c r="X239" s="24">
        <v>22952135.109999999</v>
      </c>
      <c r="Y239" s="24">
        <v>0</v>
      </c>
    </row>
    <row r="240" spans="1:25"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37"/>
      <c r="P240" s="38">
        <v>-5155922.5069839908</v>
      </c>
      <c r="Q240" s="31"/>
      <c r="R240" s="38">
        <v>2025158.793016009</v>
      </c>
      <c r="S240" s="40"/>
      <c r="T240" s="24">
        <v>0</v>
      </c>
      <c r="U240" s="40"/>
      <c r="V240" s="24">
        <v>-5155922.5069839908</v>
      </c>
      <c r="W240" s="40"/>
      <c r="X240" s="24">
        <v>7181081.2999999998</v>
      </c>
      <c r="Y240" s="24">
        <v>0</v>
      </c>
    </row>
    <row r="241" spans="1:25">
      <c r="A241" s="2" t="s">
        <v>101</v>
      </c>
      <c r="B241" s="2" t="str">
        <f t="shared" si="16"/>
        <v>355</v>
      </c>
      <c r="C241" s="31" t="s">
        <v>93</v>
      </c>
      <c r="D241" s="24">
        <v>13335497.01</v>
      </c>
      <c r="E241" s="40"/>
      <c r="F241" s="24">
        <v>921923.8400000002</v>
      </c>
      <c r="G241" s="40"/>
      <c r="H241" s="24">
        <v>-9920.2199999999993</v>
      </c>
      <c r="I241" s="40"/>
      <c r="J241" s="24">
        <v>0</v>
      </c>
      <c r="K241" s="40"/>
      <c r="L241" s="24">
        <v>912003.62000000023</v>
      </c>
      <c r="M241" s="40"/>
      <c r="N241" s="24">
        <v>14247500.630000001</v>
      </c>
      <c r="O241" s="37"/>
      <c r="P241" s="38">
        <v>-4692067.0244419994</v>
      </c>
      <c r="Q241" s="31"/>
      <c r="R241" s="38">
        <v>9555433.6055580005</v>
      </c>
      <c r="S241" s="40"/>
      <c r="T241" s="24">
        <v>5904.5446138050575</v>
      </c>
      <c r="U241" s="40"/>
      <c r="V241" s="24">
        <v>-4686162.4798281947</v>
      </c>
      <c r="W241" s="40"/>
      <c r="X241" s="24">
        <v>14247500.630000001</v>
      </c>
      <c r="Y241" s="24">
        <v>0</v>
      </c>
    </row>
    <row r="242" spans="1:25">
      <c r="A242" s="2" t="s">
        <v>101</v>
      </c>
      <c r="B242" s="2" t="str">
        <f t="shared" si="16"/>
        <v>356</v>
      </c>
      <c r="C242" s="31" t="s">
        <v>94</v>
      </c>
      <c r="D242" s="24">
        <v>17926354.18</v>
      </c>
      <c r="E242" s="40"/>
      <c r="F242" s="24">
        <v>820114.36</v>
      </c>
      <c r="G242" s="40"/>
      <c r="H242" s="24">
        <v>-50189</v>
      </c>
      <c r="I242" s="40"/>
      <c r="J242" s="24">
        <v>0</v>
      </c>
      <c r="K242" s="40"/>
      <c r="L242" s="24">
        <v>769925.36</v>
      </c>
      <c r="M242" s="40"/>
      <c r="N242" s="24">
        <v>18696279.539999999</v>
      </c>
      <c r="O242" s="37"/>
      <c r="P242" s="38">
        <v>-10530025.4201819</v>
      </c>
      <c r="Q242" s="31"/>
      <c r="R242" s="38">
        <v>8166254.1198180988</v>
      </c>
      <c r="S242" s="40"/>
      <c r="T242" s="24">
        <v>5252.4965913043116</v>
      </c>
      <c r="U242" s="40"/>
      <c r="V242" s="24">
        <v>-10524772.923590597</v>
      </c>
      <c r="W242" s="40"/>
      <c r="X242" s="24">
        <v>18696279.539999999</v>
      </c>
      <c r="Y242" s="24">
        <v>0</v>
      </c>
    </row>
    <row r="243" spans="1:25">
      <c r="A243" s="2" t="s">
        <v>101</v>
      </c>
      <c r="B243" s="2" t="str">
        <f t="shared" si="16"/>
        <v>357</v>
      </c>
      <c r="C243" s="5" t="s">
        <v>95</v>
      </c>
      <c r="D243" s="17">
        <v>0</v>
      </c>
      <c r="E243" s="43"/>
      <c r="F243" s="17">
        <v>0</v>
      </c>
      <c r="G243" s="43"/>
      <c r="H243" s="17">
        <v>0</v>
      </c>
      <c r="I243" s="43"/>
      <c r="J243" s="17">
        <v>0</v>
      </c>
      <c r="K243" s="43"/>
      <c r="L243" s="17">
        <v>0</v>
      </c>
      <c r="M243" s="43"/>
      <c r="N243" s="17">
        <v>0</v>
      </c>
      <c r="O243" s="39"/>
      <c r="P243" s="13">
        <v>0</v>
      </c>
      <c r="Q243" s="5"/>
      <c r="R243" s="13">
        <v>0</v>
      </c>
      <c r="S243" s="43"/>
      <c r="T243" s="17">
        <v>0</v>
      </c>
      <c r="U243" s="43"/>
      <c r="V243" s="17">
        <v>0</v>
      </c>
      <c r="W243" s="43"/>
      <c r="X243" s="17">
        <v>0</v>
      </c>
      <c r="Y243" s="17">
        <v>0</v>
      </c>
    </row>
    <row r="244" spans="1:25">
      <c r="A244" s="2" t="s">
        <v>101</v>
      </c>
      <c r="B244" s="2" t="str">
        <f t="shared" si="16"/>
        <v>358</v>
      </c>
      <c r="C244" s="5" t="s">
        <v>105</v>
      </c>
      <c r="D244" s="20">
        <v>0</v>
      </c>
      <c r="E244" s="43"/>
      <c r="F244" s="20">
        <v>0</v>
      </c>
      <c r="G244" s="43"/>
      <c r="H244" s="20">
        <v>0</v>
      </c>
      <c r="I244" s="43"/>
      <c r="J244" s="20">
        <v>0</v>
      </c>
      <c r="K244" s="43"/>
      <c r="L244" s="20">
        <v>0</v>
      </c>
      <c r="M244" s="43"/>
      <c r="N244" s="20">
        <v>0</v>
      </c>
      <c r="O244" s="39"/>
      <c r="P244" s="21">
        <v>0</v>
      </c>
      <c r="Q244" s="5"/>
      <c r="R244" s="21">
        <v>0</v>
      </c>
      <c r="S244" s="43"/>
      <c r="T244" s="20">
        <v>0</v>
      </c>
      <c r="U244" s="43"/>
      <c r="V244" s="20">
        <v>0</v>
      </c>
      <c r="W244" s="43"/>
      <c r="X244" s="20">
        <v>0</v>
      </c>
      <c r="Y244" s="20">
        <v>0</v>
      </c>
    </row>
    <row r="245" spans="1:25">
      <c r="C245" s="31"/>
      <c r="D245" s="24">
        <v>65285191.739999995</v>
      </c>
      <c r="E245" s="40"/>
      <c r="F245" s="24">
        <v>1873726.37</v>
      </c>
      <c r="G245" s="40"/>
      <c r="H245" s="24">
        <v>-73546.55</v>
      </c>
      <c r="I245" s="40"/>
      <c r="J245" s="24">
        <v>0</v>
      </c>
      <c r="K245" s="40"/>
      <c r="L245" s="24">
        <v>1800179.8200000003</v>
      </c>
      <c r="M245" s="40"/>
      <c r="N245" s="24">
        <v>67085371.560000002</v>
      </c>
      <c r="O245" s="37"/>
      <c r="P245" s="24">
        <v>-31476039.470960479</v>
      </c>
      <c r="Q245" s="31"/>
      <c r="R245" s="24">
        <v>35609332.089039519</v>
      </c>
      <c r="S245" s="40"/>
      <c r="T245" s="17">
        <v>12000.45</v>
      </c>
      <c r="U245" s="40"/>
      <c r="V245" s="24">
        <v>-31464039.02096048</v>
      </c>
      <c r="W245" s="40">
        <v>0</v>
      </c>
      <c r="X245" s="24">
        <v>67085371.560000002</v>
      </c>
      <c r="Y245" s="24">
        <v>0</v>
      </c>
    </row>
    <row r="246" spans="1:25">
      <c r="C246" s="31"/>
      <c r="D246" s="24"/>
      <c r="E246" s="37"/>
      <c r="F246" s="24"/>
      <c r="G246" s="37"/>
      <c r="H246" s="24"/>
      <c r="I246" s="37"/>
      <c r="J246" s="24"/>
      <c r="K246" s="37"/>
      <c r="L246" s="24"/>
      <c r="M246" s="37"/>
      <c r="N246" s="24"/>
      <c r="O246" s="37"/>
      <c r="P246" s="31"/>
      <c r="Q246" s="31"/>
      <c r="R246" s="31"/>
      <c r="S246" s="37"/>
      <c r="T246" s="24"/>
      <c r="U246" s="37"/>
      <c r="V246" s="24"/>
      <c r="W246" s="37"/>
      <c r="X246" s="24"/>
      <c r="Y246" s="24"/>
    </row>
    <row r="247" spans="1:25" s="29" customFormat="1">
      <c r="C247" s="31"/>
      <c r="D247" s="26"/>
      <c r="E247" s="37"/>
      <c r="F247" s="26"/>
      <c r="G247" s="37"/>
      <c r="H247" s="26"/>
      <c r="I247" s="37"/>
      <c r="J247" s="26"/>
      <c r="K247" s="37"/>
      <c r="L247" s="26"/>
      <c r="M247" s="37"/>
      <c r="N247" s="26"/>
      <c r="O247" s="37"/>
      <c r="P247" s="31"/>
      <c r="Q247" s="31"/>
      <c r="R247" s="31"/>
      <c r="S247" s="37"/>
      <c r="T247" s="26"/>
      <c r="U247" s="37"/>
      <c r="V247" s="26"/>
      <c r="W247" s="37"/>
      <c r="X247" s="26"/>
      <c r="Y247" s="26"/>
    </row>
    <row r="248" spans="1:25" s="29" customFormat="1" ht="13.5" thickBot="1">
      <c r="C248" s="34" t="s">
        <v>106</v>
      </c>
      <c r="D248" s="44">
        <v>161432744.38999999</v>
      </c>
      <c r="E248" s="40"/>
      <c r="F248" s="44">
        <v>7627295.6699999981</v>
      </c>
      <c r="G248" s="40"/>
      <c r="H248" s="44">
        <v>-613423.60999999871</v>
      </c>
      <c r="I248" s="40"/>
      <c r="J248" s="44">
        <v>0</v>
      </c>
      <c r="K248" s="40"/>
      <c r="L248" s="44">
        <v>7013872.0600000005</v>
      </c>
      <c r="M248" s="40"/>
      <c r="N248" s="44">
        <v>168446616.44999999</v>
      </c>
      <c r="O248" s="40"/>
      <c r="P248" s="44">
        <v>-73328144.899228826</v>
      </c>
      <c r="Q248" s="31"/>
      <c r="R248" s="44">
        <v>95118471.550771162</v>
      </c>
      <c r="S248" s="40"/>
      <c r="T248" s="44">
        <v>12000.449999999893</v>
      </c>
      <c r="U248" s="40"/>
      <c r="V248" s="44">
        <v>-73316144.449228823</v>
      </c>
      <c r="W248" s="40"/>
      <c r="X248" s="44">
        <v>168446616.4499999</v>
      </c>
      <c r="Y248" s="44">
        <v>-8.7078660726547241E-8</v>
      </c>
    </row>
    <row r="249" spans="1:25" s="29" customFormat="1" ht="13.5" thickTop="1">
      <c r="C249" s="2"/>
      <c r="D249" s="66"/>
      <c r="E249" s="507"/>
      <c r="F249" s="66"/>
      <c r="G249" s="507"/>
      <c r="H249" s="66"/>
      <c r="I249" s="507"/>
      <c r="J249" s="66"/>
      <c r="K249" s="507"/>
      <c r="L249" s="66"/>
      <c r="M249" s="507"/>
      <c r="N249" s="66"/>
      <c r="O249" s="2"/>
      <c r="P249" s="2"/>
      <c r="Q249" s="2"/>
      <c r="R249" s="2"/>
      <c r="S249" s="37"/>
      <c r="T249" s="66"/>
      <c r="U249" s="37"/>
      <c r="V249" s="66"/>
      <c r="W249" s="37"/>
      <c r="X249" s="66"/>
      <c r="Y249" s="66"/>
    </row>
    <row r="250" spans="1:25" s="29" customFormat="1">
      <c r="C250" s="2" t="s">
        <v>2493</v>
      </c>
      <c r="D250" s="66">
        <v>161432744.38999999</v>
      </c>
      <c r="E250" s="507"/>
      <c r="F250" s="66"/>
      <c r="G250" s="507"/>
      <c r="H250" s="66"/>
      <c r="I250" s="507"/>
      <c r="J250" s="66"/>
      <c r="K250" s="507"/>
      <c r="L250" s="66"/>
      <c r="M250" s="507"/>
      <c r="N250" s="66"/>
      <c r="O250" s="2"/>
      <c r="P250" s="2"/>
      <c r="Q250" s="2"/>
      <c r="R250" s="2"/>
      <c r="S250" s="37"/>
      <c r="T250" s="66"/>
      <c r="U250" s="37"/>
      <c r="V250" s="66"/>
      <c r="W250" s="37"/>
      <c r="X250" s="66"/>
      <c r="Y250" s="66"/>
    </row>
    <row r="251" spans="1:25" s="29" customFormat="1">
      <c r="C251" s="28"/>
      <c r="D251" s="232">
        <v>0</v>
      </c>
      <c r="E251" s="508"/>
      <c r="F251" s="232"/>
      <c r="G251" s="508"/>
      <c r="H251" s="232"/>
      <c r="I251" s="508"/>
      <c r="J251" s="232"/>
      <c r="K251" s="508"/>
      <c r="L251" s="232"/>
      <c r="M251" s="508"/>
      <c r="N251" s="232"/>
      <c r="S251" s="40"/>
      <c r="T251" s="232"/>
      <c r="U251" s="40"/>
      <c r="V251" s="232"/>
      <c r="W251" s="40"/>
      <c r="X251" s="232"/>
      <c r="Y251" s="232"/>
    </row>
    <row r="252" spans="1:25" s="29" customFormat="1">
      <c r="C252" s="28"/>
      <c r="D252" s="232"/>
      <c r="E252" s="508"/>
      <c r="F252" s="232"/>
      <c r="G252" s="508"/>
      <c r="H252" s="232"/>
      <c r="I252" s="508"/>
      <c r="J252" s="232"/>
      <c r="K252" s="508"/>
      <c r="L252" s="232"/>
      <c r="M252" s="508"/>
      <c r="N252" s="232"/>
      <c r="S252" s="40"/>
      <c r="T252" s="232"/>
      <c r="U252" s="40"/>
      <c r="V252" s="232"/>
      <c r="W252" s="40"/>
      <c r="X252" s="232"/>
      <c r="Y252" s="232"/>
    </row>
    <row r="253" spans="1:25" s="29" customFormat="1">
      <c r="D253" s="232"/>
      <c r="E253" s="508"/>
      <c r="F253" s="232"/>
      <c r="G253" s="508"/>
      <c r="H253" s="232"/>
      <c r="I253" s="508"/>
      <c r="J253" s="232"/>
      <c r="K253" s="508"/>
      <c r="L253" s="232"/>
      <c r="M253" s="508"/>
      <c r="N253" s="232"/>
      <c r="S253" s="40"/>
      <c r="T253" s="232"/>
      <c r="U253" s="40"/>
      <c r="V253" s="232"/>
      <c r="W253" s="40"/>
      <c r="X253" s="232"/>
      <c r="Y253" s="232"/>
    </row>
    <row r="254" spans="1:25" s="29" customFormat="1">
      <c r="D254" s="232"/>
      <c r="E254" s="508"/>
      <c r="F254" s="232"/>
      <c r="G254" s="508"/>
      <c r="H254" s="232"/>
      <c r="I254" s="508"/>
      <c r="J254" s="232"/>
      <c r="K254" s="508"/>
      <c r="L254" s="232"/>
      <c r="M254" s="508"/>
      <c r="N254" s="232"/>
      <c r="S254" s="40"/>
      <c r="T254" s="232"/>
      <c r="U254" s="40"/>
      <c r="V254" s="232"/>
      <c r="W254" s="40"/>
      <c r="X254" s="232"/>
      <c r="Y254" s="232"/>
    </row>
    <row r="255" spans="1:25" s="29" customFormat="1">
      <c r="D255" s="232"/>
      <c r="E255" s="508"/>
      <c r="F255" s="232"/>
      <c r="G255" s="508"/>
      <c r="H255" s="232"/>
      <c r="I255" s="508"/>
      <c r="J255" s="232"/>
      <c r="K255" s="508"/>
      <c r="L255" s="232"/>
      <c r="M255" s="508"/>
      <c r="N255" s="232"/>
      <c r="S255" s="40"/>
      <c r="T255" s="232"/>
      <c r="U255" s="40"/>
      <c r="V255" s="232"/>
      <c r="W255" s="40"/>
      <c r="X255" s="232"/>
      <c r="Y255" s="232"/>
    </row>
    <row r="256" spans="1:25" s="29" customFormat="1">
      <c r="D256" s="232"/>
      <c r="E256" s="508"/>
      <c r="F256" s="232"/>
      <c r="G256" s="508"/>
      <c r="H256" s="232"/>
      <c r="I256" s="508"/>
      <c r="J256" s="232"/>
      <c r="K256" s="508"/>
      <c r="L256" s="232"/>
      <c r="M256" s="508"/>
      <c r="N256" s="232"/>
      <c r="S256" s="40"/>
      <c r="T256" s="232"/>
      <c r="U256" s="40"/>
      <c r="V256" s="232"/>
      <c r="W256" s="40"/>
      <c r="X256" s="232"/>
      <c r="Y256" s="232"/>
    </row>
    <row r="257" spans="3:25" s="29" customFormat="1">
      <c r="D257" s="232"/>
      <c r="E257" s="508"/>
      <c r="F257" s="232"/>
      <c r="G257" s="508"/>
      <c r="H257" s="232"/>
      <c r="I257" s="508"/>
      <c r="J257" s="232"/>
      <c r="K257" s="508"/>
      <c r="L257" s="232"/>
      <c r="M257" s="508"/>
      <c r="N257" s="232"/>
      <c r="S257" s="40"/>
      <c r="T257" s="232"/>
      <c r="U257" s="40"/>
      <c r="V257" s="232"/>
      <c r="W257" s="40"/>
      <c r="X257" s="232"/>
      <c r="Y257" s="232"/>
    </row>
    <row r="258" spans="3:25" s="29" customFormat="1">
      <c r="D258" s="232"/>
      <c r="E258" s="508"/>
      <c r="F258" s="232"/>
      <c r="G258" s="508"/>
      <c r="H258" s="232"/>
      <c r="I258" s="508"/>
      <c r="J258" s="232"/>
      <c r="K258" s="508"/>
      <c r="L258" s="232"/>
      <c r="M258" s="508"/>
      <c r="N258" s="232"/>
      <c r="S258" s="40"/>
      <c r="T258" s="232"/>
      <c r="U258" s="40"/>
      <c r="V258" s="232"/>
      <c r="W258" s="40"/>
      <c r="X258" s="232"/>
      <c r="Y258" s="232"/>
    </row>
    <row r="259" spans="3:25" s="29" customFormat="1">
      <c r="D259" s="232"/>
      <c r="E259" s="508"/>
      <c r="F259" s="232"/>
      <c r="G259" s="508"/>
      <c r="H259" s="232"/>
      <c r="I259" s="508"/>
      <c r="J259" s="232"/>
      <c r="K259" s="508"/>
      <c r="L259" s="232"/>
      <c r="M259" s="508"/>
      <c r="N259" s="232"/>
      <c r="S259" s="40"/>
      <c r="T259" s="232"/>
      <c r="U259" s="40"/>
      <c r="V259" s="232"/>
      <c r="W259" s="40"/>
      <c r="X259" s="232"/>
      <c r="Y259" s="232"/>
    </row>
    <row r="260" spans="3:25" s="29" customFormat="1">
      <c r="D260" s="232"/>
      <c r="E260" s="508"/>
      <c r="F260" s="232"/>
      <c r="G260" s="508"/>
      <c r="H260" s="232"/>
      <c r="I260" s="508"/>
      <c r="J260" s="232"/>
      <c r="K260" s="508"/>
      <c r="L260" s="232"/>
      <c r="M260" s="508"/>
      <c r="N260" s="232"/>
      <c r="S260" s="40"/>
      <c r="T260" s="232"/>
      <c r="U260" s="40"/>
      <c r="V260" s="232"/>
      <c r="W260" s="40"/>
      <c r="X260" s="232"/>
      <c r="Y260" s="232"/>
    </row>
    <row r="261" spans="3:25" s="29" customFormat="1">
      <c r="D261" s="232"/>
      <c r="E261" s="508"/>
      <c r="F261" s="232"/>
      <c r="G261" s="508"/>
      <c r="H261" s="232"/>
      <c r="I261" s="508"/>
      <c r="J261" s="232"/>
      <c r="K261" s="508"/>
      <c r="L261" s="232"/>
      <c r="M261" s="508"/>
      <c r="N261" s="232"/>
      <c r="S261" s="40"/>
      <c r="T261" s="232"/>
      <c r="U261" s="40"/>
      <c r="V261" s="232"/>
      <c r="W261" s="40"/>
      <c r="X261" s="232"/>
      <c r="Y261" s="232"/>
    </row>
    <row r="262" spans="3:25" s="29" customFormat="1">
      <c r="D262" s="232"/>
      <c r="E262" s="508"/>
      <c r="F262" s="232"/>
      <c r="G262" s="508"/>
      <c r="H262" s="232"/>
      <c r="I262" s="508"/>
      <c r="J262" s="232"/>
      <c r="K262" s="508"/>
      <c r="L262" s="232"/>
      <c r="M262" s="508"/>
      <c r="N262" s="232"/>
      <c r="S262" s="40"/>
      <c r="T262" s="232"/>
      <c r="U262" s="40"/>
      <c r="V262" s="232"/>
      <c r="W262" s="40"/>
      <c r="X262" s="232"/>
      <c r="Y262" s="232"/>
    </row>
    <row r="263" spans="3:25" s="29" customFormat="1">
      <c r="D263" s="232"/>
      <c r="E263" s="508"/>
      <c r="F263" s="232"/>
      <c r="G263" s="508"/>
      <c r="H263" s="232"/>
      <c r="I263" s="508"/>
      <c r="J263" s="232"/>
      <c r="K263" s="508"/>
      <c r="L263" s="232"/>
      <c r="M263" s="508"/>
      <c r="N263" s="232"/>
      <c r="S263" s="40"/>
      <c r="T263" s="232"/>
      <c r="U263" s="40"/>
      <c r="V263" s="232"/>
      <c r="W263" s="40"/>
      <c r="X263" s="232"/>
      <c r="Y263" s="232"/>
    </row>
    <row r="264" spans="3:25" s="29" customFormat="1">
      <c r="C264" s="28"/>
      <c r="D264" s="232"/>
      <c r="E264" s="508"/>
      <c r="F264" s="232"/>
      <c r="G264" s="508"/>
      <c r="H264" s="232"/>
      <c r="I264" s="508"/>
      <c r="J264" s="232"/>
      <c r="K264" s="508"/>
      <c r="L264" s="232"/>
      <c r="M264" s="508"/>
      <c r="N264" s="232"/>
      <c r="S264" s="40"/>
      <c r="T264" s="232"/>
      <c r="U264" s="40"/>
      <c r="V264" s="232"/>
      <c r="W264" s="40"/>
      <c r="X264" s="232"/>
      <c r="Y264" s="232"/>
    </row>
    <row r="265" spans="3:25" s="29" customFormat="1">
      <c r="D265" s="232"/>
      <c r="E265" s="508"/>
      <c r="F265" s="232"/>
      <c r="G265" s="508"/>
      <c r="H265" s="232"/>
      <c r="I265" s="508"/>
      <c r="J265" s="232"/>
      <c r="K265" s="508"/>
      <c r="L265" s="232"/>
      <c r="M265" s="508"/>
      <c r="N265" s="232"/>
      <c r="S265" s="40"/>
      <c r="T265" s="232"/>
      <c r="U265" s="40"/>
      <c r="V265" s="232"/>
      <c r="W265" s="40"/>
      <c r="X265" s="232"/>
      <c r="Y265" s="232"/>
    </row>
    <row r="266" spans="3:25" s="29" customFormat="1">
      <c r="D266" s="232"/>
      <c r="E266" s="508"/>
      <c r="F266" s="232"/>
      <c r="G266" s="508"/>
      <c r="H266" s="232"/>
      <c r="I266" s="508"/>
      <c r="J266" s="232"/>
      <c r="K266" s="508"/>
      <c r="L266" s="232"/>
      <c r="M266" s="508"/>
      <c r="N266" s="232"/>
      <c r="S266" s="40"/>
      <c r="T266" s="232"/>
      <c r="U266" s="40"/>
      <c r="V266" s="232"/>
      <c r="W266" s="40"/>
      <c r="X266" s="232"/>
      <c r="Y266" s="232"/>
    </row>
    <row r="267" spans="3:25" s="29" customFormat="1">
      <c r="D267" s="232"/>
      <c r="E267" s="508"/>
      <c r="F267" s="232"/>
      <c r="G267" s="508"/>
      <c r="H267" s="232"/>
      <c r="I267" s="508"/>
      <c r="J267" s="232"/>
      <c r="K267" s="508"/>
      <c r="L267" s="232"/>
      <c r="M267" s="508"/>
      <c r="N267" s="232"/>
      <c r="S267" s="40"/>
      <c r="T267" s="232"/>
      <c r="U267" s="40"/>
      <c r="V267" s="232"/>
      <c r="W267" s="40"/>
      <c r="X267" s="232"/>
      <c r="Y267" s="232"/>
    </row>
    <row r="268" spans="3:25" s="29" customFormat="1">
      <c r="C268" s="28"/>
      <c r="D268" s="232"/>
      <c r="E268" s="508"/>
      <c r="F268" s="232"/>
      <c r="G268" s="508"/>
      <c r="H268" s="232"/>
      <c r="I268" s="508"/>
      <c r="J268" s="232"/>
      <c r="K268" s="508"/>
      <c r="L268" s="232"/>
      <c r="M268" s="508"/>
      <c r="N268" s="232"/>
      <c r="S268" s="40"/>
      <c r="T268" s="232"/>
      <c r="U268" s="40"/>
      <c r="V268" s="232"/>
      <c r="W268" s="40"/>
      <c r="X268" s="232"/>
      <c r="Y268" s="232"/>
    </row>
    <row r="269" spans="3:25" s="29" customFormat="1">
      <c r="D269" s="232"/>
      <c r="E269" s="508"/>
      <c r="F269" s="232"/>
      <c r="G269" s="508"/>
      <c r="H269" s="232"/>
      <c r="I269" s="508"/>
      <c r="J269" s="232"/>
      <c r="K269" s="508"/>
      <c r="L269" s="232"/>
      <c r="M269" s="508"/>
      <c r="N269" s="232"/>
      <c r="S269" s="40"/>
      <c r="T269" s="232"/>
      <c r="U269" s="40"/>
      <c r="V269" s="232"/>
      <c r="W269" s="40"/>
      <c r="X269" s="232"/>
      <c r="Y269" s="232"/>
    </row>
    <row r="270" spans="3:25" s="29" customFormat="1">
      <c r="D270" s="232"/>
      <c r="E270" s="508"/>
      <c r="F270" s="232"/>
      <c r="G270" s="508"/>
      <c r="H270" s="232"/>
      <c r="I270" s="508"/>
      <c r="J270" s="232"/>
      <c r="K270" s="508"/>
      <c r="L270" s="232"/>
      <c r="M270" s="508"/>
      <c r="N270" s="232"/>
      <c r="S270" s="40"/>
      <c r="T270" s="232"/>
      <c r="U270" s="40"/>
      <c r="V270" s="232"/>
      <c r="W270" s="40"/>
      <c r="X270" s="232"/>
      <c r="Y270" s="232"/>
    </row>
    <row r="271" spans="3:25" s="29" customFormat="1">
      <c r="D271" s="232"/>
      <c r="E271" s="508"/>
      <c r="F271" s="232"/>
      <c r="G271" s="508"/>
      <c r="H271" s="232"/>
      <c r="I271" s="508"/>
      <c r="J271" s="232"/>
      <c r="K271" s="508"/>
      <c r="L271" s="232"/>
      <c r="M271" s="508"/>
      <c r="N271" s="232"/>
      <c r="S271" s="40"/>
      <c r="T271" s="232"/>
      <c r="U271" s="40"/>
      <c r="V271" s="232"/>
      <c r="W271" s="40"/>
      <c r="X271" s="232"/>
      <c r="Y271" s="232"/>
    </row>
    <row r="272" spans="3:25" s="29" customFormat="1">
      <c r="D272" s="232"/>
      <c r="E272" s="508"/>
      <c r="F272" s="232"/>
      <c r="G272" s="508"/>
      <c r="H272" s="232"/>
      <c r="I272" s="508"/>
      <c r="J272" s="232"/>
      <c r="K272" s="508"/>
      <c r="L272" s="232"/>
      <c r="M272" s="508"/>
      <c r="N272" s="232"/>
      <c r="S272" s="40"/>
      <c r="T272" s="232"/>
      <c r="U272" s="40"/>
      <c r="V272" s="232"/>
      <c r="W272" s="40"/>
      <c r="X272" s="232"/>
      <c r="Y272" s="232"/>
    </row>
    <row r="273" spans="3:25" s="29" customFormat="1">
      <c r="D273" s="232"/>
      <c r="E273" s="508"/>
      <c r="F273" s="232"/>
      <c r="G273" s="508"/>
      <c r="H273" s="232"/>
      <c r="I273" s="508"/>
      <c r="J273" s="232"/>
      <c r="K273" s="508"/>
      <c r="L273" s="232"/>
      <c r="M273" s="508"/>
      <c r="N273" s="232"/>
      <c r="S273" s="40"/>
      <c r="T273" s="232"/>
      <c r="U273" s="40"/>
      <c r="V273" s="232"/>
      <c r="W273" s="40"/>
      <c r="X273" s="232"/>
      <c r="Y273" s="232"/>
    </row>
    <row r="274" spans="3:25" s="29" customFormat="1">
      <c r="D274" s="232"/>
      <c r="E274" s="508"/>
      <c r="F274" s="232"/>
      <c r="G274" s="508"/>
      <c r="H274" s="232"/>
      <c r="I274" s="508"/>
      <c r="J274" s="232"/>
      <c r="K274" s="508"/>
      <c r="L274" s="232"/>
      <c r="M274" s="508"/>
      <c r="N274" s="232"/>
      <c r="S274" s="40"/>
      <c r="T274" s="232"/>
      <c r="U274" s="40"/>
      <c r="V274" s="232"/>
      <c r="W274" s="40"/>
      <c r="X274" s="232"/>
      <c r="Y274" s="232"/>
    </row>
    <row r="275" spans="3:25">
      <c r="C275" s="28"/>
      <c r="D275" s="232"/>
      <c r="E275" s="508"/>
      <c r="F275" s="232"/>
      <c r="G275" s="508"/>
      <c r="H275" s="232"/>
      <c r="I275" s="508"/>
      <c r="J275" s="232"/>
      <c r="K275" s="508"/>
      <c r="L275" s="232"/>
      <c r="M275" s="508"/>
      <c r="N275" s="232"/>
      <c r="O275" s="29"/>
      <c r="P275" s="29"/>
      <c r="Q275" s="29"/>
      <c r="R275" s="29"/>
      <c r="S275" s="40"/>
      <c r="T275" s="232"/>
      <c r="U275" s="40"/>
      <c r="V275" s="232"/>
      <c r="W275" s="40"/>
      <c r="X275" s="232"/>
      <c r="Y275" s="232"/>
    </row>
    <row r="276" spans="3:25">
      <c r="C276" s="28"/>
      <c r="D276" s="232"/>
      <c r="E276" s="508"/>
      <c r="F276" s="232"/>
      <c r="G276" s="508"/>
      <c r="H276" s="232"/>
      <c r="I276" s="508"/>
      <c r="J276" s="232"/>
      <c r="K276" s="508"/>
      <c r="L276" s="232"/>
      <c r="M276" s="508"/>
      <c r="N276" s="232"/>
      <c r="O276" s="29"/>
      <c r="P276" s="29"/>
      <c r="Q276" s="29"/>
      <c r="R276" s="29"/>
      <c r="S276" s="40"/>
      <c r="T276" s="232"/>
      <c r="U276" s="40"/>
      <c r="V276" s="232"/>
      <c r="W276" s="40"/>
      <c r="X276" s="232"/>
      <c r="Y276" s="232"/>
    </row>
    <row r="277" spans="3:25">
      <c r="C277" s="29"/>
      <c r="D277" s="232"/>
      <c r="E277" s="508"/>
      <c r="F277" s="232"/>
      <c r="G277" s="508"/>
      <c r="H277" s="232"/>
      <c r="I277" s="508"/>
      <c r="J277" s="232"/>
      <c r="K277" s="508"/>
      <c r="L277" s="232"/>
      <c r="M277" s="508"/>
      <c r="N277" s="232"/>
      <c r="O277" s="29"/>
      <c r="P277" s="29"/>
      <c r="Q277" s="29"/>
      <c r="R277" s="29"/>
      <c r="S277" s="40"/>
      <c r="T277" s="232"/>
      <c r="U277" s="40"/>
      <c r="V277" s="232"/>
      <c r="W277" s="40"/>
      <c r="X277" s="232"/>
      <c r="Y277" s="232"/>
    </row>
    <row r="278" spans="3:25">
      <c r="C278" s="28"/>
      <c r="D278" s="232"/>
      <c r="E278" s="508"/>
      <c r="F278" s="232"/>
      <c r="G278" s="508"/>
      <c r="H278" s="232"/>
      <c r="I278" s="508"/>
      <c r="J278" s="232"/>
      <c r="K278" s="508"/>
      <c r="L278" s="232"/>
      <c r="M278" s="508"/>
      <c r="N278" s="232"/>
      <c r="O278" s="29"/>
      <c r="P278" s="29"/>
      <c r="Q278" s="29"/>
      <c r="R278" s="29"/>
      <c r="S278" s="40"/>
      <c r="T278" s="232"/>
      <c r="U278" s="40"/>
      <c r="V278" s="232"/>
      <c r="W278" s="40"/>
      <c r="X278" s="232"/>
      <c r="Y278" s="232"/>
    </row>
    <row r="281" spans="3:25">
      <c r="C281" s="502" t="s">
        <v>0</v>
      </c>
      <c r="D281" s="502"/>
      <c r="E281" s="502"/>
      <c r="F281" s="502"/>
      <c r="G281" s="502"/>
      <c r="H281" s="502"/>
      <c r="I281" s="502"/>
      <c r="J281" s="502"/>
      <c r="K281" s="502"/>
      <c r="L281" s="502"/>
      <c r="M281" s="502"/>
      <c r="N281" s="502"/>
      <c r="O281" s="502"/>
      <c r="P281" s="502"/>
      <c r="Q281" s="502"/>
      <c r="R281" s="502"/>
      <c r="S281" s="425"/>
      <c r="T281" s="425"/>
      <c r="U281" s="425"/>
      <c r="V281" s="425"/>
      <c r="W281" s="425"/>
      <c r="X281" s="425"/>
      <c r="Y281" s="425"/>
    </row>
    <row r="282" spans="3:25">
      <c r="C282" s="502" t="s">
        <v>107</v>
      </c>
      <c r="D282" s="502"/>
      <c r="E282" s="502"/>
      <c r="F282" s="502"/>
      <c r="G282" s="502"/>
      <c r="H282" s="502"/>
      <c r="I282" s="502"/>
      <c r="J282" s="502"/>
      <c r="K282" s="502"/>
      <c r="L282" s="502"/>
      <c r="M282" s="502"/>
      <c r="N282" s="502"/>
      <c r="O282" s="502"/>
      <c r="P282" s="502"/>
      <c r="Q282" s="502"/>
      <c r="R282" s="502"/>
      <c r="S282" s="425"/>
      <c r="T282" s="425"/>
      <c r="U282" s="425"/>
      <c r="V282" s="425"/>
      <c r="W282" s="425"/>
      <c r="X282" s="425"/>
      <c r="Y282" s="425"/>
    </row>
    <row r="283" spans="3:25">
      <c r="C283" s="503" t="str">
        <f>C$3</f>
        <v>BASE PERIOD: DECEMBER 2018</v>
      </c>
      <c r="D283" s="504"/>
      <c r="E283" s="504"/>
      <c r="F283" s="504"/>
      <c r="G283" s="504"/>
      <c r="H283" s="504"/>
      <c r="I283" s="504"/>
      <c r="J283" s="504"/>
      <c r="K283" s="504"/>
      <c r="L283" s="504"/>
      <c r="M283" s="504"/>
      <c r="N283" s="504"/>
      <c r="O283" s="504"/>
      <c r="P283" s="504"/>
      <c r="Q283" s="504"/>
      <c r="R283" s="504"/>
      <c r="S283" s="427"/>
      <c r="T283" s="427"/>
      <c r="U283" s="427"/>
      <c r="V283" s="427"/>
      <c r="W283" s="427"/>
      <c r="X283" s="427"/>
      <c r="Y283" s="427"/>
    </row>
    <row r="284" spans="3:25">
      <c r="C284" s="3"/>
      <c r="D284" s="45"/>
      <c r="E284" s="3"/>
      <c r="F284" s="45"/>
      <c r="G284" s="3"/>
      <c r="H284" s="45"/>
      <c r="I284" s="3"/>
      <c r="J284" s="45"/>
      <c r="K284" s="3"/>
      <c r="L284" s="45"/>
      <c r="M284" s="3"/>
      <c r="N284" s="45"/>
      <c r="O284" s="31"/>
      <c r="P284" s="31"/>
      <c r="Q284" s="31"/>
      <c r="R284" s="31"/>
      <c r="S284" s="3"/>
      <c r="T284" s="45"/>
      <c r="U284" s="3"/>
      <c r="V284" s="45"/>
      <c r="W284" s="3"/>
      <c r="X284" s="45"/>
      <c r="Y284" s="45"/>
    </row>
    <row r="285" spans="3:25">
      <c r="C285" s="3"/>
      <c r="D285" s="45"/>
      <c r="E285" s="3"/>
      <c r="F285" s="45"/>
      <c r="G285" s="3"/>
      <c r="H285" s="45"/>
      <c r="I285" s="3"/>
      <c r="J285" s="45"/>
      <c r="K285" s="3"/>
      <c r="L285" s="45"/>
      <c r="M285" s="3"/>
      <c r="N285" s="45"/>
      <c r="O285" s="31"/>
      <c r="P285" s="31"/>
      <c r="Q285" s="31"/>
      <c r="R285" s="31"/>
      <c r="S285" s="3"/>
      <c r="T285" s="3"/>
      <c r="U285" s="3"/>
      <c r="V285" s="3"/>
      <c r="W285" s="3"/>
      <c r="X285" s="32" t="s">
        <v>1717</v>
      </c>
      <c r="Y285" s="32"/>
    </row>
    <row r="286" spans="3:25" ht="15">
      <c r="C286" s="31"/>
      <c r="D286" s="509" t="s">
        <v>2485</v>
      </c>
      <c r="E286" s="31"/>
      <c r="F286" s="26"/>
      <c r="G286" s="31"/>
      <c r="H286" s="26"/>
      <c r="I286" s="31"/>
      <c r="J286" s="26"/>
      <c r="K286" s="31"/>
      <c r="L286" s="26"/>
      <c r="M286" s="31"/>
      <c r="N286" s="509" t="s">
        <v>2486</v>
      </c>
      <c r="O286" s="31"/>
      <c r="P286" s="31"/>
      <c r="Q286" s="31"/>
      <c r="R286" s="31"/>
      <c r="S286" s="3"/>
      <c r="T286" s="3"/>
      <c r="U286" s="3"/>
      <c r="V286" s="3"/>
      <c r="W286" s="3"/>
      <c r="X286" s="509" t="s">
        <v>2486</v>
      </c>
      <c r="Y286" s="4"/>
    </row>
    <row r="287" spans="3:25">
      <c r="C287" s="31"/>
      <c r="D287" s="33" t="s">
        <v>2</v>
      </c>
      <c r="E287" s="31"/>
      <c r="F287" s="26"/>
      <c r="G287" s="31"/>
      <c r="H287" s="26"/>
      <c r="I287" s="31"/>
      <c r="J287" s="33" t="s">
        <v>3</v>
      </c>
      <c r="K287" s="31"/>
      <c r="L287" s="26"/>
      <c r="M287" s="31"/>
      <c r="N287" s="33" t="s">
        <v>4</v>
      </c>
      <c r="O287" s="31"/>
      <c r="P287" s="31"/>
      <c r="Q287" s="31"/>
      <c r="R287" s="34" t="s">
        <v>5</v>
      </c>
      <c r="S287" s="31"/>
      <c r="T287" s="231" t="s">
        <v>1204</v>
      </c>
      <c r="U287" s="5"/>
      <c r="V287" s="231" t="s">
        <v>11</v>
      </c>
      <c r="W287" s="5"/>
      <c r="X287" s="6" t="s">
        <v>4</v>
      </c>
      <c r="Y287" s="6"/>
    </row>
    <row r="288" spans="3:25">
      <c r="C288" s="5"/>
      <c r="D288" s="35" t="s">
        <v>6</v>
      </c>
      <c r="E288" s="31"/>
      <c r="F288" s="35" t="s">
        <v>7</v>
      </c>
      <c r="G288" s="31"/>
      <c r="H288" s="35" t="s">
        <v>8</v>
      </c>
      <c r="I288" s="31"/>
      <c r="J288" s="35" t="s">
        <v>9</v>
      </c>
      <c r="K288" s="31"/>
      <c r="L288" s="35" t="s">
        <v>10</v>
      </c>
      <c r="M288" s="31"/>
      <c r="N288" s="35" t="s">
        <v>6</v>
      </c>
      <c r="O288" s="5"/>
      <c r="P288" s="35" t="s">
        <v>11</v>
      </c>
      <c r="Q288" s="5"/>
      <c r="R288" s="35" t="s">
        <v>12</v>
      </c>
      <c r="S288" s="31"/>
      <c r="T288" s="10" t="s">
        <v>1205</v>
      </c>
      <c r="U288" s="5"/>
      <c r="V288" s="10" t="s">
        <v>2188</v>
      </c>
      <c r="W288" s="5"/>
      <c r="X288" s="10" t="s">
        <v>6</v>
      </c>
      <c r="Y288" s="10" t="s">
        <v>13</v>
      </c>
    </row>
    <row r="289" spans="1:25">
      <c r="C289" s="8" t="s">
        <v>14</v>
      </c>
      <c r="D289" s="36"/>
      <c r="E289" s="31"/>
      <c r="F289" s="36"/>
      <c r="G289" s="31"/>
      <c r="H289" s="36"/>
      <c r="I289" s="31"/>
      <c r="J289" s="36"/>
      <c r="K289" s="31"/>
      <c r="L289" s="36"/>
      <c r="M289" s="31"/>
      <c r="N289" s="36"/>
      <c r="O289" s="5"/>
      <c r="P289" s="5"/>
      <c r="Q289" s="5"/>
      <c r="R289" s="5"/>
      <c r="S289" s="31"/>
      <c r="T289" s="36"/>
      <c r="U289" s="31"/>
      <c r="V289" s="36"/>
      <c r="W289" s="31"/>
      <c r="X289" s="36"/>
      <c r="Y289" s="36"/>
    </row>
    <row r="290" spans="1:25">
      <c r="C290" s="34" t="s">
        <v>15</v>
      </c>
      <c r="D290" s="26"/>
      <c r="E290" s="31"/>
      <c r="F290" s="26"/>
      <c r="G290" s="31"/>
      <c r="H290" s="26"/>
      <c r="I290" s="31"/>
      <c r="J290" s="26"/>
      <c r="K290" s="31"/>
      <c r="L290" s="26"/>
      <c r="M290" s="31"/>
      <c r="N290" s="26"/>
      <c r="O290" s="5"/>
      <c r="P290" s="5"/>
      <c r="Q290" s="5"/>
      <c r="R290" s="5"/>
      <c r="S290" s="31"/>
      <c r="T290" s="26"/>
      <c r="U290" s="31"/>
      <c r="V290" s="26"/>
      <c r="W290" s="31"/>
      <c r="X290" s="26"/>
      <c r="Y290" s="26"/>
    </row>
    <row r="291" spans="1:25">
      <c r="C291" s="34" t="s">
        <v>16</v>
      </c>
      <c r="D291" s="26"/>
      <c r="E291" s="31"/>
      <c r="F291" s="26"/>
      <c r="G291" s="31"/>
      <c r="H291" s="26"/>
      <c r="I291" s="31"/>
      <c r="J291" s="26"/>
      <c r="K291" s="31"/>
      <c r="L291" s="26"/>
      <c r="M291" s="31"/>
      <c r="N291" s="26"/>
      <c r="O291" s="31"/>
      <c r="P291" s="31"/>
      <c r="Q291" s="31"/>
      <c r="R291" s="31"/>
      <c r="S291" s="31"/>
      <c r="T291" s="26"/>
      <c r="U291" s="31"/>
      <c r="V291" s="26"/>
      <c r="W291" s="31"/>
      <c r="X291" s="26"/>
      <c r="Y291" s="26"/>
    </row>
    <row r="292" spans="1:25">
      <c r="A292" s="2" t="s">
        <v>108</v>
      </c>
      <c r="B292" s="2" t="str">
        <f t="shared" ref="B292:B302" si="17">MID(C292,2,3)</f>
        <v>360</v>
      </c>
      <c r="C292" s="31" t="s">
        <v>102</v>
      </c>
      <c r="D292" s="26">
        <v>5040.2300000000005</v>
      </c>
      <c r="E292" s="37"/>
      <c r="F292" s="26">
        <v>490000</v>
      </c>
      <c r="G292" s="37"/>
      <c r="H292" s="26">
        <v>0</v>
      </c>
      <c r="I292" s="37"/>
      <c r="J292" s="26">
        <v>0</v>
      </c>
      <c r="K292" s="37"/>
      <c r="L292" s="26">
        <v>490000</v>
      </c>
      <c r="M292" s="37"/>
      <c r="N292" s="26">
        <v>495040.23</v>
      </c>
      <c r="O292" s="31"/>
      <c r="P292" s="38">
        <v>-2485.9577119979899</v>
      </c>
      <c r="Q292" s="31"/>
      <c r="R292" s="38">
        <v>492554.27228800202</v>
      </c>
      <c r="S292" s="37"/>
      <c r="T292" s="438"/>
      <c r="U292" s="43"/>
      <c r="V292" s="17">
        <v>-2485.9577119979899</v>
      </c>
      <c r="W292" s="43"/>
      <c r="X292" s="17">
        <v>495040.23</v>
      </c>
      <c r="Y292" s="17">
        <v>0</v>
      </c>
    </row>
    <row r="293" spans="1:25">
      <c r="A293" s="2" t="s">
        <v>108</v>
      </c>
      <c r="C293" s="31" t="s">
        <v>18</v>
      </c>
      <c r="D293" s="26">
        <v>0</v>
      </c>
      <c r="E293" s="37"/>
      <c r="F293" s="26">
        <v>0</v>
      </c>
      <c r="G293" s="37"/>
      <c r="H293" s="26">
        <v>0</v>
      </c>
      <c r="I293" s="37"/>
      <c r="J293" s="26">
        <v>0</v>
      </c>
      <c r="K293" s="37"/>
      <c r="L293" s="26">
        <v>0</v>
      </c>
      <c r="M293" s="37"/>
      <c r="N293" s="26">
        <v>0</v>
      </c>
      <c r="O293" s="31"/>
      <c r="P293" s="38">
        <v>0</v>
      </c>
      <c r="Q293" s="31"/>
      <c r="R293" s="38">
        <v>0</v>
      </c>
      <c r="S293" s="37"/>
      <c r="T293" s="26"/>
      <c r="U293" s="37"/>
      <c r="V293" s="26">
        <v>0</v>
      </c>
      <c r="W293" s="37"/>
      <c r="X293" s="26">
        <v>0</v>
      </c>
      <c r="Y293" s="26">
        <v>0</v>
      </c>
    </row>
    <row r="294" spans="1:25">
      <c r="A294" s="2" t="s">
        <v>108</v>
      </c>
      <c r="B294" s="2" t="str">
        <f t="shared" si="17"/>
        <v>361</v>
      </c>
      <c r="C294" s="31" t="s">
        <v>19</v>
      </c>
      <c r="D294" s="26">
        <v>2545.13</v>
      </c>
      <c r="E294" s="37"/>
      <c r="F294" s="26">
        <v>0</v>
      </c>
      <c r="G294" s="37"/>
      <c r="H294" s="26">
        <v>0</v>
      </c>
      <c r="I294" s="37"/>
      <c r="J294" s="26">
        <v>0</v>
      </c>
      <c r="K294" s="37"/>
      <c r="L294" s="26">
        <v>0</v>
      </c>
      <c r="M294" s="37"/>
      <c r="N294" s="26">
        <v>2545.13</v>
      </c>
      <c r="O294" s="31"/>
      <c r="P294" s="38">
        <v>-2512.5801475039998</v>
      </c>
      <c r="Q294" s="31"/>
      <c r="R294" s="38">
        <v>32.549852496000312</v>
      </c>
      <c r="S294" s="37"/>
      <c r="T294" s="26"/>
      <c r="U294" s="37"/>
      <c r="V294" s="26">
        <v>-2512.5801475039998</v>
      </c>
      <c r="W294" s="37"/>
      <c r="X294" s="26">
        <v>2545.13</v>
      </c>
      <c r="Y294" s="26">
        <v>0</v>
      </c>
    </row>
    <row r="295" spans="1:25">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1"/>
      <c r="P295" s="38">
        <v>-35978.767717377996</v>
      </c>
      <c r="Q295" s="31"/>
      <c r="R295" s="38">
        <v>30901.382282621998</v>
      </c>
      <c r="S295" s="37"/>
      <c r="T295" s="26"/>
      <c r="U295" s="37"/>
      <c r="V295" s="26">
        <v>-35978.767717377996</v>
      </c>
      <c r="W295" s="37"/>
      <c r="X295" s="26">
        <v>66880.149999999994</v>
      </c>
      <c r="Y295" s="26">
        <v>0</v>
      </c>
    </row>
    <row r="296" spans="1:25">
      <c r="A296" s="2" t="s">
        <v>108</v>
      </c>
      <c r="B296" s="2" t="str">
        <f t="shared" si="17"/>
        <v>364</v>
      </c>
      <c r="C296" s="31" t="s">
        <v>21</v>
      </c>
      <c r="D296" s="26">
        <v>47785.56</v>
      </c>
      <c r="E296" s="37"/>
      <c r="F296" s="26">
        <v>0</v>
      </c>
      <c r="G296" s="37"/>
      <c r="H296" s="26">
        <v>0</v>
      </c>
      <c r="I296" s="37"/>
      <c r="J296" s="26">
        <v>0</v>
      </c>
      <c r="K296" s="37"/>
      <c r="L296" s="26">
        <v>0</v>
      </c>
      <c r="M296" s="37"/>
      <c r="N296" s="26">
        <v>47785.56</v>
      </c>
      <c r="O296" s="31"/>
      <c r="P296" s="38">
        <v>-48919.347225999896</v>
      </c>
      <c r="Q296" s="31"/>
      <c r="R296" s="38">
        <v>-1133.7872259998985</v>
      </c>
      <c r="S296" s="37"/>
      <c r="T296" s="26"/>
      <c r="U296" s="37"/>
      <c r="V296" s="26">
        <v>-48919.347225999896</v>
      </c>
      <c r="W296" s="37"/>
      <c r="X296" s="26">
        <v>47785.56</v>
      </c>
      <c r="Y296" s="26">
        <v>0</v>
      </c>
    </row>
    <row r="297" spans="1:25">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1"/>
      <c r="P297" s="38">
        <v>-53818.245767</v>
      </c>
      <c r="Q297" s="31"/>
      <c r="R297" s="38">
        <v>-7055.0257670000065</v>
      </c>
      <c r="S297" s="37"/>
      <c r="T297" s="26"/>
      <c r="U297" s="37"/>
      <c r="V297" s="26">
        <v>-53818.245767</v>
      </c>
      <c r="W297" s="37"/>
      <c r="X297" s="26">
        <v>46763.219999999994</v>
      </c>
      <c r="Y297" s="26">
        <v>0</v>
      </c>
    </row>
    <row r="298" spans="1:25">
      <c r="A298" s="2" t="s">
        <v>108</v>
      </c>
      <c r="B298" s="2" t="str">
        <f t="shared" si="17"/>
        <v>366</v>
      </c>
      <c r="C298" s="31" t="s">
        <v>23</v>
      </c>
      <c r="D298" s="26">
        <v>0</v>
      </c>
      <c r="E298" s="37"/>
      <c r="F298" s="26">
        <v>0</v>
      </c>
      <c r="G298" s="37"/>
      <c r="H298" s="26">
        <v>0</v>
      </c>
      <c r="I298" s="37"/>
      <c r="J298" s="26">
        <v>0</v>
      </c>
      <c r="K298" s="37"/>
      <c r="L298" s="26">
        <v>0</v>
      </c>
      <c r="M298" s="37"/>
      <c r="N298" s="26">
        <v>0</v>
      </c>
      <c r="O298" s="31"/>
      <c r="P298" s="38">
        <v>0</v>
      </c>
      <c r="Q298" s="31"/>
      <c r="R298" s="38">
        <v>0</v>
      </c>
      <c r="S298" s="37"/>
      <c r="T298" s="26"/>
      <c r="U298" s="37"/>
      <c r="V298" s="26">
        <v>0</v>
      </c>
      <c r="W298" s="37"/>
      <c r="X298" s="26">
        <v>0</v>
      </c>
      <c r="Y298" s="26">
        <v>0</v>
      </c>
    </row>
    <row r="299" spans="1:25">
      <c r="A299" s="2" t="s">
        <v>108</v>
      </c>
      <c r="B299" s="2" t="str">
        <f t="shared" si="17"/>
        <v>367</v>
      </c>
      <c r="C299" s="31" t="s">
        <v>109</v>
      </c>
      <c r="D299" s="26">
        <v>0</v>
      </c>
      <c r="E299" s="37"/>
      <c r="F299" s="26">
        <v>0</v>
      </c>
      <c r="G299" s="37"/>
      <c r="H299" s="26">
        <v>0</v>
      </c>
      <c r="I299" s="37"/>
      <c r="J299" s="26">
        <v>0</v>
      </c>
      <c r="K299" s="37"/>
      <c r="L299" s="26">
        <v>0</v>
      </c>
      <c r="M299" s="37"/>
      <c r="N299" s="26">
        <v>0</v>
      </c>
      <c r="O299" s="31"/>
      <c r="P299" s="38">
        <v>0</v>
      </c>
      <c r="Q299" s="31"/>
      <c r="R299" s="38">
        <v>0</v>
      </c>
      <c r="S299" s="37"/>
      <c r="T299" s="26"/>
      <c r="U299" s="37"/>
      <c r="V299" s="26">
        <v>0</v>
      </c>
      <c r="W299" s="37"/>
      <c r="X299" s="26">
        <v>0</v>
      </c>
      <c r="Y299" s="26">
        <v>0</v>
      </c>
    </row>
    <row r="300" spans="1:25">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1"/>
      <c r="P300" s="38">
        <v>-5254.9186059979902</v>
      </c>
      <c r="Q300" s="31"/>
      <c r="R300" s="38">
        <v>-2136.6386059979905</v>
      </c>
      <c r="S300" s="37"/>
      <c r="T300" s="26"/>
      <c r="U300" s="37"/>
      <c r="V300" s="26">
        <v>-5254.9186059979902</v>
      </c>
      <c r="W300" s="37"/>
      <c r="X300" s="26">
        <v>3118.2799999999997</v>
      </c>
      <c r="Y300" s="26">
        <v>0</v>
      </c>
    </row>
    <row r="301" spans="1:25">
      <c r="A301" s="2" t="s">
        <v>108</v>
      </c>
      <c r="B301" s="2" t="str">
        <f t="shared" si="17"/>
        <v>369</v>
      </c>
      <c r="C301" s="31" t="s">
        <v>26</v>
      </c>
      <c r="D301" s="26">
        <v>254.62</v>
      </c>
      <c r="E301" s="37"/>
      <c r="F301" s="26">
        <v>0</v>
      </c>
      <c r="G301" s="37"/>
      <c r="H301" s="26">
        <v>0</v>
      </c>
      <c r="I301" s="37"/>
      <c r="J301" s="26">
        <v>0</v>
      </c>
      <c r="K301" s="37"/>
      <c r="L301" s="26">
        <v>0</v>
      </c>
      <c r="M301" s="37"/>
      <c r="N301" s="26">
        <v>254.62</v>
      </c>
      <c r="O301" s="31"/>
      <c r="P301" s="38">
        <v>-1153.32515299799</v>
      </c>
      <c r="Q301" s="31"/>
      <c r="R301" s="38">
        <v>-898.70515299799001</v>
      </c>
      <c r="S301" s="37"/>
      <c r="T301" s="26"/>
      <c r="U301" s="37"/>
      <c r="V301" s="26">
        <v>-1153.32515299799</v>
      </c>
      <c r="W301" s="37"/>
      <c r="X301" s="26">
        <v>254.62</v>
      </c>
      <c r="Y301" s="26">
        <v>0</v>
      </c>
    </row>
    <row r="302" spans="1:25">
      <c r="A302" s="2" t="s">
        <v>108</v>
      </c>
      <c r="B302" s="2" t="str">
        <f t="shared" si="17"/>
        <v>370</v>
      </c>
      <c r="C302" s="31" t="s">
        <v>27</v>
      </c>
      <c r="D302" s="26">
        <v>4199.21</v>
      </c>
      <c r="E302" s="37"/>
      <c r="F302" s="26">
        <v>0</v>
      </c>
      <c r="G302" s="37"/>
      <c r="H302" s="26">
        <v>0</v>
      </c>
      <c r="I302" s="37"/>
      <c r="J302" s="26">
        <v>0</v>
      </c>
      <c r="K302" s="37"/>
      <c r="L302" s="26">
        <v>0</v>
      </c>
      <c r="M302" s="37"/>
      <c r="N302" s="26">
        <v>4199.21</v>
      </c>
      <c r="O302" s="31"/>
      <c r="P302" s="38">
        <v>-606.82071450000001</v>
      </c>
      <c r="Q302" s="31"/>
      <c r="R302" s="38">
        <v>3592.3892854999999</v>
      </c>
      <c r="S302" s="37"/>
      <c r="T302" s="26"/>
      <c r="U302" s="37"/>
      <c r="V302" s="26">
        <v>-606.82071450000001</v>
      </c>
      <c r="W302" s="37"/>
      <c r="X302" s="26">
        <v>4199.21</v>
      </c>
      <c r="Y302" s="26">
        <v>0</v>
      </c>
    </row>
    <row r="303" spans="1:25">
      <c r="A303" s="9" t="s">
        <v>108</v>
      </c>
      <c r="B303" s="9"/>
      <c r="C303" s="5" t="s">
        <v>2488</v>
      </c>
      <c r="D303" s="7">
        <v>0</v>
      </c>
      <c r="E303" s="39"/>
      <c r="F303" s="7">
        <v>0</v>
      </c>
      <c r="G303" s="39"/>
      <c r="H303" s="7">
        <v>0</v>
      </c>
      <c r="I303" s="39"/>
      <c r="J303" s="7">
        <v>0</v>
      </c>
      <c r="K303" s="39"/>
      <c r="L303" s="7">
        <v>0</v>
      </c>
      <c r="M303" s="39"/>
      <c r="N303" s="7">
        <v>0</v>
      </c>
      <c r="O303" s="5"/>
      <c r="P303" s="13">
        <v>0</v>
      </c>
      <c r="Q303" s="5"/>
      <c r="R303" s="13">
        <v>0</v>
      </c>
      <c r="S303" s="39"/>
      <c r="T303" s="7"/>
      <c r="U303" s="39"/>
      <c r="V303" s="7">
        <v>0</v>
      </c>
      <c r="W303" s="39"/>
      <c r="X303" s="7">
        <v>0</v>
      </c>
      <c r="Y303" s="7">
        <v>0</v>
      </c>
    </row>
    <row r="304" spans="1:25">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6"/>
      <c r="P304" s="42">
        <v>0</v>
      </c>
      <c r="Q304" s="31"/>
      <c r="R304" s="42">
        <v>0</v>
      </c>
      <c r="S304" s="40"/>
      <c r="T304" s="41"/>
      <c r="U304" s="40"/>
      <c r="V304" s="41">
        <v>0</v>
      </c>
      <c r="W304" s="40"/>
      <c r="X304" s="41">
        <v>0</v>
      </c>
      <c r="Y304" s="41">
        <v>0</v>
      </c>
    </row>
    <row r="305" spans="1:25">
      <c r="C305" s="31"/>
      <c r="D305" s="24">
        <v>176586.39999999997</v>
      </c>
      <c r="E305" s="40"/>
      <c r="F305" s="24">
        <v>490000</v>
      </c>
      <c r="G305" s="40"/>
      <c r="H305" s="24">
        <v>0</v>
      </c>
      <c r="I305" s="40"/>
      <c r="J305" s="24">
        <v>0</v>
      </c>
      <c r="K305" s="40"/>
      <c r="L305" s="24">
        <v>490000</v>
      </c>
      <c r="M305" s="40"/>
      <c r="N305" s="24">
        <v>666586.4</v>
      </c>
      <c r="O305" s="46"/>
      <c r="P305" s="24">
        <v>-150729.96304337587</v>
      </c>
      <c r="Q305" s="31"/>
      <c r="R305" s="24">
        <v>515856.43695662415</v>
      </c>
      <c r="S305" s="40"/>
      <c r="T305" s="24"/>
      <c r="U305" s="40"/>
      <c r="V305" s="24">
        <v>-150729.96304337587</v>
      </c>
      <c r="W305" s="40">
        <v>0</v>
      </c>
      <c r="X305" s="24">
        <v>666586.4</v>
      </c>
      <c r="Y305" s="24">
        <v>0</v>
      </c>
    </row>
    <row r="306" spans="1:25">
      <c r="C306" s="31"/>
      <c r="D306" s="24"/>
      <c r="E306" s="40"/>
      <c r="F306" s="24"/>
      <c r="G306" s="40"/>
      <c r="H306" s="24"/>
      <c r="I306" s="40"/>
      <c r="J306" s="24"/>
      <c r="K306" s="40"/>
      <c r="L306" s="24"/>
      <c r="M306" s="40"/>
      <c r="N306" s="24"/>
      <c r="O306" s="46"/>
      <c r="P306" s="31"/>
      <c r="Q306" s="31"/>
      <c r="R306" s="31"/>
      <c r="S306" s="40"/>
      <c r="T306" s="24"/>
      <c r="U306" s="40"/>
      <c r="V306" s="24"/>
      <c r="W306" s="40"/>
      <c r="X306" s="24"/>
      <c r="Y306" s="24"/>
    </row>
    <row r="307" spans="1:25">
      <c r="C307" s="34" t="s">
        <v>84</v>
      </c>
      <c r="D307" s="24"/>
      <c r="E307" s="40"/>
      <c r="F307" s="24"/>
      <c r="G307" s="40"/>
      <c r="H307" s="24"/>
      <c r="I307" s="40"/>
      <c r="J307" s="24"/>
      <c r="K307" s="40"/>
      <c r="L307" s="24"/>
      <c r="M307" s="40"/>
      <c r="N307" s="24"/>
      <c r="O307" s="46"/>
      <c r="P307" s="31"/>
      <c r="Q307" s="31"/>
      <c r="R307" s="31"/>
      <c r="S307" s="40"/>
      <c r="T307" s="24"/>
      <c r="U307" s="40"/>
      <c r="V307" s="24"/>
      <c r="W307" s="40"/>
      <c r="X307" s="24"/>
      <c r="Y307" s="24"/>
    </row>
    <row r="308" spans="1:25">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6"/>
      <c r="P308" s="38">
        <v>-372.969978999999</v>
      </c>
      <c r="Q308" s="31"/>
      <c r="R308" s="38">
        <v>66.560021000000972</v>
      </c>
      <c r="S308" s="40"/>
      <c r="T308" s="24"/>
      <c r="U308" s="40"/>
      <c r="V308" s="24">
        <v>-372.969978999999</v>
      </c>
      <c r="W308" s="40"/>
      <c r="X308" s="24">
        <v>439.53</v>
      </c>
      <c r="Y308" s="24">
        <v>0</v>
      </c>
    </row>
    <row r="309" spans="1:25">
      <c r="A309" s="2" t="s">
        <v>108</v>
      </c>
      <c r="B309" s="2" t="str">
        <f t="shared" si="19"/>
        <v>355</v>
      </c>
      <c r="C309" s="31" t="s">
        <v>93</v>
      </c>
      <c r="D309" s="24">
        <v>125979</v>
      </c>
      <c r="E309" s="40"/>
      <c r="F309" s="24">
        <v>2810.99</v>
      </c>
      <c r="G309" s="40"/>
      <c r="H309" s="24">
        <v>-38.46</v>
      </c>
      <c r="I309" s="40"/>
      <c r="J309" s="24">
        <v>0</v>
      </c>
      <c r="K309" s="40"/>
      <c r="L309" s="24">
        <v>2772.5299999999997</v>
      </c>
      <c r="M309" s="40"/>
      <c r="N309" s="24">
        <v>128751.53</v>
      </c>
      <c r="O309" s="46"/>
      <c r="P309" s="38">
        <v>-91970.759914720009</v>
      </c>
      <c r="Q309" s="31"/>
      <c r="R309" s="38">
        <v>36780.77008527999</v>
      </c>
      <c r="S309" s="40"/>
      <c r="T309" s="24"/>
      <c r="U309" s="40"/>
      <c r="V309" s="24">
        <v>-91970.759914720009</v>
      </c>
      <c r="W309" s="40"/>
      <c r="X309" s="24">
        <v>128751.53</v>
      </c>
      <c r="Y309" s="24">
        <v>0</v>
      </c>
    </row>
    <row r="310" spans="1:25">
      <c r="A310" s="2" t="s">
        <v>108</v>
      </c>
      <c r="B310" s="2" t="str">
        <f t="shared" si="19"/>
        <v>356</v>
      </c>
      <c r="C310" s="31" t="s">
        <v>94</v>
      </c>
      <c r="D310" s="41">
        <v>78061.73</v>
      </c>
      <c r="E310" s="40"/>
      <c r="F310" s="41">
        <v>2665.18</v>
      </c>
      <c r="G310" s="40"/>
      <c r="H310" s="41">
        <v>-35.58</v>
      </c>
      <c r="I310" s="40"/>
      <c r="J310" s="41">
        <v>0</v>
      </c>
      <c r="K310" s="40"/>
      <c r="L310" s="41">
        <v>2629.6</v>
      </c>
      <c r="M310" s="40"/>
      <c r="N310" s="41">
        <v>80691.33</v>
      </c>
      <c r="O310" s="46"/>
      <c r="P310" s="42">
        <v>-54651.509891000002</v>
      </c>
      <c r="Q310" s="31"/>
      <c r="R310" s="42">
        <v>26039.820109</v>
      </c>
      <c r="S310" s="40"/>
      <c r="T310" s="41"/>
      <c r="U310" s="40"/>
      <c r="V310" s="41">
        <v>-54651.509891000002</v>
      </c>
      <c r="W310" s="40"/>
      <c r="X310" s="41">
        <v>80691.329999999987</v>
      </c>
      <c r="Y310" s="41">
        <v>0</v>
      </c>
    </row>
    <row r="311" spans="1:25">
      <c r="C311" s="31"/>
      <c r="D311" s="24">
        <v>204480.26</v>
      </c>
      <c r="E311" s="40"/>
      <c r="F311" s="24">
        <v>5476.17</v>
      </c>
      <c r="G311" s="40"/>
      <c r="H311" s="24">
        <v>-74.039999999999992</v>
      </c>
      <c r="I311" s="40"/>
      <c r="J311" s="24">
        <v>0</v>
      </c>
      <c r="K311" s="40"/>
      <c r="L311" s="24">
        <v>5402.1299999999992</v>
      </c>
      <c r="M311" s="40"/>
      <c r="N311" s="24">
        <v>209882.39</v>
      </c>
      <c r="O311" s="46"/>
      <c r="P311" s="24">
        <v>-146995.23978472</v>
      </c>
      <c r="Q311" s="31"/>
      <c r="R311" s="24">
        <v>62887.150215279988</v>
      </c>
      <c r="S311" s="40"/>
      <c r="T311" s="24"/>
      <c r="U311" s="40"/>
      <c r="V311" s="24">
        <v>-146995.23978472</v>
      </c>
      <c r="W311" s="40">
        <v>0</v>
      </c>
      <c r="X311" s="24">
        <v>209882.38999999998</v>
      </c>
      <c r="Y311" s="24">
        <v>0</v>
      </c>
    </row>
    <row r="312" spans="1:25">
      <c r="C312" s="31"/>
      <c r="D312" s="24"/>
      <c r="E312" s="40"/>
      <c r="F312" s="24"/>
      <c r="G312" s="40"/>
      <c r="H312" s="24"/>
      <c r="I312" s="40"/>
      <c r="J312" s="24"/>
      <c r="K312" s="40"/>
      <c r="L312" s="24"/>
      <c r="M312" s="40"/>
      <c r="N312" s="24"/>
      <c r="O312" s="46"/>
      <c r="P312" s="31"/>
      <c r="Q312" s="31"/>
      <c r="R312" s="31"/>
      <c r="S312" s="40"/>
      <c r="T312" s="24"/>
      <c r="U312" s="40"/>
      <c r="V312" s="24"/>
      <c r="W312" s="40"/>
      <c r="X312" s="24"/>
      <c r="Y312" s="24"/>
    </row>
    <row r="313" spans="1:25">
      <c r="C313" s="31"/>
      <c r="D313" s="26"/>
      <c r="E313" s="37"/>
      <c r="F313" s="26"/>
      <c r="G313" s="37"/>
      <c r="H313" s="26"/>
      <c r="I313" s="37"/>
      <c r="J313" s="26"/>
      <c r="K313" s="37"/>
      <c r="L313" s="26"/>
      <c r="M313" s="37"/>
      <c r="N313" s="26"/>
      <c r="O313" s="31"/>
      <c r="P313" s="31"/>
      <c r="Q313" s="31"/>
      <c r="R313" s="31"/>
      <c r="S313" s="37"/>
      <c r="T313" s="26"/>
      <c r="U313" s="37"/>
      <c r="V313" s="26"/>
      <c r="W313" s="37"/>
      <c r="X313" s="26"/>
      <c r="Y313" s="26"/>
    </row>
    <row r="314" spans="1:25" ht="13.5" thickBot="1">
      <c r="C314" s="34" t="s">
        <v>110</v>
      </c>
      <c r="D314" s="44">
        <v>381066.66</v>
      </c>
      <c r="E314" s="37"/>
      <c r="F314" s="44">
        <v>495476.17</v>
      </c>
      <c r="G314" s="37"/>
      <c r="H314" s="44">
        <v>-74.039999999999992</v>
      </c>
      <c r="I314" s="37"/>
      <c r="J314" s="44">
        <v>0</v>
      </c>
      <c r="K314" s="37"/>
      <c r="L314" s="44">
        <v>495402.13</v>
      </c>
      <c r="M314" s="37"/>
      <c r="N314" s="44">
        <v>876468.79</v>
      </c>
      <c r="O314" s="31"/>
      <c r="P314" s="44">
        <v>-297725.20282809588</v>
      </c>
      <c r="Q314" s="31"/>
      <c r="R314" s="44">
        <v>578743.58717190416</v>
      </c>
      <c r="S314" s="37"/>
      <c r="T314" s="44">
        <v>0</v>
      </c>
      <c r="U314" s="37"/>
      <c r="V314" s="44">
        <v>-297725.20282809588</v>
      </c>
      <c r="W314" s="37"/>
      <c r="X314" s="44">
        <v>876468.79</v>
      </c>
      <c r="Y314" s="44">
        <v>0</v>
      </c>
    </row>
    <row r="315" spans="1:25" ht="13.5" thickTop="1"/>
    <row r="316" spans="1:25">
      <c r="C316" s="2" t="s">
        <v>2493</v>
      </c>
      <c r="D316" s="66">
        <v>381066.66</v>
      </c>
    </row>
    <row r="317" spans="1:25">
      <c r="D317" s="66">
        <v>0</v>
      </c>
    </row>
    <row r="318" spans="1:25">
      <c r="C318" s="510" t="s">
        <v>0</v>
      </c>
      <c r="D318" s="510"/>
      <c r="E318" s="510"/>
      <c r="F318" s="510"/>
      <c r="G318" s="510"/>
      <c r="H318" s="510"/>
      <c r="I318" s="510"/>
      <c r="J318" s="510"/>
      <c r="K318" s="510"/>
      <c r="L318" s="510"/>
      <c r="M318" s="510"/>
      <c r="N318" s="510"/>
    </row>
    <row r="319" spans="1:25">
      <c r="C319" s="510" t="s">
        <v>111</v>
      </c>
      <c r="D319" s="510"/>
      <c r="E319" s="510"/>
      <c r="F319" s="510"/>
      <c r="G319" s="510"/>
      <c r="H319" s="510"/>
      <c r="I319" s="510"/>
      <c r="J319" s="510"/>
      <c r="K319" s="510"/>
      <c r="L319" s="510"/>
      <c r="M319" s="510"/>
      <c r="N319" s="510"/>
    </row>
    <row r="320" spans="1:25">
      <c r="C320" s="503" t="str">
        <f>C$3</f>
        <v>BASE PERIOD: DECEMBER 2018</v>
      </c>
      <c r="D320" s="511"/>
      <c r="E320" s="511"/>
      <c r="F320" s="511"/>
      <c r="G320" s="511"/>
      <c r="H320" s="511"/>
      <c r="I320" s="511"/>
      <c r="J320" s="511"/>
      <c r="K320" s="511"/>
      <c r="L320" s="511"/>
      <c r="M320" s="511"/>
      <c r="N320" s="511"/>
      <c r="T320" s="2"/>
      <c r="V320" s="2"/>
      <c r="X320" s="2"/>
      <c r="Y320" s="2"/>
    </row>
    <row r="321" spans="1:25">
      <c r="C321" s="32"/>
      <c r="D321" s="32"/>
      <c r="E321" s="32"/>
      <c r="F321" s="32"/>
      <c r="G321" s="32"/>
      <c r="H321" s="32"/>
      <c r="I321" s="32"/>
      <c r="J321" s="32"/>
      <c r="K321" s="32"/>
      <c r="L321" s="32"/>
      <c r="M321" s="32"/>
      <c r="N321" s="32"/>
      <c r="T321" s="2"/>
      <c r="V321" s="2"/>
      <c r="X321" s="32" t="s">
        <v>1717</v>
      </c>
      <c r="Y321" s="2"/>
    </row>
    <row r="322" spans="1:25">
      <c r="D322" s="512" t="s">
        <v>2485</v>
      </c>
      <c r="F322" s="2"/>
      <c r="H322" s="2"/>
      <c r="J322" s="2"/>
      <c r="L322" s="2"/>
      <c r="N322" s="512" t="s">
        <v>2486</v>
      </c>
      <c r="T322" s="2"/>
      <c r="V322" s="2"/>
      <c r="X322" s="512" t="s">
        <v>2486</v>
      </c>
      <c r="Y322" s="2"/>
    </row>
    <row r="323" spans="1:25">
      <c r="D323" s="62" t="s">
        <v>2</v>
      </c>
      <c r="J323" s="62" t="s">
        <v>3</v>
      </c>
      <c r="N323" s="62" t="s">
        <v>4</v>
      </c>
      <c r="S323" s="32"/>
      <c r="T323" s="32"/>
      <c r="U323" s="32"/>
      <c r="V323" s="32"/>
      <c r="W323" s="32"/>
      <c r="X323" s="6" t="s">
        <v>4</v>
      </c>
      <c r="Y323" s="32"/>
    </row>
    <row r="324" spans="1:25">
      <c r="C324" s="9"/>
      <c r="D324" s="63" t="s">
        <v>6</v>
      </c>
      <c r="F324" s="63" t="s">
        <v>7</v>
      </c>
      <c r="H324" s="63" t="s">
        <v>8</v>
      </c>
      <c r="J324" s="63" t="s">
        <v>9</v>
      </c>
      <c r="L324" s="63" t="s">
        <v>10</v>
      </c>
      <c r="N324" s="63" t="s">
        <v>6</v>
      </c>
      <c r="S324" s="3"/>
      <c r="T324" s="439"/>
      <c r="U324" s="439"/>
      <c r="V324" s="439"/>
      <c r="W324" s="3"/>
      <c r="X324" s="10" t="s">
        <v>6</v>
      </c>
      <c r="Y324" s="10" t="s">
        <v>13</v>
      </c>
    </row>
    <row r="325" spans="1:25">
      <c r="C325" s="9"/>
      <c r="D325" s="64"/>
      <c r="F325" s="64"/>
      <c r="H325" s="64"/>
      <c r="J325" s="64"/>
      <c r="L325" s="64"/>
      <c r="N325" s="64"/>
      <c r="T325" s="64"/>
      <c r="U325" s="29"/>
      <c r="V325" s="64"/>
      <c r="X325" s="64"/>
      <c r="Y325" s="64"/>
    </row>
    <row r="326" spans="1:25">
      <c r="C326" s="47" t="s">
        <v>112</v>
      </c>
      <c r="D326" s="2"/>
      <c r="F326" s="2"/>
      <c r="H326" s="2"/>
      <c r="J326" s="2"/>
      <c r="L326" s="2"/>
      <c r="N326" s="2"/>
      <c r="T326" s="64"/>
      <c r="U326" s="29"/>
      <c r="V326" s="64"/>
      <c r="X326" s="2"/>
      <c r="Y326" s="2"/>
    </row>
    <row r="327" spans="1:25">
      <c r="C327" s="23" t="s">
        <v>16</v>
      </c>
      <c r="D327" s="2"/>
      <c r="F327" s="2"/>
      <c r="H327" s="2"/>
      <c r="J327" s="2"/>
      <c r="L327" s="2"/>
      <c r="N327" s="2"/>
      <c r="T327" s="64"/>
      <c r="U327" s="29"/>
      <c r="V327" s="64"/>
      <c r="X327" s="2"/>
      <c r="Y327" s="2"/>
    </row>
    <row r="328" spans="1:25">
      <c r="A328" s="9" t="s">
        <v>17</v>
      </c>
      <c r="C328" s="2" t="s">
        <v>18</v>
      </c>
      <c r="D328" s="232">
        <v>906481.46</v>
      </c>
      <c r="E328" s="232"/>
      <c r="F328" s="232"/>
      <c r="G328" s="232"/>
      <c r="H328" s="232"/>
      <c r="I328" s="232"/>
      <c r="J328" s="232"/>
      <c r="K328" s="232"/>
      <c r="L328" s="232"/>
      <c r="M328" s="232"/>
      <c r="N328" s="232">
        <v>906481.46</v>
      </c>
      <c r="T328" s="29"/>
      <c r="U328" s="29"/>
      <c r="V328" s="29"/>
      <c r="X328" s="232">
        <v>906481.45999999985</v>
      </c>
      <c r="Y328" s="232">
        <v>0</v>
      </c>
    </row>
    <row r="329" spans="1:25">
      <c r="A329" s="9" t="s">
        <v>2494</v>
      </c>
      <c r="C329" s="2" t="s">
        <v>2192</v>
      </c>
      <c r="D329" s="233">
        <v>564941.13</v>
      </c>
      <c r="F329" s="233"/>
      <c r="H329" s="233"/>
      <c r="J329" s="233"/>
      <c r="L329" s="233"/>
      <c r="N329" s="233">
        <v>564941.13</v>
      </c>
      <c r="T329" s="29"/>
      <c r="U329" s="29"/>
      <c r="V329" s="29"/>
      <c r="X329" s="233">
        <v>564941.12999999989</v>
      </c>
      <c r="Y329" s="233">
        <v>0</v>
      </c>
    </row>
    <row r="330" spans="1:25">
      <c r="D330" s="232">
        <v>1471422.5899999999</v>
      </c>
      <c r="E330" s="232"/>
      <c r="F330" s="232"/>
      <c r="G330" s="232"/>
      <c r="H330" s="232"/>
      <c r="I330" s="232"/>
      <c r="J330" s="232"/>
      <c r="K330" s="232"/>
      <c r="L330" s="232"/>
      <c r="M330" s="232"/>
      <c r="N330" s="232">
        <v>1471422.5899999999</v>
      </c>
      <c r="S330" s="232"/>
      <c r="T330" s="232"/>
      <c r="U330" s="232"/>
      <c r="V330" s="232"/>
      <c r="W330" s="232"/>
      <c r="X330" s="232">
        <v>1471422.5899999999</v>
      </c>
      <c r="Y330" s="232">
        <v>0</v>
      </c>
    </row>
    <row r="331" spans="1:25">
      <c r="C331" s="47"/>
      <c r="D331" s="2"/>
      <c r="F331" s="2"/>
      <c r="H331" s="2"/>
      <c r="J331" s="2"/>
      <c r="L331" s="2"/>
      <c r="N331" s="2"/>
      <c r="T331" s="232"/>
      <c r="U331" s="29"/>
      <c r="V331" s="232"/>
      <c r="X331" s="2"/>
      <c r="Y331" s="2"/>
    </row>
    <row r="332" spans="1:25" ht="15">
      <c r="C332" s="440" t="s">
        <v>2193</v>
      </c>
      <c r="D332"/>
      <c r="E332"/>
      <c r="F332"/>
      <c r="G332"/>
      <c r="H332"/>
      <c r="I332"/>
      <c r="J332"/>
      <c r="K332"/>
      <c r="L332"/>
      <c r="M332"/>
      <c r="N332"/>
      <c r="O332" s="293"/>
      <c r="P332" s="293"/>
      <c r="Q332" s="293"/>
      <c r="R332" s="293"/>
      <c r="S332" s="232"/>
      <c r="T332" s="232"/>
      <c r="U332" s="232"/>
      <c r="V332" s="232"/>
      <c r="W332" s="232"/>
      <c r="X332"/>
      <c r="Y332"/>
    </row>
    <row r="333" spans="1:25" ht="15">
      <c r="A333" s="2" t="s">
        <v>17</v>
      </c>
      <c r="C333" s="198" t="s">
        <v>62</v>
      </c>
      <c r="D333" s="233">
        <v>309540.84999999998</v>
      </c>
      <c r="F333" s="233"/>
      <c r="H333" s="233"/>
      <c r="J333" s="233"/>
      <c r="L333" s="233"/>
      <c r="N333" s="233">
        <v>309540.84999999998</v>
      </c>
      <c r="O333" s="293"/>
      <c r="P333" s="293"/>
      <c r="Q333" s="293"/>
      <c r="R333" s="293"/>
      <c r="T333" s="29"/>
      <c r="U333" s="29"/>
      <c r="V333" s="29"/>
      <c r="X333" s="233">
        <v>309540.84999999998</v>
      </c>
      <c r="Y333" s="233">
        <v>0</v>
      </c>
    </row>
    <row r="334" spans="1:25" ht="15">
      <c r="C334" s="440"/>
      <c r="D334" s="232">
        <v>309540.84999999998</v>
      </c>
      <c r="E334" s="232"/>
      <c r="F334" s="232"/>
      <c r="G334" s="232"/>
      <c r="H334" s="232"/>
      <c r="I334" s="232"/>
      <c r="J334" s="232"/>
      <c r="K334" s="232"/>
      <c r="L334" s="232"/>
      <c r="M334" s="232"/>
      <c r="N334" s="232">
        <v>309540.84999999998</v>
      </c>
      <c r="O334" s="293"/>
      <c r="P334" s="293"/>
      <c r="Q334" s="293"/>
      <c r="R334" s="293"/>
      <c r="S334"/>
      <c r="T334" s="441"/>
      <c r="U334" s="441"/>
      <c r="V334" s="441"/>
      <c r="W334"/>
      <c r="X334" s="232">
        <v>309540.84999999998</v>
      </c>
      <c r="Y334" s="232">
        <v>0</v>
      </c>
    </row>
    <row r="335" spans="1:25" ht="15">
      <c r="C335" s="440"/>
      <c r="D335"/>
      <c r="E335"/>
      <c r="F335"/>
      <c r="G335"/>
      <c r="H335"/>
      <c r="I335"/>
      <c r="J335"/>
      <c r="K335"/>
      <c r="L335"/>
      <c r="M335"/>
      <c r="N335"/>
      <c r="O335" s="293"/>
      <c r="P335" s="293"/>
      <c r="Q335" s="293"/>
      <c r="R335" s="293"/>
      <c r="T335" s="232"/>
      <c r="U335" s="29"/>
      <c r="V335" s="232"/>
      <c r="X335"/>
      <c r="Y335"/>
    </row>
    <row r="336" spans="1:25">
      <c r="C336" s="47"/>
      <c r="D336" s="2"/>
      <c r="F336" s="2"/>
      <c r="H336" s="2"/>
      <c r="J336" s="2"/>
      <c r="L336" s="2"/>
      <c r="N336" s="2"/>
      <c r="S336" s="232"/>
      <c r="T336" s="232"/>
      <c r="U336" s="232"/>
      <c r="V336" s="232"/>
      <c r="W336" s="232"/>
      <c r="X336" s="2"/>
      <c r="Y336" s="2"/>
    </row>
    <row r="337" spans="1:25" ht="15">
      <c r="C337" s="23" t="s">
        <v>113</v>
      </c>
      <c r="D337" s="232"/>
      <c r="E337" s="232"/>
      <c r="F337" s="232"/>
      <c r="G337" s="232"/>
      <c r="H337" s="232"/>
      <c r="I337" s="232"/>
      <c r="J337" s="232"/>
      <c r="K337" s="232"/>
      <c r="L337" s="232"/>
      <c r="M337" s="232"/>
      <c r="N337" s="232"/>
      <c r="S337"/>
      <c r="T337" s="441"/>
      <c r="U337" s="441"/>
      <c r="V337" s="441"/>
      <c r="W337"/>
      <c r="X337"/>
      <c r="Y337"/>
    </row>
    <row r="338" spans="1:25">
      <c r="C338" s="2" t="s">
        <v>73</v>
      </c>
      <c r="D338" s="232">
        <v>0</v>
      </c>
      <c r="E338" s="232"/>
      <c r="F338" s="232"/>
      <c r="G338" s="232"/>
      <c r="H338" s="232"/>
      <c r="I338" s="232"/>
      <c r="J338" s="232"/>
      <c r="K338" s="232"/>
      <c r="L338" s="232"/>
      <c r="M338" s="232"/>
      <c r="N338" s="232">
        <v>0</v>
      </c>
      <c r="T338" s="29"/>
      <c r="U338" s="29"/>
      <c r="V338" s="29"/>
      <c r="X338" s="2"/>
      <c r="Y338" s="2"/>
    </row>
    <row r="339" spans="1:25">
      <c r="C339" s="2" t="s">
        <v>74</v>
      </c>
      <c r="D339" s="232">
        <v>0</v>
      </c>
      <c r="E339" s="232"/>
      <c r="F339" s="232"/>
      <c r="G339" s="232"/>
      <c r="H339" s="232"/>
      <c r="I339" s="232"/>
      <c r="J339" s="232"/>
      <c r="K339" s="232"/>
      <c r="L339" s="232"/>
      <c r="M339" s="232"/>
      <c r="N339" s="232">
        <v>0</v>
      </c>
      <c r="S339" s="232"/>
      <c r="T339" s="232"/>
      <c r="U339" s="232"/>
      <c r="V339" s="232"/>
      <c r="W339" s="232"/>
      <c r="X339" s="232"/>
      <c r="Y339" s="232"/>
    </row>
    <row r="340" spans="1:25">
      <c r="C340" s="2" t="s">
        <v>76</v>
      </c>
      <c r="D340" s="232">
        <v>0</v>
      </c>
      <c r="E340" s="232"/>
      <c r="F340" s="232"/>
      <c r="G340" s="232"/>
      <c r="H340" s="232"/>
      <c r="I340" s="232"/>
      <c r="J340" s="232"/>
      <c r="K340" s="232"/>
      <c r="L340" s="232"/>
      <c r="M340" s="232"/>
      <c r="N340" s="232">
        <v>0</v>
      </c>
      <c r="S340" s="232"/>
      <c r="T340" s="232"/>
      <c r="U340" s="232"/>
      <c r="V340" s="232"/>
      <c r="W340" s="232"/>
      <c r="X340" s="232"/>
      <c r="Y340" s="232"/>
    </row>
    <row r="341" spans="1:25">
      <c r="C341" s="2" t="s">
        <v>78</v>
      </c>
      <c r="D341" s="232">
        <v>0</v>
      </c>
      <c r="E341" s="232"/>
      <c r="F341" s="232"/>
      <c r="G341" s="232"/>
      <c r="H341" s="232"/>
      <c r="I341" s="232"/>
      <c r="J341" s="232"/>
      <c r="K341" s="232"/>
      <c r="L341" s="232"/>
      <c r="M341" s="232"/>
      <c r="N341" s="232">
        <v>0</v>
      </c>
      <c r="S341" s="232"/>
      <c r="T341" s="232"/>
      <c r="U341" s="232"/>
      <c r="V341" s="232"/>
      <c r="W341" s="232"/>
      <c r="X341" s="232"/>
      <c r="Y341" s="232"/>
    </row>
    <row r="342" spans="1:25">
      <c r="C342" s="2" t="s">
        <v>114</v>
      </c>
      <c r="D342" s="232">
        <v>0</v>
      </c>
      <c r="E342" s="232"/>
      <c r="F342" s="232"/>
      <c r="G342" s="232"/>
      <c r="H342" s="232"/>
      <c r="I342" s="232"/>
      <c r="J342" s="232"/>
      <c r="K342" s="232"/>
      <c r="L342" s="232"/>
      <c r="M342" s="232"/>
      <c r="N342" s="232">
        <v>0</v>
      </c>
      <c r="S342" s="232"/>
      <c r="T342" s="232"/>
      <c r="U342" s="232"/>
      <c r="V342" s="232"/>
      <c r="W342" s="232"/>
      <c r="X342" s="232"/>
      <c r="Y342" s="232"/>
    </row>
    <row r="343" spans="1:25" s="49" customFormat="1">
      <c r="A343" s="2"/>
      <c r="B343" s="2"/>
      <c r="C343" s="2" t="s">
        <v>82</v>
      </c>
      <c r="D343" s="233">
        <v>0</v>
      </c>
      <c r="E343" s="232"/>
      <c r="F343" s="233"/>
      <c r="G343" s="232"/>
      <c r="H343" s="233"/>
      <c r="I343" s="232"/>
      <c r="J343" s="233"/>
      <c r="K343" s="232"/>
      <c r="L343" s="233"/>
      <c r="M343" s="232"/>
      <c r="N343" s="233">
        <v>0</v>
      </c>
      <c r="O343" s="2"/>
      <c r="P343" s="2"/>
      <c r="Q343" s="2"/>
      <c r="R343" s="2"/>
      <c r="S343" s="232"/>
      <c r="T343" s="232"/>
      <c r="U343" s="232"/>
      <c r="V343" s="232"/>
      <c r="W343" s="232"/>
      <c r="X343" s="232"/>
      <c r="Y343" s="232"/>
    </row>
    <row r="344" spans="1:25" ht="15">
      <c r="A344" s="48"/>
      <c r="B344" s="48"/>
      <c r="D344" s="232">
        <v>0</v>
      </c>
      <c r="E344" s="232"/>
      <c r="F344" s="232"/>
      <c r="G344" s="232"/>
      <c r="H344" s="232"/>
      <c r="I344" s="232"/>
      <c r="J344" s="232"/>
      <c r="K344" s="232"/>
      <c r="L344" s="232"/>
      <c r="M344" s="232"/>
      <c r="N344" s="232">
        <v>0</v>
      </c>
      <c r="S344" s="232"/>
      <c r="T344" s="232"/>
      <c r="U344" s="232"/>
      <c r="V344" s="232"/>
      <c r="W344" s="232"/>
      <c r="X344" s="232"/>
      <c r="Y344" s="232"/>
    </row>
    <row r="345" spans="1:25" ht="15">
      <c r="A345" s="48"/>
      <c r="B345" s="48"/>
      <c r="D345" s="232"/>
      <c r="E345" s="66"/>
      <c r="F345" s="232"/>
      <c r="G345" s="66"/>
      <c r="H345" s="232"/>
      <c r="I345" s="66"/>
      <c r="J345" s="232"/>
      <c r="K345" s="66"/>
      <c r="L345" s="232"/>
      <c r="M345" s="66"/>
      <c r="N345" s="232"/>
      <c r="S345" s="232"/>
      <c r="T345" s="232"/>
      <c r="U345" s="232"/>
      <c r="V345" s="232"/>
      <c r="W345" s="232"/>
      <c r="X345" s="233"/>
      <c r="Y345" s="233"/>
    </row>
    <row r="346" spans="1:25">
      <c r="A346" s="49"/>
      <c r="B346" s="49"/>
      <c r="C346" s="2" t="s">
        <v>32</v>
      </c>
      <c r="D346" s="232"/>
      <c r="E346" s="66"/>
      <c r="F346" s="232"/>
      <c r="G346" s="66"/>
      <c r="H346" s="232"/>
      <c r="I346" s="66"/>
      <c r="J346" s="232"/>
      <c r="K346" s="66"/>
      <c r="L346" s="232"/>
      <c r="M346" s="66"/>
      <c r="N346" s="232"/>
      <c r="S346" s="232"/>
      <c r="T346" s="232"/>
      <c r="U346" s="232"/>
      <c r="V346" s="232"/>
      <c r="W346" s="232"/>
      <c r="X346" s="232"/>
      <c r="Y346" s="232"/>
    </row>
    <row r="347" spans="1:25">
      <c r="A347" s="2" t="s">
        <v>17</v>
      </c>
      <c r="C347" s="2" t="s">
        <v>33</v>
      </c>
      <c r="D347" s="232">
        <v>131956.31</v>
      </c>
      <c r="E347" s="66"/>
      <c r="F347" s="232"/>
      <c r="G347" s="66"/>
      <c r="H347" s="232"/>
      <c r="I347" s="66"/>
      <c r="J347" s="232"/>
      <c r="K347" s="66"/>
      <c r="L347" s="232"/>
      <c r="M347" s="66"/>
      <c r="N347" s="232">
        <v>131956.31</v>
      </c>
      <c r="S347" s="66"/>
      <c r="T347" s="232"/>
      <c r="U347" s="232"/>
      <c r="V347" s="232"/>
      <c r="W347" s="66"/>
      <c r="X347" s="233">
        <v>131956.31</v>
      </c>
      <c r="Y347" s="233">
        <v>0</v>
      </c>
    </row>
    <row r="348" spans="1:25">
      <c r="A348" s="49"/>
      <c r="B348" s="49"/>
      <c r="D348" s="232">
        <v>131956.31</v>
      </c>
      <c r="E348" s="66"/>
      <c r="F348" s="232"/>
      <c r="G348" s="66"/>
      <c r="H348" s="232"/>
      <c r="I348" s="66"/>
      <c r="J348" s="232"/>
      <c r="K348" s="66"/>
      <c r="L348" s="232"/>
      <c r="M348" s="66"/>
      <c r="N348" s="232">
        <v>131956.31</v>
      </c>
      <c r="S348" s="66"/>
      <c r="T348" s="232"/>
      <c r="U348" s="232"/>
      <c r="V348" s="232"/>
      <c r="W348" s="66"/>
      <c r="X348" s="232">
        <v>131956.31</v>
      </c>
      <c r="Y348" s="232">
        <v>0</v>
      </c>
    </row>
    <row r="349" spans="1:25">
      <c r="A349" s="49"/>
      <c r="B349" s="49"/>
      <c r="E349" s="66"/>
      <c r="G349" s="66"/>
      <c r="I349" s="66"/>
      <c r="K349" s="66"/>
      <c r="M349" s="66"/>
      <c r="S349" s="66"/>
      <c r="T349" s="232"/>
      <c r="U349" s="232"/>
      <c r="V349" s="232"/>
      <c r="W349" s="66"/>
    </row>
    <row r="350" spans="1:25" s="48" customFormat="1" ht="15.75" thickBot="1">
      <c r="A350" s="49"/>
      <c r="B350" s="49"/>
      <c r="C350" s="23" t="s">
        <v>115</v>
      </c>
      <c r="D350" s="234">
        <v>1912919.75</v>
      </c>
      <c r="E350" s="66"/>
      <c r="F350" s="234"/>
      <c r="G350" s="66"/>
      <c r="H350" s="234"/>
      <c r="I350" s="66"/>
      <c r="J350" s="234"/>
      <c r="K350" s="66"/>
      <c r="L350" s="234"/>
      <c r="M350" s="66"/>
      <c r="N350" s="234">
        <v>1912919.75</v>
      </c>
      <c r="O350" s="2"/>
      <c r="P350" s="2"/>
      <c r="Q350" s="2"/>
      <c r="R350" s="2"/>
      <c r="S350" s="2"/>
      <c r="T350" s="232"/>
      <c r="U350" s="29"/>
      <c r="V350" s="232"/>
      <c r="W350" s="2"/>
      <c r="X350" s="234">
        <v>1912919.75</v>
      </c>
      <c r="Y350" s="234">
        <v>0</v>
      </c>
    </row>
    <row r="351" spans="1:25" s="48" customFormat="1" ht="15.75" thickTop="1">
      <c r="A351" s="49"/>
      <c r="B351" s="49"/>
      <c r="C351" s="2"/>
      <c r="D351" s="66"/>
      <c r="E351" s="2"/>
      <c r="F351" s="66"/>
      <c r="G351" s="2"/>
      <c r="H351" s="66"/>
      <c r="I351" s="2"/>
      <c r="J351" s="66"/>
      <c r="K351" s="2"/>
      <c r="L351" s="66"/>
      <c r="M351" s="2"/>
      <c r="N351" s="66"/>
      <c r="O351" s="2"/>
      <c r="P351" s="2"/>
      <c r="Q351" s="2"/>
      <c r="R351" s="2"/>
      <c r="S351" s="2"/>
      <c r="T351" s="232"/>
      <c r="U351" s="29"/>
      <c r="V351" s="232"/>
      <c r="W351" s="2"/>
      <c r="X351" s="66"/>
      <c r="Y351" s="66"/>
    </row>
    <row r="352" spans="1:25" s="49" customFormat="1">
      <c r="A352" s="53"/>
      <c r="B352" s="53"/>
      <c r="C352" s="2"/>
      <c r="D352" s="66"/>
      <c r="E352" s="2"/>
      <c r="F352" s="66"/>
      <c r="G352" s="2"/>
      <c r="H352" s="66"/>
      <c r="I352" s="2"/>
      <c r="J352" s="66"/>
      <c r="K352" s="2"/>
      <c r="L352" s="66"/>
      <c r="M352" s="2"/>
      <c r="N352" s="66"/>
      <c r="O352" s="2"/>
      <c r="P352" s="2"/>
      <c r="Q352" s="2"/>
      <c r="R352" s="2"/>
      <c r="S352" s="2"/>
      <c r="T352" s="232"/>
      <c r="U352" s="29"/>
      <c r="V352" s="232"/>
      <c r="W352" s="2"/>
      <c r="X352" s="66"/>
      <c r="Y352" s="66"/>
    </row>
    <row r="353" spans="1:25" s="49" customFormat="1" ht="15">
      <c r="A353" s="53"/>
      <c r="B353" s="53"/>
      <c r="C353" s="513" t="s">
        <v>0</v>
      </c>
      <c r="D353" s="513"/>
      <c r="E353" s="513"/>
      <c r="F353" s="513"/>
      <c r="G353" s="513"/>
      <c r="H353" s="513"/>
      <c r="I353" s="513"/>
      <c r="J353" s="513"/>
      <c r="K353" s="513"/>
      <c r="L353" s="513"/>
      <c r="M353" s="513"/>
      <c r="N353" s="513"/>
      <c r="O353" s="48"/>
      <c r="P353" s="48"/>
      <c r="Q353" s="48"/>
      <c r="R353" s="48"/>
      <c r="S353" s="2"/>
      <c r="T353" s="232"/>
      <c r="U353" s="29"/>
      <c r="V353" s="232"/>
      <c r="W353" s="2"/>
      <c r="X353" s="66"/>
      <c r="Y353" s="66"/>
    </row>
    <row r="354" spans="1:25" s="49" customFormat="1" ht="15">
      <c r="A354" s="53"/>
      <c r="B354" s="53"/>
      <c r="C354" s="513" t="s">
        <v>116</v>
      </c>
      <c r="D354" s="513"/>
      <c r="E354" s="513"/>
      <c r="F354" s="513"/>
      <c r="G354" s="513"/>
      <c r="H354" s="513"/>
      <c r="I354" s="513"/>
      <c r="J354" s="513"/>
      <c r="K354" s="513"/>
      <c r="L354" s="513"/>
      <c r="M354" s="513"/>
      <c r="N354" s="513"/>
      <c r="O354" s="48"/>
      <c r="P354" s="48"/>
      <c r="Q354" s="48"/>
      <c r="R354" s="48"/>
      <c r="S354" s="48"/>
      <c r="T354" s="442"/>
      <c r="U354" s="442"/>
      <c r="V354" s="442"/>
      <c r="W354" s="48"/>
      <c r="X354" s="48"/>
      <c r="Y354" s="48"/>
    </row>
    <row r="355" spans="1:25" s="49" customFormat="1" ht="15">
      <c r="C355" s="503" t="str">
        <f>C$3</f>
        <v>BASE PERIOD: DECEMBER 2018</v>
      </c>
      <c r="D355" s="511"/>
      <c r="E355" s="511"/>
      <c r="F355" s="511"/>
      <c r="G355" s="511"/>
      <c r="H355" s="511"/>
      <c r="I355" s="511"/>
      <c r="J355" s="511"/>
      <c r="K355" s="511"/>
      <c r="L355" s="511"/>
      <c r="M355" s="511"/>
      <c r="N355" s="511"/>
      <c r="S355" s="48"/>
      <c r="T355" s="442"/>
      <c r="U355" s="442"/>
      <c r="V355" s="442"/>
      <c r="W355" s="48"/>
      <c r="X355" s="48"/>
      <c r="Y355" s="48"/>
    </row>
    <row r="356" spans="1:25" s="53" customFormat="1">
      <c r="A356" s="49"/>
      <c r="B356" s="49"/>
      <c r="C356" s="50"/>
      <c r="D356" s="50"/>
      <c r="E356" s="50"/>
      <c r="F356" s="50"/>
      <c r="G356" s="50"/>
      <c r="H356" s="50"/>
      <c r="I356" s="50"/>
      <c r="J356" s="50"/>
      <c r="K356" s="50"/>
      <c r="L356" s="50"/>
      <c r="M356" s="50"/>
      <c r="N356" s="50"/>
      <c r="O356" s="49"/>
      <c r="P356" s="49"/>
      <c r="Q356" s="49"/>
      <c r="R356" s="49"/>
      <c r="S356" s="49"/>
      <c r="T356" s="59"/>
      <c r="U356" s="59"/>
      <c r="V356" s="59"/>
      <c r="W356" s="49"/>
      <c r="X356" s="32" t="s">
        <v>1717</v>
      </c>
      <c r="Y356" s="32"/>
    </row>
    <row r="357" spans="1:25" s="53" customFormat="1" ht="15">
      <c r="A357" s="49"/>
      <c r="B357" s="49"/>
      <c r="C357" s="49"/>
      <c r="D357" s="4" t="s">
        <v>2485</v>
      </c>
      <c r="E357" s="49"/>
      <c r="F357" s="49"/>
      <c r="G357" s="49"/>
      <c r="H357" s="49"/>
      <c r="I357" s="49"/>
      <c r="J357" s="49"/>
      <c r="K357" s="49"/>
      <c r="L357" s="49"/>
      <c r="M357" s="49"/>
      <c r="N357" s="49"/>
      <c r="O357" s="49"/>
      <c r="P357" s="49"/>
      <c r="Q357" s="49"/>
      <c r="R357" s="49"/>
      <c r="S357" s="50"/>
      <c r="T357" s="443"/>
      <c r="U357" s="443"/>
      <c r="V357" s="443"/>
      <c r="W357" s="50"/>
      <c r="X357" s="514" t="s">
        <v>2486</v>
      </c>
      <c r="Y357" s="3"/>
    </row>
    <row r="358" spans="1:25" s="53" customFormat="1">
      <c r="A358" s="49"/>
      <c r="B358" s="49"/>
      <c r="C358" s="49"/>
      <c r="D358" s="51" t="s">
        <v>2</v>
      </c>
      <c r="E358" s="49"/>
      <c r="F358" s="52"/>
      <c r="G358" s="49"/>
      <c r="H358" s="52"/>
      <c r="I358" s="49"/>
      <c r="J358" s="51" t="s">
        <v>3</v>
      </c>
      <c r="K358" s="49"/>
      <c r="L358" s="52"/>
      <c r="M358" s="49"/>
      <c r="N358" s="51" t="s">
        <v>4</v>
      </c>
      <c r="O358" s="49"/>
      <c r="P358" s="49"/>
      <c r="Q358" s="49"/>
      <c r="R358" s="49"/>
      <c r="S358" s="3"/>
      <c r="T358" s="439"/>
      <c r="U358" s="439"/>
      <c r="V358" s="439"/>
      <c r="W358" s="3"/>
      <c r="X358" s="6" t="s">
        <v>4</v>
      </c>
      <c r="Y358" s="62"/>
    </row>
    <row r="359" spans="1:25" s="49" customFormat="1">
      <c r="C359" s="53"/>
      <c r="D359" s="54" t="s">
        <v>6</v>
      </c>
      <c r="F359" s="54" t="s">
        <v>7</v>
      </c>
      <c r="H359" s="54" t="s">
        <v>8</v>
      </c>
      <c r="J359" s="54" t="s">
        <v>9</v>
      </c>
      <c r="L359" s="54" t="s">
        <v>10</v>
      </c>
      <c r="N359" s="54" t="s">
        <v>6</v>
      </c>
      <c r="O359" s="53"/>
      <c r="P359" s="53"/>
      <c r="Q359" s="53"/>
      <c r="R359" s="53"/>
      <c r="T359" s="55"/>
      <c r="U359" s="59"/>
      <c r="V359" s="55"/>
      <c r="X359" s="10" t="s">
        <v>6</v>
      </c>
      <c r="Y359" s="10" t="s">
        <v>13</v>
      </c>
    </row>
    <row r="360" spans="1:25" s="49" customFormat="1">
      <c r="A360" s="59"/>
      <c r="B360" s="59"/>
      <c r="C360" s="53"/>
      <c r="D360" s="55"/>
      <c r="F360" s="55"/>
      <c r="H360" s="55"/>
      <c r="J360" s="55"/>
      <c r="L360" s="55"/>
      <c r="N360" s="55"/>
      <c r="O360" s="53"/>
      <c r="P360" s="53"/>
      <c r="Q360" s="53"/>
      <c r="R360" s="53"/>
      <c r="T360" s="55"/>
      <c r="U360" s="59"/>
      <c r="V360" s="55"/>
      <c r="X360" s="55"/>
      <c r="Y360" s="55"/>
    </row>
    <row r="361" spans="1:25" s="49" customFormat="1">
      <c r="C361" s="56" t="s">
        <v>117</v>
      </c>
      <c r="O361" s="53"/>
      <c r="P361" s="53"/>
      <c r="Q361" s="53"/>
      <c r="R361" s="53"/>
      <c r="T361" s="55"/>
      <c r="U361" s="59"/>
      <c r="V361" s="55"/>
    </row>
    <row r="362" spans="1:25" s="49" customFormat="1">
      <c r="C362" s="57" t="s">
        <v>113</v>
      </c>
      <c r="D362" s="58"/>
      <c r="E362" s="58"/>
      <c r="F362" s="58"/>
      <c r="G362" s="58"/>
      <c r="H362" s="58"/>
      <c r="I362" s="58"/>
      <c r="J362" s="58"/>
      <c r="K362" s="58"/>
      <c r="L362" s="58"/>
      <c r="M362" s="58"/>
      <c r="N362" s="58"/>
      <c r="O362" s="40"/>
      <c r="P362" s="37"/>
      <c r="T362" s="59"/>
      <c r="U362" s="59"/>
      <c r="V362" s="59"/>
      <c r="X362" s="58"/>
      <c r="Y362" s="58"/>
    </row>
    <row r="363" spans="1:25" s="49" customFormat="1">
      <c r="C363" s="49" t="s">
        <v>118</v>
      </c>
      <c r="D363" s="58">
        <v>0</v>
      </c>
      <c r="E363" s="58"/>
      <c r="F363" s="58">
        <v>0</v>
      </c>
      <c r="G363" s="58"/>
      <c r="H363" s="58">
        <v>0</v>
      </c>
      <c r="I363" s="58"/>
      <c r="J363" s="58">
        <v>0</v>
      </c>
      <c r="K363" s="58"/>
      <c r="L363" s="58">
        <v>0</v>
      </c>
      <c r="M363" s="58"/>
      <c r="N363" s="58">
        <v>0</v>
      </c>
      <c r="O363" s="40"/>
      <c r="P363" s="37"/>
      <c r="S363" s="58"/>
      <c r="T363" s="58"/>
      <c r="U363" s="58"/>
      <c r="V363" s="58"/>
      <c r="W363" s="58"/>
      <c r="X363" s="58"/>
      <c r="Y363" s="58">
        <v>0</v>
      </c>
    </row>
    <row r="364" spans="1:25" s="59" customFormat="1">
      <c r="A364" s="49"/>
      <c r="B364" s="49"/>
      <c r="C364" s="49" t="s">
        <v>74</v>
      </c>
      <c r="D364" s="58">
        <v>0</v>
      </c>
      <c r="E364" s="58"/>
      <c r="F364" s="58">
        <v>0</v>
      </c>
      <c r="G364" s="58"/>
      <c r="H364" s="58">
        <v>0</v>
      </c>
      <c r="I364" s="58"/>
      <c r="J364" s="58">
        <v>0</v>
      </c>
      <c r="K364" s="58"/>
      <c r="L364" s="58">
        <v>0</v>
      </c>
      <c r="M364" s="58"/>
      <c r="N364" s="58">
        <v>0</v>
      </c>
      <c r="O364" s="40"/>
      <c r="P364" s="37"/>
      <c r="Q364" s="49"/>
      <c r="R364" s="49"/>
      <c r="S364" s="58"/>
      <c r="T364" s="58"/>
      <c r="U364" s="58"/>
      <c r="V364" s="58"/>
      <c r="W364" s="58"/>
      <c r="X364" s="58"/>
      <c r="Y364" s="58">
        <v>0</v>
      </c>
    </row>
    <row r="365" spans="1:25" s="49" customFormat="1">
      <c r="C365" s="49" t="s">
        <v>76</v>
      </c>
      <c r="D365" s="58">
        <v>0</v>
      </c>
      <c r="E365" s="58"/>
      <c r="F365" s="58">
        <v>0</v>
      </c>
      <c r="G365" s="58"/>
      <c r="H365" s="58">
        <v>0</v>
      </c>
      <c r="I365" s="58"/>
      <c r="J365" s="58">
        <v>0</v>
      </c>
      <c r="K365" s="58"/>
      <c r="L365" s="58">
        <v>0</v>
      </c>
      <c r="M365" s="58"/>
      <c r="N365" s="58">
        <v>0</v>
      </c>
      <c r="O365" s="40"/>
      <c r="P365" s="37"/>
      <c r="S365" s="58"/>
      <c r="T365" s="58"/>
      <c r="U365" s="58"/>
      <c r="V365" s="58"/>
      <c r="W365" s="58"/>
      <c r="X365" s="58"/>
      <c r="Y365" s="58">
        <v>0</v>
      </c>
    </row>
    <row r="366" spans="1:25" s="49" customFormat="1">
      <c r="A366" s="2"/>
      <c r="B366" s="2"/>
      <c r="C366" s="49" t="s">
        <v>78</v>
      </c>
      <c r="D366" s="58">
        <v>0</v>
      </c>
      <c r="E366" s="58"/>
      <c r="F366" s="58">
        <v>0</v>
      </c>
      <c r="G366" s="58"/>
      <c r="H366" s="58">
        <v>0</v>
      </c>
      <c r="I366" s="58"/>
      <c r="J366" s="58">
        <v>0</v>
      </c>
      <c r="K366" s="58"/>
      <c r="L366" s="58">
        <v>0</v>
      </c>
      <c r="M366" s="58"/>
      <c r="N366" s="58">
        <v>0</v>
      </c>
      <c r="O366" s="40"/>
      <c r="P366" s="37"/>
      <c r="S366" s="58"/>
      <c r="T366" s="58"/>
      <c r="U366" s="58"/>
      <c r="V366" s="58"/>
      <c r="W366" s="58"/>
      <c r="X366" s="58"/>
      <c r="Y366" s="58">
        <v>0</v>
      </c>
    </row>
    <row r="367" spans="1:25" s="49" customFormat="1">
      <c r="A367" s="2"/>
      <c r="B367" s="2"/>
      <c r="C367" s="59" t="s">
        <v>114</v>
      </c>
      <c r="D367" s="58">
        <v>0</v>
      </c>
      <c r="E367" s="58"/>
      <c r="F367" s="58">
        <v>0</v>
      </c>
      <c r="G367" s="58"/>
      <c r="H367" s="58">
        <v>0</v>
      </c>
      <c r="I367" s="58"/>
      <c r="J367" s="58">
        <v>0</v>
      </c>
      <c r="K367" s="58"/>
      <c r="L367" s="58">
        <v>0</v>
      </c>
      <c r="M367" s="58"/>
      <c r="N367" s="58">
        <v>0</v>
      </c>
      <c r="O367" s="40"/>
      <c r="P367" s="40"/>
      <c r="Q367" s="59"/>
      <c r="R367" s="59"/>
      <c r="S367" s="58"/>
      <c r="T367" s="58"/>
      <c r="U367" s="58"/>
      <c r="V367" s="58"/>
      <c r="W367" s="58"/>
      <c r="X367" s="58"/>
      <c r="Y367" s="58">
        <v>0</v>
      </c>
    </row>
    <row r="368" spans="1:25" s="49" customFormat="1">
      <c r="A368" s="2"/>
      <c r="B368" s="2"/>
      <c r="C368" s="49" t="s">
        <v>82</v>
      </c>
      <c r="D368" s="60">
        <v>0</v>
      </c>
      <c r="E368" s="58"/>
      <c r="F368" s="60">
        <v>0</v>
      </c>
      <c r="G368" s="58"/>
      <c r="H368" s="60">
        <v>0</v>
      </c>
      <c r="I368" s="58"/>
      <c r="J368" s="60">
        <v>0</v>
      </c>
      <c r="K368" s="58"/>
      <c r="L368" s="60">
        <v>0</v>
      </c>
      <c r="M368" s="58"/>
      <c r="N368" s="60">
        <v>0</v>
      </c>
      <c r="O368" s="40"/>
      <c r="P368" s="37"/>
      <c r="S368" s="58"/>
      <c r="T368" s="58"/>
      <c r="U368" s="58"/>
      <c r="V368" s="58"/>
      <c r="W368" s="58"/>
      <c r="X368" s="60"/>
      <c r="Y368" s="60">
        <v>0</v>
      </c>
    </row>
    <row r="369" spans="1:25" s="49" customFormat="1">
      <c r="A369" s="2"/>
      <c r="B369" s="2"/>
      <c r="D369" s="58">
        <v>0</v>
      </c>
      <c r="E369" s="58"/>
      <c r="F369" s="58">
        <v>0</v>
      </c>
      <c r="G369" s="58"/>
      <c r="H369" s="58">
        <v>0</v>
      </c>
      <c r="I369" s="58"/>
      <c r="J369" s="58">
        <v>0</v>
      </c>
      <c r="K369" s="58"/>
      <c r="L369" s="58">
        <v>0</v>
      </c>
      <c r="M369" s="58"/>
      <c r="N369" s="58">
        <v>0</v>
      </c>
      <c r="O369" s="40"/>
      <c r="P369" s="37"/>
      <c r="S369" s="58"/>
      <c r="T369" s="58"/>
      <c r="U369" s="58"/>
      <c r="V369" s="58"/>
      <c r="W369" s="58"/>
      <c r="X369" s="58"/>
      <c r="Y369" s="58"/>
    </row>
    <row r="370" spans="1:25">
      <c r="C370" s="49"/>
      <c r="D370" s="58"/>
      <c r="E370" s="52"/>
      <c r="F370" s="58"/>
      <c r="G370" s="52"/>
      <c r="H370" s="58"/>
      <c r="I370" s="52"/>
      <c r="J370" s="58"/>
      <c r="K370" s="52"/>
      <c r="L370" s="58"/>
      <c r="M370" s="52"/>
      <c r="N370" s="58"/>
      <c r="O370" s="37"/>
      <c r="P370" s="37"/>
      <c r="Q370" s="49"/>
      <c r="R370" s="49"/>
      <c r="S370" s="58"/>
      <c r="T370" s="58"/>
      <c r="U370" s="58"/>
      <c r="V370" s="58"/>
      <c r="W370" s="58"/>
      <c r="X370" s="58"/>
      <c r="Y370" s="58"/>
    </row>
    <row r="371" spans="1:25">
      <c r="C371" s="49"/>
      <c r="D371" s="52"/>
      <c r="E371" s="52"/>
      <c r="F371" s="52"/>
      <c r="G371" s="52"/>
      <c r="H371" s="52"/>
      <c r="I371" s="52"/>
      <c r="J371" s="52"/>
      <c r="K371" s="52"/>
      <c r="L371" s="52"/>
      <c r="M371" s="52"/>
      <c r="N371" s="52"/>
      <c r="O371" s="37"/>
      <c r="P371" s="37"/>
      <c r="Q371" s="49"/>
      <c r="R371" s="49"/>
      <c r="S371" s="52"/>
      <c r="T371" s="58"/>
      <c r="U371" s="58"/>
      <c r="V371" s="58"/>
      <c r="W371" s="52"/>
      <c r="X371" s="52"/>
      <c r="Y371" s="52"/>
    </row>
    <row r="372" spans="1:25" ht="13.5" thickBot="1">
      <c r="C372" s="57" t="s">
        <v>119</v>
      </c>
      <c r="D372" s="61">
        <v>0</v>
      </c>
      <c r="E372" s="52"/>
      <c r="F372" s="61">
        <v>0</v>
      </c>
      <c r="G372" s="52"/>
      <c r="H372" s="61">
        <v>0</v>
      </c>
      <c r="I372" s="52"/>
      <c r="J372" s="61">
        <v>0</v>
      </c>
      <c r="K372" s="52"/>
      <c r="L372" s="61">
        <v>0</v>
      </c>
      <c r="M372" s="52"/>
      <c r="N372" s="61">
        <v>0</v>
      </c>
      <c r="O372" s="37"/>
      <c r="P372" s="37"/>
      <c r="Q372" s="49"/>
      <c r="R372" s="49"/>
      <c r="S372" s="52"/>
      <c r="T372" s="58"/>
      <c r="U372" s="58"/>
      <c r="V372" s="58"/>
      <c r="W372" s="52"/>
      <c r="X372" s="61">
        <v>0</v>
      </c>
      <c r="Y372" s="61">
        <v>0</v>
      </c>
    </row>
    <row r="373" spans="1:25" ht="13.5" thickTop="1">
      <c r="S373" s="52"/>
      <c r="T373" s="58"/>
      <c r="U373" s="58"/>
      <c r="V373" s="58"/>
      <c r="W373" s="52"/>
    </row>
    <row r="374" spans="1:25">
      <c r="T374" s="232"/>
      <c r="U374" s="29"/>
      <c r="V374" s="232"/>
    </row>
  </sheetData>
  <pageMargins left="0.75" right="0.75" top="1" bottom="1" header="0.5" footer="0.5"/>
  <pageSetup scale="46"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656"/>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235" customWidth="1"/>
    <col min="2" max="2" width="4.21875" style="235" customWidth="1"/>
    <col min="3" max="3" width="6.44140625" style="235" customWidth="1"/>
    <col min="4" max="4" width="58.33203125" style="236" bestFit="1" customWidth="1"/>
    <col min="5" max="5" width="13.109375" style="236" customWidth="1"/>
    <col min="6" max="18" width="9.33203125" style="235" customWidth="1"/>
    <col min="19" max="19" width="12.21875" style="235" customWidth="1"/>
    <col min="20" max="20" width="7.77734375" style="235"/>
    <col min="21" max="22" width="10.33203125" style="235" bestFit="1" customWidth="1"/>
    <col min="23" max="16384" width="7.77734375" style="235"/>
  </cols>
  <sheetData>
    <row r="1" spans="1:19" s="401" customFormat="1" ht="18.75">
      <c r="A1" s="400"/>
      <c r="D1" s="402"/>
      <c r="E1" s="402"/>
    </row>
    <row r="2" spans="1:19" s="433" customFormat="1" ht="30">
      <c r="A2" s="433" t="s">
        <v>1719</v>
      </c>
      <c r="B2" s="433" t="s">
        <v>1720</v>
      </c>
      <c r="C2" s="433" t="s">
        <v>1721</v>
      </c>
      <c r="D2" s="434" t="s">
        <v>2531</v>
      </c>
      <c r="E2" s="435" t="s">
        <v>2216</v>
      </c>
      <c r="F2" s="433" t="s">
        <v>2504</v>
      </c>
      <c r="G2" s="433" t="s">
        <v>2473</v>
      </c>
      <c r="H2" s="433" t="s">
        <v>2474</v>
      </c>
      <c r="I2" s="433" t="s">
        <v>2475</v>
      </c>
      <c r="J2" s="433" t="s">
        <v>2476</v>
      </c>
      <c r="K2" s="433" t="s">
        <v>2477</v>
      </c>
      <c r="L2" s="433" t="s">
        <v>2478</v>
      </c>
      <c r="M2" s="433" t="s">
        <v>2400</v>
      </c>
      <c r="N2" s="433" t="s">
        <v>2401</v>
      </c>
      <c r="O2" s="433" t="s">
        <v>2402</v>
      </c>
      <c r="P2" s="433" t="s">
        <v>2403</v>
      </c>
      <c r="Q2" s="433" t="s">
        <v>2404</v>
      </c>
      <c r="R2" s="433" t="s">
        <v>2405</v>
      </c>
      <c r="S2" s="433" t="s">
        <v>2505</v>
      </c>
    </row>
    <row r="3" spans="1:19" s="433" customFormat="1">
      <c r="D3" s="434" t="s">
        <v>2546</v>
      </c>
      <c r="E3" s="435"/>
    </row>
    <row r="4" spans="1:19" s="429" customFormat="1">
      <c r="D4" s="430"/>
      <c r="E4" s="428"/>
    </row>
    <row r="5" spans="1:19" s="429" customFormat="1">
      <c r="D5" s="721" t="s">
        <v>1722</v>
      </c>
      <c r="E5" s="722"/>
    </row>
    <row r="6" spans="1:19" s="429" customFormat="1">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row>
    <row r="7" spans="1:19" s="429" customFormat="1">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row>
    <row r="8" spans="1:19" s="429" customFormat="1">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row>
    <row r="9" spans="1:19" s="429" customFormat="1">
      <c r="A9" s="429" t="str">
        <f t="shared" si="0"/>
        <v>KU</v>
      </c>
      <c r="B9" s="429" t="str">
        <f t="shared" si="1"/>
        <v>KY</v>
      </c>
      <c r="C9" s="429" t="str">
        <f t="shared" si="2"/>
        <v>303</v>
      </c>
      <c r="D9" s="430" t="s">
        <v>1726</v>
      </c>
      <c r="E9" s="428" t="str">
        <f t="shared" si="3"/>
        <v/>
      </c>
      <c r="F9" s="429">
        <v>63093.99596</v>
      </c>
      <c r="G9" s="429">
        <v>62874.341260000001</v>
      </c>
      <c r="H9" s="429">
        <v>62121.557520000002</v>
      </c>
      <c r="I9" s="429">
        <v>62051.825250000002</v>
      </c>
      <c r="J9" s="429">
        <v>61746.027220000004</v>
      </c>
      <c r="K9" s="429">
        <v>61713.510320000001</v>
      </c>
      <c r="L9" s="429">
        <v>60742.317580000003</v>
      </c>
      <c r="M9" s="429">
        <v>64277.742180000001</v>
      </c>
      <c r="N9" s="429">
        <v>64631.884299999998</v>
      </c>
      <c r="O9" s="429">
        <v>64100.65958</v>
      </c>
      <c r="P9" s="429">
        <v>70213.285229999994</v>
      </c>
      <c r="Q9" s="429">
        <v>71660.488710000005</v>
      </c>
      <c r="R9" s="429">
        <v>75775.188089999996</v>
      </c>
    </row>
    <row r="10" spans="1:19" s="429" customFormat="1">
      <c r="A10" s="429" t="str">
        <f t="shared" si="0"/>
        <v>KU</v>
      </c>
      <c r="B10" s="429" t="str">
        <f t="shared" si="1"/>
        <v>KY</v>
      </c>
      <c r="C10" s="429" t="str">
        <f t="shared" si="2"/>
        <v>303</v>
      </c>
      <c r="D10" s="430" t="s">
        <v>1727</v>
      </c>
      <c r="E10" s="428" t="str">
        <f t="shared" si="3"/>
        <v/>
      </c>
      <c r="F10" s="429">
        <v>55494.363989999998</v>
      </c>
      <c r="G10" s="429">
        <v>55494.363989999998</v>
      </c>
      <c r="H10" s="429">
        <v>55494.363989999998</v>
      </c>
      <c r="I10" s="429">
        <v>55494.363989999998</v>
      </c>
      <c r="J10" s="429">
        <v>55494.363989999998</v>
      </c>
      <c r="K10" s="429">
        <v>55494.363989999998</v>
      </c>
      <c r="L10" s="429">
        <v>55494.363989999998</v>
      </c>
      <c r="M10" s="429">
        <v>55494.363989999998</v>
      </c>
      <c r="N10" s="429">
        <v>55494.363989999998</v>
      </c>
      <c r="O10" s="429">
        <v>55814.895100000002</v>
      </c>
      <c r="P10" s="429">
        <v>55827.376219999998</v>
      </c>
      <c r="Q10" s="429">
        <v>55834.586320000002</v>
      </c>
      <c r="R10" s="429">
        <v>55973.697460000003</v>
      </c>
    </row>
    <row r="11" spans="1:19" s="429" customFormat="1">
      <c r="A11" s="429" t="str">
        <f t="shared" si="0"/>
        <v>KU</v>
      </c>
      <c r="B11" s="429" t="str">
        <f t="shared" si="1"/>
        <v>KY</v>
      </c>
      <c r="C11" s="429" t="str">
        <f t="shared" si="2"/>
        <v>310</v>
      </c>
      <c r="D11" s="430" t="s">
        <v>1728</v>
      </c>
      <c r="E11" s="428" t="str">
        <f t="shared" si="3"/>
        <v>ECR</v>
      </c>
      <c r="F11" s="429">
        <v>11554.118199999901</v>
      </c>
      <c r="G11" s="429">
        <v>11554.118199999901</v>
      </c>
      <c r="H11" s="429">
        <v>11554.118199999901</v>
      </c>
      <c r="I11" s="429">
        <v>11554.118199999901</v>
      </c>
      <c r="J11" s="429">
        <v>11554.118199999901</v>
      </c>
      <c r="K11" s="429">
        <v>11554.118199999901</v>
      </c>
      <c r="L11" s="429">
        <v>11554.118199999901</v>
      </c>
      <c r="M11" s="429">
        <v>11557.3881799999</v>
      </c>
      <c r="N11" s="429">
        <v>11606.6685599999</v>
      </c>
      <c r="O11" s="429">
        <v>11621.0685599999</v>
      </c>
      <c r="P11" s="429">
        <v>11621.0685599999</v>
      </c>
      <c r="Q11" s="429">
        <v>11621.0685599999</v>
      </c>
      <c r="R11" s="429">
        <v>11621.0685599999</v>
      </c>
    </row>
    <row r="12" spans="1:19" s="429" customFormat="1">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row>
    <row r="13" spans="1:19" s="429" customFormat="1">
      <c r="A13" s="429" t="str">
        <f t="shared" si="0"/>
        <v>KU</v>
      </c>
      <c r="B13" s="429" t="str">
        <f t="shared" si="1"/>
        <v>KY</v>
      </c>
      <c r="C13" s="429" t="str">
        <f t="shared" si="2"/>
        <v>310</v>
      </c>
      <c r="D13" s="430" t="s">
        <v>2506</v>
      </c>
      <c r="E13" s="428" t="str">
        <f t="shared" si="3"/>
        <v>ECR</v>
      </c>
      <c r="F13" s="429">
        <v>0</v>
      </c>
      <c r="G13" s="429">
        <v>0</v>
      </c>
      <c r="H13" s="429">
        <v>0</v>
      </c>
      <c r="I13" s="429">
        <v>0</v>
      </c>
      <c r="J13" s="429">
        <v>0</v>
      </c>
      <c r="K13" s="429">
        <v>0</v>
      </c>
      <c r="L13" s="429">
        <v>0</v>
      </c>
      <c r="M13" s="429">
        <v>0</v>
      </c>
      <c r="N13" s="429">
        <v>0</v>
      </c>
      <c r="O13" s="429">
        <v>0</v>
      </c>
      <c r="P13" s="429">
        <v>0</v>
      </c>
      <c r="Q13" s="429">
        <v>0</v>
      </c>
      <c r="R13" s="429">
        <v>12.94003</v>
      </c>
    </row>
    <row r="14" spans="1:19" s="429" customFormat="1">
      <c r="A14" s="429" t="str">
        <f t="shared" si="0"/>
        <v>KU</v>
      </c>
      <c r="B14" s="429" t="str">
        <f t="shared" si="1"/>
        <v>KY</v>
      </c>
      <c r="C14" s="429" t="str">
        <f t="shared" si="2"/>
        <v>310</v>
      </c>
      <c r="D14" s="430" t="s">
        <v>1730</v>
      </c>
      <c r="E14" s="428" t="str">
        <f t="shared" si="3"/>
        <v/>
      </c>
      <c r="F14" s="429">
        <v>11210.270270000001</v>
      </c>
      <c r="G14" s="429">
        <v>11210.270270000001</v>
      </c>
      <c r="H14" s="429">
        <v>11210.270270000001</v>
      </c>
      <c r="I14" s="429">
        <v>11210.270270000001</v>
      </c>
      <c r="J14" s="429">
        <v>11210.270270000001</v>
      </c>
      <c r="K14" s="429">
        <v>11210.270270000001</v>
      </c>
      <c r="L14" s="429">
        <v>11210.270270000001</v>
      </c>
      <c r="M14" s="429">
        <v>11311.99547</v>
      </c>
      <c r="N14" s="429">
        <v>11311.99547</v>
      </c>
      <c r="O14" s="429">
        <v>11406.341850000001</v>
      </c>
      <c r="P14" s="429">
        <v>11406.341850000001</v>
      </c>
      <c r="Q14" s="429">
        <v>11406.341850000001</v>
      </c>
      <c r="R14" s="429">
        <v>11406.341850000001</v>
      </c>
    </row>
    <row r="15" spans="1:19" s="429" customFormat="1">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row>
    <row r="16" spans="1:19" s="429" customFormat="1">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row>
    <row r="17" spans="1:18" s="429" customFormat="1">
      <c r="A17" s="429" t="str">
        <f t="shared" si="0"/>
        <v>KU</v>
      </c>
      <c r="B17" s="429" t="str">
        <f t="shared" si="1"/>
        <v>KY</v>
      </c>
      <c r="C17" s="429" t="str">
        <f t="shared" si="2"/>
        <v>311</v>
      </c>
      <c r="D17" s="430" t="s">
        <v>1732</v>
      </c>
      <c r="E17" s="428" t="str">
        <f t="shared" si="3"/>
        <v/>
      </c>
      <c r="F17" s="429">
        <v>326953.90307</v>
      </c>
      <c r="G17" s="429">
        <v>327241.21591000003</v>
      </c>
      <c r="H17" s="429">
        <v>327222.23891000001</v>
      </c>
      <c r="I17" s="429">
        <v>327420.51780999999</v>
      </c>
      <c r="J17" s="429">
        <v>327420.16661999997</v>
      </c>
      <c r="K17" s="429">
        <v>330151.04126000003</v>
      </c>
      <c r="L17" s="429">
        <v>330763.75571999903</v>
      </c>
      <c r="M17" s="429">
        <v>330782.95443999901</v>
      </c>
      <c r="N17" s="429">
        <v>331584.99511999899</v>
      </c>
      <c r="O17" s="429">
        <v>332001.79194999899</v>
      </c>
      <c r="P17" s="429">
        <v>332403.68628999899</v>
      </c>
      <c r="Q17" s="429">
        <v>332403.68628999899</v>
      </c>
      <c r="R17" s="429">
        <v>332666.130639999</v>
      </c>
    </row>
    <row r="18" spans="1:18" s="429" customFormat="1">
      <c r="A18" s="429" t="str">
        <f t="shared" si="0"/>
        <v>KU</v>
      </c>
      <c r="B18" s="429" t="str">
        <f t="shared" si="1"/>
        <v>KY</v>
      </c>
      <c r="C18" s="429" t="str">
        <f t="shared" si="2"/>
        <v>312</v>
      </c>
      <c r="D18" s="430" t="s">
        <v>1733</v>
      </c>
      <c r="E18" s="428" t="str">
        <f t="shared" si="3"/>
        <v/>
      </c>
      <c r="F18" s="429">
        <v>2699077.4495599899</v>
      </c>
      <c r="G18" s="429">
        <v>2698571.6349599902</v>
      </c>
      <c r="H18" s="429">
        <v>2693422.5730799902</v>
      </c>
      <c r="I18" s="429">
        <v>2696871.1416799901</v>
      </c>
      <c r="J18" s="429">
        <v>2698154.3623799901</v>
      </c>
      <c r="K18" s="429">
        <v>2701899.5095399902</v>
      </c>
      <c r="L18" s="429">
        <v>2710320.16753999</v>
      </c>
      <c r="M18" s="429">
        <v>2710854.8020999902</v>
      </c>
      <c r="N18" s="429">
        <v>2712793.2637999901</v>
      </c>
      <c r="O18" s="429">
        <v>2713737.1781299901</v>
      </c>
      <c r="P18" s="429">
        <v>2717782.8998499899</v>
      </c>
      <c r="Q18" s="429">
        <v>2737497.5772599899</v>
      </c>
      <c r="R18" s="429">
        <v>2751753.4757799902</v>
      </c>
    </row>
    <row r="19" spans="1:18" s="429" customFormat="1">
      <c r="A19" s="429" t="str">
        <f t="shared" si="0"/>
        <v>KU</v>
      </c>
      <c r="B19" s="429" t="str">
        <f t="shared" si="1"/>
        <v>KY</v>
      </c>
      <c r="C19" s="429" t="str">
        <f t="shared" si="2"/>
        <v>312</v>
      </c>
      <c r="D19" s="430" t="s">
        <v>1734</v>
      </c>
      <c r="E19" s="428" t="str">
        <f t="shared" si="3"/>
        <v>ECR</v>
      </c>
      <c r="F19" s="429">
        <v>448564.20075000002</v>
      </c>
      <c r="G19" s="429">
        <v>448553.01264999999</v>
      </c>
      <c r="H19" s="429">
        <v>448553.01264999999</v>
      </c>
      <c r="I19" s="429">
        <v>448553.01264999999</v>
      </c>
      <c r="J19" s="429">
        <v>448553.01264999999</v>
      </c>
      <c r="K19" s="429">
        <v>448553.01264999999</v>
      </c>
      <c r="L19" s="429">
        <v>448553.01264999999</v>
      </c>
      <c r="M19" s="429">
        <v>451070.89649999997</v>
      </c>
      <c r="N19" s="429">
        <v>483857.73844999901</v>
      </c>
      <c r="O19" s="429">
        <v>512142.41482999898</v>
      </c>
      <c r="P19" s="429">
        <v>513890.54743999901</v>
      </c>
      <c r="Q19" s="429">
        <v>515471.04132999899</v>
      </c>
      <c r="R19" s="429">
        <v>516904.654979999</v>
      </c>
    </row>
    <row r="20" spans="1:18" s="429" customFormat="1">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817827.56720000005</v>
      </c>
      <c r="G20" s="429">
        <v>817827.56720000005</v>
      </c>
      <c r="H20" s="429">
        <v>817827.56720000005</v>
      </c>
      <c r="I20" s="429">
        <v>817827.56720000005</v>
      </c>
      <c r="J20" s="429">
        <v>817824.85479999997</v>
      </c>
      <c r="K20" s="429">
        <v>817824.85479999997</v>
      </c>
      <c r="L20" s="429">
        <v>821997.38549999997</v>
      </c>
      <c r="M20" s="429">
        <v>824950.25812999997</v>
      </c>
      <c r="N20" s="429">
        <v>824950.25812999997</v>
      </c>
      <c r="O20" s="429">
        <v>824950.25812999997</v>
      </c>
      <c r="P20" s="429">
        <v>824950.25812999997</v>
      </c>
      <c r="Q20" s="429">
        <v>824950.25812999997</v>
      </c>
      <c r="R20" s="429">
        <v>824950.25812999997</v>
      </c>
    </row>
    <row r="21" spans="1:18" s="429" customFormat="1">
      <c r="A21" s="429" t="str">
        <f t="shared" si="0"/>
        <v>KU</v>
      </c>
      <c r="B21" s="429" t="str">
        <f t="shared" si="1"/>
        <v>KY</v>
      </c>
      <c r="C21" s="429" t="str">
        <f t="shared" si="2"/>
        <v>312</v>
      </c>
      <c r="D21" s="430" t="s">
        <v>2195</v>
      </c>
      <c r="E21" s="428" t="str">
        <f t="shared" ref="E21:E84" si="4">IF(ISTEXT(MID($D21,SEARCH("FUTURE USE",$D21),3)),"FUTURE USE",IF(ISTEXT(MID($D21,SEARCH("ECR",$D21),3)),"ECR",IF(ISTEXT(MID($D21,SEARCH("ARO",$D21),3)),"ARO",IF(ISTEXT(MID($D21,SEARCH("DSM",$D21),3)),"DSM",""))))</f>
        <v>ECR</v>
      </c>
      <c r="F21" s="429">
        <v>3427.2674699999998</v>
      </c>
      <c r="G21" s="429">
        <v>6618.6804300000003</v>
      </c>
      <c r="H21" s="429">
        <v>6618.6804300000003</v>
      </c>
      <c r="I21" s="429">
        <v>6618.6804300000003</v>
      </c>
      <c r="J21" s="429">
        <v>6618.6804300000003</v>
      </c>
      <c r="K21" s="429">
        <v>6618.6804300000003</v>
      </c>
      <c r="L21" s="429">
        <v>6618.6804300000003</v>
      </c>
      <c r="M21" s="429">
        <v>6711.7506899999998</v>
      </c>
      <c r="N21" s="429">
        <v>6711.7506899999998</v>
      </c>
      <c r="O21" s="429">
        <v>6711.7506899999998</v>
      </c>
      <c r="P21" s="429">
        <v>6711.7506899999998</v>
      </c>
      <c r="Q21" s="429">
        <v>6711.7506899999998</v>
      </c>
      <c r="R21" s="429">
        <v>6711.7506899999998</v>
      </c>
    </row>
    <row r="22" spans="1:18" s="429" customFormat="1">
      <c r="A22" s="429" t="str">
        <f t="shared" si="0"/>
        <v>KU</v>
      </c>
      <c r="B22" s="429" t="str">
        <f t="shared" si="1"/>
        <v>KY</v>
      </c>
      <c r="C22" s="429" t="str">
        <f t="shared" si="2"/>
        <v>314</v>
      </c>
      <c r="D22" s="430" t="s">
        <v>1737</v>
      </c>
      <c r="E22" s="428" t="str">
        <f t="shared" si="4"/>
        <v/>
      </c>
      <c r="F22" s="429">
        <v>337507.66561000003</v>
      </c>
      <c r="G22" s="429">
        <v>337884.98684000003</v>
      </c>
      <c r="H22" s="429">
        <v>337883.88493</v>
      </c>
      <c r="I22" s="429">
        <v>338238.97216</v>
      </c>
      <c r="J22" s="429">
        <v>338316.42495999997</v>
      </c>
      <c r="K22" s="429">
        <v>339328.15019000001</v>
      </c>
      <c r="L22" s="429">
        <v>342440.00678</v>
      </c>
      <c r="M22" s="429">
        <v>343160.81549999898</v>
      </c>
      <c r="N22" s="429">
        <v>343605.83175999997</v>
      </c>
      <c r="O22" s="429">
        <v>343608.50678999902</v>
      </c>
      <c r="P22" s="429">
        <v>343797.27668999898</v>
      </c>
      <c r="Q22" s="429">
        <v>352625.37273999897</v>
      </c>
      <c r="R22" s="429">
        <v>354730.54735999898</v>
      </c>
    </row>
    <row r="23" spans="1:18" s="429" customFormat="1">
      <c r="A23" s="429" t="str">
        <f t="shared" si="0"/>
        <v>KU</v>
      </c>
      <c r="B23" s="429" t="str">
        <f t="shared" si="1"/>
        <v>KY</v>
      </c>
      <c r="C23" s="429" t="str">
        <f t="shared" si="2"/>
        <v>315</v>
      </c>
      <c r="D23" s="430" t="s">
        <v>1738</v>
      </c>
      <c r="E23" s="428" t="str">
        <f t="shared" si="4"/>
        <v/>
      </c>
      <c r="F23" s="429">
        <v>215623.68127</v>
      </c>
      <c r="G23" s="429">
        <v>215656.51001</v>
      </c>
      <c r="H23" s="429">
        <v>215656.51001</v>
      </c>
      <c r="I23" s="429">
        <v>215656.51001</v>
      </c>
      <c r="J23" s="429">
        <v>215656.51001</v>
      </c>
      <c r="K23" s="429">
        <v>215152.51324999999</v>
      </c>
      <c r="L23" s="429">
        <v>215757.42246999999</v>
      </c>
      <c r="M23" s="429">
        <v>215790.95744</v>
      </c>
      <c r="N23" s="429">
        <v>216011.31167999899</v>
      </c>
      <c r="O23" s="429">
        <v>216367.43487999999</v>
      </c>
      <c r="P23" s="429">
        <v>216433.83293999999</v>
      </c>
      <c r="Q23" s="429">
        <v>216886.57756999999</v>
      </c>
      <c r="R23" s="429">
        <v>217292.26632999899</v>
      </c>
    </row>
    <row r="24" spans="1:18" s="429" customFormat="1">
      <c r="A24" s="429" t="str">
        <f t="shared" si="0"/>
        <v>KU</v>
      </c>
      <c r="B24" s="429" t="str">
        <f t="shared" si="1"/>
        <v>KY</v>
      </c>
      <c r="C24" s="429" t="str">
        <f t="shared" si="2"/>
        <v>315</v>
      </c>
      <c r="D24" s="430" t="s">
        <v>2196</v>
      </c>
      <c r="E24" s="428" t="str">
        <f t="shared" si="4"/>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row>
    <row r="25" spans="1:18" s="429" customFormat="1">
      <c r="A25" s="429" t="str">
        <f t="shared" si="0"/>
        <v>KU</v>
      </c>
      <c r="B25" s="429" t="str">
        <f t="shared" si="1"/>
        <v>KY</v>
      </c>
      <c r="C25" s="429" t="str">
        <f t="shared" si="2"/>
        <v>315</v>
      </c>
      <c r="D25" s="430" t="s">
        <v>1739</v>
      </c>
      <c r="E25" s="428" t="str">
        <f t="shared" si="4"/>
        <v>ECR</v>
      </c>
      <c r="F25" s="429">
        <v>14695.661179999999</v>
      </c>
      <c r="G25" s="429">
        <v>14695.661179999999</v>
      </c>
      <c r="H25" s="429">
        <v>14695.661179999999</v>
      </c>
      <c r="I25" s="429">
        <v>14695.661179999999</v>
      </c>
      <c r="J25" s="429">
        <v>14695.661179999999</v>
      </c>
      <c r="K25" s="429">
        <v>14695.661179999999</v>
      </c>
      <c r="L25" s="429">
        <v>14764.05416</v>
      </c>
      <c r="M25" s="429">
        <v>14764.05416</v>
      </c>
      <c r="N25" s="429">
        <v>14764.05416</v>
      </c>
      <c r="O25" s="429">
        <v>14764.05416</v>
      </c>
      <c r="P25" s="429">
        <v>14764.05416</v>
      </c>
      <c r="Q25" s="429">
        <v>14764.05416</v>
      </c>
      <c r="R25" s="429">
        <v>14764.05416</v>
      </c>
    </row>
    <row r="26" spans="1:18" s="429" customFormat="1">
      <c r="A26" s="429" t="str">
        <f t="shared" si="0"/>
        <v>KU</v>
      </c>
      <c r="B26" s="429" t="str">
        <f t="shared" si="1"/>
        <v>KY</v>
      </c>
      <c r="C26" s="429" t="str">
        <f t="shared" si="2"/>
        <v>316</v>
      </c>
      <c r="D26" s="430" t="s">
        <v>2197</v>
      </c>
      <c r="E26" s="428" t="str">
        <f t="shared" si="4"/>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row>
    <row r="27" spans="1:18" s="429" customFormat="1">
      <c r="A27" s="429" t="str">
        <f t="shared" si="0"/>
        <v>KU</v>
      </c>
      <c r="B27" s="429" t="str">
        <f t="shared" si="1"/>
        <v>KY</v>
      </c>
      <c r="C27" s="429" t="str">
        <f t="shared" si="2"/>
        <v>316</v>
      </c>
      <c r="D27" s="430" t="s">
        <v>1740</v>
      </c>
      <c r="E27" s="428" t="str">
        <f t="shared" si="4"/>
        <v/>
      </c>
      <c r="F27" s="429">
        <v>35776.662340000003</v>
      </c>
      <c r="G27" s="429">
        <v>36112.245730000002</v>
      </c>
      <c r="H27" s="429">
        <v>35972.205499999996</v>
      </c>
      <c r="I27" s="429">
        <v>36018.859979999899</v>
      </c>
      <c r="J27" s="429">
        <v>36086.397169999997</v>
      </c>
      <c r="K27" s="429">
        <v>35579.5498899999</v>
      </c>
      <c r="L27" s="429">
        <v>35841.932589999997</v>
      </c>
      <c r="M27" s="429">
        <v>36197.8607999999</v>
      </c>
      <c r="N27" s="429">
        <v>36510.934659999897</v>
      </c>
      <c r="O27" s="429">
        <v>36563.917489999898</v>
      </c>
      <c r="P27" s="429">
        <v>37093.574229999896</v>
      </c>
      <c r="Q27" s="429">
        <v>37093.574229999896</v>
      </c>
      <c r="R27" s="429">
        <v>37446.286739999901</v>
      </c>
    </row>
    <row r="28" spans="1:18" s="429" customFormat="1">
      <c r="A28" s="429" t="str">
        <f t="shared" si="0"/>
        <v>KU</v>
      </c>
      <c r="B28" s="429" t="str">
        <f t="shared" si="1"/>
        <v>KY</v>
      </c>
      <c r="C28" s="429" t="str">
        <f t="shared" si="2"/>
        <v>317</v>
      </c>
      <c r="D28" s="430" t="s">
        <v>1741</v>
      </c>
      <c r="E28" s="428" t="str">
        <f t="shared" si="4"/>
        <v>ARO</v>
      </c>
      <c r="F28" s="429">
        <v>34938.3271199999</v>
      </c>
      <c r="G28" s="429">
        <v>34938.3271199999</v>
      </c>
      <c r="H28" s="429">
        <v>34938.3271199999</v>
      </c>
      <c r="I28" s="429">
        <v>32701.839459999999</v>
      </c>
      <c r="J28" s="429">
        <v>32701.839459999999</v>
      </c>
      <c r="K28" s="429">
        <v>32701.839459999999</v>
      </c>
      <c r="L28" s="429">
        <v>32810.029009999998</v>
      </c>
      <c r="M28" s="429">
        <v>32810.029009999998</v>
      </c>
      <c r="N28" s="429">
        <v>32810.029009999998</v>
      </c>
      <c r="O28" s="429">
        <v>32810.029009999998</v>
      </c>
      <c r="P28" s="429">
        <v>32810.029009999998</v>
      </c>
      <c r="Q28" s="429">
        <v>32810.029009999998</v>
      </c>
      <c r="R28" s="429">
        <v>32810.029009999998</v>
      </c>
    </row>
    <row r="29" spans="1:18" s="429" customFormat="1">
      <c r="A29" s="429" t="str">
        <f t="shared" si="0"/>
        <v>KU</v>
      </c>
      <c r="B29" s="429" t="str">
        <f t="shared" si="1"/>
        <v>KY</v>
      </c>
      <c r="C29" s="429" t="str">
        <f t="shared" si="2"/>
        <v>317</v>
      </c>
      <c r="D29" s="430" t="s">
        <v>2507</v>
      </c>
      <c r="E29" s="428" t="str">
        <f t="shared" si="4"/>
        <v>ARO</v>
      </c>
      <c r="F29" s="429">
        <v>167063.2366</v>
      </c>
      <c r="G29" s="429">
        <v>167063.2366</v>
      </c>
      <c r="H29" s="429">
        <v>167063.2366</v>
      </c>
      <c r="I29" s="429">
        <v>164595.529099999</v>
      </c>
      <c r="J29" s="429">
        <v>173030.591599999</v>
      </c>
      <c r="K29" s="429">
        <v>173030.591599999</v>
      </c>
      <c r="L29" s="429">
        <v>164566.70180000001</v>
      </c>
      <c r="M29" s="429">
        <v>164566.70180000001</v>
      </c>
      <c r="N29" s="429">
        <v>164566.70180000001</v>
      </c>
      <c r="O29" s="429">
        <v>164566.70180000001</v>
      </c>
      <c r="P29" s="429">
        <v>164566.70180000001</v>
      </c>
      <c r="Q29" s="429">
        <v>164566.70180000001</v>
      </c>
      <c r="R29" s="429">
        <v>164566.70180000001</v>
      </c>
    </row>
    <row r="30" spans="1:18" s="429" customFormat="1">
      <c r="A30" s="429" t="str">
        <f t="shared" si="0"/>
        <v>KU</v>
      </c>
      <c r="B30" s="429" t="str">
        <f t="shared" si="1"/>
        <v>KY</v>
      </c>
      <c r="C30" s="429" t="str">
        <f t="shared" si="2"/>
        <v>330</v>
      </c>
      <c r="D30" s="430" t="s">
        <v>1742</v>
      </c>
      <c r="E30" s="428" t="str">
        <f t="shared" si="4"/>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row>
    <row r="31" spans="1:18" s="429" customFormat="1">
      <c r="A31" s="429" t="str">
        <f t="shared" si="0"/>
        <v>KU</v>
      </c>
      <c r="B31" s="429" t="str">
        <f t="shared" si="1"/>
        <v>KY</v>
      </c>
      <c r="C31" s="429" t="str">
        <f t="shared" si="2"/>
        <v>331</v>
      </c>
      <c r="D31" s="430" t="s">
        <v>1743</v>
      </c>
      <c r="E31" s="428" t="str">
        <f t="shared" si="4"/>
        <v/>
      </c>
      <c r="F31" s="429">
        <v>2999.3905399999999</v>
      </c>
      <c r="G31" s="429">
        <v>2999.3905399999999</v>
      </c>
      <c r="H31" s="429">
        <v>2999.3905399999999</v>
      </c>
      <c r="I31" s="429">
        <v>2999.3905399999999</v>
      </c>
      <c r="J31" s="429">
        <v>2999.3905399999999</v>
      </c>
      <c r="K31" s="429">
        <v>2999.3905399999999</v>
      </c>
      <c r="L31" s="429">
        <v>2999.3905399999999</v>
      </c>
      <c r="M31" s="429">
        <v>2999.3905399999999</v>
      </c>
      <c r="N31" s="429">
        <v>4009.8383399999998</v>
      </c>
      <c r="O31" s="429">
        <v>4009.8383399999998</v>
      </c>
      <c r="P31" s="429">
        <v>4009.8383399999998</v>
      </c>
      <c r="Q31" s="429">
        <v>4409.8383400000002</v>
      </c>
      <c r="R31" s="429">
        <v>4409.8383400000002</v>
      </c>
    </row>
    <row r="32" spans="1:18" s="429" customFormat="1">
      <c r="A32" s="429" t="str">
        <f t="shared" si="0"/>
        <v>KU</v>
      </c>
      <c r="B32" s="429" t="str">
        <f t="shared" si="1"/>
        <v>KY</v>
      </c>
      <c r="C32" s="429" t="str">
        <f t="shared" si="2"/>
        <v>332</v>
      </c>
      <c r="D32" s="430" t="s">
        <v>1744</v>
      </c>
      <c r="E32" s="428" t="str">
        <f t="shared" si="4"/>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row>
    <row r="33" spans="1:18" s="429" customFormat="1">
      <c r="A33" s="429" t="str">
        <f t="shared" si="0"/>
        <v>KU</v>
      </c>
      <c r="B33" s="429" t="str">
        <f t="shared" si="1"/>
        <v>KY</v>
      </c>
      <c r="C33" s="429" t="str">
        <f t="shared" si="2"/>
        <v>333</v>
      </c>
      <c r="D33" s="430" t="s">
        <v>1745</v>
      </c>
      <c r="E33" s="428" t="str">
        <f t="shared" si="4"/>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row>
    <row r="34" spans="1:18" s="429" customFormat="1">
      <c r="A34" s="429" t="str">
        <f t="shared" si="0"/>
        <v>KU</v>
      </c>
      <c r="B34" s="429" t="str">
        <f t="shared" si="1"/>
        <v>KY</v>
      </c>
      <c r="C34" s="429" t="str">
        <f t="shared" si="2"/>
        <v>334</v>
      </c>
      <c r="D34" s="430" t="s">
        <v>1746</v>
      </c>
      <c r="E34" s="428" t="str">
        <f t="shared" si="4"/>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row>
    <row r="35" spans="1:18" s="429" customFormat="1">
      <c r="A35" s="429" t="str">
        <f t="shared" si="0"/>
        <v>KU</v>
      </c>
      <c r="B35" s="429" t="str">
        <f t="shared" si="1"/>
        <v>KY</v>
      </c>
      <c r="C35" s="429" t="str">
        <f t="shared" si="2"/>
        <v>335</v>
      </c>
      <c r="D35" s="430" t="s">
        <v>1747</v>
      </c>
      <c r="E35" s="428" t="str">
        <f t="shared" si="4"/>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row>
    <row r="36" spans="1:18" s="429" customFormat="1">
      <c r="A36" s="429" t="str">
        <f t="shared" si="0"/>
        <v>KU</v>
      </c>
      <c r="B36" s="429" t="str">
        <f t="shared" si="1"/>
        <v>KY</v>
      </c>
      <c r="C36" s="429" t="str">
        <f t="shared" si="2"/>
        <v>336</v>
      </c>
      <c r="D36" s="430" t="s">
        <v>1748</v>
      </c>
      <c r="E36" s="428" t="str">
        <f t="shared" si="4"/>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row>
    <row r="37" spans="1:18" s="429" customFormat="1">
      <c r="A37" s="429" t="str">
        <f t="shared" si="0"/>
        <v>KU</v>
      </c>
      <c r="B37" s="429" t="str">
        <f t="shared" si="1"/>
        <v>KY</v>
      </c>
      <c r="C37" s="429" t="str">
        <f t="shared" si="2"/>
        <v>337</v>
      </c>
      <c r="D37" s="430" t="s">
        <v>1749</v>
      </c>
      <c r="E37" s="428" t="str">
        <f t="shared" si="4"/>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row>
    <row r="38" spans="1:18" s="429" customFormat="1">
      <c r="A38" s="429" t="str">
        <f t="shared" si="0"/>
        <v>KU</v>
      </c>
      <c r="B38" s="429" t="str">
        <f t="shared" si="1"/>
        <v>KY</v>
      </c>
      <c r="C38" s="429" t="str">
        <f t="shared" si="2"/>
        <v>340</v>
      </c>
      <c r="D38" s="430" t="s">
        <v>2198</v>
      </c>
      <c r="E38" s="428" t="str">
        <f t="shared" si="4"/>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row>
    <row r="39" spans="1:18" s="429" customFormat="1">
      <c r="A39" s="429" t="str">
        <f t="shared" si="0"/>
        <v>KU</v>
      </c>
      <c r="B39" s="429" t="str">
        <f t="shared" si="1"/>
        <v>KY</v>
      </c>
      <c r="C39" s="429" t="str">
        <f t="shared" si="2"/>
        <v>340</v>
      </c>
      <c r="D39" s="430" t="s">
        <v>2199</v>
      </c>
      <c r="E39" s="428" t="str">
        <f t="shared" si="4"/>
        <v/>
      </c>
      <c r="F39" s="429">
        <v>176.40931</v>
      </c>
      <c r="G39" s="429">
        <v>176.40931</v>
      </c>
      <c r="H39" s="429">
        <v>176.40931</v>
      </c>
      <c r="I39" s="429">
        <v>176.40931</v>
      </c>
      <c r="J39" s="429">
        <v>176.40931</v>
      </c>
      <c r="K39" s="429">
        <v>176.40931</v>
      </c>
      <c r="L39" s="429">
        <v>176.40931</v>
      </c>
      <c r="M39" s="429">
        <v>236.73195999999999</v>
      </c>
      <c r="N39" s="429">
        <v>236.73195999999999</v>
      </c>
      <c r="O39" s="429">
        <v>236.73195999999999</v>
      </c>
      <c r="P39" s="429">
        <v>236.73195999999999</v>
      </c>
      <c r="Q39" s="429">
        <v>236.73195999999999</v>
      </c>
      <c r="R39" s="429">
        <v>236.73195999999999</v>
      </c>
    </row>
    <row r="40" spans="1:18" s="429" customFormat="1">
      <c r="A40" s="429" t="str">
        <f t="shared" si="0"/>
        <v>KU</v>
      </c>
      <c r="B40" s="429" t="str">
        <f t="shared" si="1"/>
        <v>KY</v>
      </c>
      <c r="C40" s="429" t="str">
        <f t="shared" si="2"/>
        <v>340</v>
      </c>
      <c r="D40" s="430" t="s">
        <v>1750</v>
      </c>
      <c r="E40" s="428" t="str">
        <f t="shared" si="4"/>
        <v/>
      </c>
      <c r="F40" s="429">
        <v>297.16921000000002</v>
      </c>
      <c r="G40" s="429">
        <v>297.16921000000002</v>
      </c>
      <c r="H40" s="429">
        <v>297.16921000000002</v>
      </c>
      <c r="I40" s="429">
        <v>297.16921000000002</v>
      </c>
      <c r="J40" s="429">
        <v>297.16921000000002</v>
      </c>
      <c r="K40" s="429">
        <v>297.16921000000002</v>
      </c>
      <c r="L40" s="429">
        <v>297.16921000000002</v>
      </c>
      <c r="M40" s="429">
        <v>666.76921000000004</v>
      </c>
      <c r="N40" s="429">
        <v>666.76921000000004</v>
      </c>
      <c r="O40" s="429">
        <v>666.76921000000004</v>
      </c>
      <c r="P40" s="429">
        <v>666.76921000000004</v>
      </c>
      <c r="Q40" s="429">
        <v>666.76921000000004</v>
      </c>
      <c r="R40" s="429">
        <v>666.76921000000004</v>
      </c>
    </row>
    <row r="41" spans="1:18" s="429" customFormat="1">
      <c r="A41" s="429" t="str">
        <f t="shared" si="0"/>
        <v>KU</v>
      </c>
      <c r="B41" s="429" t="str">
        <f t="shared" si="1"/>
        <v>KY</v>
      </c>
      <c r="C41" s="429" t="str">
        <f t="shared" si="2"/>
        <v>341</v>
      </c>
      <c r="D41" s="430" t="s">
        <v>1751</v>
      </c>
      <c r="E41" s="428" t="str">
        <f t="shared" si="4"/>
        <v/>
      </c>
      <c r="F41" s="429">
        <v>36431.623090000001</v>
      </c>
      <c r="G41" s="429">
        <v>36479.26139</v>
      </c>
      <c r="H41" s="429">
        <v>36479.26139</v>
      </c>
      <c r="I41" s="429">
        <v>36479.26139</v>
      </c>
      <c r="J41" s="429">
        <v>36479.26139</v>
      </c>
      <c r="K41" s="429">
        <v>36479.26139</v>
      </c>
      <c r="L41" s="429">
        <v>36479.26139</v>
      </c>
      <c r="M41" s="429">
        <v>36498.681019999902</v>
      </c>
      <c r="N41" s="429">
        <v>36498.681019999902</v>
      </c>
      <c r="O41" s="429">
        <v>36498.681019999902</v>
      </c>
      <c r="P41" s="429">
        <v>36521.971559999998</v>
      </c>
      <c r="Q41" s="429">
        <v>36521.971559999998</v>
      </c>
      <c r="R41" s="429">
        <v>36521.971559999998</v>
      </c>
    </row>
    <row r="42" spans="1:18" s="429" customFormat="1">
      <c r="A42" s="429" t="str">
        <f t="shared" si="0"/>
        <v>KU</v>
      </c>
      <c r="B42" s="429" t="str">
        <f t="shared" si="1"/>
        <v>KY</v>
      </c>
      <c r="C42" s="429" t="str">
        <f t="shared" si="2"/>
        <v>341</v>
      </c>
      <c r="D42" s="430" t="s">
        <v>2200</v>
      </c>
      <c r="E42" s="428" t="str">
        <f t="shared" si="4"/>
        <v/>
      </c>
      <c r="F42" s="429">
        <v>47831.9764</v>
      </c>
      <c r="G42" s="429">
        <v>48155.46746</v>
      </c>
      <c r="H42" s="429">
        <v>48155.46746</v>
      </c>
      <c r="I42" s="429">
        <v>48155.46746</v>
      </c>
      <c r="J42" s="429">
        <v>48156.571470000003</v>
      </c>
      <c r="K42" s="429">
        <v>48156.571470000003</v>
      </c>
      <c r="L42" s="429">
        <v>48736.745729999901</v>
      </c>
      <c r="M42" s="429">
        <v>49126.785589999898</v>
      </c>
      <c r="N42" s="429">
        <v>49126.785589999898</v>
      </c>
      <c r="O42" s="429">
        <v>49168.267409999899</v>
      </c>
      <c r="P42" s="429">
        <v>49185.817409999901</v>
      </c>
      <c r="Q42" s="429">
        <v>49185.817409999901</v>
      </c>
      <c r="R42" s="429">
        <v>49185.817409999901</v>
      </c>
    </row>
    <row r="43" spans="1:18" s="429" customFormat="1">
      <c r="A43" s="429" t="str">
        <f t="shared" si="0"/>
        <v>KU</v>
      </c>
      <c r="B43" s="429" t="str">
        <f t="shared" si="1"/>
        <v>KY</v>
      </c>
      <c r="C43" s="429" t="str">
        <f t="shared" si="2"/>
        <v>341</v>
      </c>
      <c r="D43" s="430" t="s">
        <v>2201</v>
      </c>
      <c r="E43" s="428" t="str">
        <f t="shared" si="4"/>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row>
    <row r="44" spans="1:18" s="429" customFormat="1">
      <c r="A44" s="429" t="str">
        <f t="shared" si="0"/>
        <v>KU</v>
      </c>
      <c r="B44" s="429" t="str">
        <f t="shared" si="1"/>
        <v>KY</v>
      </c>
      <c r="C44" s="429" t="str">
        <f t="shared" si="2"/>
        <v>342</v>
      </c>
      <c r="D44" s="430" t="s">
        <v>1752</v>
      </c>
      <c r="E44" s="428" t="str">
        <f t="shared" si="4"/>
        <v/>
      </c>
      <c r="F44" s="429">
        <v>12016.672409999999</v>
      </c>
      <c r="G44" s="429">
        <v>12016.672409999999</v>
      </c>
      <c r="H44" s="429">
        <v>12016.672409999999</v>
      </c>
      <c r="I44" s="429">
        <v>12043.72467</v>
      </c>
      <c r="J44" s="429">
        <v>12043.72467</v>
      </c>
      <c r="K44" s="429">
        <v>12043.72467</v>
      </c>
      <c r="L44" s="429">
        <v>12043.72467</v>
      </c>
      <c r="M44" s="429">
        <v>12082.94126</v>
      </c>
      <c r="N44" s="429">
        <v>12082.94126</v>
      </c>
      <c r="O44" s="429">
        <v>12162.94126</v>
      </c>
      <c r="P44" s="429">
        <v>12299.99699</v>
      </c>
      <c r="Q44" s="429">
        <v>12299.99699</v>
      </c>
      <c r="R44" s="429">
        <v>12299.99699</v>
      </c>
    </row>
    <row r="45" spans="1:18" s="429" customFormat="1">
      <c r="A45" s="429" t="str">
        <f t="shared" si="0"/>
        <v>KU</v>
      </c>
      <c r="B45" s="429" t="str">
        <f t="shared" si="1"/>
        <v>KY</v>
      </c>
      <c r="C45" s="429" t="str">
        <f t="shared" si="2"/>
        <v>342</v>
      </c>
      <c r="D45" s="430" t="s">
        <v>2202</v>
      </c>
      <c r="E45" s="428" t="str">
        <f t="shared" si="4"/>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row>
    <row r="46" spans="1:18" s="429" customFormat="1">
      <c r="A46" s="429" t="str">
        <f t="shared" si="0"/>
        <v>KU</v>
      </c>
      <c r="B46" s="429" t="str">
        <f t="shared" si="1"/>
        <v>KY</v>
      </c>
      <c r="C46" s="429" t="str">
        <f t="shared" si="2"/>
        <v>342</v>
      </c>
      <c r="D46" s="430" t="s">
        <v>2203</v>
      </c>
      <c r="E46" s="428" t="str">
        <f t="shared" si="4"/>
        <v/>
      </c>
      <c r="F46" s="429">
        <v>44250.578119999998</v>
      </c>
      <c r="G46" s="429">
        <v>44250.578119999998</v>
      </c>
      <c r="H46" s="429">
        <v>44250.578119999998</v>
      </c>
      <c r="I46" s="429">
        <v>44250.578119999998</v>
      </c>
      <c r="J46" s="429">
        <v>44250.578119999998</v>
      </c>
      <c r="K46" s="429">
        <v>44250.578119999998</v>
      </c>
      <c r="L46" s="429">
        <v>44250.578119999998</v>
      </c>
      <c r="M46" s="429">
        <v>44250.578119999998</v>
      </c>
      <c r="N46" s="429">
        <v>44250.578119999998</v>
      </c>
      <c r="O46" s="429">
        <v>44250.578119999998</v>
      </c>
      <c r="P46" s="429">
        <v>44486.553119999997</v>
      </c>
      <c r="Q46" s="429">
        <v>44486.553119999997</v>
      </c>
      <c r="R46" s="429">
        <v>44486.553119999997</v>
      </c>
    </row>
    <row r="47" spans="1:18" s="429" customFormat="1">
      <c r="A47" s="429" t="str">
        <f t="shared" si="0"/>
        <v>KU</v>
      </c>
      <c r="B47" s="429" t="str">
        <f t="shared" si="1"/>
        <v>KY</v>
      </c>
      <c r="C47" s="429" t="str">
        <f t="shared" si="2"/>
        <v>343</v>
      </c>
      <c r="D47" s="430" t="s">
        <v>1753</v>
      </c>
      <c r="E47" s="428" t="str">
        <f t="shared" si="4"/>
        <v/>
      </c>
      <c r="F47" s="429">
        <v>391978.04872000002</v>
      </c>
      <c r="G47" s="429">
        <v>392274.13162</v>
      </c>
      <c r="H47" s="429">
        <v>390952.64263999998</v>
      </c>
      <c r="I47" s="429">
        <v>390992.73197999998</v>
      </c>
      <c r="J47" s="429">
        <v>391131.20009999903</v>
      </c>
      <c r="K47" s="429">
        <v>391131.19406000001</v>
      </c>
      <c r="L47" s="429">
        <v>391146.77692999999</v>
      </c>
      <c r="M47" s="429">
        <v>391439.30336999998</v>
      </c>
      <c r="N47" s="429">
        <v>391555.72992999997</v>
      </c>
      <c r="O47" s="429">
        <v>391555.72992999997</v>
      </c>
      <c r="P47" s="429">
        <v>391820.32744999998</v>
      </c>
      <c r="Q47" s="429">
        <v>400305.14396999998</v>
      </c>
      <c r="R47" s="429">
        <v>403509.49137999897</v>
      </c>
    </row>
    <row r="48" spans="1:18" s="429" customFormat="1">
      <c r="A48" s="429" t="str">
        <f t="shared" si="0"/>
        <v>KU</v>
      </c>
      <c r="B48" s="429" t="str">
        <f t="shared" si="1"/>
        <v>KY</v>
      </c>
      <c r="C48" s="429" t="str">
        <f t="shared" si="2"/>
        <v>343</v>
      </c>
      <c r="D48" s="430" t="s">
        <v>2204</v>
      </c>
      <c r="E48" s="428" t="str">
        <f t="shared" si="4"/>
        <v/>
      </c>
      <c r="F48" s="429">
        <v>266009.50890000002</v>
      </c>
      <c r="G48" s="429">
        <v>265149.50186000002</v>
      </c>
      <c r="H48" s="429">
        <v>256597.21580000001</v>
      </c>
      <c r="I48" s="429">
        <v>256610.71369999999</v>
      </c>
      <c r="J48" s="429">
        <v>256611.40719999999</v>
      </c>
      <c r="K48" s="429">
        <v>256609.91940000001</v>
      </c>
      <c r="L48" s="429">
        <v>256608.97560000001</v>
      </c>
      <c r="M48" s="429">
        <v>257512.21559000001</v>
      </c>
      <c r="N48" s="429">
        <v>257512.21559000001</v>
      </c>
      <c r="O48" s="429">
        <v>257557.00198</v>
      </c>
      <c r="P48" s="429">
        <v>261532.12859000001</v>
      </c>
      <c r="Q48" s="429">
        <v>261532.12859000001</v>
      </c>
      <c r="R48" s="429">
        <v>261875.0863</v>
      </c>
    </row>
    <row r="49" spans="1:18" s="429" customFormat="1">
      <c r="A49" s="429" t="str">
        <f t="shared" si="0"/>
        <v>KU</v>
      </c>
      <c r="B49" s="429" t="str">
        <f t="shared" si="1"/>
        <v>KY</v>
      </c>
      <c r="C49" s="429" t="str">
        <f t="shared" si="2"/>
        <v>344</v>
      </c>
      <c r="D49" s="430" t="s">
        <v>1754</v>
      </c>
      <c r="E49" s="428" t="str">
        <f t="shared" si="4"/>
        <v/>
      </c>
      <c r="F49" s="429">
        <v>60311.136319999998</v>
      </c>
      <c r="G49" s="429">
        <v>60311.136319999998</v>
      </c>
      <c r="H49" s="429">
        <v>60311.136319999998</v>
      </c>
      <c r="I49" s="429">
        <v>60323.695529999997</v>
      </c>
      <c r="J49" s="429">
        <v>60323.695529999997</v>
      </c>
      <c r="K49" s="429">
        <v>60323.695529999997</v>
      </c>
      <c r="L49" s="429">
        <v>60323.695529999997</v>
      </c>
      <c r="M49" s="429">
        <v>60323.695529999997</v>
      </c>
      <c r="N49" s="429">
        <v>60323.695529999997</v>
      </c>
      <c r="O49" s="429">
        <v>60472.781479999998</v>
      </c>
      <c r="P49" s="429">
        <v>60892.841990000001</v>
      </c>
      <c r="Q49" s="429">
        <v>60892.841990000001</v>
      </c>
      <c r="R49" s="429">
        <v>61117.12199</v>
      </c>
    </row>
    <row r="50" spans="1:18" s="429" customFormat="1">
      <c r="A50" s="429" t="str">
        <f t="shared" si="0"/>
        <v>KU</v>
      </c>
      <c r="B50" s="429" t="str">
        <f t="shared" si="1"/>
        <v>KY</v>
      </c>
      <c r="C50" s="429" t="str">
        <f t="shared" si="2"/>
        <v>344</v>
      </c>
      <c r="D50" s="430" t="s">
        <v>2205</v>
      </c>
      <c r="E50" s="428" t="str">
        <f t="shared" si="4"/>
        <v/>
      </c>
      <c r="F50" s="429">
        <v>58191.409489999998</v>
      </c>
      <c r="G50" s="429">
        <v>58193.405639999997</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row>
    <row r="51" spans="1:18" s="429" customFormat="1">
      <c r="A51" s="429" t="str">
        <f t="shared" si="0"/>
        <v>KU</v>
      </c>
      <c r="B51" s="429" t="str">
        <f t="shared" si="1"/>
        <v>KY</v>
      </c>
      <c r="C51" s="429" t="str">
        <f t="shared" si="2"/>
        <v>344</v>
      </c>
      <c r="D51" s="430" t="s">
        <v>2206</v>
      </c>
      <c r="E51" s="428" t="str">
        <f t="shared" si="4"/>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row>
    <row r="52" spans="1:18" s="429" customFormat="1">
      <c r="A52" s="429" t="str">
        <f t="shared" si="0"/>
        <v>KU</v>
      </c>
      <c r="B52" s="429" t="str">
        <f t="shared" si="1"/>
        <v>KY</v>
      </c>
      <c r="C52" s="429" t="str">
        <f t="shared" si="2"/>
        <v>345</v>
      </c>
      <c r="D52" s="430" t="s">
        <v>1755</v>
      </c>
      <c r="E52" s="428" t="str">
        <f t="shared" si="4"/>
        <v/>
      </c>
      <c r="F52" s="429">
        <v>51987.738519999999</v>
      </c>
      <c r="G52" s="429">
        <v>51991.765569999901</v>
      </c>
      <c r="H52" s="429">
        <v>51993.295019999998</v>
      </c>
      <c r="I52" s="429">
        <v>51992.819559999902</v>
      </c>
      <c r="J52" s="429">
        <v>51992.819559999902</v>
      </c>
      <c r="K52" s="429">
        <v>51993.000589999901</v>
      </c>
      <c r="L52" s="429">
        <v>51992.812749999997</v>
      </c>
      <c r="M52" s="429">
        <v>51992.812749999997</v>
      </c>
      <c r="N52" s="429">
        <v>51992.812749999997</v>
      </c>
      <c r="O52" s="429">
        <v>51992.812749999997</v>
      </c>
      <c r="P52" s="429">
        <v>51992.812749999997</v>
      </c>
      <c r="Q52" s="429">
        <v>51992.812749999997</v>
      </c>
      <c r="R52" s="429">
        <v>51992.812749999997</v>
      </c>
    </row>
    <row r="53" spans="1:18" s="429" customFormat="1">
      <c r="A53" s="429" t="str">
        <f t="shared" si="0"/>
        <v>KU</v>
      </c>
      <c r="B53" s="429" t="str">
        <f t="shared" si="1"/>
        <v>KY</v>
      </c>
      <c r="C53" s="429" t="str">
        <f t="shared" si="2"/>
        <v>345</v>
      </c>
      <c r="D53" s="430" t="s">
        <v>2207</v>
      </c>
      <c r="E53" s="428" t="str">
        <f t="shared" si="4"/>
        <v/>
      </c>
      <c r="F53" s="429">
        <v>26172.461360000001</v>
      </c>
      <c r="G53" s="429">
        <v>26384.573039999999</v>
      </c>
      <c r="H53" s="429">
        <v>26384.616020000001</v>
      </c>
      <c r="I53" s="429">
        <v>26384.616020000001</v>
      </c>
      <c r="J53" s="429">
        <v>26384.875199999999</v>
      </c>
      <c r="K53" s="429">
        <v>26384.89457</v>
      </c>
      <c r="L53" s="429">
        <v>26384.477739999998</v>
      </c>
      <c r="M53" s="429">
        <v>26384.477739999998</v>
      </c>
      <c r="N53" s="429">
        <v>26384.477739999998</v>
      </c>
      <c r="O53" s="429">
        <v>26384.477739999998</v>
      </c>
      <c r="P53" s="429">
        <v>26412.3144599999</v>
      </c>
      <c r="Q53" s="429">
        <v>26412.3144599999</v>
      </c>
      <c r="R53" s="429">
        <v>26412.3144599999</v>
      </c>
    </row>
    <row r="54" spans="1:18" s="429" customFormat="1">
      <c r="A54" s="429" t="str">
        <f t="shared" si="0"/>
        <v>KU</v>
      </c>
      <c r="B54" s="429" t="str">
        <f t="shared" si="1"/>
        <v>KY</v>
      </c>
      <c r="C54" s="429" t="str">
        <f t="shared" si="2"/>
        <v>345</v>
      </c>
      <c r="D54" s="430" t="s">
        <v>2208</v>
      </c>
      <c r="E54" s="428" t="str">
        <f t="shared" si="4"/>
        <v/>
      </c>
      <c r="F54" s="429">
        <v>445.46972</v>
      </c>
      <c r="G54" s="429">
        <v>445.46972</v>
      </c>
      <c r="H54" s="429">
        <v>445.46972</v>
      </c>
      <c r="I54" s="429">
        <v>445.46972</v>
      </c>
      <c r="J54" s="429">
        <v>445.46972</v>
      </c>
      <c r="K54" s="429">
        <v>445.46972</v>
      </c>
      <c r="L54" s="429">
        <v>445.46972</v>
      </c>
      <c r="M54" s="429">
        <v>445.46972</v>
      </c>
      <c r="N54" s="429">
        <v>445.46972</v>
      </c>
      <c r="O54" s="429">
        <v>445.46972</v>
      </c>
      <c r="P54" s="429">
        <v>445.46972</v>
      </c>
      <c r="Q54" s="429">
        <v>445.46972</v>
      </c>
      <c r="R54" s="429">
        <v>445.46972</v>
      </c>
    </row>
    <row r="55" spans="1:18" s="429" customFormat="1">
      <c r="A55" s="429" t="str">
        <f t="shared" si="0"/>
        <v>KU</v>
      </c>
      <c r="B55" s="429" t="str">
        <f t="shared" si="1"/>
        <v>KY</v>
      </c>
      <c r="C55" s="429" t="str">
        <f t="shared" si="2"/>
        <v>346</v>
      </c>
      <c r="D55" s="430" t="s">
        <v>1756</v>
      </c>
      <c r="E55" s="428" t="str">
        <f t="shared" si="4"/>
        <v/>
      </c>
      <c r="F55" s="429">
        <v>5592.7315699999999</v>
      </c>
      <c r="G55" s="429">
        <v>5592.7315699999999</v>
      </c>
      <c r="H55" s="429">
        <v>5599.8355700000002</v>
      </c>
      <c r="I55" s="429">
        <v>5599.8355700000002</v>
      </c>
      <c r="J55" s="429">
        <v>5599.8355700000002</v>
      </c>
      <c r="K55" s="429">
        <v>5599.8355700000002</v>
      </c>
      <c r="L55" s="429">
        <v>5599.8355700000002</v>
      </c>
      <c r="M55" s="429">
        <v>5599.8355700000002</v>
      </c>
      <c r="N55" s="429">
        <v>5599.8355700000002</v>
      </c>
      <c r="O55" s="429">
        <v>5599.8355700000002</v>
      </c>
      <c r="P55" s="429">
        <v>5599.8355700000002</v>
      </c>
      <c r="Q55" s="429">
        <v>5630.4670699999997</v>
      </c>
      <c r="R55" s="429">
        <v>5630.4670699999997</v>
      </c>
    </row>
    <row r="56" spans="1:18" s="429" customFormat="1">
      <c r="A56" s="429" t="str">
        <f t="shared" si="0"/>
        <v>KU</v>
      </c>
      <c r="B56" s="429" t="str">
        <f t="shared" si="1"/>
        <v>KY</v>
      </c>
      <c r="C56" s="429" t="str">
        <f t="shared" si="2"/>
        <v>346</v>
      </c>
      <c r="D56" s="430" t="s">
        <v>2209</v>
      </c>
      <c r="E56" s="428" t="str">
        <f t="shared" si="4"/>
        <v/>
      </c>
      <c r="F56" s="429">
        <v>3059.6657799999998</v>
      </c>
      <c r="G56" s="429">
        <v>3059.6657799999998</v>
      </c>
      <c r="H56" s="429">
        <v>3059.6657799999998</v>
      </c>
      <c r="I56" s="429">
        <v>3059.6657799999998</v>
      </c>
      <c r="J56" s="429">
        <v>3059.6657799999998</v>
      </c>
      <c r="K56" s="429">
        <v>3059.6657799999998</v>
      </c>
      <c r="L56" s="429">
        <v>3059.6657799999998</v>
      </c>
      <c r="M56" s="429">
        <v>3059.6657799999998</v>
      </c>
      <c r="N56" s="429">
        <v>3059.6657799999998</v>
      </c>
      <c r="O56" s="429">
        <v>3079.1657699999901</v>
      </c>
      <c r="P56" s="429">
        <v>3079.1657699999901</v>
      </c>
      <c r="Q56" s="429">
        <v>3550.26522999999</v>
      </c>
      <c r="R56" s="429">
        <v>3709.7752299999902</v>
      </c>
    </row>
    <row r="57" spans="1:18" s="429" customFormat="1">
      <c r="A57" s="429" t="str">
        <f t="shared" si="0"/>
        <v>KU</v>
      </c>
      <c r="B57" s="429" t="str">
        <f t="shared" si="1"/>
        <v>KY</v>
      </c>
      <c r="C57" s="429" t="str">
        <f t="shared" si="2"/>
        <v>346</v>
      </c>
      <c r="D57" s="430" t="s">
        <v>2210</v>
      </c>
      <c r="E57" s="428" t="str">
        <f t="shared" si="4"/>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row>
    <row r="58" spans="1:18" s="429" customFormat="1">
      <c r="A58" s="429" t="str">
        <f t="shared" si="0"/>
        <v>KU</v>
      </c>
      <c r="B58" s="429" t="str">
        <f t="shared" si="1"/>
        <v>KY</v>
      </c>
      <c r="C58" s="429" t="str">
        <f t="shared" si="2"/>
        <v>347</v>
      </c>
      <c r="D58" s="430" t="s">
        <v>2211</v>
      </c>
      <c r="E58" s="428" t="str">
        <f t="shared" si="4"/>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row>
    <row r="59" spans="1:18" s="429" customFormat="1">
      <c r="A59" s="429" t="str">
        <f t="shared" si="0"/>
        <v>KU</v>
      </c>
      <c r="B59" s="429" t="str">
        <f t="shared" si="1"/>
        <v>KY</v>
      </c>
      <c r="C59" s="429" t="str">
        <f t="shared" si="2"/>
        <v>350</v>
      </c>
      <c r="D59" s="430" t="s">
        <v>1757</v>
      </c>
      <c r="E59" s="428" t="str">
        <f t="shared" si="4"/>
        <v/>
      </c>
      <c r="F59" s="429">
        <v>29624.494119999999</v>
      </c>
      <c r="G59" s="429">
        <v>29624.494119999999</v>
      </c>
      <c r="H59" s="429">
        <v>29624.494119999999</v>
      </c>
      <c r="I59" s="429">
        <v>29624.494119999999</v>
      </c>
      <c r="J59" s="429">
        <v>29626.73342</v>
      </c>
      <c r="K59" s="429">
        <v>29626.73342</v>
      </c>
      <c r="L59" s="429">
        <v>29626.73342</v>
      </c>
      <c r="M59" s="429">
        <v>29761.602749999998</v>
      </c>
      <c r="N59" s="429">
        <v>29761.602749999998</v>
      </c>
      <c r="O59" s="429">
        <v>29761.602749999998</v>
      </c>
      <c r="P59" s="429">
        <v>29761.602749999998</v>
      </c>
      <c r="Q59" s="429">
        <v>29761.602749999998</v>
      </c>
      <c r="R59" s="429">
        <v>29761.602849999999</v>
      </c>
    </row>
    <row r="60" spans="1:18" s="429" customFormat="1">
      <c r="A60" s="429" t="str">
        <f t="shared" si="0"/>
        <v>KU</v>
      </c>
      <c r="B60" s="429" t="str">
        <f t="shared" si="1"/>
        <v>TN</v>
      </c>
      <c r="C60" s="429" t="str">
        <f t="shared" si="2"/>
        <v>350</v>
      </c>
      <c r="D60" s="430" t="s">
        <v>1758</v>
      </c>
      <c r="E60" s="428" t="str">
        <f t="shared" si="4"/>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row>
    <row r="61" spans="1:18" s="429" customFormat="1">
      <c r="A61" s="429" t="str">
        <f t="shared" si="0"/>
        <v>KU</v>
      </c>
      <c r="B61" s="429" t="str">
        <f t="shared" si="1"/>
        <v>VA</v>
      </c>
      <c r="C61" s="429" t="str">
        <f t="shared" si="2"/>
        <v>350</v>
      </c>
      <c r="D61" s="430" t="s">
        <v>1759</v>
      </c>
      <c r="E61" s="428" t="str">
        <f t="shared" si="4"/>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2265.1761000000001</v>
      </c>
      <c r="O61" s="429">
        <v>2265.1761000000001</v>
      </c>
      <c r="P61" s="429">
        <v>2265.1761000000001</v>
      </c>
      <c r="Q61" s="429">
        <v>2265.1761000000001</v>
      </c>
      <c r="R61" s="429">
        <v>2265.1761000000001</v>
      </c>
    </row>
    <row r="62" spans="1:18" s="429" customFormat="1">
      <c r="A62" s="429" t="str">
        <f t="shared" si="0"/>
        <v>KU</v>
      </c>
      <c r="B62" s="429" t="str">
        <f t="shared" si="1"/>
        <v>KY</v>
      </c>
      <c r="C62" s="429" t="str">
        <f t="shared" si="2"/>
        <v>352</v>
      </c>
      <c r="D62" s="430" t="s">
        <v>1760</v>
      </c>
      <c r="E62" s="428" t="str">
        <f t="shared" si="4"/>
        <v/>
      </c>
      <c r="F62" s="429">
        <v>1338.27811</v>
      </c>
      <c r="G62" s="429">
        <v>1338.27811</v>
      </c>
      <c r="H62" s="429">
        <v>1332.49217</v>
      </c>
      <c r="I62" s="429">
        <v>1332.49217</v>
      </c>
      <c r="J62" s="429">
        <v>1332.49217</v>
      </c>
      <c r="K62" s="429">
        <v>1332.49217</v>
      </c>
      <c r="L62" s="429">
        <v>1332.49217</v>
      </c>
      <c r="M62" s="429">
        <v>1332.49217</v>
      </c>
      <c r="N62" s="429">
        <v>1332.49217</v>
      </c>
      <c r="O62" s="429">
        <v>1332.49217</v>
      </c>
      <c r="P62" s="429">
        <v>1332.49217</v>
      </c>
      <c r="Q62" s="429">
        <v>1332.49217</v>
      </c>
      <c r="R62" s="429">
        <v>1332.49217</v>
      </c>
    </row>
    <row r="63" spans="1:18" s="429" customFormat="1">
      <c r="A63" s="429" t="str">
        <f t="shared" si="0"/>
        <v>KU</v>
      </c>
      <c r="B63" s="429" t="str">
        <f t="shared" si="1"/>
        <v>KY</v>
      </c>
      <c r="C63" s="429" t="str">
        <f t="shared" si="2"/>
        <v>352</v>
      </c>
      <c r="D63" s="430" t="s">
        <v>1761</v>
      </c>
      <c r="E63" s="428" t="str">
        <f t="shared" si="4"/>
        <v/>
      </c>
      <c r="F63" s="429">
        <v>26425.314429999999</v>
      </c>
      <c r="G63" s="429">
        <v>26425.4548</v>
      </c>
      <c r="H63" s="429">
        <v>26433.76137</v>
      </c>
      <c r="I63" s="429">
        <v>26433.76137</v>
      </c>
      <c r="J63" s="429">
        <v>26433.027399999999</v>
      </c>
      <c r="K63" s="429">
        <v>26550.76816</v>
      </c>
      <c r="L63" s="429">
        <v>26550.403569999999</v>
      </c>
      <c r="M63" s="429">
        <v>26550.403569999999</v>
      </c>
      <c r="N63" s="429">
        <v>26550.403569999999</v>
      </c>
      <c r="O63" s="429">
        <v>26550.403569999999</v>
      </c>
      <c r="P63" s="429">
        <v>26550.403569999999</v>
      </c>
      <c r="Q63" s="429">
        <v>26550.403569999999</v>
      </c>
      <c r="R63" s="429">
        <v>26550.403569999999</v>
      </c>
    </row>
    <row r="64" spans="1:18" s="429" customFormat="1">
      <c r="A64" s="429" t="str">
        <f t="shared" si="0"/>
        <v>KU</v>
      </c>
      <c r="B64" s="429" t="str">
        <f t="shared" si="1"/>
        <v>VA</v>
      </c>
      <c r="C64" s="429" t="str">
        <f t="shared" si="2"/>
        <v>352</v>
      </c>
      <c r="D64" s="430" t="s">
        <v>1762</v>
      </c>
      <c r="E64" s="428" t="str">
        <f t="shared" si="4"/>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row>
    <row r="65" spans="1:18" s="429" customFormat="1">
      <c r="A65" s="429" t="str">
        <f t="shared" si="0"/>
        <v>KU</v>
      </c>
      <c r="B65" s="429" t="str">
        <f t="shared" si="1"/>
        <v>KY</v>
      </c>
      <c r="C65" s="429" t="str">
        <f t="shared" si="2"/>
        <v>353</v>
      </c>
      <c r="D65" s="430" t="s">
        <v>1763</v>
      </c>
      <c r="E65" s="428" t="str">
        <f t="shared" si="4"/>
        <v/>
      </c>
      <c r="F65" s="429">
        <v>262381.91680000001</v>
      </c>
      <c r="G65" s="429">
        <v>262477.9976</v>
      </c>
      <c r="H65" s="429">
        <v>262334.08399999997</v>
      </c>
      <c r="I65" s="429">
        <v>262390.39659999998</v>
      </c>
      <c r="J65" s="429">
        <v>261959.88800000001</v>
      </c>
      <c r="K65" s="429">
        <v>267668.36609999998</v>
      </c>
      <c r="L65" s="429">
        <v>268627.61910000001</v>
      </c>
      <c r="M65" s="429">
        <v>310465.77447</v>
      </c>
      <c r="N65" s="429">
        <v>313549.77191000001</v>
      </c>
      <c r="O65" s="429">
        <v>317245.64578000002</v>
      </c>
      <c r="P65" s="429">
        <v>317722.49368999997</v>
      </c>
      <c r="Q65" s="429">
        <v>317749.11842000001</v>
      </c>
      <c r="R65" s="429">
        <v>325423.76098999998</v>
      </c>
    </row>
    <row r="66" spans="1:18" s="429" customFormat="1">
      <c r="A66" s="429" t="str">
        <f t="shared" si="0"/>
        <v>KU</v>
      </c>
      <c r="B66" s="429" t="s">
        <v>17</v>
      </c>
      <c r="C66" s="429" t="str">
        <f t="shared" si="2"/>
        <v>353</v>
      </c>
      <c r="D66" s="430" t="s">
        <v>1764</v>
      </c>
      <c r="E66" s="428" t="str">
        <f t="shared" si="4"/>
        <v/>
      </c>
      <c r="F66" s="429">
        <v>2624.0704500000002</v>
      </c>
      <c r="G66" s="429">
        <v>2624.0704500000002</v>
      </c>
      <c r="H66" s="429">
        <v>2624.0704500000002</v>
      </c>
      <c r="I66" s="429">
        <v>2624.0704500000002</v>
      </c>
      <c r="J66" s="429">
        <v>2624.0704500000002</v>
      </c>
      <c r="K66" s="429">
        <v>2624.0704500000002</v>
      </c>
      <c r="L66" s="429">
        <v>2624.0704500000002</v>
      </c>
      <c r="M66" s="429">
        <v>3176.0907200000001</v>
      </c>
      <c r="N66" s="429">
        <v>3159.4407200000001</v>
      </c>
      <c r="O66" s="429">
        <v>3159.4407200000001</v>
      </c>
      <c r="P66" s="429">
        <v>3159.4407200000001</v>
      </c>
      <c r="Q66" s="429">
        <v>3159.4407200000001</v>
      </c>
      <c r="R66" s="429">
        <v>3159.4407200000001</v>
      </c>
    </row>
    <row r="67" spans="1:18" s="429" customFormat="1">
      <c r="A67" s="429" t="str">
        <f t="shared" si="0"/>
        <v>KU</v>
      </c>
      <c r="B67" s="429" t="str">
        <f t="shared" si="1"/>
        <v>VA</v>
      </c>
      <c r="C67" s="429" t="str">
        <f t="shared" si="2"/>
        <v>353</v>
      </c>
      <c r="D67" s="430" t="s">
        <v>1765</v>
      </c>
      <c r="E67" s="428" t="str">
        <f t="shared" si="4"/>
        <v/>
      </c>
      <c r="F67" s="429">
        <v>22833.884269999999</v>
      </c>
      <c r="G67" s="429">
        <v>22827.815200000001</v>
      </c>
      <c r="H67" s="429">
        <v>22834.151549999999</v>
      </c>
      <c r="I67" s="429">
        <v>22834.151549999999</v>
      </c>
      <c r="J67" s="429">
        <v>22865.581269999999</v>
      </c>
      <c r="K67" s="429">
        <v>22955.441320000002</v>
      </c>
      <c r="L67" s="429">
        <v>22952.135109999999</v>
      </c>
      <c r="M67" s="429">
        <v>22952.135109999999</v>
      </c>
      <c r="N67" s="429">
        <v>22952.135109999999</v>
      </c>
      <c r="O67" s="429">
        <v>22952.135109999999</v>
      </c>
      <c r="P67" s="429">
        <v>22952.135109999999</v>
      </c>
      <c r="Q67" s="429">
        <v>22952.135109999999</v>
      </c>
      <c r="R67" s="429">
        <v>22952.135109999999</v>
      </c>
    </row>
    <row r="68" spans="1:18" s="429" customFormat="1">
      <c r="A68" s="429" t="str">
        <f t="shared" si="0"/>
        <v>KU</v>
      </c>
      <c r="B68" s="429" t="str">
        <f t="shared" si="1"/>
        <v>KY</v>
      </c>
      <c r="C68" s="429" t="str">
        <f t="shared" si="2"/>
        <v>354</v>
      </c>
      <c r="D68" s="430" t="s">
        <v>1766</v>
      </c>
      <c r="E68" s="428" t="str">
        <f t="shared" si="4"/>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row>
    <row r="69" spans="1:18" s="429" customFormat="1">
      <c r="A69" s="429" t="str">
        <f t="shared" si="0"/>
        <v>KU</v>
      </c>
      <c r="B69" s="429" t="str">
        <f t="shared" si="1"/>
        <v>VA</v>
      </c>
      <c r="C69" s="429" t="str">
        <f t="shared" si="2"/>
        <v>354</v>
      </c>
      <c r="D69" s="430" t="s">
        <v>1767</v>
      </c>
      <c r="E69" s="428" t="str">
        <f t="shared" si="4"/>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row>
    <row r="70" spans="1:18" s="429" customFormat="1">
      <c r="A70" s="429" t="str">
        <f t="shared" ref="A70:A139" si="5">MID($D70,4,2)</f>
        <v>KU</v>
      </c>
      <c r="B70" s="429" t="str">
        <f t="shared" ref="B70:B139" si="6">IF(MID($D70,12,2)="- ","KY",MID($D70,12,2))</f>
        <v>KY</v>
      </c>
      <c r="C70" s="429" t="str">
        <f t="shared" ref="C70:C139" si="7">MID($D70,8,3)</f>
        <v>355</v>
      </c>
      <c r="D70" s="430" t="s">
        <v>1768</v>
      </c>
      <c r="E70" s="428" t="str">
        <f t="shared" si="4"/>
        <v/>
      </c>
      <c r="F70" s="429">
        <v>293544.88059999997</v>
      </c>
      <c r="G70" s="429">
        <v>294294.85389999999</v>
      </c>
      <c r="H70" s="429">
        <v>295322.04129999998</v>
      </c>
      <c r="I70" s="429">
        <v>299406.36660000001</v>
      </c>
      <c r="J70" s="429">
        <v>300764.23540000001</v>
      </c>
      <c r="K70" s="429">
        <v>304711.83289999998</v>
      </c>
      <c r="L70" s="429">
        <v>308941.3444</v>
      </c>
      <c r="M70" s="429">
        <v>331278.9705</v>
      </c>
      <c r="N70" s="429">
        <v>341192.93063000002</v>
      </c>
      <c r="O70" s="429">
        <v>352576.40609</v>
      </c>
      <c r="P70" s="429">
        <v>356107.68556000001</v>
      </c>
      <c r="Q70" s="429">
        <v>360945.14419999998</v>
      </c>
      <c r="R70" s="429">
        <v>380005.03687000001</v>
      </c>
    </row>
    <row r="71" spans="1:18" s="429" customFormat="1">
      <c r="A71" s="429" t="str">
        <f t="shared" si="5"/>
        <v>KU</v>
      </c>
      <c r="B71" s="429" t="str">
        <f t="shared" si="6"/>
        <v>TN</v>
      </c>
      <c r="C71" s="429" t="str">
        <f t="shared" si="7"/>
        <v>355</v>
      </c>
      <c r="D71" s="430" t="s">
        <v>1769</v>
      </c>
      <c r="E71" s="428" t="str">
        <f t="shared" si="4"/>
        <v/>
      </c>
      <c r="F71" s="429">
        <v>125.979</v>
      </c>
      <c r="G71" s="429">
        <v>125.979</v>
      </c>
      <c r="H71" s="429">
        <v>125.979</v>
      </c>
      <c r="I71" s="429">
        <v>128.75153</v>
      </c>
      <c r="J71" s="429">
        <v>128.75153</v>
      </c>
      <c r="K71" s="429">
        <v>128.75153</v>
      </c>
      <c r="L71" s="429">
        <v>128.75153</v>
      </c>
      <c r="M71" s="429">
        <v>128.75153</v>
      </c>
      <c r="N71" s="429">
        <v>128.75153</v>
      </c>
      <c r="O71" s="429">
        <v>128.75153</v>
      </c>
      <c r="P71" s="429">
        <v>128.75153</v>
      </c>
      <c r="Q71" s="429">
        <v>128.75153</v>
      </c>
      <c r="R71" s="429">
        <v>128.75153</v>
      </c>
    </row>
    <row r="72" spans="1:18" s="429" customFormat="1">
      <c r="A72" s="429" t="str">
        <f t="shared" si="5"/>
        <v>KU</v>
      </c>
      <c r="B72" s="429" t="str">
        <f t="shared" si="6"/>
        <v>VA</v>
      </c>
      <c r="C72" s="429" t="str">
        <f t="shared" si="7"/>
        <v>355</v>
      </c>
      <c r="D72" s="430" t="s">
        <v>1770</v>
      </c>
      <c r="E72" s="428" t="str">
        <f t="shared" si="4"/>
        <v/>
      </c>
      <c r="F72" s="429">
        <v>13335.497009999999</v>
      </c>
      <c r="G72" s="429">
        <v>12455.837960000001</v>
      </c>
      <c r="H72" s="429">
        <v>12691.33885</v>
      </c>
      <c r="I72" s="429">
        <v>12746.173359999901</v>
      </c>
      <c r="J72" s="429">
        <v>12746.171119999901</v>
      </c>
      <c r="K72" s="429">
        <v>12756.091490000001</v>
      </c>
      <c r="L72" s="429">
        <v>12756.091490000001</v>
      </c>
      <c r="M72" s="429">
        <v>12763.2588</v>
      </c>
      <c r="N72" s="429">
        <v>13047.84434</v>
      </c>
      <c r="O72" s="429">
        <v>14069.502539999999</v>
      </c>
      <c r="P72" s="429">
        <v>14247.278969999999</v>
      </c>
      <c r="Q72" s="429">
        <v>14247.50063</v>
      </c>
      <c r="R72" s="429">
        <v>14247.50063</v>
      </c>
    </row>
    <row r="73" spans="1:18" s="429" customFormat="1">
      <c r="A73" s="429" t="str">
        <f t="shared" si="5"/>
        <v>KU</v>
      </c>
      <c r="B73" s="429" t="str">
        <f t="shared" si="6"/>
        <v>KY</v>
      </c>
      <c r="C73" s="429" t="str">
        <f t="shared" si="7"/>
        <v>356</v>
      </c>
      <c r="D73" s="430" t="s">
        <v>1771</v>
      </c>
      <c r="E73" s="428" t="str">
        <f t="shared" si="4"/>
        <v/>
      </c>
      <c r="F73" s="429">
        <v>170106.3014</v>
      </c>
      <c r="G73" s="429">
        <v>170121.03909999999</v>
      </c>
      <c r="H73" s="429">
        <v>169042.89050000001</v>
      </c>
      <c r="I73" s="429">
        <v>168989.99979999999</v>
      </c>
      <c r="J73" s="429">
        <v>169821.85509999999</v>
      </c>
      <c r="K73" s="429">
        <v>170195.5649</v>
      </c>
      <c r="L73" s="429">
        <v>170534.6618</v>
      </c>
      <c r="M73" s="429">
        <v>170534.6618</v>
      </c>
      <c r="N73" s="429">
        <v>170801.59388</v>
      </c>
      <c r="O73" s="429">
        <v>170912.42288</v>
      </c>
      <c r="P73" s="429">
        <v>170912.42288</v>
      </c>
      <c r="Q73" s="429">
        <v>170912.42288</v>
      </c>
      <c r="R73" s="429">
        <v>170912.42288</v>
      </c>
    </row>
    <row r="74" spans="1:18" s="429" customFormat="1">
      <c r="A74" s="429" t="str">
        <f t="shared" si="5"/>
        <v>KU</v>
      </c>
      <c r="B74" s="429" t="str">
        <f t="shared" si="6"/>
        <v>TN</v>
      </c>
      <c r="C74" s="429" t="str">
        <f t="shared" si="7"/>
        <v>356</v>
      </c>
      <c r="D74" s="430" t="s">
        <v>1772</v>
      </c>
      <c r="E74" s="428" t="str">
        <f t="shared" si="4"/>
        <v/>
      </c>
      <c r="F74" s="429">
        <v>78.061729999999997</v>
      </c>
      <c r="G74" s="429">
        <v>78.061729999999997</v>
      </c>
      <c r="H74" s="429">
        <v>78.061729999999997</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row>
    <row r="75" spans="1:18" s="429" customFormat="1">
      <c r="A75" s="429" t="str">
        <f t="shared" si="5"/>
        <v>KU</v>
      </c>
      <c r="B75" s="429" t="str">
        <f t="shared" si="6"/>
        <v>VA</v>
      </c>
      <c r="C75" s="429" t="str">
        <f t="shared" si="7"/>
        <v>356</v>
      </c>
      <c r="D75" s="430" t="s">
        <v>1773</v>
      </c>
      <c r="E75" s="428" t="str">
        <f t="shared" si="4"/>
        <v/>
      </c>
      <c r="F75" s="429">
        <v>17926.354179999998</v>
      </c>
      <c r="G75" s="429">
        <v>18827.75693</v>
      </c>
      <c r="H75" s="429">
        <v>18675.84721</v>
      </c>
      <c r="I75" s="429">
        <v>18692.065589999998</v>
      </c>
      <c r="J75" s="429">
        <v>18692.064640000001</v>
      </c>
      <c r="K75" s="429">
        <v>18696.27954</v>
      </c>
      <c r="L75" s="429">
        <v>18696.27954</v>
      </c>
      <c r="M75" s="429">
        <v>18696.27954</v>
      </c>
      <c r="N75" s="429">
        <v>18696.27954</v>
      </c>
      <c r="O75" s="429">
        <v>18696.27954</v>
      </c>
      <c r="P75" s="429">
        <v>18696.27954</v>
      </c>
      <c r="Q75" s="429">
        <v>18696.27954</v>
      </c>
      <c r="R75" s="429">
        <v>18696.27954</v>
      </c>
    </row>
    <row r="76" spans="1:18" s="429" customFormat="1">
      <c r="A76" s="429" t="str">
        <f t="shared" si="5"/>
        <v>KU</v>
      </c>
      <c r="B76" s="429" t="str">
        <f t="shared" si="6"/>
        <v>KY</v>
      </c>
      <c r="C76" s="429" t="str">
        <f t="shared" si="7"/>
        <v>357</v>
      </c>
      <c r="D76" s="430" t="s">
        <v>1774</v>
      </c>
      <c r="E76" s="428" t="str">
        <f t="shared" si="4"/>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row>
    <row r="77" spans="1:18" s="429" customFormat="1">
      <c r="A77" s="429" t="str">
        <f t="shared" si="5"/>
        <v>KU</v>
      </c>
      <c r="B77" s="429" t="str">
        <f t="shared" si="6"/>
        <v>KY</v>
      </c>
      <c r="C77" s="429" t="str">
        <f t="shared" si="7"/>
        <v>358</v>
      </c>
      <c r="D77" s="430" t="s">
        <v>1775</v>
      </c>
      <c r="E77" s="428" t="str">
        <f t="shared" si="4"/>
        <v/>
      </c>
      <c r="F77" s="429">
        <v>1299.0944</v>
      </c>
      <c r="G77" s="429">
        <v>1299.0944</v>
      </c>
      <c r="H77" s="429">
        <v>1299.0944</v>
      </c>
      <c r="I77" s="429">
        <v>1299.5925500000001</v>
      </c>
      <c r="J77" s="429">
        <v>1299.5925500000001</v>
      </c>
      <c r="K77" s="429">
        <v>1299.5925500000001</v>
      </c>
      <c r="L77" s="429">
        <v>1299.5925500000001</v>
      </c>
      <c r="M77" s="429">
        <v>1299.5925500000001</v>
      </c>
      <c r="N77" s="429">
        <v>1299.5925500000001</v>
      </c>
      <c r="O77" s="429">
        <v>1299.5925500000001</v>
      </c>
      <c r="P77" s="429">
        <v>1299.5925500000001</v>
      </c>
      <c r="Q77" s="429">
        <v>1299.5925500000001</v>
      </c>
      <c r="R77" s="429">
        <v>1299.5925500000001</v>
      </c>
    </row>
    <row r="78" spans="1:18" s="429" customFormat="1">
      <c r="A78" s="429" t="str">
        <f t="shared" si="5"/>
        <v>KU</v>
      </c>
      <c r="B78" s="429" t="str">
        <f t="shared" si="6"/>
        <v>KY</v>
      </c>
      <c r="C78" s="429" t="str">
        <f t="shared" si="7"/>
        <v>359</v>
      </c>
      <c r="D78" s="430" t="s">
        <v>1776</v>
      </c>
      <c r="E78" s="428" t="str">
        <f t="shared" si="4"/>
        <v>ARO</v>
      </c>
      <c r="F78" s="429">
        <v>556.85762</v>
      </c>
      <c r="G78" s="429">
        <v>556.85762</v>
      </c>
      <c r="H78" s="429">
        <v>556.85762</v>
      </c>
      <c r="I78" s="429">
        <v>556.85762</v>
      </c>
      <c r="J78" s="429">
        <v>556.85762</v>
      </c>
      <c r="K78" s="429">
        <v>551.32388000000003</v>
      </c>
      <c r="L78" s="429">
        <v>551.32388000000003</v>
      </c>
      <c r="M78" s="429">
        <v>551.32388000000003</v>
      </c>
      <c r="N78" s="429">
        <v>551.32388000000003</v>
      </c>
      <c r="O78" s="429">
        <v>551.32388000000003</v>
      </c>
      <c r="P78" s="429">
        <v>551.32388000000003</v>
      </c>
      <c r="Q78" s="429">
        <v>551.32388000000003</v>
      </c>
      <c r="R78" s="429">
        <v>551.32388000000003</v>
      </c>
    </row>
    <row r="79" spans="1:18" s="429" customFormat="1">
      <c r="A79" s="429" t="str">
        <f t="shared" si="5"/>
        <v>KU</v>
      </c>
      <c r="B79" s="429" t="str">
        <f t="shared" si="6"/>
        <v>KY</v>
      </c>
      <c r="C79" s="429" t="str">
        <f t="shared" si="7"/>
        <v>360</v>
      </c>
      <c r="D79" s="430" t="s">
        <v>1777</v>
      </c>
      <c r="E79" s="428" t="str">
        <f t="shared" si="4"/>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row>
    <row r="80" spans="1:18" s="429" customFormat="1">
      <c r="A80" s="429" t="str">
        <f t="shared" si="5"/>
        <v>KU</v>
      </c>
      <c r="B80" s="429" t="str">
        <f t="shared" si="6"/>
        <v>KY</v>
      </c>
      <c r="C80" s="429" t="str">
        <f t="shared" si="7"/>
        <v>360</v>
      </c>
      <c r="D80" s="430" t="s">
        <v>1778</v>
      </c>
      <c r="E80" s="428" t="str">
        <f t="shared" si="4"/>
        <v/>
      </c>
      <c r="F80" s="429">
        <v>7525.7050799999897</v>
      </c>
      <c r="G80" s="429">
        <v>7525.7050799999897</v>
      </c>
      <c r="H80" s="429">
        <v>7525.7050799999897</v>
      </c>
      <c r="I80" s="429">
        <v>7525.7050799999897</v>
      </c>
      <c r="J80" s="429">
        <v>7760.18515999999</v>
      </c>
      <c r="K80" s="429">
        <v>7777.0431799999897</v>
      </c>
      <c r="L80" s="429">
        <v>7777.0431799999897</v>
      </c>
      <c r="M80" s="429">
        <v>7777.0431799999897</v>
      </c>
      <c r="N80" s="429">
        <v>7777.0431799999897</v>
      </c>
      <c r="O80" s="429">
        <v>7777.0431799999897</v>
      </c>
      <c r="P80" s="429">
        <v>7777.0431799999897</v>
      </c>
      <c r="Q80" s="429">
        <v>7777.0431799999897</v>
      </c>
      <c r="R80" s="429">
        <v>9179.4693999999909</v>
      </c>
    </row>
    <row r="81" spans="1:18" s="429" customFormat="1">
      <c r="A81" s="429" t="str">
        <f t="shared" si="5"/>
        <v>KU</v>
      </c>
      <c r="B81" s="429" t="str">
        <f t="shared" si="6"/>
        <v>TN</v>
      </c>
      <c r="C81" s="429" t="str">
        <f t="shared" si="7"/>
        <v>360</v>
      </c>
      <c r="D81" s="430" t="s">
        <v>1779</v>
      </c>
      <c r="E81" s="428" t="str">
        <f t="shared" si="4"/>
        <v/>
      </c>
      <c r="F81" s="429">
        <v>5.0402300000000002</v>
      </c>
      <c r="G81" s="429">
        <v>5.0402300000000002</v>
      </c>
      <c r="H81" s="429">
        <v>5.0402300000000002</v>
      </c>
      <c r="I81" s="429">
        <v>5.0402300000000002</v>
      </c>
      <c r="J81" s="429">
        <v>5.0402300000000002</v>
      </c>
      <c r="K81" s="429">
        <v>5.0402300000000002</v>
      </c>
      <c r="L81" s="429">
        <v>5.0402300000000002</v>
      </c>
      <c r="M81" s="429">
        <v>5.0402300000000002</v>
      </c>
      <c r="N81" s="429">
        <v>5.0402300000000002</v>
      </c>
      <c r="O81" s="429">
        <v>5.0402300000000002</v>
      </c>
      <c r="P81" s="429">
        <v>5.0402300000000002</v>
      </c>
      <c r="Q81" s="429">
        <v>5.0402300000000002</v>
      </c>
      <c r="R81" s="429">
        <v>495.04023000000001</v>
      </c>
    </row>
    <row r="82" spans="1:18" s="429" customFormat="1">
      <c r="A82" s="429" t="str">
        <f t="shared" si="5"/>
        <v>KU</v>
      </c>
      <c r="B82" s="429" t="str">
        <f t="shared" si="6"/>
        <v>VA</v>
      </c>
      <c r="C82" s="429" t="str">
        <f t="shared" si="7"/>
        <v>360</v>
      </c>
      <c r="D82" s="430" t="s">
        <v>1780</v>
      </c>
      <c r="E82" s="428" t="str">
        <f t="shared" si="4"/>
        <v/>
      </c>
      <c r="F82" s="429">
        <v>193.25044</v>
      </c>
      <c r="G82" s="429">
        <v>193.25044</v>
      </c>
      <c r="H82" s="429">
        <v>193.25044</v>
      </c>
      <c r="I82" s="429">
        <v>193.25044</v>
      </c>
      <c r="J82" s="429">
        <v>193.25044</v>
      </c>
      <c r="K82" s="429">
        <v>193.25044</v>
      </c>
      <c r="L82" s="429">
        <v>193.25044</v>
      </c>
      <c r="M82" s="429">
        <v>193.25044</v>
      </c>
      <c r="N82" s="429">
        <v>193.25044</v>
      </c>
      <c r="O82" s="429">
        <v>193.25044</v>
      </c>
      <c r="P82" s="429">
        <v>193.25044</v>
      </c>
      <c r="Q82" s="429">
        <v>193.25044</v>
      </c>
      <c r="R82" s="429">
        <v>318.25044000000003</v>
      </c>
    </row>
    <row r="83" spans="1:18" s="429" customFormat="1">
      <c r="A83" s="429" t="str">
        <f t="shared" si="5"/>
        <v>KU</v>
      </c>
      <c r="B83" s="429" t="str">
        <f t="shared" si="6"/>
        <v>KY</v>
      </c>
      <c r="C83" s="429" t="str">
        <f t="shared" si="7"/>
        <v>361</v>
      </c>
      <c r="D83" s="430" t="s">
        <v>1781</v>
      </c>
      <c r="E83" s="428" t="str">
        <f t="shared" si="4"/>
        <v/>
      </c>
      <c r="F83" s="429">
        <v>13839.201209999999</v>
      </c>
      <c r="G83" s="429">
        <v>13891.23402</v>
      </c>
      <c r="H83" s="429">
        <v>14034.49632</v>
      </c>
      <c r="I83" s="429">
        <v>14370.495800000001</v>
      </c>
      <c r="J83" s="429">
        <v>13598.827670000001</v>
      </c>
      <c r="K83" s="429">
        <v>13590.514499999999</v>
      </c>
      <c r="L83" s="429">
        <v>13590.514499999999</v>
      </c>
      <c r="M83" s="429">
        <v>14621.475630000001</v>
      </c>
      <c r="N83" s="429">
        <v>15471.123939999999</v>
      </c>
      <c r="O83" s="429">
        <v>16419.175759999998</v>
      </c>
      <c r="P83" s="429">
        <v>17660.97536</v>
      </c>
      <c r="Q83" s="429">
        <v>18901.774959999999</v>
      </c>
      <c r="R83" s="429">
        <v>20214.504779999999</v>
      </c>
    </row>
    <row r="84" spans="1:18" s="429" customFormat="1">
      <c r="A84" s="429" t="str">
        <f t="shared" si="5"/>
        <v>KU</v>
      </c>
      <c r="B84" s="429" t="str">
        <f t="shared" si="6"/>
        <v>TN</v>
      </c>
      <c r="C84" s="429" t="str">
        <f t="shared" si="7"/>
        <v>361</v>
      </c>
      <c r="D84" s="430" t="s">
        <v>1782</v>
      </c>
      <c r="E84" s="428" t="str">
        <f t="shared" si="4"/>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row>
    <row r="85" spans="1:18" s="429" customFormat="1">
      <c r="A85" s="429" t="str">
        <f t="shared" si="5"/>
        <v>KU</v>
      </c>
      <c r="B85" s="429" t="str">
        <f t="shared" si="6"/>
        <v>VA</v>
      </c>
      <c r="C85" s="429" t="str">
        <f t="shared" si="7"/>
        <v>361</v>
      </c>
      <c r="D85" s="430" t="s">
        <v>1783</v>
      </c>
      <c r="E85" s="428" t="str">
        <f t="shared" ref="E85:E139" si="8">IF(ISTEXT(MID($D85,SEARCH("FUTURE USE",$D85),3)),"FUTURE USE",IF(ISTEXT(MID($D85,SEARCH("ECR",$D85),3)),"ECR",IF(ISTEXT(MID($D85,SEARCH("ARO",$D85),3)),"ARO",IF(ISTEXT(MID($D85,SEARCH("DSM",$D85),3)),"DSM",""))))</f>
        <v/>
      </c>
      <c r="F85" s="429">
        <v>570.18737999999996</v>
      </c>
      <c r="G85" s="429">
        <v>570.18737999999996</v>
      </c>
      <c r="H85" s="429">
        <v>570.18737999999996</v>
      </c>
      <c r="I85" s="429">
        <v>570.18737999999996</v>
      </c>
      <c r="J85" s="429">
        <v>570.18737999999996</v>
      </c>
      <c r="K85" s="429">
        <v>591.02211</v>
      </c>
      <c r="L85" s="429">
        <v>591.02211</v>
      </c>
      <c r="M85" s="429">
        <v>605.02211</v>
      </c>
      <c r="N85" s="429">
        <v>605.02211</v>
      </c>
      <c r="O85" s="429">
        <v>645.02211</v>
      </c>
      <c r="P85" s="429">
        <v>660.17210999999998</v>
      </c>
      <c r="Q85" s="429">
        <v>660.17210999999998</v>
      </c>
      <c r="R85" s="429">
        <v>774.87902999999994</v>
      </c>
    </row>
    <row r="86" spans="1:18" s="429" customFormat="1">
      <c r="A86" s="429" t="str">
        <f t="shared" si="5"/>
        <v>KU</v>
      </c>
      <c r="B86" s="429" t="str">
        <f t="shared" si="6"/>
        <v>KY</v>
      </c>
      <c r="C86" s="429" t="str">
        <f t="shared" si="7"/>
        <v>362</v>
      </c>
      <c r="D86" s="430" t="s">
        <v>1784</v>
      </c>
      <c r="E86" s="428" t="str">
        <f t="shared" si="8"/>
        <v/>
      </c>
      <c r="F86" s="429">
        <v>189587.1268</v>
      </c>
      <c r="G86" s="429">
        <v>190010.59299999999</v>
      </c>
      <c r="H86" s="429">
        <v>189868.9057</v>
      </c>
      <c r="I86" s="429">
        <v>190019.90900000001</v>
      </c>
      <c r="J86" s="429">
        <v>191911.71900000001</v>
      </c>
      <c r="K86" s="429">
        <v>192565.33189999999</v>
      </c>
      <c r="L86" s="429">
        <v>193422.4774</v>
      </c>
      <c r="M86" s="429">
        <v>202479.41928999999</v>
      </c>
      <c r="N86" s="429">
        <v>203070.44227999999</v>
      </c>
      <c r="O86" s="429">
        <v>203518.48681</v>
      </c>
      <c r="P86" s="429">
        <v>207541.45272999999</v>
      </c>
      <c r="Q86" s="429">
        <v>208303.27755999999</v>
      </c>
      <c r="R86" s="429">
        <v>231792.54267999899</v>
      </c>
    </row>
    <row r="87" spans="1:18" s="429" customFormat="1">
      <c r="A87" s="429" t="str">
        <f t="shared" si="5"/>
        <v>KU</v>
      </c>
      <c r="B87" s="429" t="str">
        <f t="shared" si="6"/>
        <v>TN</v>
      </c>
      <c r="C87" s="429" t="str">
        <f t="shared" si="7"/>
        <v>362</v>
      </c>
      <c r="D87" s="430" t="s">
        <v>1785</v>
      </c>
      <c r="E87" s="428" t="str">
        <f t="shared" si="8"/>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row>
    <row r="88" spans="1:18" s="429" customFormat="1">
      <c r="A88" s="429" t="str">
        <f t="shared" si="5"/>
        <v>KU</v>
      </c>
      <c r="B88" s="429" t="str">
        <f t="shared" si="6"/>
        <v>VA</v>
      </c>
      <c r="C88" s="429" t="str">
        <f t="shared" si="7"/>
        <v>362</v>
      </c>
      <c r="D88" s="430" t="s">
        <v>1786</v>
      </c>
      <c r="E88" s="428" t="str">
        <f t="shared" si="8"/>
        <v/>
      </c>
      <c r="F88" s="429">
        <v>8381.4852900000005</v>
      </c>
      <c r="G88" s="429">
        <v>8376.9513200000001</v>
      </c>
      <c r="H88" s="429">
        <v>8376.9513200000001</v>
      </c>
      <c r="I88" s="429">
        <v>8376.9513200000001</v>
      </c>
      <c r="J88" s="429">
        <v>8376.9513200000001</v>
      </c>
      <c r="K88" s="429">
        <v>8405.7806299999993</v>
      </c>
      <c r="L88" s="429">
        <v>8513.2319299999999</v>
      </c>
      <c r="M88" s="429">
        <v>8513.2319299999999</v>
      </c>
      <c r="N88" s="429">
        <v>8513.2319299999999</v>
      </c>
      <c r="O88" s="429">
        <v>8513.2319299999999</v>
      </c>
      <c r="P88" s="429">
        <v>8513.2319299999999</v>
      </c>
      <c r="Q88" s="429">
        <v>8513.2319299999999</v>
      </c>
      <c r="R88" s="429">
        <v>8513.2319299999999</v>
      </c>
    </row>
    <row r="89" spans="1:18" s="429" customFormat="1">
      <c r="A89" s="429" t="str">
        <f t="shared" si="5"/>
        <v>KU</v>
      </c>
      <c r="B89" s="429" t="str">
        <f t="shared" si="6"/>
        <v>KY</v>
      </c>
      <c r="C89" s="429" t="str">
        <f t="shared" si="7"/>
        <v>364</v>
      </c>
      <c r="D89" s="430" t="s">
        <v>2212</v>
      </c>
      <c r="E89" s="428" t="str">
        <f t="shared" si="8"/>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row>
    <row r="90" spans="1:18" s="429" customFormat="1">
      <c r="A90" s="429" t="str">
        <f t="shared" si="5"/>
        <v>KU</v>
      </c>
      <c r="B90" s="429" t="str">
        <f t="shared" si="6"/>
        <v>KY</v>
      </c>
      <c r="C90" s="429" t="str">
        <f t="shared" si="7"/>
        <v>364</v>
      </c>
      <c r="D90" s="430" t="s">
        <v>1787</v>
      </c>
      <c r="E90" s="428" t="str">
        <f t="shared" si="8"/>
        <v/>
      </c>
      <c r="F90" s="429">
        <v>360006.53200000001</v>
      </c>
      <c r="G90" s="429">
        <v>361520.32130000001</v>
      </c>
      <c r="H90" s="429">
        <v>366853.03749999998</v>
      </c>
      <c r="I90" s="429">
        <v>366985.7047</v>
      </c>
      <c r="J90" s="429">
        <v>368940.71039999998</v>
      </c>
      <c r="K90" s="429">
        <v>370656.06459999998</v>
      </c>
      <c r="L90" s="429">
        <v>371082.25760000001</v>
      </c>
      <c r="M90" s="429">
        <v>371912.95267999999</v>
      </c>
      <c r="N90" s="429">
        <v>372999.30060999998</v>
      </c>
      <c r="O90" s="429">
        <v>373923.76659999997</v>
      </c>
      <c r="P90" s="429">
        <v>374509.74910999998</v>
      </c>
      <c r="Q90" s="429">
        <v>375142.23670999898</v>
      </c>
      <c r="R90" s="429">
        <v>382510.19892999902</v>
      </c>
    </row>
    <row r="91" spans="1:18" s="429" customFormat="1">
      <c r="A91" s="429" t="str">
        <f t="shared" si="5"/>
        <v>KU</v>
      </c>
      <c r="B91" s="429" t="str">
        <f t="shared" si="6"/>
        <v>TN</v>
      </c>
      <c r="C91" s="429" t="str">
        <f t="shared" si="7"/>
        <v>364</v>
      </c>
      <c r="D91" s="430" t="s">
        <v>1788</v>
      </c>
      <c r="E91" s="428" t="str">
        <f t="shared" si="8"/>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row>
    <row r="92" spans="1:18" s="429" customFormat="1">
      <c r="A92" s="429" t="str">
        <f t="shared" si="5"/>
        <v>KU</v>
      </c>
      <c r="B92" s="429" t="str">
        <f t="shared" si="6"/>
        <v>VA</v>
      </c>
      <c r="C92" s="429" t="str">
        <f t="shared" si="7"/>
        <v>364</v>
      </c>
      <c r="D92" s="430" t="s">
        <v>1789</v>
      </c>
      <c r="E92" s="428" t="str">
        <f t="shared" si="8"/>
        <v/>
      </c>
      <c r="F92" s="429">
        <v>29011.08799</v>
      </c>
      <c r="G92" s="429">
        <v>29084.003369999999</v>
      </c>
      <c r="H92" s="429">
        <v>29420.893800000002</v>
      </c>
      <c r="I92" s="429">
        <v>29391.72782</v>
      </c>
      <c r="J92" s="429">
        <v>29534.189320000001</v>
      </c>
      <c r="K92" s="429">
        <v>29640.20796</v>
      </c>
      <c r="L92" s="429">
        <v>29674.458429999999</v>
      </c>
      <c r="M92" s="429">
        <v>29696.648139999899</v>
      </c>
      <c r="N92" s="429">
        <v>29713.245269999901</v>
      </c>
      <c r="O92" s="429">
        <v>29710.904959999902</v>
      </c>
      <c r="P92" s="429">
        <v>29708.531399999902</v>
      </c>
      <c r="Q92" s="429">
        <v>29706.191089999898</v>
      </c>
      <c r="R92" s="429">
        <v>30418.586679999898</v>
      </c>
    </row>
    <row r="93" spans="1:18" s="429" customFormat="1">
      <c r="A93" s="429" t="str">
        <f t="shared" si="5"/>
        <v>KU</v>
      </c>
      <c r="B93" s="429" t="str">
        <f t="shared" si="6"/>
        <v>KY</v>
      </c>
      <c r="C93" s="429" t="str">
        <f t="shared" si="7"/>
        <v>365</v>
      </c>
      <c r="D93" s="430" t="s">
        <v>2213</v>
      </c>
      <c r="E93" s="428" t="str">
        <f t="shared" si="8"/>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row>
    <row r="94" spans="1:18" s="429" customFormat="1">
      <c r="A94" s="429" t="str">
        <f t="shared" si="5"/>
        <v>KU</v>
      </c>
      <c r="B94" s="429" t="str">
        <f t="shared" si="6"/>
        <v>KY</v>
      </c>
      <c r="C94" s="429" t="str">
        <f t="shared" si="7"/>
        <v>365</v>
      </c>
      <c r="D94" s="430" t="s">
        <v>1790</v>
      </c>
      <c r="E94" s="428" t="str">
        <f t="shared" si="8"/>
        <v/>
      </c>
      <c r="F94" s="429">
        <v>343945.88130000001</v>
      </c>
      <c r="G94" s="429">
        <v>345874.48089999898</v>
      </c>
      <c r="H94" s="429">
        <v>349883.43550000002</v>
      </c>
      <c r="I94" s="429">
        <v>350903.7402</v>
      </c>
      <c r="J94" s="429">
        <v>353911.51280000003</v>
      </c>
      <c r="K94" s="429">
        <v>354673.46029999998</v>
      </c>
      <c r="L94" s="429">
        <v>354662.12809999997</v>
      </c>
      <c r="M94" s="429">
        <v>361510.91164000001</v>
      </c>
      <c r="N94" s="429">
        <v>366550.18281999999</v>
      </c>
      <c r="O94" s="429">
        <v>370304.44159999897</v>
      </c>
      <c r="P94" s="429">
        <v>372657.48551999999</v>
      </c>
      <c r="Q94" s="429">
        <v>374529.21896999999</v>
      </c>
      <c r="R94" s="429">
        <v>381301.22807999997</v>
      </c>
    </row>
    <row r="95" spans="1:18" s="429" customFormat="1">
      <c r="A95" s="429" t="str">
        <f t="shared" si="5"/>
        <v>KU</v>
      </c>
      <c r="B95" s="429" t="str">
        <f t="shared" si="6"/>
        <v>TN</v>
      </c>
      <c r="C95" s="429" t="str">
        <f t="shared" si="7"/>
        <v>365</v>
      </c>
      <c r="D95" s="430" t="s">
        <v>1791</v>
      </c>
      <c r="E95" s="428" t="str">
        <f t="shared" si="8"/>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row>
    <row r="96" spans="1:18" s="429" customFormat="1">
      <c r="A96" s="429" t="str">
        <f t="shared" si="5"/>
        <v>KU</v>
      </c>
      <c r="B96" s="429" t="str">
        <f t="shared" si="6"/>
        <v>VA</v>
      </c>
      <c r="C96" s="429" t="str">
        <f t="shared" si="7"/>
        <v>365</v>
      </c>
      <c r="D96" s="430" t="s">
        <v>1792</v>
      </c>
      <c r="E96" s="428" t="str">
        <f t="shared" si="8"/>
        <v/>
      </c>
      <c r="F96" s="429">
        <v>25545.123390000001</v>
      </c>
      <c r="G96" s="429">
        <v>25717.625700000001</v>
      </c>
      <c r="H96" s="429">
        <v>26245.514640000001</v>
      </c>
      <c r="I96" s="429">
        <v>26244.31367</v>
      </c>
      <c r="J96" s="429">
        <v>26638.157200000001</v>
      </c>
      <c r="K96" s="429">
        <v>26754.944729999999</v>
      </c>
      <c r="L96" s="429">
        <v>26766.630550000002</v>
      </c>
      <c r="M96" s="429">
        <v>27082.60065</v>
      </c>
      <c r="N96" s="429">
        <v>27403.024880000001</v>
      </c>
      <c r="O96" s="429">
        <v>27589.25145</v>
      </c>
      <c r="P96" s="429">
        <v>27855.850849999999</v>
      </c>
      <c r="Q96" s="429">
        <v>27923.518059999999</v>
      </c>
      <c r="R96" s="429">
        <v>27993.39</v>
      </c>
    </row>
    <row r="97" spans="1:18" s="429" customFormat="1">
      <c r="A97" s="429" t="str">
        <f t="shared" si="5"/>
        <v>KU</v>
      </c>
      <c r="B97" s="429" t="str">
        <f t="shared" si="6"/>
        <v>KY</v>
      </c>
      <c r="C97" s="429" t="str">
        <f t="shared" si="7"/>
        <v>366</v>
      </c>
      <c r="D97" s="430" t="s">
        <v>2214</v>
      </c>
      <c r="E97" s="428" t="str">
        <f t="shared" si="8"/>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row>
    <row r="98" spans="1:18" s="429" customFormat="1">
      <c r="A98" s="429" t="str">
        <f t="shared" si="5"/>
        <v>KU</v>
      </c>
      <c r="B98" s="429" t="str">
        <f t="shared" si="6"/>
        <v>KY</v>
      </c>
      <c r="C98" s="429" t="str">
        <f t="shared" si="7"/>
        <v>366</v>
      </c>
      <c r="D98" s="430" t="s">
        <v>1793</v>
      </c>
      <c r="E98" s="428" t="str">
        <f t="shared" si="8"/>
        <v/>
      </c>
      <c r="F98" s="429">
        <v>2219.1685400000001</v>
      </c>
      <c r="G98" s="429">
        <v>2219.1685400000001</v>
      </c>
      <c r="H98" s="429">
        <v>2219.1685400000001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row>
    <row r="99" spans="1:18" s="429" customFormat="1">
      <c r="A99" s="429" t="str">
        <f t="shared" si="5"/>
        <v>KU</v>
      </c>
      <c r="B99" s="429" t="str">
        <f t="shared" si="6"/>
        <v>KY</v>
      </c>
      <c r="C99" s="429" t="str">
        <f t="shared" si="7"/>
        <v>367</v>
      </c>
      <c r="D99" s="430" t="s">
        <v>2215</v>
      </c>
      <c r="E99" s="428" t="str">
        <f t="shared" si="8"/>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row>
    <row r="100" spans="1:18" s="429" customFormat="1">
      <c r="A100" s="429" t="str">
        <f t="shared" si="5"/>
        <v>KU</v>
      </c>
      <c r="B100" s="429" t="str">
        <f t="shared" si="6"/>
        <v>KY</v>
      </c>
      <c r="C100" s="429" t="str">
        <f t="shared" si="7"/>
        <v>367</v>
      </c>
      <c r="D100" s="430" t="s">
        <v>1794</v>
      </c>
      <c r="E100" s="428" t="str">
        <f t="shared" si="8"/>
        <v/>
      </c>
      <c r="F100" s="429">
        <v>188227.7531</v>
      </c>
      <c r="G100" s="429">
        <v>189308.87159999899</v>
      </c>
      <c r="H100" s="429">
        <v>190208.93409999899</v>
      </c>
      <c r="I100" s="429">
        <v>190223.1017</v>
      </c>
      <c r="J100" s="429">
        <v>192126.50219999999</v>
      </c>
      <c r="K100" s="429">
        <v>192761.54199999999</v>
      </c>
      <c r="L100" s="429">
        <v>192874.50750000001</v>
      </c>
      <c r="M100" s="429">
        <v>195336.46598000001</v>
      </c>
      <c r="N100" s="429">
        <v>197269.75915999999</v>
      </c>
      <c r="O100" s="429">
        <v>198579.61074</v>
      </c>
      <c r="P100" s="429">
        <v>199915.13308</v>
      </c>
      <c r="Q100" s="429">
        <v>201097.64076000001</v>
      </c>
      <c r="R100" s="429">
        <v>202129.42071999999</v>
      </c>
    </row>
    <row r="101" spans="1:18" s="429" customFormat="1">
      <c r="A101" s="429" t="str">
        <f t="shared" si="5"/>
        <v>KU</v>
      </c>
      <c r="B101" s="429" t="str">
        <f t="shared" si="6"/>
        <v>VA</v>
      </c>
      <c r="C101" s="429" t="str">
        <f t="shared" si="7"/>
        <v>367</v>
      </c>
      <c r="D101" s="430" t="s">
        <v>1795</v>
      </c>
      <c r="E101" s="428" t="str">
        <f t="shared" si="8"/>
        <v/>
      </c>
      <c r="F101" s="429">
        <v>4698.48236</v>
      </c>
      <c r="G101" s="429">
        <v>4708.5523300000004</v>
      </c>
      <c r="H101" s="429">
        <v>4373.63724</v>
      </c>
      <c r="I101" s="429">
        <v>4373.63724</v>
      </c>
      <c r="J101" s="429">
        <v>4408.9042499999996</v>
      </c>
      <c r="K101" s="429">
        <v>4419.8111200000003</v>
      </c>
      <c r="L101" s="429">
        <v>4418.53143</v>
      </c>
      <c r="M101" s="429">
        <v>4497.5189499999997</v>
      </c>
      <c r="N101" s="429">
        <v>4579.3925799999997</v>
      </c>
      <c r="O101" s="429">
        <v>4614.5594799999999</v>
      </c>
      <c r="P101" s="429">
        <v>4650.5152200000002</v>
      </c>
      <c r="Q101" s="429">
        <v>4682.8335999999999</v>
      </c>
      <c r="R101" s="429">
        <v>4691.7202900000002</v>
      </c>
    </row>
    <row r="102" spans="1:18" s="429" customFormat="1">
      <c r="A102" s="429" t="str">
        <f t="shared" si="5"/>
        <v>KU</v>
      </c>
      <c r="B102" s="429" t="str">
        <f t="shared" si="6"/>
        <v>KY</v>
      </c>
      <c r="C102" s="429" t="str">
        <f t="shared" si="7"/>
        <v>368</v>
      </c>
      <c r="D102" s="430" t="s">
        <v>1796</v>
      </c>
      <c r="E102" s="428" t="str">
        <f t="shared" si="8"/>
        <v/>
      </c>
      <c r="F102" s="429">
        <v>302516.05699999997</v>
      </c>
      <c r="G102" s="429">
        <v>302738.36290000001</v>
      </c>
      <c r="H102" s="429">
        <v>302918.57659999997</v>
      </c>
      <c r="I102" s="429">
        <v>303345.91009999998</v>
      </c>
      <c r="J102" s="429">
        <v>303591.35009999998</v>
      </c>
      <c r="K102" s="429">
        <v>304247.95970000001</v>
      </c>
      <c r="L102" s="429">
        <v>304247.95970000001</v>
      </c>
      <c r="M102" s="429">
        <v>305878.68369999999</v>
      </c>
      <c r="N102" s="429">
        <v>306669.69848000002</v>
      </c>
      <c r="O102" s="429">
        <v>307679.04869999998</v>
      </c>
      <c r="P102" s="429">
        <v>308711.51062999998</v>
      </c>
      <c r="Q102" s="429">
        <v>309751.82562999998</v>
      </c>
      <c r="R102" s="429">
        <v>310480.03214999998</v>
      </c>
    </row>
    <row r="103" spans="1:18" s="429" customFormat="1">
      <c r="A103" s="429" t="str">
        <f t="shared" si="5"/>
        <v>KU</v>
      </c>
      <c r="B103" s="429" t="str">
        <f t="shared" si="6"/>
        <v>TN</v>
      </c>
      <c r="C103" s="429" t="str">
        <f t="shared" si="7"/>
        <v>368</v>
      </c>
      <c r="D103" s="430" t="s">
        <v>1797</v>
      </c>
      <c r="E103" s="428" t="str">
        <f t="shared" si="8"/>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row>
    <row r="104" spans="1:18" s="429" customFormat="1">
      <c r="A104" s="429" t="str">
        <f t="shared" si="5"/>
        <v>KU</v>
      </c>
      <c r="B104" s="429" t="str">
        <f t="shared" si="6"/>
        <v>VA</v>
      </c>
      <c r="C104" s="429" t="str">
        <f t="shared" si="7"/>
        <v>368</v>
      </c>
      <c r="D104" s="430" t="s">
        <v>1798</v>
      </c>
      <c r="E104" s="428" t="str">
        <f t="shared" si="8"/>
        <v/>
      </c>
      <c r="F104" s="429">
        <v>11127.499599999999</v>
      </c>
      <c r="G104" s="429">
        <v>11127.617819999999</v>
      </c>
      <c r="H104" s="429">
        <v>11127.573269999901</v>
      </c>
      <c r="I104" s="429">
        <v>11122.64525</v>
      </c>
      <c r="J104" s="429">
        <v>11063.31408</v>
      </c>
      <c r="K104" s="429">
        <v>11063.64271</v>
      </c>
      <c r="L104" s="429">
        <v>11063.64271</v>
      </c>
      <c r="M104" s="429">
        <v>11065.79782</v>
      </c>
      <c r="N104" s="429">
        <v>11114.9524</v>
      </c>
      <c r="O104" s="429">
        <v>11117.293180000001</v>
      </c>
      <c r="P104" s="429">
        <v>11120.89525</v>
      </c>
      <c r="Q104" s="429">
        <v>11123.866669999999</v>
      </c>
      <c r="R104" s="429">
        <v>11126.20745</v>
      </c>
    </row>
    <row r="105" spans="1:18" s="429" customFormat="1">
      <c r="A105" s="429" t="str">
        <f t="shared" si="5"/>
        <v>KU</v>
      </c>
      <c r="B105" s="429" t="str">
        <f t="shared" si="6"/>
        <v>KY</v>
      </c>
      <c r="C105" s="429" t="str">
        <f t="shared" si="7"/>
        <v>369</v>
      </c>
      <c r="D105" s="430" t="s">
        <v>1799</v>
      </c>
      <c r="E105" s="428" t="str">
        <f t="shared" si="8"/>
        <v/>
      </c>
      <c r="F105" s="429">
        <v>108515.0542</v>
      </c>
      <c r="G105" s="429">
        <v>108566.7577</v>
      </c>
      <c r="H105" s="429">
        <v>108584.3202</v>
      </c>
      <c r="I105" s="429">
        <v>108584.3202</v>
      </c>
      <c r="J105" s="429">
        <v>108624.6516</v>
      </c>
      <c r="K105" s="429">
        <v>108650.940099999</v>
      </c>
      <c r="L105" s="429">
        <v>108650.5497</v>
      </c>
      <c r="M105" s="429">
        <v>108650.5497</v>
      </c>
      <c r="N105" s="429">
        <v>108650.5497</v>
      </c>
      <c r="O105" s="429">
        <v>108650.5497</v>
      </c>
      <c r="P105" s="429">
        <v>108650.5497</v>
      </c>
      <c r="Q105" s="429">
        <v>108650.5497</v>
      </c>
      <c r="R105" s="429">
        <v>108650.5497</v>
      </c>
    </row>
    <row r="106" spans="1:18" s="429" customFormat="1">
      <c r="A106" s="429" t="str">
        <f t="shared" si="5"/>
        <v>KU</v>
      </c>
      <c r="B106" s="429" t="str">
        <f t="shared" si="6"/>
        <v>TN</v>
      </c>
      <c r="C106" s="429" t="str">
        <f t="shared" si="7"/>
        <v>369</v>
      </c>
      <c r="D106" s="430" t="s">
        <v>1800</v>
      </c>
      <c r="E106" s="428" t="str">
        <f t="shared" si="8"/>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row>
    <row r="107" spans="1:18" s="429" customFormat="1">
      <c r="A107" s="429" t="str">
        <f t="shared" si="5"/>
        <v>KU</v>
      </c>
      <c r="B107" s="429" t="str">
        <f t="shared" si="6"/>
        <v>VA</v>
      </c>
      <c r="C107" s="429" t="str">
        <f t="shared" si="7"/>
        <v>369</v>
      </c>
      <c r="D107" s="430" t="s">
        <v>1801</v>
      </c>
      <c r="E107" s="428" t="str">
        <f t="shared" si="8"/>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row>
    <row r="108" spans="1:18" s="429" customFormat="1">
      <c r="A108" s="429" t="str">
        <f t="shared" si="5"/>
        <v>KU</v>
      </c>
      <c r="B108" s="429" t="str">
        <f t="shared" si="6"/>
        <v>KY</v>
      </c>
      <c r="C108" s="429" t="str">
        <f t="shared" si="7"/>
        <v>370</v>
      </c>
      <c r="D108" s="430" t="s">
        <v>1802</v>
      </c>
      <c r="E108" s="428" t="str">
        <f t="shared" si="8"/>
        <v/>
      </c>
      <c r="F108" s="429">
        <v>73772.119449999998</v>
      </c>
      <c r="G108" s="429">
        <v>73862.823299999902</v>
      </c>
      <c r="H108" s="429">
        <v>73988.614009999903</v>
      </c>
      <c r="I108" s="429">
        <v>74224.419880000001</v>
      </c>
      <c r="J108" s="429">
        <v>74287.044779999997</v>
      </c>
      <c r="K108" s="429">
        <v>74380.658679999993</v>
      </c>
      <c r="L108" s="429">
        <v>74380.658679999993</v>
      </c>
      <c r="M108" s="429">
        <v>74504.869359999997</v>
      </c>
      <c r="N108" s="429">
        <v>74633.322069999995</v>
      </c>
      <c r="O108" s="429">
        <v>74740.469069999905</v>
      </c>
      <c r="P108" s="429">
        <v>75698.631039999993</v>
      </c>
      <c r="Q108" s="429">
        <v>75806.105119999993</v>
      </c>
      <c r="R108" s="429">
        <v>75912.706199999899</v>
      </c>
    </row>
    <row r="109" spans="1:18" s="429" customFormat="1">
      <c r="A109" s="429" t="str">
        <f t="shared" si="5"/>
        <v>KU</v>
      </c>
      <c r="B109" s="429" t="str">
        <f t="shared" si="6"/>
        <v>KY</v>
      </c>
      <c r="C109" s="429" t="str">
        <f t="shared" si="7"/>
        <v>370</v>
      </c>
      <c r="D109" s="430" t="s">
        <v>2508</v>
      </c>
      <c r="E109" s="428" t="str">
        <f t="shared" si="8"/>
        <v>DSM</v>
      </c>
      <c r="F109" s="429">
        <v>1169.6028699999999</v>
      </c>
      <c r="G109" s="429">
        <v>1169.6028699999999</v>
      </c>
      <c r="H109" s="429">
        <v>1171.75217</v>
      </c>
      <c r="I109" s="429">
        <v>1330.88122</v>
      </c>
      <c r="J109" s="429">
        <v>1330.88122</v>
      </c>
      <c r="K109" s="429">
        <v>1331.2583199999999</v>
      </c>
      <c r="L109" s="429">
        <v>1331.3335999999999</v>
      </c>
      <c r="M109" s="429">
        <v>1331.3335999999999</v>
      </c>
      <c r="N109" s="429">
        <v>1331.3335999999999</v>
      </c>
      <c r="O109" s="429">
        <v>1331.3335999999999</v>
      </c>
      <c r="P109" s="429">
        <v>1331.3335999999999</v>
      </c>
      <c r="Q109" s="429">
        <v>1331.3335999999999</v>
      </c>
      <c r="R109" s="429">
        <v>1331.3335999999999</v>
      </c>
    </row>
    <row r="110" spans="1:18" s="429" customFormat="1">
      <c r="A110" s="429" t="str">
        <f t="shared" si="5"/>
        <v>KU</v>
      </c>
      <c r="B110" s="429" t="str">
        <f t="shared" si="6"/>
        <v>TN</v>
      </c>
      <c r="C110" s="429" t="str">
        <f t="shared" si="7"/>
        <v>370</v>
      </c>
      <c r="D110" s="430" t="s">
        <v>1803</v>
      </c>
      <c r="E110" s="428" t="str">
        <f t="shared" si="8"/>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row>
    <row r="111" spans="1:18" s="429" customFormat="1">
      <c r="A111" s="429" t="str">
        <f t="shared" si="5"/>
        <v>KU</v>
      </c>
      <c r="B111" s="429" t="str">
        <f t="shared" si="6"/>
        <v>VA</v>
      </c>
      <c r="C111" s="429" t="str">
        <f t="shared" si="7"/>
        <v>370</v>
      </c>
      <c r="D111" s="430" t="s">
        <v>1804</v>
      </c>
      <c r="E111" s="428" t="str">
        <f t="shared" si="8"/>
        <v/>
      </c>
      <c r="F111" s="429">
        <v>3881.8475800000001</v>
      </c>
      <c r="G111" s="429">
        <v>3927.1995200000001</v>
      </c>
      <c r="H111" s="429">
        <v>3990.0948800000001</v>
      </c>
      <c r="I111" s="429">
        <v>3701.6954099999998</v>
      </c>
      <c r="J111" s="429">
        <v>3736.7382200000002</v>
      </c>
      <c r="K111" s="429">
        <v>3783.5452</v>
      </c>
      <c r="L111" s="429">
        <v>3783.5452</v>
      </c>
      <c r="M111" s="429">
        <v>3783.5452</v>
      </c>
      <c r="N111" s="429">
        <v>3783.5452</v>
      </c>
      <c r="O111" s="429">
        <v>3783.5452</v>
      </c>
      <c r="P111" s="429">
        <v>3783.5452</v>
      </c>
      <c r="Q111" s="429">
        <v>3783.5452</v>
      </c>
      <c r="R111" s="429">
        <v>3783.5452</v>
      </c>
    </row>
    <row r="112" spans="1:18" s="429" customFormat="1">
      <c r="A112" s="429" t="str">
        <f t="shared" si="5"/>
        <v>KU</v>
      </c>
      <c r="B112" s="429" t="str">
        <f t="shared" si="6"/>
        <v>KY</v>
      </c>
      <c r="C112" s="429" t="str">
        <f t="shared" si="7"/>
        <v>371</v>
      </c>
      <c r="D112" s="430" t="s">
        <v>1805</v>
      </c>
      <c r="E112" s="428" t="str">
        <f t="shared" si="8"/>
        <v/>
      </c>
      <c r="F112" s="429">
        <v>6.16411</v>
      </c>
      <c r="G112" s="429">
        <v>6.16411</v>
      </c>
      <c r="H112" s="429">
        <v>6.16411</v>
      </c>
      <c r="I112" s="429">
        <v>6.16411</v>
      </c>
      <c r="J112" s="429">
        <v>6.16411</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row>
    <row r="113" spans="1:18" s="429" customFormat="1">
      <c r="A113" s="429" t="str">
        <f t="shared" si="5"/>
        <v>KU</v>
      </c>
      <c r="B113" s="429" t="str">
        <f t="shared" si="6"/>
        <v>KY</v>
      </c>
      <c r="C113" s="429" t="str">
        <f t="shared" si="7"/>
        <v>371</v>
      </c>
      <c r="D113" s="430" t="s">
        <v>2674</v>
      </c>
      <c r="E113" s="428" t="str">
        <f t="shared" si="8"/>
        <v/>
      </c>
      <c r="F113" s="429">
        <v>0</v>
      </c>
      <c r="G113" s="429">
        <v>0</v>
      </c>
      <c r="H113" s="429">
        <v>0</v>
      </c>
      <c r="I113" s="429">
        <v>0</v>
      </c>
      <c r="J113" s="429">
        <v>0</v>
      </c>
      <c r="K113" s="429">
        <v>0</v>
      </c>
      <c r="L113" s="429">
        <v>0</v>
      </c>
      <c r="M113" s="429">
        <v>70.984359999999995</v>
      </c>
      <c r="N113" s="429">
        <v>78.179360000000003</v>
      </c>
      <c r="O113" s="429">
        <v>85.374359999999996</v>
      </c>
      <c r="P113" s="429">
        <v>92.569359999999904</v>
      </c>
      <c r="Q113" s="429">
        <v>99.764359999999897</v>
      </c>
      <c r="R113" s="429">
        <v>140.481009999999</v>
      </c>
    </row>
    <row r="114" spans="1:18" s="429" customFormat="1">
      <c r="A114" s="429" t="str">
        <f t="shared" si="5"/>
        <v>KU</v>
      </c>
      <c r="B114" s="429" t="str">
        <f t="shared" si="6"/>
        <v>KY</v>
      </c>
      <c r="C114" s="429" t="str">
        <f t="shared" si="7"/>
        <v>373</v>
      </c>
      <c r="D114" s="430" t="s">
        <v>1806</v>
      </c>
      <c r="E114" s="428" t="str">
        <f t="shared" si="8"/>
        <v/>
      </c>
      <c r="F114" s="429">
        <v>117191.6501</v>
      </c>
      <c r="G114" s="429">
        <v>118106.1271</v>
      </c>
      <c r="H114" s="429">
        <v>118637.9455</v>
      </c>
      <c r="I114" s="429">
        <v>118640.4951</v>
      </c>
      <c r="J114" s="429">
        <v>119578.8104</v>
      </c>
      <c r="K114" s="429">
        <v>120172.5861</v>
      </c>
      <c r="L114" s="429">
        <v>120034.0998</v>
      </c>
      <c r="M114" s="429">
        <v>120940.94663999999</v>
      </c>
      <c r="N114" s="429">
        <v>121683.44541</v>
      </c>
      <c r="O114" s="429">
        <v>122247.29911000001</v>
      </c>
      <c r="P114" s="429">
        <v>122847.05157</v>
      </c>
      <c r="Q114" s="429">
        <v>123394.02131</v>
      </c>
      <c r="R114" s="429">
        <v>123933.92417</v>
      </c>
    </row>
    <row r="115" spans="1:18" s="429" customFormat="1">
      <c r="A115" s="429" t="str">
        <f t="shared" si="5"/>
        <v>KU</v>
      </c>
      <c r="B115" s="429" t="str">
        <f t="shared" si="6"/>
        <v>VA</v>
      </c>
      <c r="C115" s="429" t="str">
        <f t="shared" si="7"/>
        <v>373</v>
      </c>
      <c r="D115" s="430" t="s">
        <v>1807</v>
      </c>
      <c r="E115" s="428" t="str">
        <f t="shared" si="8"/>
        <v/>
      </c>
      <c r="F115" s="429">
        <v>3671.2980499999999</v>
      </c>
      <c r="G115" s="429">
        <v>3683.2236800000001</v>
      </c>
      <c r="H115" s="429">
        <v>3692.8969400000001</v>
      </c>
      <c r="I115" s="429">
        <v>3687.85961</v>
      </c>
      <c r="J115" s="429">
        <v>3709.1138099999998</v>
      </c>
      <c r="K115" s="429">
        <v>3687.9616999999998</v>
      </c>
      <c r="L115" s="429">
        <v>3685.8251599999999</v>
      </c>
      <c r="M115" s="429">
        <v>3691.6403300000002</v>
      </c>
      <c r="N115" s="429">
        <v>3776.7062099999998</v>
      </c>
      <c r="O115" s="429">
        <v>3790.0155300000001</v>
      </c>
      <c r="P115" s="429">
        <v>3802.19445</v>
      </c>
      <c r="Q115" s="429">
        <v>3814.3983800000001</v>
      </c>
      <c r="R115" s="429">
        <v>3826.5504599999999</v>
      </c>
    </row>
    <row r="116" spans="1:18" s="429" customFormat="1">
      <c r="A116" s="429" t="str">
        <f t="shared" si="5"/>
        <v>KU</v>
      </c>
      <c r="B116" s="429" t="str">
        <f t="shared" si="6"/>
        <v>KY</v>
      </c>
      <c r="C116" s="429" t="str">
        <f t="shared" si="7"/>
        <v>374</v>
      </c>
      <c r="D116" s="430" t="s">
        <v>1808</v>
      </c>
      <c r="E116" s="428" t="str">
        <f t="shared" si="8"/>
        <v>ARO</v>
      </c>
      <c r="F116" s="429">
        <v>670.19036999999901</v>
      </c>
      <c r="G116" s="429">
        <v>670.19036999999901</v>
      </c>
      <c r="H116" s="429">
        <v>670.19036999999901</v>
      </c>
      <c r="I116" s="429">
        <v>670.19036999999901</v>
      </c>
      <c r="J116" s="429">
        <v>670.19036999999901</v>
      </c>
      <c r="K116" s="429">
        <v>668.01334999999995</v>
      </c>
      <c r="L116" s="429">
        <v>658.28719000000001</v>
      </c>
      <c r="M116" s="429">
        <v>658.28719000000001</v>
      </c>
      <c r="N116" s="429">
        <v>658.28719000000001</v>
      </c>
      <c r="O116" s="429">
        <v>658.28719000000001</v>
      </c>
      <c r="P116" s="429">
        <v>658.28719000000001</v>
      </c>
      <c r="Q116" s="429">
        <v>658.28719000000001</v>
      </c>
      <c r="R116" s="429">
        <v>658.28719000000001</v>
      </c>
    </row>
    <row r="117" spans="1:18" s="429" customFormat="1">
      <c r="A117" s="429" t="str">
        <f t="shared" si="5"/>
        <v>KU</v>
      </c>
      <c r="B117" s="429" t="str">
        <f t="shared" si="6"/>
        <v>KY</v>
      </c>
      <c r="C117" s="429" t="str">
        <f t="shared" si="7"/>
        <v>389</v>
      </c>
      <c r="D117" s="430" t="s">
        <v>2509</v>
      </c>
      <c r="E117" s="428" t="str">
        <f t="shared" si="8"/>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row>
    <row r="118" spans="1:18" s="429" customFormat="1">
      <c r="A118" s="429" t="str">
        <f t="shared" si="5"/>
        <v>KU</v>
      </c>
      <c r="B118" s="429" t="str">
        <f t="shared" si="6"/>
        <v>KY</v>
      </c>
      <c r="C118" s="429" t="str">
        <f t="shared" si="7"/>
        <v>389</v>
      </c>
      <c r="D118" s="430" t="s">
        <v>1809</v>
      </c>
      <c r="E118" s="428" t="str">
        <f t="shared" si="8"/>
        <v/>
      </c>
      <c r="F118" s="429">
        <v>3017.0827599999998</v>
      </c>
      <c r="G118" s="429">
        <v>3017.0827599999998</v>
      </c>
      <c r="H118" s="429">
        <v>3017.0827599999998</v>
      </c>
      <c r="I118" s="429">
        <v>3017.0827599999998</v>
      </c>
      <c r="J118" s="429">
        <v>3017.0827599999998</v>
      </c>
      <c r="K118" s="429">
        <v>3017.0827599999998</v>
      </c>
      <c r="L118" s="429">
        <v>3017.0827599999998</v>
      </c>
      <c r="M118" s="429">
        <v>3129.2581999999902</v>
      </c>
      <c r="N118" s="429">
        <v>3129.2581999999902</v>
      </c>
      <c r="O118" s="429">
        <v>3129.2581999999902</v>
      </c>
      <c r="P118" s="429">
        <v>3129.2581999999902</v>
      </c>
      <c r="Q118" s="429">
        <v>3129.2581999999902</v>
      </c>
      <c r="R118" s="429">
        <v>3129.2581999999902</v>
      </c>
    </row>
    <row r="119" spans="1:18" s="429" customFormat="1">
      <c r="A119" s="429" t="str">
        <f t="shared" si="5"/>
        <v>KU</v>
      </c>
      <c r="B119" s="429" t="str">
        <f t="shared" si="6"/>
        <v>VA</v>
      </c>
      <c r="C119" s="429" t="str">
        <f t="shared" si="7"/>
        <v>389</v>
      </c>
      <c r="D119" s="430" t="s">
        <v>1810</v>
      </c>
      <c r="E119" s="428" t="str">
        <f t="shared" si="8"/>
        <v/>
      </c>
      <c r="F119" s="429">
        <v>380.62943999999999</v>
      </c>
      <c r="G119" s="429">
        <v>380.62943999999999</v>
      </c>
      <c r="H119" s="429">
        <v>380.62943999999999</v>
      </c>
      <c r="I119" s="429">
        <v>380.62943999999999</v>
      </c>
      <c r="J119" s="429">
        <v>380.62943999999999</v>
      </c>
      <c r="K119" s="429">
        <v>380.62943999999999</v>
      </c>
      <c r="L119" s="429">
        <v>380.62943999999999</v>
      </c>
      <c r="M119" s="429">
        <v>861.90804000000003</v>
      </c>
      <c r="N119" s="429">
        <v>861.90804000000003</v>
      </c>
      <c r="O119" s="429">
        <v>991.91619000000003</v>
      </c>
      <c r="P119" s="429">
        <v>991.91619000000003</v>
      </c>
      <c r="Q119" s="429">
        <v>991.91619000000003</v>
      </c>
      <c r="R119" s="429">
        <v>991.91619000000003</v>
      </c>
    </row>
    <row r="120" spans="1:18" s="429" customFormat="1">
      <c r="A120" s="429" t="str">
        <f t="shared" si="5"/>
        <v>KU</v>
      </c>
      <c r="B120" s="429" t="str">
        <f t="shared" si="6"/>
        <v>KY</v>
      </c>
      <c r="C120" s="429" t="str">
        <f t="shared" si="7"/>
        <v>390</v>
      </c>
      <c r="D120" s="430" t="s">
        <v>1811</v>
      </c>
      <c r="E120" s="428" t="str">
        <f t="shared" si="8"/>
        <v/>
      </c>
      <c r="F120" s="429">
        <v>2707.2935200000002</v>
      </c>
      <c r="G120" s="429">
        <v>2707.27963</v>
      </c>
      <c r="H120" s="429">
        <v>2717.80978</v>
      </c>
      <c r="I120" s="429">
        <v>3049.4499599999999</v>
      </c>
      <c r="J120" s="429">
        <v>3053.5099599999999</v>
      </c>
      <c r="K120" s="429">
        <v>3054.0232999999998</v>
      </c>
      <c r="L120" s="429">
        <v>3038.44877</v>
      </c>
      <c r="M120" s="429">
        <v>3037.87219</v>
      </c>
      <c r="N120" s="429">
        <v>3099.49935</v>
      </c>
      <c r="O120" s="429">
        <v>3099.49935</v>
      </c>
      <c r="P120" s="429">
        <v>3099.49935</v>
      </c>
      <c r="Q120" s="429">
        <v>3099.49935</v>
      </c>
      <c r="R120" s="429">
        <v>3099.49935</v>
      </c>
    </row>
    <row r="121" spans="1:18" s="429" customFormat="1">
      <c r="A121" s="429" t="str">
        <f t="shared" si="5"/>
        <v>KU</v>
      </c>
      <c r="B121" s="429" t="str">
        <f t="shared" si="6"/>
        <v>KY</v>
      </c>
      <c r="C121" s="429" t="str">
        <f t="shared" si="7"/>
        <v>390</v>
      </c>
      <c r="D121" s="430" t="s">
        <v>1812</v>
      </c>
      <c r="E121" s="428" t="str">
        <f t="shared" si="8"/>
        <v/>
      </c>
      <c r="F121" s="429">
        <v>59217.578840000002</v>
      </c>
      <c r="G121" s="429">
        <v>59642.221749999997</v>
      </c>
      <c r="H121" s="429">
        <v>60039.223279999998</v>
      </c>
      <c r="I121" s="429">
        <v>61343.667959999999</v>
      </c>
      <c r="J121" s="429">
        <v>61622.171040000001</v>
      </c>
      <c r="K121" s="429">
        <v>61825.460089999899</v>
      </c>
      <c r="L121" s="429">
        <v>61761.747159999999</v>
      </c>
      <c r="M121" s="429">
        <v>62256.618369999997</v>
      </c>
      <c r="N121" s="429">
        <v>62532.835610000002</v>
      </c>
      <c r="O121" s="429">
        <v>62787.620510000001</v>
      </c>
      <c r="P121" s="429">
        <v>63577.221420000002</v>
      </c>
      <c r="Q121" s="429">
        <v>64729.223980000002</v>
      </c>
      <c r="R121" s="429">
        <v>65364.970439999997</v>
      </c>
    </row>
    <row r="122" spans="1:18" s="429" customFormat="1">
      <c r="A122" s="429" t="str">
        <f t="shared" si="5"/>
        <v>KU</v>
      </c>
      <c r="B122" s="429" t="str">
        <f t="shared" si="6"/>
        <v>VA</v>
      </c>
      <c r="C122" s="429" t="str">
        <f t="shared" si="7"/>
        <v>390</v>
      </c>
      <c r="D122" s="430" t="s">
        <v>1813</v>
      </c>
      <c r="E122" s="428" t="str">
        <f t="shared" si="8"/>
        <v/>
      </c>
      <c r="F122" s="429">
        <v>1084.4556499999901</v>
      </c>
      <c r="G122" s="429">
        <v>1084.4556499999901</v>
      </c>
      <c r="H122" s="429">
        <v>1077.25989</v>
      </c>
      <c r="I122" s="429">
        <v>1094.7779</v>
      </c>
      <c r="J122" s="429">
        <v>1094.7779</v>
      </c>
      <c r="K122" s="429">
        <v>1094.7779</v>
      </c>
      <c r="L122" s="429">
        <v>1103.63246</v>
      </c>
      <c r="M122" s="429">
        <v>1103.63246</v>
      </c>
      <c r="N122" s="429">
        <v>1103.4756</v>
      </c>
      <c r="O122" s="429">
        <v>1103.4756</v>
      </c>
      <c r="P122" s="429">
        <v>1103.4756</v>
      </c>
      <c r="Q122" s="429">
        <v>1143.24342</v>
      </c>
      <c r="R122" s="429">
        <v>1156.2440899999999</v>
      </c>
    </row>
    <row r="123" spans="1:18" s="429" customFormat="1">
      <c r="A123" s="429" t="str">
        <f t="shared" si="5"/>
        <v>KU</v>
      </c>
      <c r="B123" s="429" t="str">
        <f t="shared" si="6"/>
        <v>KY</v>
      </c>
      <c r="C123" s="429" t="str">
        <f t="shared" si="7"/>
        <v>391</v>
      </c>
      <c r="D123" s="430" t="s">
        <v>1814</v>
      </c>
      <c r="E123" s="428" t="str">
        <f t="shared" si="8"/>
        <v/>
      </c>
      <c r="F123" s="429">
        <v>4582.2231599999996</v>
      </c>
      <c r="G123" s="429">
        <v>5581.1313799999998</v>
      </c>
      <c r="H123" s="429">
        <v>5527.3995699999996</v>
      </c>
      <c r="I123" s="429">
        <v>5540.0039500000003</v>
      </c>
      <c r="J123" s="429">
        <v>5540.2247500000003</v>
      </c>
      <c r="K123" s="429">
        <v>5540.2247500000003</v>
      </c>
      <c r="L123" s="429">
        <v>5618.1641900000004</v>
      </c>
      <c r="M123" s="429">
        <v>5757.02765</v>
      </c>
      <c r="N123" s="429">
        <v>5664.4690000000001</v>
      </c>
      <c r="O123" s="429">
        <v>5664.4690000000001</v>
      </c>
      <c r="P123" s="429">
        <v>5642.1289800000004</v>
      </c>
      <c r="Q123" s="429">
        <v>6263.68631</v>
      </c>
      <c r="R123" s="429">
        <v>6252.8145800000002</v>
      </c>
    </row>
    <row r="124" spans="1:18" s="429" customFormat="1">
      <c r="A124" s="429" t="str">
        <f t="shared" si="5"/>
        <v>KU</v>
      </c>
      <c r="B124" s="429" t="str">
        <f t="shared" si="6"/>
        <v>KY</v>
      </c>
      <c r="C124" s="429" t="str">
        <f t="shared" si="7"/>
        <v>391</v>
      </c>
      <c r="D124" s="430" t="s">
        <v>1815</v>
      </c>
      <c r="E124" s="428" t="str">
        <f t="shared" si="8"/>
        <v/>
      </c>
      <c r="F124" s="429">
        <v>33679.915090000002</v>
      </c>
      <c r="G124" s="429">
        <v>37651.790889999997</v>
      </c>
      <c r="H124" s="429">
        <v>37374.394769999999</v>
      </c>
      <c r="I124" s="429">
        <v>37671.595150000001</v>
      </c>
      <c r="J124" s="429">
        <v>37058.767440000003</v>
      </c>
      <c r="K124" s="429">
        <v>36513.650710000002</v>
      </c>
      <c r="L124" s="429">
        <v>36459.522060000003</v>
      </c>
      <c r="M124" s="429">
        <v>36617.854269999902</v>
      </c>
      <c r="N124" s="429">
        <v>36961.857099999899</v>
      </c>
      <c r="O124" s="429">
        <v>38261.492389999898</v>
      </c>
      <c r="P124" s="429">
        <v>38712.373009999901</v>
      </c>
      <c r="Q124" s="429">
        <v>39101.477089999898</v>
      </c>
      <c r="R124" s="429">
        <v>40053.487959999897</v>
      </c>
    </row>
    <row r="125" spans="1:18" s="429" customFormat="1">
      <c r="A125" s="429" t="str">
        <f t="shared" si="5"/>
        <v>KU</v>
      </c>
      <c r="B125" s="429" t="str">
        <f t="shared" si="6"/>
        <v>KY</v>
      </c>
      <c r="C125" s="429" t="str">
        <f t="shared" si="7"/>
        <v>392</v>
      </c>
      <c r="D125" s="430" t="s">
        <v>1817</v>
      </c>
      <c r="E125" s="428" t="str">
        <f t="shared" si="8"/>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row>
    <row r="126" spans="1:18" s="429" customFormat="1">
      <c r="A126" s="429" t="str">
        <f t="shared" si="5"/>
        <v>KU</v>
      </c>
      <c r="B126" s="429" t="str">
        <f t="shared" si="6"/>
        <v>KY</v>
      </c>
      <c r="C126" s="429" t="str">
        <f t="shared" si="7"/>
        <v>392</v>
      </c>
      <c r="D126" s="430" t="s">
        <v>1818</v>
      </c>
      <c r="E126" s="428" t="str">
        <f t="shared" si="8"/>
        <v/>
      </c>
      <c r="F126" s="429">
        <v>7227.6188599999996</v>
      </c>
      <c r="G126" s="429">
        <v>7227.6188599999996</v>
      </c>
      <c r="H126" s="429">
        <v>7188.6918999999998</v>
      </c>
      <c r="I126" s="429">
        <v>7188.6918999999998</v>
      </c>
      <c r="J126" s="429">
        <v>7188.6918999999998</v>
      </c>
      <c r="K126" s="429">
        <v>7360.2863699999998</v>
      </c>
      <c r="L126" s="429">
        <v>7380.7355799999996</v>
      </c>
      <c r="M126" s="429">
        <v>7503.92148</v>
      </c>
      <c r="N126" s="429">
        <v>7503.92148</v>
      </c>
      <c r="O126" s="429">
        <v>7503.92148</v>
      </c>
      <c r="P126" s="429">
        <v>7503.92148</v>
      </c>
      <c r="Q126" s="429">
        <v>7503.92148</v>
      </c>
      <c r="R126" s="429">
        <v>7503.92148</v>
      </c>
    </row>
    <row r="127" spans="1:18" s="429" customFormat="1">
      <c r="A127" s="429" t="str">
        <f t="shared" si="5"/>
        <v>KU</v>
      </c>
      <c r="B127" s="429" t="str">
        <f t="shared" si="6"/>
        <v>VA</v>
      </c>
      <c r="C127" s="429" t="str">
        <f t="shared" si="7"/>
        <v>392</v>
      </c>
      <c r="D127" s="430" t="s">
        <v>2510</v>
      </c>
      <c r="E127" s="428" t="str">
        <f t="shared" si="8"/>
        <v/>
      </c>
      <c r="F127" s="429">
        <v>0</v>
      </c>
      <c r="G127" s="429">
        <v>0</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row>
    <row r="128" spans="1:18" s="429" customFormat="1">
      <c r="A128" s="429" t="str">
        <f t="shared" si="5"/>
        <v>KU</v>
      </c>
      <c r="B128" s="429" t="str">
        <f t="shared" si="6"/>
        <v>KY</v>
      </c>
      <c r="C128" s="429" t="str">
        <f t="shared" si="7"/>
        <v>393</v>
      </c>
      <c r="D128" s="430" t="s">
        <v>1819</v>
      </c>
      <c r="E128" s="428" t="str">
        <f t="shared" si="8"/>
        <v/>
      </c>
      <c r="F128" s="429">
        <v>906.44457</v>
      </c>
      <c r="G128" s="429">
        <v>906.44457</v>
      </c>
      <c r="H128" s="429">
        <v>986.37067000000002</v>
      </c>
      <c r="I128" s="429">
        <v>986.37067000000002</v>
      </c>
      <c r="J128" s="429">
        <v>986.37067000000002</v>
      </c>
      <c r="K128" s="429">
        <v>906.44457</v>
      </c>
      <c r="L128" s="429">
        <v>906.44457</v>
      </c>
      <c r="M128" s="429">
        <v>906.44457</v>
      </c>
      <c r="N128" s="429">
        <v>906.44457</v>
      </c>
      <c r="O128" s="429">
        <v>899.59613000000002</v>
      </c>
      <c r="P128" s="429">
        <v>950.66062999999997</v>
      </c>
      <c r="Q128" s="429">
        <v>950.66062999999997</v>
      </c>
      <c r="R128" s="429">
        <v>950.66062999999997</v>
      </c>
    </row>
    <row r="129" spans="1:18" s="429" customFormat="1">
      <c r="A129" s="429" t="str">
        <f t="shared" si="5"/>
        <v>KU</v>
      </c>
      <c r="B129" s="429" t="str">
        <f t="shared" si="6"/>
        <v>VA</v>
      </c>
      <c r="C129" s="429" t="str">
        <f t="shared" si="7"/>
        <v>393</v>
      </c>
      <c r="D129" s="430" t="s">
        <v>1820</v>
      </c>
      <c r="E129" s="428" t="str">
        <f t="shared" si="8"/>
        <v/>
      </c>
      <c r="F129" s="429">
        <v>4.5262200000000004</v>
      </c>
      <c r="G129" s="429">
        <v>4.5262200000000004</v>
      </c>
      <c r="H129" s="429">
        <v>4.5262200000000004</v>
      </c>
      <c r="I129" s="429">
        <v>4.5262200000000004</v>
      </c>
      <c r="J129" s="429">
        <v>4.5262200000000004</v>
      </c>
      <c r="K129" s="429">
        <v>4.5262200000000004</v>
      </c>
      <c r="L129" s="429">
        <v>4.5262200000000004</v>
      </c>
      <c r="M129" s="429">
        <v>4.5262200000000004</v>
      </c>
      <c r="N129" s="429">
        <v>4.5262200000000004</v>
      </c>
      <c r="O129" s="429">
        <v>0.87655000000000005</v>
      </c>
      <c r="P129" s="429">
        <v>0.87655000000000005</v>
      </c>
      <c r="Q129" s="429">
        <v>0.87655000000000005</v>
      </c>
      <c r="R129" s="429">
        <v>0.87655000000000005</v>
      </c>
    </row>
    <row r="130" spans="1:18" s="429" customFormat="1">
      <c r="A130" s="429" t="str">
        <f t="shared" si="5"/>
        <v>KU</v>
      </c>
      <c r="B130" s="429" t="str">
        <f t="shared" si="6"/>
        <v>KY</v>
      </c>
      <c r="C130" s="429" t="str">
        <f t="shared" si="7"/>
        <v>394</v>
      </c>
      <c r="D130" s="430" t="s">
        <v>1821</v>
      </c>
      <c r="E130" s="428" t="str">
        <f t="shared" si="8"/>
        <v/>
      </c>
      <c r="F130" s="429">
        <v>12826.54938</v>
      </c>
      <c r="G130" s="429">
        <v>12826.54938</v>
      </c>
      <c r="H130" s="429">
        <v>12845.1569499999</v>
      </c>
      <c r="I130" s="429">
        <v>12873.57598</v>
      </c>
      <c r="J130" s="429">
        <v>12915.896430000001</v>
      </c>
      <c r="K130" s="429">
        <v>12982.83676</v>
      </c>
      <c r="L130" s="429">
        <v>13351.220209999999</v>
      </c>
      <c r="M130" s="429">
        <v>13642.78767</v>
      </c>
      <c r="N130" s="429">
        <v>13937.10714</v>
      </c>
      <c r="O130" s="429">
        <v>14060.99317</v>
      </c>
      <c r="P130" s="429">
        <v>14629.80617</v>
      </c>
      <c r="Q130" s="429">
        <v>14635.37905</v>
      </c>
      <c r="R130" s="429">
        <v>14769.889209999999</v>
      </c>
    </row>
    <row r="131" spans="1:18" s="429" customFormat="1">
      <c r="A131" s="429" t="str">
        <f t="shared" si="5"/>
        <v>KU</v>
      </c>
      <c r="B131" s="429" t="str">
        <f t="shared" si="6"/>
        <v>VA</v>
      </c>
      <c r="C131" s="429" t="str">
        <f t="shared" si="7"/>
        <v>394</v>
      </c>
      <c r="D131" s="430" t="s">
        <v>1822</v>
      </c>
      <c r="E131" s="428" t="str">
        <f t="shared" si="8"/>
        <v/>
      </c>
      <c r="F131" s="429">
        <v>477.01717000000002</v>
      </c>
      <c r="G131" s="429">
        <v>477.01717000000002</v>
      </c>
      <c r="H131" s="429">
        <v>477.01717000000002</v>
      </c>
      <c r="I131" s="429">
        <v>477.01717000000002</v>
      </c>
      <c r="J131" s="429">
        <v>477.01717000000002</v>
      </c>
      <c r="K131" s="429">
        <v>477.01717000000002</v>
      </c>
      <c r="L131" s="429">
        <v>477.01717000000002</v>
      </c>
      <c r="M131" s="429">
        <v>529.65506000000005</v>
      </c>
      <c r="N131" s="429">
        <v>567.52596000000005</v>
      </c>
      <c r="O131" s="429">
        <v>567.23215000000005</v>
      </c>
      <c r="P131" s="429">
        <v>624.24613999999997</v>
      </c>
      <c r="Q131" s="429">
        <v>630.19564000000003</v>
      </c>
      <c r="R131" s="429">
        <v>630.23809000000006</v>
      </c>
    </row>
    <row r="132" spans="1:18" s="429" customFormat="1">
      <c r="A132" s="429" t="str">
        <f t="shared" si="5"/>
        <v>KU</v>
      </c>
      <c r="B132" s="429" t="str">
        <f t="shared" si="6"/>
        <v>KY</v>
      </c>
      <c r="C132" s="429" t="str">
        <f t="shared" si="7"/>
        <v>396</v>
      </c>
      <c r="D132" s="430" t="s">
        <v>1823</v>
      </c>
      <c r="E132" s="428" t="str">
        <f t="shared" si="8"/>
        <v/>
      </c>
      <c r="F132" s="429">
        <v>3175.7385599999998</v>
      </c>
      <c r="G132" s="429">
        <v>1394.22289</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row>
    <row r="133" spans="1:18" s="429" customFormat="1">
      <c r="A133" s="429" t="str">
        <f t="shared" si="5"/>
        <v>KU</v>
      </c>
      <c r="B133" s="429" t="str">
        <f t="shared" si="6"/>
        <v>KY</v>
      </c>
      <c r="C133" s="429" t="str">
        <f t="shared" si="7"/>
        <v>396</v>
      </c>
      <c r="D133" s="430" t="s">
        <v>2511</v>
      </c>
      <c r="E133" s="428" t="str">
        <f t="shared" si="8"/>
        <v/>
      </c>
      <c r="F133" s="429">
        <v>0</v>
      </c>
      <c r="G133" s="429">
        <v>1781.51567</v>
      </c>
      <c r="H133" s="429">
        <v>2880.8340600000001</v>
      </c>
      <c r="I133" s="429">
        <v>2880.8340600000001</v>
      </c>
      <c r="J133" s="429">
        <v>2880.8340600000001</v>
      </c>
      <c r="K133" s="429">
        <v>2921.9160299999999</v>
      </c>
      <c r="L133" s="429">
        <v>3045.2810399999998</v>
      </c>
      <c r="M133" s="429">
        <v>3232.3006300000002</v>
      </c>
      <c r="N133" s="429">
        <v>3232.3006300000002</v>
      </c>
      <c r="O133" s="429">
        <v>3232.3006300000002</v>
      </c>
      <c r="P133" s="429">
        <v>3232.3006300000002</v>
      </c>
      <c r="Q133" s="429">
        <v>3232.3006300000002</v>
      </c>
      <c r="R133" s="429">
        <v>3232.3006300000002</v>
      </c>
    </row>
    <row r="134" spans="1:18" s="429" customFormat="1">
      <c r="A134" s="429" t="str">
        <f t="shared" si="5"/>
        <v>KU</v>
      </c>
      <c r="B134" s="429" t="str">
        <f t="shared" si="6"/>
        <v>VA</v>
      </c>
      <c r="C134" s="429" t="str">
        <f t="shared" si="7"/>
        <v>396</v>
      </c>
      <c r="D134" s="430" t="s">
        <v>1824</v>
      </c>
      <c r="E134" s="428" t="str">
        <f t="shared" si="8"/>
        <v/>
      </c>
      <c r="F134" s="429">
        <v>282.27726000000001</v>
      </c>
      <c r="G134" s="429">
        <v>0</v>
      </c>
      <c r="H134" s="429">
        <v>0</v>
      </c>
      <c r="I134" s="429">
        <v>0</v>
      </c>
      <c r="J134" s="429">
        <v>0</v>
      </c>
      <c r="K134" s="429">
        <v>0</v>
      </c>
      <c r="L134" s="429">
        <v>0</v>
      </c>
      <c r="M134" s="429">
        <v>0</v>
      </c>
      <c r="N134" s="429">
        <v>0</v>
      </c>
      <c r="O134" s="429">
        <v>0</v>
      </c>
      <c r="P134" s="429">
        <v>0</v>
      </c>
      <c r="Q134" s="429">
        <v>0</v>
      </c>
      <c r="R134" s="429">
        <v>0</v>
      </c>
    </row>
    <row r="135" spans="1:18" s="429" customFormat="1">
      <c r="A135" s="429" t="str">
        <f t="shared" si="5"/>
        <v>KU</v>
      </c>
      <c r="B135" s="429" t="str">
        <f t="shared" si="6"/>
        <v>VA</v>
      </c>
      <c r="C135" s="429" t="str">
        <f t="shared" si="7"/>
        <v>396</v>
      </c>
      <c r="D135" s="430" t="s">
        <v>2512</v>
      </c>
      <c r="E135" s="428" t="str">
        <f t="shared" si="8"/>
        <v/>
      </c>
      <c r="F135" s="429">
        <v>0</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row>
    <row r="136" spans="1:18" s="429" customFormat="1">
      <c r="A136" s="429" t="str">
        <f t="shared" si="5"/>
        <v>KU</v>
      </c>
      <c r="B136" s="429" t="str">
        <f t="shared" si="6"/>
        <v>KY</v>
      </c>
      <c r="C136" s="429" t="str">
        <f t="shared" si="7"/>
        <v>397</v>
      </c>
      <c r="D136" s="430" t="s">
        <v>1825</v>
      </c>
      <c r="E136" s="428" t="str">
        <f t="shared" si="8"/>
        <v>DSM</v>
      </c>
      <c r="F136" s="429">
        <v>7584.82701</v>
      </c>
      <c r="G136" s="429">
        <v>7591.0984799999997</v>
      </c>
      <c r="H136" s="429">
        <v>7592.9562100000003</v>
      </c>
      <c r="I136" s="429">
        <v>7593.34022</v>
      </c>
      <c r="J136" s="429">
        <v>7594.8636500000002</v>
      </c>
      <c r="K136" s="429">
        <v>7595.6368199999997</v>
      </c>
      <c r="L136" s="429">
        <v>7601.0414899999996</v>
      </c>
      <c r="M136" s="429">
        <v>7606.0414899999996</v>
      </c>
      <c r="N136" s="429">
        <v>7610.3466500000004</v>
      </c>
      <c r="O136" s="429">
        <v>7719.7331199999999</v>
      </c>
      <c r="P136" s="429">
        <v>7724.4831199999999</v>
      </c>
      <c r="Q136" s="429">
        <v>7729.2331199999999</v>
      </c>
      <c r="R136" s="429">
        <v>7777.1903599999996</v>
      </c>
    </row>
    <row r="137" spans="1:18" s="429" customFormat="1">
      <c r="A137" s="429" t="str">
        <f t="shared" si="5"/>
        <v>KU</v>
      </c>
      <c r="B137" s="429" t="str">
        <f t="shared" si="6"/>
        <v>KY</v>
      </c>
      <c r="C137" s="429" t="str">
        <f t="shared" si="7"/>
        <v>397</v>
      </c>
      <c r="D137" s="430" t="s">
        <v>1826</v>
      </c>
      <c r="E137" s="428" t="str">
        <f t="shared" si="8"/>
        <v/>
      </c>
      <c r="F137" s="429">
        <v>48289.238400000002</v>
      </c>
      <c r="G137" s="429">
        <v>53138.153789999997</v>
      </c>
      <c r="H137" s="429">
        <v>53138.54724</v>
      </c>
      <c r="I137" s="429">
        <v>53139.584280000003</v>
      </c>
      <c r="J137" s="429">
        <v>53148.995790000001</v>
      </c>
      <c r="K137" s="429">
        <v>53149.55672</v>
      </c>
      <c r="L137" s="429">
        <v>53300.843179999902</v>
      </c>
      <c r="M137" s="429">
        <v>53423.548099999898</v>
      </c>
      <c r="N137" s="429">
        <v>53567.661479999901</v>
      </c>
      <c r="O137" s="429">
        <v>53567.661479999901</v>
      </c>
      <c r="P137" s="429">
        <v>54084.930789999999</v>
      </c>
      <c r="Q137" s="429">
        <v>55824.730709999902</v>
      </c>
      <c r="R137" s="429">
        <v>57291.554849999899</v>
      </c>
    </row>
    <row r="138" spans="1:18" s="429" customFormat="1">
      <c r="A138" s="429" t="str">
        <f t="shared" si="5"/>
        <v>KU</v>
      </c>
      <c r="B138" s="429" t="str">
        <f t="shared" si="6"/>
        <v>VA</v>
      </c>
      <c r="C138" s="429" t="str">
        <f t="shared" si="7"/>
        <v>397</v>
      </c>
      <c r="D138" s="430" t="s">
        <v>1827</v>
      </c>
      <c r="E138" s="428" t="str">
        <f t="shared" si="8"/>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row>
    <row r="139" spans="1:18" s="429" customFormat="1">
      <c r="A139" s="429" t="str">
        <f t="shared" si="5"/>
        <v>KU</v>
      </c>
      <c r="B139" s="429" t="str">
        <f t="shared" si="6"/>
        <v>KY</v>
      </c>
      <c r="C139" s="429" t="str">
        <f t="shared" si="7"/>
        <v>121</v>
      </c>
      <c r="D139" s="430" t="s">
        <v>1828</v>
      </c>
      <c r="E139" s="428" t="str">
        <f t="shared" si="8"/>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row>
    <row r="146" spans="1:19">
      <c r="A146" s="235" t="str">
        <f t="shared" ref="A146" si="9">MID($D146,4,2)</f>
        <v/>
      </c>
      <c r="B146" s="235" t="str">
        <f t="shared" ref="B146" si="10">IF(MID($D146,12,2)="- ","KY",MID($D146,12,2))</f>
        <v/>
      </c>
      <c r="C146" s="235" t="str">
        <f t="shared" ref="C146" si="11">MID($D146,8,3)</f>
        <v/>
      </c>
    </row>
    <row r="147" spans="1:19">
      <c r="D147" s="403" t="s">
        <v>7</v>
      </c>
      <c r="E147" s="403"/>
    </row>
    <row r="148" spans="1:19" s="429" customFormat="1">
      <c r="A148" s="429" t="str">
        <f t="shared" ref="A148:A231" si="12">MID($D148,4,2)</f>
        <v>KU</v>
      </c>
      <c r="B148" s="429" t="str">
        <f t="shared" ref="B148:B231" si="13">IF(MID($D148,12,2)="- ","KY",MID($D148,12,2))</f>
        <v>KY</v>
      </c>
      <c r="C148" s="429" t="str">
        <f t="shared" ref="C148:C231" si="14">MID($D148,8,3)</f>
        <v>303</v>
      </c>
      <c r="D148" s="430" t="s">
        <v>1726</v>
      </c>
      <c r="E148" s="428" t="str">
        <f t="shared" ref="E148:E214" si="15">IF(ISTEXT(MID($D148,SEARCH("FUTURE USE",$D148),3)),"FUTURE USE",IF(ISTEXT(MID($D148,SEARCH("ECR",$D148),3)),"ECR",IF(ISTEXT(MID($D148,SEARCH("ARO",$D148),3)),"ARO",IF(ISTEXT(MID($D148,SEARCH("DSM",$D148),3)),"DSM",""))))</f>
        <v/>
      </c>
      <c r="F148" s="429">
        <v>4844.3078999999998</v>
      </c>
      <c r="G148" s="429">
        <v>-83.032260000002594</v>
      </c>
      <c r="H148" s="429">
        <v>90.113609999999994</v>
      </c>
      <c r="I148" s="429">
        <v>-69.73227</v>
      </c>
      <c r="J148" s="429">
        <v>58.409709999999997</v>
      </c>
      <c r="K148" s="429">
        <v>434.62723999999997</v>
      </c>
      <c r="L148" s="429">
        <v>148.64693</v>
      </c>
      <c r="M148" s="429">
        <v>4758.4854699999996</v>
      </c>
      <c r="N148" s="429">
        <v>867.96196999999995</v>
      </c>
      <c r="O148" s="429">
        <v>627.49275999999998</v>
      </c>
      <c r="P148" s="429">
        <v>7399.5600899999999</v>
      </c>
      <c r="Q148" s="429">
        <v>1459.4888800000001</v>
      </c>
      <c r="R148" s="429">
        <v>4114.69938</v>
      </c>
      <c r="S148" s="429">
        <f>SUM(G148:R148)</f>
        <v>19806.721509999996</v>
      </c>
    </row>
    <row r="149" spans="1:19" s="429" customFormat="1">
      <c r="A149" s="429" t="str">
        <f t="shared" si="12"/>
        <v>KU</v>
      </c>
      <c r="B149" s="429" t="str">
        <f t="shared" si="13"/>
        <v>KY</v>
      </c>
      <c r="C149" s="429" t="str">
        <f t="shared" si="14"/>
        <v>303</v>
      </c>
      <c r="D149" s="430" t="s">
        <v>1727</v>
      </c>
      <c r="E149" s="428" t="str">
        <f t="shared" si="15"/>
        <v/>
      </c>
      <c r="F149" s="429">
        <v>0</v>
      </c>
      <c r="G149" s="429">
        <v>0</v>
      </c>
      <c r="H149" s="429">
        <v>0</v>
      </c>
      <c r="I149" s="429">
        <v>0</v>
      </c>
      <c r="J149" s="429">
        <v>0</v>
      </c>
      <c r="K149" s="429">
        <v>0</v>
      </c>
      <c r="L149" s="429">
        <v>0</v>
      </c>
      <c r="M149" s="429">
        <v>0</v>
      </c>
      <c r="N149" s="429">
        <v>0</v>
      </c>
      <c r="O149" s="429">
        <v>320.53111000000001</v>
      </c>
      <c r="P149" s="429">
        <v>12.481120000000001</v>
      </c>
      <c r="Q149" s="429">
        <v>7.2100999999999997</v>
      </c>
      <c r="R149" s="429">
        <v>139.11114000000001</v>
      </c>
      <c r="S149" s="429">
        <f t="shared" ref="S149:S212" si="16">SUM(G149:R149)</f>
        <v>479.33347000000003</v>
      </c>
    </row>
    <row r="150" spans="1:19" s="429" customFormat="1">
      <c r="A150" s="429" t="str">
        <f t="shared" si="12"/>
        <v>KU</v>
      </c>
      <c r="B150" s="429" t="str">
        <f t="shared" si="13"/>
        <v>KY</v>
      </c>
      <c r="C150" s="429" t="str">
        <f t="shared" si="14"/>
        <v>310</v>
      </c>
      <c r="D150" s="430" t="s">
        <v>1728</v>
      </c>
      <c r="E150" s="428" t="str">
        <f t="shared" si="15"/>
        <v>ECR</v>
      </c>
      <c r="F150" s="429">
        <v>1147.8209299999901</v>
      </c>
      <c r="G150" s="429">
        <v>0</v>
      </c>
      <c r="H150" s="429">
        <v>0</v>
      </c>
      <c r="I150" s="429">
        <v>0</v>
      </c>
      <c r="J150" s="429">
        <v>0</v>
      </c>
      <c r="K150" s="429">
        <v>0</v>
      </c>
      <c r="L150" s="429">
        <v>0</v>
      </c>
      <c r="M150" s="429">
        <v>3.2699799999999999</v>
      </c>
      <c r="N150" s="429">
        <v>49.280380000000001</v>
      </c>
      <c r="O150" s="429">
        <v>14.4</v>
      </c>
      <c r="P150" s="429">
        <v>0</v>
      </c>
      <c r="Q150" s="429">
        <v>0</v>
      </c>
      <c r="R150" s="429">
        <v>0</v>
      </c>
      <c r="S150" s="429">
        <f t="shared" si="16"/>
        <v>66.950360000000003</v>
      </c>
    </row>
    <row r="151" spans="1:19" s="429" customFormat="1">
      <c r="A151" s="429" t="str">
        <f t="shared" si="12"/>
        <v>KU</v>
      </c>
      <c r="B151" s="429" t="str">
        <f t="shared" si="13"/>
        <v>KY</v>
      </c>
      <c r="C151" s="429" t="str">
        <f t="shared" si="14"/>
        <v>310</v>
      </c>
      <c r="D151" s="430" t="s">
        <v>2506</v>
      </c>
      <c r="E151" s="428" t="str">
        <f t="shared" si="15"/>
        <v>ECR</v>
      </c>
      <c r="F151" s="429">
        <v>0</v>
      </c>
      <c r="G151" s="429">
        <v>0</v>
      </c>
      <c r="H151" s="429">
        <v>0</v>
      </c>
      <c r="I151" s="429">
        <v>0</v>
      </c>
      <c r="J151" s="429">
        <v>0</v>
      </c>
      <c r="K151" s="429">
        <v>0</v>
      </c>
      <c r="L151" s="429">
        <v>0</v>
      </c>
      <c r="M151" s="429">
        <v>0</v>
      </c>
      <c r="N151" s="429">
        <v>0</v>
      </c>
      <c r="O151" s="429">
        <v>0</v>
      </c>
      <c r="P151" s="429">
        <v>0</v>
      </c>
      <c r="Q151" s="429">
        <v>0</v>
      </c>
      <c r="R151" s="429">
        <v>12.94003</v>
      </c>
      <c r="S151" s="429">
        <f t="shared" si="16"/>
        <v>12.94003</v>
      </c>
    </row>
    <row r="152" spans="1:19" s="429" customFormat="1">
      <c r="A152" s="429" t="str">
        <f t="shared" si="12"/>
        <v>KU</v>
      </c>
      <c r="B152" s="429" t="str">
        <f t="shared" si="13"/>
        <v>KY</v>
      </c>
      <c r="C152" s="429" t="str">
        <f t="shared" si="14"/>
        <v>310</v>
      </c>
      <c r="D152" s="430" t="s">
        <v>1730</v>
      </c>
      <c r="E152" s="428" t="str">
        <f t="shared" si="15"/>
        <v/>
      </c>
      <c r="F152" s="429">
        <v>5.9952399999999999</v>
      </c>
      <c r="G152" s="429">
        <v>0</v>
      </c>
      <c r="H152" s="429">
        <v>0</v>
      </c>
      <c r="I152" s="429">
        <v>0</v>
      </c>
      <c r="J152" s="429">
        <v>0</v>
      </c>
      <c r="K152" s="429">
        <v>0</v>
      </c>
      <c r="L152" s="429">
        <v>0</v>
      </c>
      <c r="M152" s="429">
        <v>101.7252</v>
      </c>
      <c r="N152" s="429">
        <v>0</v>
      </c>
      <c r="O152" s="429">
        <v>94.346379999999996</v>
      </c>
      <c r="P152" s="429">
        <v>0</v>
      </c>
      <c r="Q152" s="429">
        <v>0</v>
      </c>
      <c r="R152" s="429">
        <v>0</v>
      </c>
      <c r="S152" s="429">
        <f t="shared" si="16"/>
        <v>196.07157999999998</v>
      </c>
    </row>
    <row r="153" spans="1:19" s="429" customFormat="1">
      <c r="A153" s="429" t="str">
        <f t="shared" si="12"/>
        <v>KU</v>
      </c>
      <c r="B153" s="429" t="str">
        <f t="shared" si="13"/>
        <v>KY</v>
      </c>
      <c r="C153" s="429" t="str">
        <f t="shared" si="14"/>
        <v>311</v>
      </c>
      <c r="D153" s="430" t="s">
        <v>1732</v>
      </c>
      <c r="E153" s="428" t="str">
        <f t="shared" si="15"/>
        <v/>
      </c>
      <c r="F153" s="429">
        <v>2788.7201</v>
      </c>
      <c r="G153" s="429">
        <v>336.38574999999997</v>
      </c>
      <c r="H153" s="429">
        <v>-6.2316699999999896</v>
      </c>
      <c r="I153" s="429">
        <v>198.27889999999999</v>
      </c>
      <c r="J153" s="429">
        <v>-0.35119</v>
      </c>
      <c r="K153" s="429">
        <v>627.67520000000002</v>
      </c>
      <c r="L153" s="429">
        <v>622.49361999999996</v>
      </c>
      <c r="M153" s="429">
        <v>19.198720000000002</v>
      </c>
      <c r="N153" s="429">
        <v>802.04067999999904</v>
      </c>
      <c r="O153" s="429">
        <v>416.79683</v>
      </c>
      <c r="P153" s="429">
        <v>401.89434</v>
      </c>
      <c r="Q153" s="429">
        <v>0</v>
      </c>
      <c r="R153" s="429">
        <v>262.44434999999999</v>
      </c>
      <c r="S153" s="429">
        <f t="shared" si="16"/>
        <v>3680.6255299999984</v>
      </c>
    </row>
    <row r="154" spans="1:19" s="429" customFormat="1">
      <c r="A154" s="429" t="str">
        <f t="shared" si="12"/>
        <v>KU</v>
      </c>
      <c r="B154" s="429" t="str">
        <f t="shared" si="13"/>
        <v>KY</v>
      </c>
      <c r="C154" s="429" t="str">
        <f t="shared" si="14"/>
        <v>312</v>
      </c>
      <c r="D154" s="430" t="s">
        <v>1733</v>
      </c>
      <c r="E154" s="428" t="str">
        <f t="shared" si="15"/>
        <v/>
      </c>
      <c r="F154" s="429">
        <v>16379.60448</v>
      </c>
      <c r="G154" s="429">
        <v>-149.10959001012799</v>
      </c>
      <c r="H154" s="429">
        <v>350.02301</v>
      </c>
      <c r="I154" s="429">
        <v>3448.5686999999998</v>
      </c>
      <c r="J154" s="429">
        <v>1283.22064</v>
      </c>
      <c r="K154" s="429">
        <v>4695.2311</v>
      </c>
      <c r="L154" s="429">
        <v>9696.8318999999992</v>
      </c>
      <c r="M154" s="429">
        <v>534.63455999999996</v>
      </c>
      <c r="N154" s="429">
        <v>1938.4617000000001</v>
      </c>
      <c r="O154" s="429">
        <v>943.91432999999995</v>
      </c>
      <c r="P154" s="429">
        <v>4045.72172</v>
      </c>
      <c r="Q154" s="429">
        <v>19714.67741</v>
      </c>
      <c r="R154" s="429">
        <v>14255.898520000001</v>
      </c>
      <c r="S154" s="429">
        <f t="shared" si="16"/>
        <v>60758.07399998988</v>
      </c>
    </row>
    <row r="155" spans="1:19" s="429" customFormat="1">
      <c r="A155" s="429" t="str">
        <f t="shared" si="12"/>
        <v>KU</v>
      </c>
      <c r="B155" s="429" t="str">
        <f t="shared" si="13"/>
        <v>KY</v>
      </c>
      <c r="C155" s="429" t="str">
        <f t="shared" si="14"/>
        <v>312</v>
      </c>
      <c r="D155" s="430" t="s">
        <v>1734</v>
      </c>
      <c r="E155" s="428" t="str">
        <f t="shared" si="15"/>
        <v>ECR</v>
      </c>
      <c r="F155" s="429">
        <v>11.188090000000001</v>
      </c>
      <c r="G155" s="429">
        <v>0</v>
      </c>
      <c r="H155" s="429">
        <v>0</v>
      </c>
      <c r="I155" s="429">
        <v>0</v>
      </c>
      <c r="J155" s="429">
        <v>0</v>
      </c>
      <c r="K155" s="429">
        <v>0</v>
      </c>
      <c r="L155" s="429">
        <v>0</v>
      </c>
      <c r="M155" s="429">
        <v>2517.8838500000002</v>
      </c>
      <c r="N155" s="429">
        <v>32786.8419499999</v>
      </c>
      <c r="O155" s="429">
        <v>28284.676380000001</v>
      </c>
      <c r="P155" s="429">
        <v>1748.1326100000001</v>
      </c>
      <c r="Q155" s="429">
        <v>1580.49389</v>
      </c>
      <c r="R155" s="429">
        <v>1433.61365</v>
      </c>
      <c r="S155" s="429">
        <f t="shared" si="16"/>
        <v>68351.642329999901</v>
      </c>
    </row>
    <row r="156" spans="1:19" s="429" customFormat="1">
      <c r="A156" s="429" t="str">
        <f t="shared" si="12"/>
        <v>KU</v>
      </c>
      <c r="B156" s="429" t="str">
        <f t="shared" si="13"/>
        <v>KY</v>
      </c>
      <c r="C156" s="429" t="str">
        <f t="shared" si="14"/>
        <v>312</v>
      </c>
      <c r="D156" s="430" t="s">
        <v>1735</v>
      </c>
      <c r="E156" s="428" t="str">
        <f t="shared" si="15"/>
        <v>ECR</v>
      </c>
      <c r="F156" s="429">
        <v>393.58132000000001</v>
      </c>
      <c r="G156" s="429">
        <v>0</v>
      </c>
      <c r="H156" s="429">
        <v>0</v>
      </c>
      <c r="I156" s="429">
        <v>0</v>
      </c>
      <c r="J156" s="429">
        <v>-2.7123699999999999</v>
      </c>
      <c r="K156" s="429">
        <v>0</v>
      </c>
      <c r="L156" s="429">
        <v>4172.53071</v>
      </c>
      <c r="M156" s="429">
        <v>2952.8726299999998</v>
      </c>
      <c r="N156" s="429">
        <v>0</v>
      </c>
      <c r="O156" s="429">
        <v>0</v>
      </c>
      <c r="P156" s="429">
        <v>0</v>
      </c>
      <c r="Q156" s="429">
        <v>0</v>
      </c>
      <c r="R156" s="429">
        <v>0</v>
      </c>
      <c r="S156" s="429">
        <f t="shared" si="16"/>
        <v>7122.6909699999997</v>
      </c>
    </row>
    <row r="157" spans="1:19" s="429" customFormat="1">
      <c r="A157" s="429" t="str">
        <f t="shared" si="12"/>
        <v>KU</v>
      </c>
      <c r="B157" s="429" t="str">
        <f t="shared" si="13"/>
        <v>KY</v>
      </c>
      <c r="C157" s="429" t="str">
        <f t="shared" si="14"/>
        <v>312</v>
      </c>
      <c r="D157" s="430" t="s">
        <v>2195</v>
      </c>
      <c r="E157" s="428" t="str">
        <f t="shared" si="15"/>
        <v>ECR</v>
      </c>
      <c r="F157" s="429">
        <v>0</v>
      </c>
      <c r="G157" s="429">
        <v>3191.4129600000001</v>
      </c>
      <c r="H157" s="429">
        <v>0</v>
      </c>
      <c r="I157" s="429">
        <v>0</v>
      </c>
      <c r="J157" s="429">
        <v>0</v>
      </c>
      <c r="K157" s="429">
        <v>0</v>
      </c>
      <c r="L157" s="429">
        <v>0</v>
      </c>
      <c r="M157" s="429">
        <v>93.070260000000005</v>
      </c>
      <c r="N157" s="429">
        <v>0</v>
      </c>
      <c r="O157" s="429">
        <v>0</v>
      </c>
      <c r="P157" s="429">
        <v>0</v>
      </c>
      <c r="Q157" s="429">
        <v>0</v>
      </c>
      <c r="R157" s="429">
        <v>0</v>
      </c>
      <c r="S157" s="429">
        <f t="shared" si="16"/>
        <v>3284.4832200000001</v>
      </c>
    </row>
    <row r="158" spans="1:19" s="429" customFormat="1">
      <c r="A158" s="429" t="str">
        <f t="shared" si="12"/>
        <v>KU</v>
      </c>
      <c r="B158" s="429" t="str">
        <f t="shared" si="13"/>
        <v>KY</v>
      </c>
      <c r="C158" s="429" t="str">
        <f t="shared" si="14"/>
        <v>314</v>
      </c>
      <c r="D158" s="430" t="s">
        <v>1737</v>
      </c>
      <c r="E158" s="428" t="str">
        <f t="shared" si="15"/>
        <v/>
      </c>
      <c r="F158" s="429">
        <v>2261.08446</v>
      </c>
      <c r="G158" s="429">
        <v>386.02618000000001</v>
      </c>
      <c r="H158" s="429">
        <v>-1.1019099999999999</v>
      </c>
      <c r="I158" s="429">
        <v>355.08722999999998</v>
      </c>
      <c r="J158" s="429">
        <v>77.452799999999996</v>
      </c>
      <c r="K158" s="429">
        <v>1176.2114899999999</v>
      </c>
      <c r="L158" s="429">
        <v>3428.9370100000001</v>
      </c>
      <c r="M158" s="429">
        <v>720.80871999999999</v>
      </c>
      <c r="N158" s="429">
        <v>445.01625999999999</v>
      </c>
      <c r="O158" s="429">
        <v>2.67503</v>
      </c>
      <c r="P158" s="429">
        <v>188.76990000000001</v>
      </c>
      <c r="Q158" s="429">
        <v>14917.290559999999</v>
      </c>
      <c r="R158" s="429">
        <v>2105.1746199999998</v>
      </c>
      <c r="S158" s="429">
        <f t="shared" si="16"/>
        <v>23802.347889999997</v>
      </c>
    </row>
    <row r="159" spans="1:19" s="429" customFormat="1">
      <c r="A159" s="429" t="str">
        <f t="shared" si="12"/>
        <v>KU</v>
      </c>
      <c r="B159" s="429" t="str">
        <f t="shared" si="13"/>
        <v>KY</v>
      </c>
      <c r="C159" s="429" t="str">
        <f t="shared" si="14"/>
        <v>315</v>
      </c>
      <c r="D159" s="430" t="s">
        <v>1738</v>
      </c>
      <c r="E159" s="428" t="str">
        <f t="shared" si="15"/>
        <v/>
      </c>
      <c r="F159" s="429">
        <v>142.85409999999999</v>
      </c>
      <c r="G159" s="429">
        <v>32.828740000000003</v>
      </c>
      <c r="H159" s="429">
        <v>0</v>
      </c>
      <c r="I159" s="429">
        <v>0</v>
      </c>
      <c r="J159" s="429">
        <v>0</v>
      </c>
      <c r="K159" s="429">
        <v>166.4203</v>
      </c>
      <c r="L159" s="429">
        <v>611.02482999999995</v>
      </c>
      <c r="M159" s="429">
        <v>33.534970000000001</v>
      </c>
      <c r="N159" s="429">
        <v>220.35424</v>
      </c>
      <c r="O159" s="429">
        <v>356.1232</v>
      </c>
      <c r="P159" s="429">
        <v>66.398060000000001</v>
      </c>
      <c r="Q159" s="429">
        <v>452.74462999999997</v>
      </c>
      <c r="R159" s="429">
        <v>405.68876</v>
      </c>
      <c r="S159" s="429">
        <f t="shared" si="16"/>
        <v>2345.1177299999999</v>
      </c>
    </row>
    <row r="160" spans="1:19" s="429" customFormat="1">
      <c r="A160" s="429" t="str">
        <f t="shared" si="12"/>
        <v>KU</v>
      </c>
      <c r="B160" s="429" t="str">
        <f t="shared" si="13"/>
        <v>KY</v>
      </c>
      <c r="C160" s="429" t="str">
        <f t="shared" si="14"/>
        <v>315</v>
      </c>
      <c r="D160" s="430" t="s">
        <v>1739</v>
      </c>
      <c r="E160" s="428" t="str">
        <f t="shared" si="15"/>
        <v>ECR</v>
      </c>
      <c r="F160" s="429">
        <v>0</v>
      </c>
      <c r="G160" s="429">
        <v>0</v>
      </c>
      <c r="H160" s="429">
        <v>0</v>
      </c>
      <c r="I160" s="429">
        <v>0</v>
      </c>
      <c r="J160" s="429">
        <v>0</v>
      </c>
      <c r="K160" s="429">
        <v>0</v>
      </c>
      <c r="L160" s="429">
        <v>68.392979999999994</v>
      </c>
      <c r="M160" s="429">
        <v>0</v>
      </c>
      <c r="N160" s="429">
        <v>0</v>
      </c>
      <c r="O160" s="429">
        <v>0</v>
      </c>
      <c r="P160" s="429">
        <v>0</v>
      </c>
      <c r="Q160" s="429">
        <v>0</v>
      </c>
      <c r="R160" s="429">
        <v>0</v>
      </c>
      <c r="S160" s="429">
        <f t="shared" si="16"/>
        <v>68.392979999999994</v>
      </c>
    </row>
    <row r="161" spans="1:19" s="429" customFormat="1">
      <c r="A161" s="429" t="str">
        <f t="shared" si="12"/>
        <v>KU</v>
      </c>
      <c r="B161" s="429" t="str">
        <f t="shared" si="13"/>
        <v>KY</v>
      </c>
      <c r="C161" s="429" t="str">
        <f t="shared" si="14"/>
        <v>316</v>
      </c>
      <c r="D161" s="430" t="s">
        <v>1740</v>
      </c>
      <c r="E161" s="428" t="str">
        <f t="shared" si="15"/>
        <v/>
      </c>
      <c r="F161" s="429">
        <v>1126.8081400000001</v>
      </c>
      <c r="G161" s="429">
        <v>335.58339000000001</v>
      </c>
      <c r="H161" s="429">
        <v>-140.04023000000001</v>
      </c>
      <c r="I161" s="429">
        <v>46.65448</v>
      </c>
      <c r="J161" s="429">
        <v>67.537189999999995</v>
      </c>
      <c r="K161" s="429">
        <v>23.948969999999999</v>
      </c>
      <c r="L161" s="429">
        <v>297.81153999999998</v>
      </c>
      <c r="M161" s="429">
        <v>355.92820999999998</v>
      </c>
      <c r="N161" s="429">
        <v>313.073859999999</v>
      </c>
      <c r="O161" s="429">
        <v>52.98283</v>
      </c>
      <c r="P161" s="429">
        <v>529.65674000000001</v>
      </c>
      <c r="Q161" s="429">
        <v>0</v>
      </c>
      <c r="R161" s="429">
        <v>352.71251000000001</v>
      </c>
      <c r="S161" s="429">
        <f t="shared" si="16"/>
        <v>2235.8494899999987</v>
      </c>
    </row>
    <row r="162" spans="1:19" s="429" customFormat="1">
      <c r="A162" s="429" t="str">
        <f t="shared" si="12"/>
        <v>KU</v>
      </c>
      <c r="B162" s="429" t="str">
        <f t="shared" si="13"/>
        <v>KY</v>
      </c>
      <c r="C162" s="429" t="str">
        <f t="shared" si="14"/>
        <v>317</v>
      </c>
      <c r="D162" s="430" t="s">
        <v>1741</v>
      </c>
      <c r="E162" s="428" t="str">
        <f t="shared" si="15"/>
        <v>ARO</v>
      </c>
      <c r="F162" s="429">
        <v>1493.9928299999999</v>
      </c>
      <c r="G162" s="429">
        <v>0</v>
      </c>
      <c r="H162" s="429">
        <v>0</v>
      </c>
      <c r="I162" s="429">
        <v>0</v>
      </c>
      <c r="J162" s="429">
        <v>0</v>
      </c>
      <c r="K162" s="429">
        <v>0</v>
      </c>
      <c r="L162" s="429">
        <v>0</v>
      </c>
      <c r="M162" s="429">
        <v>0</v>
      </c>
      <c r="N162" s="429">
        <v>0</v>
      </c>
      <c r="O162" s="429">
        <v>0</v>
      </c>
      <c r="P162" s="429">
        <v>0</v>
      </c>
      <c r="Q162" s="429">
        <v>0</v>
      </c>
      <c r="R162" s="429">
        <v>0</v>
      </c>
      <c r="S162" s="429">
        <f t="shared" si="16"/>
        <v>0</v>
      </c>
    </row>
    <row r="163" spans="1:19" s="429" customFormat="1">
      <c r="A163" s="429" t="str">
        <f t="shared" si="12"/>
        <v>KU</v>
      </c>
      <c r="B163" s="429" t="str">
        <f t="shared" si="13"/>
        <v>KY</v>
      </c>
      <c r="C163" s="429" t="str">
        <f t="shared" si="14"/>
        <v>317</v>
      </c>
      <c r="D163" s="430" t="s">
        <v>2507</v>
      </c>
      <c r="E163" s="428" t="str">
        <f t="shared" si="15"/>
        <v>ARO</v>
      </c>
      <c r="F163" s="429">
        <v>3536.77214</v>
      </c>
      <c r="G163" s="429">
        <v>0</v>
      </c>
      <c r="H163" s="429">
        <v>0</v>
      </c>
      <c r="I163" s="429">
        <v>0</v>
      </c>
      <c r="J163" s="429">
        <v>0</v>
      </c>
      <c r="K163" s="429">
        <v>0</v>
      </c>
      <c r="L163" s="429">
        <v>0</v>
      </c>
      <c r="M163" s="429">
        <v>0</v>
      </c>
      <c r="N163" s="429">
        <v>0</v>
      </c>
      <c r="O163" s="429">
        <v>0</v>
      </c>
      <c r="P163" s="429">
        <v>0</v>
      </c>
      <c r="Q163" s="429">
        <v>0</v>
      </c>
      <c r="R163" s="429">
        <v>0</v>
      </c>
      <c r="S163" s="429">
        <f t="shared" si="16"/>
        <v>0</v>
      </c>
    </row>
    <row r="164" spans="1:19" s="429" customFormat="1">
      <c r="A164" s="429" t="str">
        <f t="shared" si="12"/>
        <v>KU</v>
      </c>
      <c r="B164" s="429" t="str">
        <f t="shared" si="13"/>
        <v>KY</v>
      </c>
      <c r="C164" s="429" t="str">
        <f t="shared" si="14"/>
        <v>331</v>
      </c>
      <c r="D164" s="430" t="s">
        <v>1743</v>
      </c>
      <c r="E164" s="428" t="str">
        <f t="shared" si="15"/>
        <v/>
      </c>
      <c r="F164" s="429">
        <v>0</v>
      </c>
      <c r="G164" s="429">
        <v>0</v>
      </c>
      <c r="H164" s="429">
        <v>0</v>
      </c>
      <c r="I164" s="429">
        <v>0</v>
      </c>
      <c r="J164" s="429">
        <v>0</v>
      </c>
      <c r="K164" s="429">
        <v>0</v>
      </c>
      <c r="L164" s="429">
        <v>0</v>
      </c>
      <c r="M164" s="429">
        <v>0</v>
      </c>
      <c r="N164" s="429">
        <v>1010.4478</v>
      </c>
      <c r="O164" s="429">
        <v>0</v>
      </c>
      <c r="P164" s="429">
        <v>0</v>
      </c>
      <c r="Q164" s="429">
        <v>400</v>
      </c>
      <c r="R164" s="429">
        <v>0</v>
      </c>
      <c r="S164" s="429">
        <f t="shared" si="16"/>
        <v>1410.4477999999999</v>
      </c>
    </row>
    <row r="165" spans="1:19" s="429" customFormat="1">
      <c r="A165" s="429" t="str">
        <f t="shared" si="12"/>
        <v>KU</v>
      </c>
      <c r="B165" s="429" t="str">
        <f t="shared" si="13"/>
        <v>KY</v>
      </c>
      <c r="C165" s="429" t="str">
        <f t="shared" si="14"/>
        <v>334</v>
      </c>
      <c r="D165" s="430" t="s">
        <v>1746</v>
      </c>
      <c r="E165" s="428" t="str">
        <f t="shared" si="15"/>
        <v/>
      </c>
      <c r="F165" s="429">
        <v>4.5048000000000004</v>
      </c>
      <c r="G165" s="429">
        <v>0</v>
      </c>
      <c r="H165" s="429">
        <v>0</v>
      </c>
      <c r="I165" s="429">
        <v>0</v>
      </c>
      <c r="J165" s="429">
        <v>0</v>
      </c>
      <c r="K165" s="429">
        <v>0</v>
      </c>
      <c r="L165" s="429">
        <v>0</v>
      </c>
      <c r="M165" s="429">
        <v>0</v>
      </c>
      <c r="N165" s="429">
        <v>0</v>
      </c>
      <c r="O165" s="429">
        <v>0</v>
      </c>
      <c r="P165" s="429">
        <v>0</v>
      </c>
      <c r="Q165" s="429">
        <v>0</v>
      </c>
      <c r="R165" s="429">
        <v>0</v>
      </c>
      <c r="S165" s="429">
        <f t="shared" si="16"/>
        <v>0</v>
      </c>
    </row>
    <row r="166" spans="1:19" s="429" customFormat="1">
      <c r="A166" s="429" t="str">
        <f t="shared" si="12"/>
        <v>KU</v>
      </c>
      <c r="B166" s="429" t="str">
        <f t="shared" si="13"/>
        <v>KY</v>
      </c>
      <c r="C166" s="429" t="str">
        <f t="shared" si="14"/>
        <v>340</v>
      </c>
      <c r="D166" s="430" t="s">
        <v>2199</v>
      </c>
      <c r="E166" s="428" t="str">
        <f t="shared" si="15"/>
        <v/>
      </c>
      <c r="F166" s="429">
        <v>0</v>
      </c>
      <c r="G166" s="429">
        <v>0</v>
      </c>
      <c r="H166" s="429">
        <v>0</v>
      </c>
      <c r="I166" s="429">
        <v>0</v>
      </c>
      <c r="J166" s="429">
        <v>0</v>
      </c>
      <c r="K166" s="429">
        <v>0</v>
      </c>
      <c r="L166" s="429">
        <v>0</v>
      </c>
      <c r="M166" s="429">
        <v>60.322650000000003</v>
      </c>
      <c r="N166" s="429">
        <v>0</v>
      </c>
      <c r="O166" s="429">
        <v>0</v>
      </c>
      <c r="P166" s="429">
        <v>0</v>
      </c>
      <c r="Q166" s="429">
        <v>0</v>
      </c>
      <c r="R166" s="429">
        <v>0</v>
      </c>
      <c r="S166" s="429">
        <f t="shared" si="16"/>
        <v>60.322650000000003</v>
      </c>
    </row>
    <row r="167" spans="1:19" s="429" customFormat="1">
      <c r="A167" s="429" t="str">
        <f t="shared" si="12"/>
        <v>KU</v>
      </c>
      <c r="B167" s="429" t="str">
        <f t="shared" si="13"/>
        <v>KY</v>
      </c>
      <c r="C167" s="429" t="str">
        <f t="shared" si="14"/>
        <v>340</v>
      </c>
      <c r="D167" s="430" t="s">
        <v>1750</v>
      </c>
      <c r="E167" s="428" t="str">
        <f t="shared" si="15"/>
        <v/>
      </c>
      <c r="F167" s="429">
        <v>0</v>
      </c>
      <c r="G167" s="429">
        <v>0</v>
      </c>
      <c r="H167" s="429">
        <v>0</v>
      </c>
      <c r="I167" s="429">
        <v>0</v>
      </c>
      <c r="J167" s="429">
        <v>0</v>
      </c>
      <c r="K167" s="429">
        <v>0</v>
      </c>
      <c r="L167" s="429">
        <v>0</v>
      </c>
      <c r="M167" s="429">
        <v>369.6</v>
      </c>
      <c r="N167" s="429">
        <v>0</v>
      </c>
      <c r="O167" s="429">
        <v>0</v>
      </c>
      <c r="P167" s="429">
        <v>0</v>
      </c>
      <c r="Q167" s="429">
        <v>0</v>
      </c>
      <c r="R167" s="429">
        <v>0</v>
      </c>
      <c r="S167" s="429">
        <f t="shared" si="16"/>
        <v>369.6</v>
      </c>
    </row>
    <row r="168" spans="1:19" s="429" customFormat="1">
      <c r="A168" s="429" t="str">
        <f t="shared" si="12"/>
        <v>KU</v>
      </c>
      <c r="B168" s="429" t="str">
        <f t="shared" si="13"/>
        <v>KY</v>
      </c>
      <c r="C168" s="429" t="str">
        <f t="shared" si="14"/>
        <v>341</v>
      </c>
      <c r="D168" s="430" t="s">
        <v>1751</v>
      </c>
      <c r="E168" s="428" t="str">
        <f t="shared" si="15"/>
        <v/>
      </c>
      <c r="F168" s="429">
        <v>0</v>
      </c>
      <c r="G168" s="429">
        <v>47.638300000000001</v>
      </c>
      <c r="H168" s="429">
        <v>0</v>
      </c>
      <c r="I168" s="429">
        <v>0</v>
      </c>
      <c r="J168" s="429">
        <v>0</v>
      </c>
      <c r="K168" s="429">
        <v>0</v>
      </c>
      <c r="L168" s="429">
        <v>0</v>
      </c>
      <c r="M168" s="429">
        <v>19.419630000000002</v>
      </c>
      <c r="N168" s="429">
        <v>0</v>
      </c>
      <c r="O168" s="429">
        <v>0</v>
      </c>
      <c r="P168" s="429">
        <v>23.29054</v>
      </c>
      <c r="Q168" s="429">
        <v>0</v>
      </c>
      <c r="R168" s="429">
        <v>0</v>
      </c>
      <c r="S168" s="429">
        <f t="shared" si="16"/>
        <v>90.348469999999992</v>
      </c>
    </row>
    <row r="169" spans="1:19" s="429" customFormat="1">
      <c r="A169" s="429" t="str">
        <f t="shared" si="12"/>
        <v>KU</v>
      </c>
      <c r="B169" s="429" t="str">
        <f t="shared" si="13"/>
        <v>KY</v>
      </c>
      <c r="C169" s="429" t="str">
        <f t="shared" si="14"/>
        <v>341</v>
      </c>
      <c r="D169" s="430" t="s">
        <v>2200</v>
      </c>
      <c r="E169" s="428" t="str">
        <f t="shared" si="15"/>
        <v/>
      </c>
      <c r="F169" s="429">
        <v>0</v>
      </c>
      <c r="G169" s="429">
        <v>323.49106</v>
      </c>
      <c r="H169" s="429">
        <v>0</v>
      </c>
      <c r="I169" s="429">
        <v>0</v>
      </c>
      <c r="J169" s="429">
        <v>1.1040099999999999</v>
      </c>
      <c r="K169" s="429">
        <v>0</v>
      </c>
      <c r="L169" s="429">
        <v>580.17426</v>
      </c>
      <c r="M169" s="429">
        <v>390.03985999999998</v>
      </c>
      <c r="N169" s="429">
        <v>0</v>
      </c>
      <c r="O169" s="429">
        <v>41.481819999999999</v>
      </c>
      <c r="P169" s="429">
        <v>17.55</v>
      </c>
      <c r="Q169" s="429">
        <v>0</v>
      </c>
      <c r="R169" s="429">
        <v>0</v>
      </c>
      <c r="S169" s="429">
        <f t="shared" si="16"/>
        <v>1353.8410099999999</v>
      </c>
    </row>
    <row r="170" spans="1:19" s="429" customFormat="1">
      <c r="A170" s="429" t="str">
        <f t="shared" si="12"/>
        <v>KU</v>
      </c>
      <c r="B170" s="429" t="str">
        <f t="shared" si="13"/>
        <v>KY</v>
      </c>
      <c r="C170" s="429" t="str">
        <f t="shared" si="14"/>
        <v>341</v>
      </c>
      <c r="D170" s="430" t="s">
        <v>2201</v>
      </c>
      <c r="E170" s="428" t="str">
        <f t="shared" si="15"/>
        <v/>
      </c>
      <c r="F170" s="429">
        <v>544.24334999999996</v>
      </c>
      <c r="G170" s="429">
        <v>0</v>
      </c>
      <c r="H170" s="429">
        <v>0</v>
      </c>
      <c r="I170" s="429">
        <v>0</v>
      </c>
      <c r="J170" s="429">
        <v>0</v>
      </c>
      <c r="K170" s="429">
        <v>0</v>
      </c>
      <c r="L170" s="429">
        <v>0</v>
      </c>
      <c r="M170" s="429">
        <v>0</v>
      </c>
      <c r="N170" s="429">
        <v>0</v>
      </c>
      <c r="O170" s="429">
        <v>0</v>
      </c>
      <c r="P170" s="429">
        <v>0</v>
      </c>
      <c r="Q170" s="429">
        <v>0</v>
      </c>
      <c r="R170" s="429">
        <v>0</v>
      </c>
      <c r="S170" s="429">
        <f t="shared" si="16"/>
        <v>0</v>
      </c>
    </row>
    <row r="171" spans="1:19" s="429" customFormat="1">
      <c r="A171" s="429" t="str">
        <f t="shared" si="12"/>
        <v>KU</v>
      </c>
      <c r="B171" s="429" t="str">
        <f t="shared" si="13"/>
        <v>KY</v>
      </c>
      <c r="C171" s="429" t="str">
        <f t="shared" si="14"/>
        <v>342</v>
      </c>
      <c r="D171" s="430" t="s">
        <v>1752</v>
      </c>
      <c r="E171" s="428" t="str">
        <f t="shared" si="15"/>
        <v/>
      </c>
      <c r="F171" s="429">
        <v>0</v>
      </c>
      <c r="G171" s="429">
        <v>0</v>
      </c>
      <c r="H171" s="429">
        <v>0</v>
      </c>
      <c r="I171" s="429">
        <v>27.05226</v>
      </c>
      <c r="J171" s="429">
        <v>0</v>
      </c>
      <c r="K171" s="429">
        <v>0</v>
      </c>
      <c r="L171" s="429">
        <v>0</v>
      </c>
      <c r="M171" s="429">
        <v>39.216589999999997</v>
      </c>
      <c r="N171" s="429">
        <v>0</v>
      </c>
      <c r="O171" s="429">
        <v>80</v>
      </c>
      <c r="P171" s="429">
        <v>137.05573000000001</v>
      </c>
      <c r="Q171" s="429">
        <v>0</v>
      </c>
      <c r="R171" s="429">
        <v>0</v>
      </c>
      <c r="S171" s="429">
        <f t="shared" si="16"/>
        <v>283.32457999999997</v>
      </c>
    </row>
    <row r="172" spans="1:19" s="429" customFormat="1">
      <c r="A172" s="429" t="str">
        <f t="shared" si="12"/>
        <v>KU</v>
      </c>
      <c r="B172" s="429" t="str">
        <f t="shared" si="13"/>
        <v>KY</v>
      </c>
      <c r="C172" s="429" t="str">
        <f t="shared" si="14"/>
        <v>342</v>
      </c>
      <c r="D172" s="430" t="s">
        <v>2203</v>
      </c>
      <c r="E172" s="428" t="str">
        <f t="shared" si="15"/>
        <v/>
      </c>
      <c r="F172" s="429">
        <v>0</v>
      </c>
      <c r="G172" s="429">
        <v>0</v>
      </c>
      <c r="H172" s="429">
        <v>0</v>
      </c>
      <c r="I172" s="429">
        <v>0</v>
      </c>
      <c r="J172" s="429">
        <v>0</v>
      </c>
      <c r="K172" s="429">
        <v>0</v>
      </c>
      <c r="L172" s="429">
        <v>0</v>
      </c>
      <c r="M172" s="429">
        <v>0</v>
      </c>
      <c r="N172" s="429">
        <v>0</v>
      </c>
      <c r="O172" s="429">
        <v>0</v>
      </c>
      <c r="P172" s="429">
        <v>235.97499999999999</v>
      </c>
      <c r="Q172" s="429">
        <v>0</v>
      </c>
      <c r="R172" s="429">
        <v>0</v>
      </c>
      <c r="S172" s="429">
        <f t="shared" si="16"/>
        <v>235.97499999999999</v>
      </c>
    </row>
    <row r="173" spans="1:19" s="429" customFormat="1">
      <c r="A173" s="429" t="str">
        <f t="shared" si="12"/>
        <v>KU</v>
      </c>
      <c r="B173" s="429" t="str">
        <f t="shared" si="13"/>
        <v>KY</v>
      </c>
      <c r="C173" s="429" t="str">
        <f t="shared" si="14"/>
        <v>343</v>
      </c>
      <c r="D173" s="430" t="s">
        <v>1753</v>
      </c>
      <c r="E173" s="428" t="str">
        <f t="shared" si="15"/>
        <v/>
      </c>
      <c r="F173" s="429">
        <v>3436.0952200000002</v>
      </c>
      <c r="G173" s="429">
        <v>296.0829</v>
      </c>
      <c r="H173" s="429">
        <v>158.27800999999999</v>
      </c>
      <c r="I173" s="429">
        <v>40.08934</v>
      </c>
      <c r="J173" s="429">
        <v>138.46812</v>
      </c>
      <c r="K173" s="429">
        <v>-6.0400000000000002E-3</v>
      </c>
      <c r="L173" s="429">
        <v>15.58287</v>
      </c>
      <c r="M173" s="429">
        <v>292.52643999999998</v>
      </c>
      <c r="N173" s="429">
        <v>116.42655999999999</v>
      </c>
      <c r="O173" s="429">
        <v>0</v>
      </c>
      <c r="P173" s="429">
        <v>264.59751999999997</v>
      </c>
      <c r="Q173" s="429">
        <v>8484.8165200000003</v>
      </c>
      <c r="R173" s="429">
        <v>3204.3474099999999</v>
      </c>
      <c r="S173" s="429">
        <f t="shared" si="16"/>
        <v>13011.209650000001</v>
      </c>
    </row>
    <row r="174" spans="1:19" s="429" customFormat="1">
      <c r="A174" s="429" t="str">
        <f t="shared" si="12"/>
        <v>KU</v>
      </c>
      <c r="B174" s="429" t="str">
        <f t="shared" si="13"/>
        <v>KY</v>
      </c>
      <c r="C174" s="429" t="str">
        <f t="shared" si="14"/>
        <v>343</v>
      </c>
      <c r="D174" s="430" t="s">
        <v>2204</v>
      </c>
      <c r="E174" s="428" t="str">
        <f t="shared" si="15"/>
        <v/>
      </c>
      <c r="F174" s="429">
        <v>10474.291999999999</v>
      </c>
      <c r="G174" s="429">
        <v>-860.00703999999905</v>
      </c>
      <c r="H174" s="429">
        <v>-899.64125000000001</v>
      </c>
      <c r="I174" s="429">
        <v>13.4979</v>
      </c>
      <c r="J174" s="429">
        <v>0.69357999999999997</v>
      </c>
      <c r="K174" s="429">
        <v>-1.4878499999999999</v>
      </c>
      <c r="L174" s="429">
        <v>-0.94379000000000002</v>
      </c>
      <c r="M174" s="429">
        <v>903.23999000000003</v>
      </c>
      <c r="N174" s="429">
        <v>0</v>
      </c>
      <c r="O174" s="429">
        <v>44.786389999999997</v>
      </c>
      <c r="P174" s="429">
        <v>3975.1266099999998</v>
      </c>
      <c r="Q174" s="429">
        <v>0</v>
      </c>
      <c r="R174" s="429">
        <v>342.95771000000002</v>
      </c>
      <c r="S174" s="429">
        <f t="shared" si="16"/>
        <v>3518.2222500000012</v>
      </c>
    </row>
    <row r="175" spans="1:19" s="429" customFormat="1">
      <c r="A175" s="429" t="str">
        <f t="shared" si="12"/>
        <v>KU</v>
      </c>
      <c r="B175" s="429" t="str">
        <f t="shared" si="13"/>
        <v>KY</v>
      </c>
      <c r="C175" s="429" t="str">
        <f t="shared" si="14"/>
        <v>344</v>
      </c>
      <c r="D175" s="430" t="s">
        <v>1754</v>
      </c>
      <c r="E175" s="428" t="str">
        <f t="shared" si="15"/>
        <v/>
      </c>
      <c r="F175" s="429">
        <v>0</v>
      </c>
      <c r="G175" s="429">
        <v>0</v>
      </c>
      <c r="H175" s="429">
        <v>0</v>
      </c>
      <c r="I175" s="429">
        <v>12.55921</v>
      </c>
      <c r="J175" s="429">
        <v>0</v>
      </c>
      <c r="K175" s="429">
        <v>0</v>
      </c>
      <c r="L175" s="429">
        <v>0</v>
      </c>
      <c r="M175" s="429">
        <v>0</v>
      </c>
      <c r="N175" s="429">
        <v>0</v>
      </c>
      <c r="O175" s="429">
        <v>149.08595</v>
      </c>
      <c r="P175" s="429">
        <v>420.06051000000002</v>
      </c>
      <c r="Q175" s="429">
        <v>0</v>
      </c>
      <c r="R175" s="429">
        <v>224.28</v>
      </c>
      <c r="S175" s="429">
        <f t="shared" si="16"/>
        <v>805.98567000000003</v>
      </c>
    </row>
    <row r="176" spans="1:19" s="429" customFormat="1">
      <c r="A176" s="429" t="str">
        <f t="shared" si="12"/>
        <v>KU</v>
      </c>
      <c r="B176" s="429" t="str">
        <f t="shared" si="13"/>
        <v>KY</v>
      </c>
      <c r="C176" s="429" t="str">
        <f t="shared" si="14"/>
        <v>344</v>
      </c>
      <c r="D176" s="430" t="s">
        <v>2205</v>
      </c>
      <c r="E176" s="428" t="str">
        <f t="shared" si="15"/>
        <v/>
      </c>
      <c r="F176" s="429">
        <v>236.67294999999999</v>
      </c>
      <c r="G176" s="429">
        <v>1.9961500000000001</v>
      </c>
      <c r="H176" s="429">
        <v>0.65044999999999997</v>
      </c>
      <c r="I176" s="429">
        <v>0</v>
      </c>
      <c r="J176" s="429">
        <v>0</v>
      </c>
      <c r="K176" s="429">
        <v>0</v>
      </c>
      <c r="L176" s="429">
        <v>0</v>
      </c>
      <c r="M176" s="429">
        <v>0</v>
      </c>
      <c r="N176" s="429">
        <v>0</v>
      </c>
      <c r="O176" s="429">
        <v>0</v>
      </c>
      <c r="P176" s="429">
        <v>0</v>
      </c>
      <c r="Q176" s="429">
        <v>0</v>
      </c>
      <c r="R176" s="429">
        <v>0</v>
      </c>
      <c r="S176" s="429">
        <f t="shared" si="16"/>
        <v>2.6466000000000003</v>
      </c>
    </row>
    <row r="177" spans="1:19" s="429" customFormat="1">
      <c r="A177" s="429" t="str">
        <f t="shared" si="12"/>
        <v>KU</v>
      </c>
      <c r="B177" s="429" t="str">
        <f t="shared" si="13"/>
        <v>KY</v>
      </c>
      <c r="C177" s="429" t="str">
        <f t="shared" si="14"/>
        <v>344</v>
      </c>
      <c r="D177" s="430" t="s">
        <v>2206</v>
      </c>
      <c r="E177" s="428" t="str">
        <f t="shared" si="15"/>
        <v/>
      </c>
      <c r="F177" s="429">
        <v>-411.77904999999998</v>
      </c>
      <c r="G177" s="429">
        <v>0</v>
      </c>
      <c r="H177" s="429">
        <v>0</v>
      </c>
      <c r="I177" s="429">
        <v>0</v>
      </c>
      <c r="J177" s="429">
        <v>0</v>
      </c>
      <c r="K177" s="429">
        <v>0</v>
      </c>
      <c r="L177" s="429">
        <v>0</v>
      </c>
      <c r="M177" s="429">
        <v>0</v>
      </c>
      <c r="N177" s="429">
        <v>0</v>
      </c>
      <c r="O177" s="429">
        <v>0</v>
      </c>
      <c r="P177" s="429">
        <v>0</v>
      </c>
      <c r="Q177" s="429">
        <v>0</v>
      </c>
      <c r="R177" s="429">
        <v>0</v>
      </c>
      <c r="S177" s="429">
        <f t="shared" si="16"/>
        <v>0</v>
      </c>
    </row>
    <row r="178" spans="1:19" s="429" customFormat="1">
      <c r="A178" s="429" t="str">
        <f t="shared" si="12"/>
        <v>KU</v>
      </c>
      <c r="B178" s="429" t="str">
        <f t="shared" si="13"/>
        <v>KY</v>
      </c>
      <c r="C178" s="429" t="str">
        <f t="shared" si="14"/>
        <v>345</v>
      </c>
      <c r="D178" s="430" t="s">
        <v>1755</v>
      </c>
      <c r="E178" s="428" t="str">
        <f t="shared" si="15"/>
        <v/>
      </c>
      <c r="F178" s="429">
        <v>4470.3850300000004</v>
      </c>
      <c r="G178" s="429">
        <v>4.02705</v>
      </c>
      <c r="H178" s="429">
        <v>1.52945</v>
      </c>
      <c r="I178" s="429">
        <v>-0.47545999999999999</v>
      </c>
      <c r="J178" s="429">
        <v>0</v>
      </c>
      <c r="K178" s="429">
        <v>0.18103</v>
      </c>
      <c r="L178" s="429">
        <v>-0.18784000000000001</v>
      </c>
      <c r="M178" s="429">
        <v>0</v>
      </c>
      <c r="N178" s="429">
        <v>0</v>
      </c>
      <c r="O178" s="429">
        <v>0</v>
      </c>
      <c r="P178" s="429">
        <v>0</v>
      </c>
      <c r="Q178" s="429">
        <v>0</v>
      </c>
      <c r="R178" s="429">
        <v>0</v>
      </c>
      <c r="S178" s="429">
        <f t="shared" si="16"/>
        <v>5.07423</v>
      </c>
    </row>
    <row r="179" spans="1:19" s="429" customFormat="1">
      <c r="A179" s="429" t="str">
        <f t="shared" si="12"/>
        <v>KU</v>
      </c>
      <c r="B179" s="429" t="str">
        <f t="shared" si="13"/>
        <v>KY</v>
      </c>
      <c r="C179" s="429" t="str">
        <f t="shared" si="14"/>
        <v>345</v>
      </c>
      <c r="D179" s="430" t="s">
        <v>2207</v>
      </c>
      <c r="E179" s="428" t="str">
        <f t="shared" si="15"/>
        <v/>
      </c>
      <c r="F179" s="429">
        <v>7976.8610699999999</v>
      </c>
      <c r="G179" s="429">
        <v>212.11168000000001</v>
      </c>
      <c r="H179" s="429">
        <v>4.2979999999999997E-2</v>
      </c>
      <c r="I179" s="429">
        <v>0</v>
      </c>
      <c r="J179" s="429">
        <v>0.25918000000000002</v>
      </c>
      <c r="K179" s="429">
        <v>1.9369999999999998E-2</v>
      </c>
      <c r="L179" s="429">
        <v>-0.41682999999999998</v>
      </c>
      <c r="M179" s="429">
        <v>0</v>
      </c>
      <c r="N179" s="429">
        <v>0</v>
      </c>
      <c r="O179" s="429">
        <v>0</v>
      </c>
      <c r="P179" s="429">
        <v>27.83672</v>
      </c>
      <c r="Q179" s="429">
        <v>0</v>
      </c>
      <c r="R179" s="429">
        <v>0</v>
      </c>
      <c r="S179" s="429">
        <f t="shared" si="16"/>
        <v>239.85309999999998</v>
      </c>
    </row>
    <row r="180" spans="1:19" s="429" customFormat="1">
      <c r="A180" s="429" t="str">
        <f t="shared" si="12"/>
        <v>KU</v>
      </c>
      <c r="B180" s="429" t="str">
        <f t="shared" si="13"/>
        <v>KY</v>
      </c>
      <c r="C180" s="429" t="str">
        <f t="shared" si="14"/>
        <v>345</v>
      </c>
      <c r="D180" s="430" t="s">
        <v>2208</v>
      </c>
      <c r="E180" s="428" t="str">
        <f t="shared" si="15"/>
        <v/>
      </c>
      <c r="F180" s="429">
        <v>-250.44517999999999</v>
      </c>
      <c r="G180" s="429">
        <v>0</v>
      </c>
      <c r="H180" s="429">
        <v>0</v>
      </c>
      <c r="I180" s="429">
        <v>0</v>
      </c>
      <c r="J180" s="429">
        <v>0</v>
      </c>
      <c r="K180" s="429">
        <v>0</v>
      </c>
      <c r="L180" s="429">
        <v>0</v>
      </c>
      <c r="M180" s="429">
        <v>0</v>
      </c>
      <c r="N180" s="429">
        <v>0</v>
      </c>
      <c r="O180" s="429">
        <v>0</v>
      </c>
      <c r="P180" s="429">
        <v>0</v>
      </c>
      <c r="Q180" s="429">
        <v>0</v>
      </c>
      <c r="R180" s="429">
        <v>0</v>
      </c>
      <c r="S180" s="429">
        <f t="shared" si="16"/>
        <v>0</v>
      </c>
    </row>
    <row r="181" spans="1:19" s="429" customFormat="1">
      <c r="A181" s="429" t="str">
        <f t="shared" si="12"/>
        <v>KU</v>
      </c>
      <c r="B181" s="429" t="str">
        <f t="shared" si="13"/>
        <v>KY</v>
      </c>
      <c r="C181" s="429" t="str">
        <f t="shared" si="14"/>
        <v>346</v>
      </c>
      <c r="D181" s="430" t="s">
        <v>1756</v>
      </c>
      <c r="E181" s="428" t="str">
        <f t="shared" si="15"/>
        <v/>
      </c>
      <c r="F181" s="429">
        <v>0</v>
      </c>
      <c r="G181" s="429">
        <v>0</v>
      </c>
      <c r="H181" s="429">
        <v>7.1040000000000001</v>
      </c>
      <c r="I181" s="429">
        <v>0</v>
      </c>
      <c r="J181" s="429">
        <v>0</v>
      </c>
      <c r="K181" s="429">
        <v>0</v>
      </c>
      <c r="L181" s="429">
        <v>0</v>
      </c>
      <c r="M181" s="429">
        <v>0</v>
      </c>
      <c r="N181" s="429">
        <v>0</v>
      </c>
      <c r="O181" s="429">
        <v>0</v>
      </c>
      <c r="P181" s="429">
        <v>0</v>
      </c>
      <c r="Q181" s="429">
        <v>30.631499999999999</v>
      </c>
      <c r="R181" s="429">
        <v>0</v>
      </c>
      <c r="S181" s="429">
        <f t="shared" si="16"/>
        <v>37.735500000000002</v>
      </c>
    </row>
    <row r="182" spans="1:19" s="429" customFormat="1">
      <c r="A182" s="429" t="str">
        <f t="shared" si="12"/>
        <v>KU</v>
      </c>
      <c r="B182" s="429" t="str">
        <f t="shared" si="13"/>
        <v>KY</v>
      </c>
      <c r="C182" s="429" t="str">
        <f t="shared" si="14"/>
        <v>346</v>
      </c>
      <c r="D182" s="430" t="s">
        <v>2209</v>
      </c>
      <c r="E182" s="428" t="str">
        <f t="shared" si="15"/>
        <v/>
      </c>
      <c r="F182" s="429">
        <v>0</v>
      </c>
      <c r="G182" s="429">
        <v>0</v>
      </c>
      <c r="H182" s="429">
        <v>0</v>
      </c>
      <c r="I182" s="429">
        <v>0</v>
      </c>
      <c r="J182" s="429">
        <v>0</v>
      </c>
      <c r="K182" s="429">
        <v>0</v>
      </c>
      <c r="L182" s="429">
        <v>0</v>
      </c>
      <c r="M182" s="429">
        <v>0</v>
      </c>
      <c r="N182" s="429">
        <v>0</v>
      </c>
      <c r="O182" s="429">
        <v>19.49999</v>
      </c>
      <c r="P182" s="429">
        <v>0</v>
      </c>
      <c r="Q182" s="429">
        <v>471.09946000000002</v>
      </c>
      <c r="R182" s="429">
        <v>159.51</v>
      </c>
      <c r="S182" s="429">
        <f t="shared" si="16"/>
        <v>650.10945000000004</v>
      </c>
    </row>
    <row r="183" spans="1:19" s="429" customFormat="1">
      <c r="A183" s="429" t="str">
        <f t="shared" si="12"/>
        <v>KU</v>
      </c>
      <c r="B183" s="429" t="str">
        <f t="shared" si="13"/>
        <v>KY</v>
      </c>
      <c r="C183" s="429" t="str">
        <f t="shared" si="14"/>
        <v>346</v>
      </c>
      <c r="D183" s="430" t="s">
        <v>2210</v>
      </c>
      <c r="E183" s="428" t="str">
        <f t="shared" si="15"/>
        <v/>
      </c>
      <c r="F183" s="429">
        <v>117.98088</v>
      </c>
      <c r="G183" s="429">
        <v>0</v>
      </c>
      <c r="H183" s="429">
        <v>0</v>
      </c>
      <c r="I183" s="429">
        <v>0</v>
      </c>
      <c r="J183" s="429">
        <v>0</v>
      </c>
      <c r="K183" s="429">
        <v>0</v>
      </c>
      <c r="L183" s="429">
        <v>0</v>
      </c>
      <c r="M183" s="429">
        <v>0</v>
      </c>
      <c r="N183" s="429">
        <v>0</v>
      </c>
      <c r="O183" s="429">
        <v>0</v>
      </c>
      <c r="P183" s="429">
        <v>0</v>
      </c>
      <c r="Q183" s="429">
        <v>0</v>
      </c>
      <c r="R183" s="429">
        <v>0</v>
      </c>
      <c r="S183" s="429">
        <f t="shared" si="16"/>
        <v>0</v>
      </c>
    </row>
    <row r="184" spans="1:19" s="429" customFormat="1">
      <c r="A184" s="429" t="str">
        <f t="shared" si="12"/>
        <v>KU</v>
      </c>
      <c r="B184" s="429" t="str">
        <f t="shared" si="13"/>
        <v>KY</v>
      </c>
      <c r="C184" s="429" t="str">
        <f t="shared" si="14"/>
        <v>350</v>
      </c>
      <c r="D184" s="430" t="s">
        <v>1757</v>
      </c>
      <c r="E184" s="428" t="str">
        <f t="shared" si="15"/>
        <v/>
      </c>
      <c r="F184" s="429">
        <v>0</v>
      </c>
      <c r="G184" s="429">
        <v>0</v>
      </c>
      <c r="H184" s="429">
        <v>0</v>
      </c>
      <c r="I184" s="429">
        <v>0</v>
      </c>
      <c r="J184" s="429">
        <v>2.2393000000000001</v>
      </c>
      <c r="K184" s="429">
        <v>0</v>
      </c>
      <c r="L184" s="429">
        <v>0</v>
      </c>
      <c r="M184" s="429">
        <v>134.86932999999999</v>
      </c>
      <c r="N184" s="429">
        <v>0</v>
      </c>
      <c r="O184" s="429">
        <v>0</v>
      </c>
      <c r="P184" s="429">
        <v>0</v>
      </c>
      <c r="Q184" s="429">
        <v>0</v>
      </c>
      <c r="R184" s="429">
        <v>1E-4</v>
      </c>
      <c r="S184" s="429">
        <f t="shared" si="16"/>
        <v>137.10873000000001</v>
      </c>
    </row>
    <row r="185" spans="1:19" s="429" customFormat="1">
      <c r="A185" s="429" t="str">
        <f t="shared" si="12"/>
        <v>KU</v>
      </c>
      <c r="B185" s="429" t="str">
        <f t="shared" si="13"/>
        <v>VA</v>
      </c>
      <c r="C185" s="429" t="str">
        <f t="shared" si="14"/>
        <v>350</v>
      </c>
      <c r="D185" s="430" t="s">
        <v>1759</v>
      </c>
      <c r="E185" s="428" t="str">
        <f t="shared" si="15"/>
        <v/>
      </c>
      <c r="F185" s="429">
        <v>0</v>
      </c>
      <c r="G185" s="429">
        <v>0</v>
      </c>
      <c r="H185" s="429">
        <v>0</v>
      </c>
      <c r="I185" s="429">
        <v>0</v>
      </c>
      <c r="J185" s="429">
        <v>0</v>
      </c>
      <c r="K185" s="429">
        <v>0</v>
      </c>
      <c r="L185" s="429">
        <v>0</v>
      </c>
      <c r="M185" s="429">
        <v>0</v>
      </c>
      <c r="N185" s="429">
        <v>0</v>
      </c>
      <c r="O185" s="429">
        <v>0</v>
      </c>
      <c r="P185" s="429">
        <v>0</v>
      </c>
      <c r="Q185" s="429">
        <v>0</v>
      </c>
      <c r="R185" s="429">
        <v>0</v>
      </c>
      <c r="S185" s="429">
        <f t="shared" si="16"/>
        <v>0</v>
      </c>
    </row>
    <row r="186" spans="1:19" s="429" customFormat="1">
      <c r="A186" s="429" t="str">
        <f t="shared" si="12"/>
        <v>KU</v>
      </c>
      <c r="B186" s="429" t="str">
        <f t="shared" si="13"/>
        <v>KY</v>
      </c>
      <c r="C186" s="429" t="str">
        <f t="shared" si="14"/>
        <v>352</v>
      </c>
      <c r="D186" s="430" t="s">
        <v>1760</v>
      </c>
      <c r="E186" s="428" t="str">
        <f t="shared" si="15"/>
        <v/>
      </c>
      <c r="F186" s="429">
        <v>0</v>
      </c>
      <c r="G186" s="429">
        <v>0</v>
      </c>
      <c r="H186" s="429">
        <v>-5.7859400000000001</v>
      </c>
      <c r="I186" s="429">
        <v>0</v>
      </c>
      <c r="J186" s="429">
        <v>0</v>
      </c>
      <c r="K186" s="429">
        <v>0</v>
      </c>
      <c r="L186" s="429">
        <v>0</v>
      </c>
      <c r="M186" s="429">
        <v>0</v>
      </c>
      <c r="N186" s="429">
        <v>0</v>
      </c>
      <c r="O186" s="429">
        <v>0</v>
      </c>
      <c r="P186" s="429">
        <v>0</v>
      </c>
      <c r="Q186" s="429">
        <v>0</v>
      </c>
      <c r="R186" s="429">
        <v>0</v>
      </c>
      <c r="S186" s="429">
        <f t="shared" si="16"/>
        <v>-5.7859400000000001</v>
      </c>
    </row>
    <row r="187" spans="1:19" s="429" customFormat="1">
      <c r="A187" s="429" t="str">
        <f t="shared" si="12"/>
        <v>KU</v>
      </c>
      <c r="B187" s="429" t="str">
        <f t="shared" si="13"/>
        <v>KY</v>
      </c>
      <c r="C187" s="429" t="str">
        <f t="shared" si="14"/>
        <v>352</v>
      </c>
      <c r="D187" s="430" t="s">
        <v>1761</v>
      </c>
      <c r="E187" s="428" t="str">
        <f t="shared" si="15"/>
        <v/>
      </c>
      <c r="F187" s="429">
        <v>0</v>
      </c>
      <c r="G187" s="429">
        <v>0.14036999999999999</v>
      </c>
      <c r="H187" s="429">
        <v>13.847709999999999</v>
      </c>
      <c r="I187" s="429">
        <v>0</v>
      </c>
      <c r="J187" s="429">
        <v>0</v>
      </c>
      <c r="K187" s="429">
        <v>117.83664</v>
      </c>
      <c r="L187" s="429">
        <v>0</v>
      </c>
      <c r="M187" s="429">
        <v>0</v>
      </c>
      <c r="N187" s="429">
        <v>0</v>
      </c>
      <c r="O187" s="429">
        <v>0</v>
      </c>
      <c r="P187" s="429">
        <v>0</v>
      </c>
      <c r="Q187" s="429">
        <v>0</v>
      </c>
      <c r="R187" s="429">
        <v>0</v>
      </c>
      <c r="S187" s="429">
        <f t="shared" si="16"/>
        <v>131.82472000000001</v>
      </c>
    </row>
    <row r="188" spans="1:19" s="429" customFormat="1">
      <c r="A188" s="429" t="str">
        <f t="shared" si="12"/>
        <v>KU</v>
      </c>
      <c r="B188" s="429" t="str">
        <f t="shared" si="13"/>
        <v>KY</v>
      </c>
      <c r="C188" s="429" t="str">
        <f t="shared" si="14"/>
        <v>353</v>
      </c>
      <c r="D188" s="430" t="s">
        <v>1763</v>
      </c>
      <c r="E188" s="428" t="str">
        <f t="shared" si="15"/>
        <v/>
      </c>
      <c r="F188" s="429">
        <v>84.189430000000002</v>
      </c>
      <c r="G188" s="429">
        <v>627.41851999999994</v>
      </c>
      <c r="H188" s="429">
        <v>82.734080000000006</v>
      </c>
      <c r="I188" s="429">
        <v>142.36868999999999</v>
      </c>
      <c r="J188" s="429">
        <v>373.37529999999998</v>
      </c>
      <c r="K188" s="429">
        <v>5848.00288</v>
      </c>
      <c r="L188" s="429">
        <v>1071.1608799999999</v>
      </c>
      <c r="M188" s="429">
        <v>41838.15537</v>
      </c>
      <c r="N188" s="429">
        <v>3083.9974400000001</v>
      </c>
      <c r="O188" s="429">
        <v>3695.8738699999999</v>
      </c>
      <c r="P188" s="429">
        <v>476.84791000000001</v>
      </c>
      <c r="Q188" s="429">
        <v>26.62473</v>
      </c>
      <c r="R188" s="429">
        <v>7674.64256999999</v>
      </c>
      <c r="S188" s="429">
        <f t="shared" si="16"/>
        <v>64941.202239999991</v>
      </c>
    </row>
    <row r="189" spans="1:19" s="429" customFormat="1">
      <c r="A189" s="429" t="str">
        <f t="shared" si="12"/>
        <v>KU</v>
      </c>
      <c r="B189" s="429" t="s">
        <v>17</v>
      </c>
      <c r="C189" s="429" t="str">
        <f t="shared" si="14"/>
        <v>353</v>
      </c>
      <c r="D189" s="430" t="s">
        <v>1764</v>
      </c>
      <c r="E189" s="428" t="str">
        <f t="shared" si="15"/>
        <v/>
      </c>
      <c r="F189" s="429">
        <v>32.182049999999997</v>
      </c>
      <c r="G189" s="429">
        <v>0</v>
      </c>
      <c r="H189" s="429">
        <v>0</v>
      </c>
      <c r="I189" s="429">
        <v>0</v>
      </c>
      <c r="J189" s="429">
        <v>0</v>
      </c>
      <c r="K189" s="429">
        <v>0</v>
      </c>
      <c r="L189" s="429">
        <v>0</v>
      </c>
      <c r="M189" s="429">
        <v>552.02026999999998</v>
      </c>
      <c r="N189" s="429">
        <v>-16.649999999999999</v>
      </c>
      <c r="O189" s="429">
        <v>0</v>
      </c>
      <c r="P189" s="429">
        <v>0</v>
      </c>
      <c r="Q189" s="429">
        <v>0</v>
      </c>
      <c r="R189" s="429">
        <v>0</v>
      </c>
      <c r="S189" s="429">
        <f t="shared" si="16"/>
        <v>535.37027</v>
      </c>
    </row>
    <row r="190" spans="1:19" s="429" customFormat="1">
      <c r="A190" s="429" t="str">
        <f t="shared" si="12"/>
        <v>KU</v>
      </c>
      <c r="B190" s="429" t="str">
        <f t="shared" si="13"/>
        <v>VA</v>
      </c>
      <c r="C190" s="429" t="str">
        <f t="shared" si="14"/>
        <v>353</v>
      </c>
      <c r="D190" s="430" t="s">
        <v>1765</v>
      </c>
      <c r="E190" s="428" t="str">
        <f t="shared" si="15"/>
        <v/>
      </c>
      <c r="F190" s="429">
        <v>15.41685</v>
      </c>
      <c r="G190" s="429">
        <v>0</v>
      </c>
      <c r="H190" s="429">
        <v>8.62929999999999</v>
      </c>
      <c r="I190" s="429">
        <v>0</v>
      </c>
      <c r="J190" s="429">
        <v>31.42972</v>
      </c>
      <c r="K190" s="429">
        <v>94.935360000000003</v>
      </c>
      <c r="L190" s="429">
        <v>-3.3062100000000001</v>
      </c>
      <c r="M190" s="429">
        <v>0</v>
      </c>
      <c r="N190" s="429">
        <v>0</v>
      </c>
      <c r="O190" s="429">
        <v>0</v>
      </c>
      <c r="P190" s="429">
        <v>0</v>
      </c>
      <c r="Q190" s="429">
        <v>0</v>
      </c>
      <c r="R190" s="429">
        <v>0</v>
      </c>
      <c r="S190" s="429">
        <f t="shared" si="16"/>
        <v>131.68816999999999</v>
      </c>
    </row>
    <row r="191" spans="1:19" s="429" customFormat="1">
      <c r="A191" s="429" t="str">
        <f t="shared" si="12"/>
        <v>KU</v>
      </c>
      <c r="B191" s="429" t="str">
        <f t="shared" si="13"/>
        <v>KY</v>
      </c>
      <c r="C191" s="429" t="str">
        <f t="shared" si="14"/>
        <v>355</v>
      </c>
      <c r="D191" s="430" t="s">
        <v>1768</v>
      </c>
      <c r="E191" s="428" t="str">
        <f t="shared" si="15"/>
        <v/>
      </c>
      <c r="F191" s="429">
        <v>3980.1838299999999</v>
      </c>
      <c r="G191" s="429">
        <v>775.56527000000006</v>
      </c>
      <c r="H191" s="429">
        <v>1791.00496</v>
      </c>
      <c r="I191" s="429">
        <v>4682.0848999999998</v>
      </c>
      <c r="J191" s="429">
        <v>1540.4430600000001</v>
      </c>
      <c r="K191" s="429">
        <v>4138.3393999999998</v>
      </c>
      <c r="L191" s="429">
        <v>4329.6040499999999</v>
      </c>
      <c r="M191" s="429">
        <v>22337.626100000001</v>
      </c>
      <c r="N191" s="429">
        <v>9913.9601299999995</v>
      </c>
      <c r="O191" s="429">
        <v>11383.47546</v>
      </c>
      <c r="P191" s="429">
        <v>3531.2794699999999</v>
      </c>
      <c r="Q191" s="429">
        <v>4837.4586399999998</v>
      </c>
      <c r="R191" s="429">
        <v>19059.892669999899</v>
      </c>
      <c r="S191" s="429">
        <f t="shared" si="16"/>
        <v>88320.734109999903</v>
      </c>
    </row>
    <row r="192" spans="1:19" s="429" customFormat="1">
      <c r="A192" s="429" t="str">
        <f t="shared" si="12"/>
        <v>KU</v>
      </c>
      <c r="B192" s="429" t="str">
        <f t="shared" si="13"/>
        <v>TN</v>
      </c>
      <c r="C192" s="429" t="str">
        <f t="shared" si="14"/>
        <v>355</v>
      </c>
      <c r="D192" s="430" t="s">
        <v>1769</v>
      </c>
      <c r="E192" s="428" t="str">
        <f t="shared" si="15"/>
        <v/>
      </c>
      <c r="F192" s="429">
        <v>0</v>
      </c>
      <c r="G192" s="429">
        <v>0</v>
      </c>
      <c r="H192" s="429">
        <v>0</v>
      </c>
      <c r="I192" s="429">
        <v>2.8109899999999999</v>
      </c>
      <c r="J192" s="429">
        <v>0</v>
      </c>
      <c r="K192" s="429">
        <v>0</v>
      </c>
      <c r="L192" s="429">
        <v>0</v>
      </c>
      <c r="M192" s="429">
        <v>0</v>
      </c>
      <c r="N192" s="429">
        <v>0</v>
      </c>
      <c r="O192" s="429">
        <v>0</v>
      </c>
      <c r="P192" s="429">
        <v>0</v>
      </c>
      <c r="Q192" s="429">
        <v>0</v>
      </c>
      <c r="R192" s="429">
        <v>0</v>
      </c>
      <c r="S192" s="429">
        <f t="shared" si="16"/>
        <v>2.8109899999999999</v>
      </c>
    </row>
    <row r="193" spans="1:19" s="429" customFormat="1">
      <c r="A193" s="429" t="str">
        <f t="shared" si="12"/>
        <v>KU</v>
      </c>
      <c r="B193" s="429" t="str">
        <f t="shared" si="13"/>
        <v>VA</v>
      </c>
      <c r="C193" s="429" t="str">
        <f t="shared" si="14"/>
        <v>355</v>
      </c>
      <c r="D193" s="430" t="s">
        <v>1770</v>
      </c>
      <c r="E193" s="428" t="str">
        <f t="shared" si="15"/>
        <v/>
      </c>
      <c r="F193" s="429">
        <v>950.81137999999999</v>
      </c>
      <c r="G193" s="429">
        <v>-880.43551000000002</v>
      </c>
      <c r="H193" s="429">
        <v>245.39669000000001</v>
      </c>
      <c r="I193" s="429">
        <v>55.635390000000001</v>
      </c>
      <c r="J193" s="429">
        <v>-2.2399999999999998E-3</v>
      </c>
      <c r="K193" s="429">
        <v>9.9203700000000001</v>
      </c>
      <c r="L193" s="429">
        <v>0</v>
      </c>
      <c r="M193" s="429">
        <v>7.1673099999999996</v>
      </c>
      <c r="N193" s="429">
        <v>284.58553999999998</v>
      </c>
      <c r="O193" s="429">
        <v>1021.6582</v>
      </c>
      <c r="P193" s="429">
        <v>177.77643</v>
      </c>
      <c r="Q193" s="429">
        <v>0.22166</v>
      </c>
      <c r="R193" s="429">
        <v>0</v>
      </c>
      <c r="S193" s="429">
        <f t="shared" si="16"/>
        <v>921.92384000000015</v>
      </c>
    </row>
    <row r="194" spans="1:19" s="429" customFormat="1">
      <c r="A194" s="429" t="str">
        <f t="shared" si="12"/>
        <v>KU</v>
      </c>
      <c r="B194" s="429" t="str">
        <f t="shared" si="13"/>
        <v>KY</v>
      </c>
      <c r="C194" s="429" t="str">
        <f t="shared" si="14"/>
        <v>356</v>
      </c>
      <c r="D194" s="430" t="s">
        <v>1771</v>
      </c>
      <c r="E194" s="428" t="str">
        <f t="shared" si="15"/>
        <v/>
      </c>
      <c r="F194" s="429">
        <v>3477.2200499999999</v>
      </c>
      <c r="G194" s="429">
        <v>73.063280000000006</v>
      </c>
      <c r="H194" s="429">
        <v>-863.63031000000001</v>
      </c>
      <c r="I194" s="429">
        <v>294.94358999999997</v>
      </c>
      <c r="J194" s="429">
        <v>888.30501000000004</v>
      </c>
      <c r="K194" s="429">
        <v>643.61234000000002</v>
      </c>
      <c r="L194" s="429">
        <v>632.83609000000001</v>
      </c>
      <c r="M194" s="429">
        <v>0</v>
      </c>
      <c r="N194" s="429">
        <v>266.93207999999998</v>
      </c>
      <c r="O194" s="429">
        <v>110.82899999999999</v>
      </c>
      <c r="P194" s="429">
        <v>0</v>
      </c>
      <c r="Q194" s="429">
        <v>0</v>
      </c>
      <c r="R194" s="429">
        <v>0</v>
      </c>
      <c r="S194" s="429">
        <f t="shared" si="16"/>
        <v>2046.8910799999999</v>
      </c>
    </row>
    <row r="195" spans="1:19" s="429" customFormat="1">
      <c r="A195" s="429" t="str">
        <f t="shared" si="12"/>
        <v>KU</v>
      </c>
      <c r="B195" s="429" t="str">
        <f t="shared" si="13"/>
        <v>TN</v>
      </c>
      <c r="C195" s="429" t="str">
        <f t="shared" si="14"/>
        <v>356</v>
      </c>
      <c r="D195" s="430" t="s">
        <v>1772</v>
      </c>
      <c r="E195" s="428" t="str">
        <f t="shared" si="15"/>
        <v/>
      </c>
      <c r="F195" s="429">
        <v>0</v>
      </c>
      <c r="G195" s="429">
        <v>0</v>
      </c>
      <c r="H195" s="429">
        <v>0</v>
      </c>
      <c r="I195" s="429">
        <v>2.6651799999999999</v>
      </c>
      <c r="J195" s="429">
        <v>0</v>
      </c>
      <c r="K195" s="429">
        <v>0</v>
      </c>
      <c r="L195" s="429">
        <v>0</v>
      </c>
      <c r="M195" s="429">
        <v>0</v>
      </c>
      <c r="N195" s="429">
        <v>0</v>
      </c>
      <c r="O195" s="429">
        <v>0</v>
      </c>
      <c r="P195" s="429">
        <v>0</v>
      </c>
      <c r="Q195" s="429">
        <v>0</v>
      </c>
      <c r="R195" s="429">
        <v>0</v>
      </c>
      <c r="S195" s="429">
        <f t="shared" si="16"/>
        <v>2.6651799999999999</v>
      </c>
    </row>
    <row r="196" spans="1:19" s="429" customFormat="1">
      <c r="A196" s="429" t="str">
        <f t="shared" si="12"/>
        <v>KU</v>
      </c>
      <c r="B196" s="429" t="str">
        <f t="shared" si="13"/>
        <v>VA</v>
      </c>
      <c r="C196" s="429" t="str">
        <f t="shared" si="14"/>
        <v>356</v>
      </c>
      <c r="D196" s="430" t="s">
        <v>1773</v>
      </c>
      <c r="E196" s="428" t="str">
        <f t="shared" si="15"/>
        <v/>
      </c>
      <c r="F196" s="429">
        <v>396.58526999999998</v>
      </c>
      <c r="G196" s="429">
        <v>925.86361999999997</v>
      </c>
      <c r="H196" s="429">
        <v>-126.8292</v>
      </c>
      <c r="I196" s="429">
        <v>16.86599</v>
      </c>
      <c r="J196" s="429">
        <v>-9.5E-4</v>
      </c>
      <c r="K196" s="429">
        <v>4.2149000000000001</v>
      </c>
      <c r="L196" s="429">
        <v>0</v>
      </c>
      <c r="M196" s="429">
        <v>0</v>
      </c>
      <c r="N196" s="429">
        <v>0</v>
      </c>
      <c r="O196" s="429">
        <v>0</v>
      </c>
      <c r="P196" s="429">
        <v>0</v>
      </c>
      <c r="Q196" s="429">
        <v>0</v>
      </c>
      <c r="R196" s="429">
        <v>0</v>
      </c>
      <c r="S196" s="429">
        <f t="shared" si="16"/>
        <v>820.11436000000003</v>
      </c>
    </row>
    <row r="197" spans="1:19" s="429" customFormat="1">
      <c r="A197" s="429" t="str">
        <f t="shared" si="12"/>
        <v>KU</v>
      </c>
      <c r="B197" s="429" t="str">
        <f t="shared" si="13"/>
        <v>KY</v>
      </c>
      <c r="C197" s="429" t="str">
        <f t="shared" si="14"/>
        <v>358</v>
      </c>
      <c r="D197" s="430" t="s">
        <v>1775</v>
      </c>
      <c r="E197" s="428" t="str">
        <f t="shared" si="15"/>
        <v/>
      </c>
      <c r="F197" s="429">
        <v>29.488599999999899</v>
      </c>
      <c r="G197" s="429">
        <v>0</v>
      </c>
      <c r="H197" s="429">
        <v>0</v>
      </c>
      <c r="I197" s="429">
        <v>0.49814999999999998</v>
      </c>
      <c r="J197" s="429">
        <v>0</v>
      </c>
      <c r="K197" s="429">
        <v>0</v>
      </c>
      <c r="L197" s="429">
        <v>0</v>
      </c>
      <c r="M197" s="429">
        <v>0</v>
      </c>
      <c r="N197" s="429">
        <v>0</v>
      </c>
      <c r="O197" s="429">
        <v>0</v>
      </c>
      <c r="P197" s="429">
        <v>0</v>
      </c>
      <c r="Q197" s="429">
        <v>0</v>
      </c>
      <c r="R197" s="429">
        <v>0</v>
      </c>
      <c r="S197" s="429">
        <f t="shared" si="16"/>
        <v>0.49814999999999998</v>
      </c>
    </row>
    <row r="198" spans="1:19" s="429" customFormat="1">
      <c r="A198" s="429" t="str">
        <f t="shared" si="12"/>
        <v>KU</v>
      </c>
      <c r="B198" s="429" t="str">
        <f t="shared" si="13"/>
        <v>KY</v>
      </c>
      <c r="C198" s="429" t="str">
        <f t="shared" si="14"/>
        <v>360</v>
      </c>
      <c r="D198" s="430" t="s">
        <v>1778</v>
      </c>
      <c r="E198" s="428" t="str">
        <f t="shared" si="15"/>
        <v/>
      </c>
      <c r="F198" s="429">
        <v>0</v>
      </c>
      <c r="G198" s="429">
        <v>0</v>
      </c>
      <c r="H198" s="429">
        <v>0</v>
      </c>
      <c r="I198" s="429">
        <v>0</v>
      </c>
      <c r="J198" s="429">
        <v>234.48007999999999</v>
      </c>
      <c r="K198" s="429">
        <v>16.85802</v>
      </c>
      <c r="L198" s="429">
        <v>0</v>
      </c>
      <c r="M198" s="429">
        <v>0</v>
      </c>
      <c r="N198" s="429">
        <v>0</v>
      </c>
      <c r="O198" s="429">
        <v>0</v>
      </c>
      <c r="P198" s="429">
        <v>0</v>
      </c>
      <c r="Q198" s="429">
        <v>0</v>
      </c>
      <c r="R198" s="429">
        <v>1402.4262200000001</v>
      </c>
      <c r="S198" s="429">
        <f t="shared" si="16"/>
        <v>1653.76432</v>
      </c>
    </row>
    <row r="199" spans="1:19" s="429" customFormat="1">
      <c r="A199" s="429" t="str">
        <f t="shared" si="12"/>
        <v>KU</v>
      </c>
      <c r="B199" s="429" t="str">
        <f t="shared" si="13"/>
        <v>TN</v>
      </c>
      <c r="C199" s="429" t="str">
        <f t="shared" si="14"/>
        <v>360</v>
      </c>
      <c r="D199" s="430" t="s">
        <v>1779</v>
      </c>
      <c r="E199" s="428" t="str">
        <f t="shared" si="15"/>
        <v/>
      </c>
      <c r="F199" s="429">
        <v>0</v>
      </c>
      <c r="G199" s="429">
        <v>0</v>
      </c>
      <c r="H199" s="429">
        <v>0</v>
      </c>
      <c r="I199" s="429">
        <v>0</v>
      </c>
      <c r="J199" s="429">
        <v>0</v>
      </c>
      <c r="K199" s="429">
        <v>0</v>
      </c>
      <c r="L199" s="429">
        <v>0</v>
      </c>
      <c r="M199" s="429">
        <v>0</v>
      </c>
      <c r="N199" s="429">
        <v>0</v>
      </c>
      <c r="O199" s="429">
        <v>0</v>
      </c>
      <c r="P199" s="429">
        <v>0</v>
      </c>
      <c r="Q199" s="429">
        <v>0</v>
      </c>
      <c r="R199" s="429">
        <v>490</v>
      </c>
      <c r="S199" s="429">
        <f t="shared" si="16"/>
        <v>490</v>
      </c>
    </row>
    <row r="200" spans="1:19" s="429" customFormat="1">
      <c r="A200" s="429" t="str">
        <f t="shared" si="12"/>
        <v>KU</v>
      </c>
      <c r="B200" s="429" t="str">
        <f t="shared" si="13"/>
        <v>VA</v>
      </c>
      <c r="C200" s="429" t="str">
        <f t="shared" si="14"/>
        <v>360</v>
      </c>
      <c r="D200" s="430" t="s">
        <v>1780</v>
      </c>
      <c r="E200" s="428" t="str">
        <f t="shared" si="15"/>
        <v/>
      </c>
      <c r="F200" s="429">
        <v>0</v>
      </c>
      <c r="G200" s="429">
        <v>0</v>
      </c>
      <c r="H200" s="429">
        <v>0</v>
      </c>
      <c r="I200" s="429">
        <v>0</v>
      </c>
      <c r="J200" s="429">
        <v>0</v>
      </c>
      <c r="K200" s="429">
        <v>0</v>
      </c>
      <c r="L200" s="429">
        <v>0</v>
      </c>
      <c r="M200" s="429">
        <v>0</v>
      </c>
      <c r="N200" s="429">
        <v>0</v>
      </c>
      <c r="O200" s="429">
        <v>0</v>
      </c>
      <c r="P200" s="429">
        <v>0</v>
      </c>
      <c r="Q200" s="429">
        <v>0</v>
      </c>
      <c r="R200" s="429">
        <v>125</v>
      </c>
      <c r="S200" s="429">
        <f t="shared" si="16"/>
        <v>125</v>
      </c>
    </row>
    <row r="201" spans="1:19" s="429" customFormat="1">
      <c r="A201" s="429" t="str">
        <f t="shared" si="12"/>
        <v>KU</v>
      </c>
      <c r="B201" s="429" t="str">
        <f t="shared" si="13"/>
        <v>KY</v>
      </c>
      <c r="C201" s="429" t="str">
        <f t="shared" si="14"/>
        <v>361</v>
      </c>
      <c r="D201" s="430" t="s">
        <v>1781</v>
      </c>
      <c r="E201" s="428" t="str">
        <f t="shared" si="15"/>
        <v/>
      </c>
      <c r="F201" s="429">
        <v>0</v>
      </c>
      <c r="G201" s="429">
        <v>52.032809999999998</v>
      </c>
      <c r="H201" s="429">
        <v>143.26229999999899</v>
      </c>
      <c r="I201" s="429">
        <v>335.99948000000001</v>
      </c>
      <c r="J201" s="429">
        <v>-772.52833999999996</v>
      </c>
      <c r="K201" s="429">
        <v>46.201769999999897</v>
      </c>
      <c r="L201" s="429">
        <v>0</v>
      </c>
      <c r="M201" s="429">
        <v>1030.9611299999999</v>
      </c>
      <c r="N201" s="429">
        <v>849.64830999999901</v>
      </c>
      <c r="O201" s="429">
        <v>948.051819999999</v>
      </c>
      <c r="P201" s="429">
        <v>1241.7996000000001</v>
      </c>
      <c r="Q201" s="429">
        <v>1240.7996000000001</v>
      </c>
      <c r="R201" s="429">
        <v>1312.72982</v>
      </c>
      <c r="S201" s="429">
        <f t="shared" si="16"/>
        <v>6428.9582999999966</v>
      </c>
    </row>
    <row r="202" spans="1:19" s="429" customFormat="1">
      <c r="A202" s="429" t="str">
        <f t="shared" si="12"/>
        <v>KU</v>
      </c>
      <c r="B202" s="429" t="str">
        <f t="shared" si="13"/>
        <v>VA</v>
      </c>
      <c r="C202" s="429" t="str">
        <f t="shared" si="14"/>
        <v>361</v>
      </c>
      <c r="D202" s="430" t="s">
        <v>1783</v>
      </c>
      <c r="E202" s="428" t="str">
        <f t="shared" si="15"/>
        <v/>
      </c>
      <c r="F202" s="429">
        <v>0</v>
      </c>
      <c r="G202" s="429">
        <v>0</v>
      </c>
      <c r="H202" s="429">
        <v>0</v>
      </c>
      <c r="I202" s="429">
        <v>0</v>
      </c>
      <c r="J202" s="429">
        <v>0</v>
      </c>
      <c r="K202" s="429">
        <v>20.83473</v>
      </c>
      <c r="L202" s="429">
        <v>0</v>
      </c>
      <c r="M202" s="429">
        <v>14</v>
      </c>
      <c r="N202" s="429">
        <v>0</v>
      </c>
      <c r="O202" s="429">
        <v>40</v>
      </c>
      <c r="P202" s="429">
        <v>15.15</v>
      </c>
      <c r="Q202" s="429">
        <v>0</v>
      </c>
      <c r="R202" s="429">
        <v>114.70692</v>
      </c>
      <c r="S202" s="429">
        <f t="shared" si="16"/>
        <v>204.69165000000001</v>
      </c>
    </row>
    <row r="203" spans="1:19" s="429" customFormat="1">
      <c r="A203" s="429" t="str">
        <f t="shared" si="12"/>
        <v>KU</v>
      </c>
      <c r="B203" s="429" t="str">
        <f t="shared" si="13"/>
        <v>KY</v>
      </c>
      <c r="C203" s="429" t="str">
        <f t="shared" si="14"/>
        <v>362</v>
      </c>
      <c r="D203" s="430" t="s">
        <v>1784</v>
      </c>
      <c r="E203" s="428" t="str">
        <f t="shared" si="15"/>
        <v/>
      </c>
      <c r="F203" s="429">
        <v>6416.0907699999998</v>
      </c>
      <c r="G203" s="429">
        <v>539.40337999999997</v>
      </c>
      <c r="H203" s="429">
        <v>607.05409999999995</v>
      </c>
      <c r="I203" s="429">
        <v>213.50941</v>
      </c>
      <c r="J203" s="429">
        <v>1894.29754</v>
      </c>
      <c r="K203" s="429">
        <v>1068.1451299999901</v>
      </c>
      <c r="L203" s="429">
        <v>889.88666000000001</v>
      </c>
      <c r="M203" s="429">
        <v>9056.9418899999891</v>
      </c>
      <c r="N203" s="429">
        <v>591.02299000000005</v>
      </c>
      <c r="O203" s="429">
        <v>448.04453000000001</v>
      </c>
      <c r="P203" s="429">
        <v>4022.9659200000001</v>
      </c>
      <c r="Q203" s="429">
        <v>761.82483000000002</v>
      </c>
      <c r="R203" s="429">
        <v>23489.26512</v>
      </c>
      <c r="S203" s="429">
        <f t="shared" si="16"/>
        <v>43582.361499999985</v>
      </c>
    </row>
    <row r="204" spans="1:19" s="429" customFormat="1">
      <c r="A204" s="429" t="str">
        <f t="shared" si="12"/>
        <v>KU</v>
      </c>
      <c r="B204" s="429" t="str">
        <f t="shared" si="13"/>
        <v>VA</v>
      </c>
      <c r="C204" s="429" t="str">
        <f t="shared" si="14"/>
        <v>362</v>
      </c>
      <c r="D204" s="430" t="s">
        <v>1786</v>
      </c>
      <c r="E204" s="428" t="str">
        <f t="shared" si="15"/>
        <v/>
      </c>
      <c r="F204" s="429">
        <v>3.2274499999999899</v>
      </c>
      <c r="G204" s="429">
        <v>0</v>
      </c>
      <c r="H204" s="429">
        <v>0</v>
      </c>
      <c r="I204" s="429">
        <v>0</v>
      </c>
      <c r="J204" s="429">
        <v>0</v>
      </c>
      <c r="K204" s="429">
        <v>42.06794</v>
      </c>
      <c r="L204" s="429">
        <v>107.4513</v>
      </c>
      <c r="M204" s="429">
        <v>0</v>
      </c>
      <c r="N204" s="429">
        <v>0</v>
      </c>
      <c r="O204" s="429">
        <v>0</v>
      </c>
      <c r="P204" s="429">
        <v>0</v>
      </c>
      <c r="Q204" s="429">
        <v>0</v>
      </c>
      <c r="R204" s="429">
        <v>0</v>
      </c>
      <c r="S204" s="429">
        <f t="shared" si="16"/>
        <v>149.51924</v>
      </c>
    </row>
    <row r="205" spans="1:19" s="429" customFormat="1">
      <c r="A205" s="429" t="str">
        <f t="shared" si="12"/>
        <v>KU</v>
      </c>
      <c r="B205" s="429" t="str">
        <f t="shared" si="13"/>
        <v>KY</v>
      </c>
      <c r="C205" s="429" t="str">
        <f t="shared" si="14"/>
        <v>364</v>
      </c>
      <c r="D205" s="430" t="s">
        <v>1787</v>
      </c>
      <c r="E205" s="428" t="str">
        <f t="shared" si="15"/>
        <v/>
      </c>
      <c r="F205" s="429">
        <v>1356.0536999999999</v>
      </c>
      <c r="G205" s="429">
        <v>1522.6277399999999</v>
      </c>
      <c r="H205" s="429">
        <v>5391.60725</v>
      </c>
      <c r="I205" s="429">
        <v>164.47824</v>
      </c>
      <c r="J205" s="429">
        <v>2075.9350599999998</v>
      </c>
      <c r="K205" s="429">
        <v>2130.8575599999999</v>
      </c>
      <c r="L205" s="429">
        <v>936.21347000000003</v>
      </c>
      <c r="M205" s="429">
        <v>830.69507999999996</v>
      </c>
      <c r="N205" s="429">
        <v>1086.3479299999999</v>
      </c>
      <c r="O205" s="429">
        <v>924.46599000000003</v>
      </c>
      <c r="P205" s="429">
        <v>585.98251000000005</v>
      </c>
      <c r="Q205" s="429">
        <v>632.48760000000004</v>
      </c>
      <c r="R205" s="429">
        <v>7367.9622199999903</v>
      </c>
      <c r="S205" s="429">
        <f t="shared" si="16"/>
        <v>23649.660649999991</v>
      </c>
    </row>
    <row r="206" spans="1:19" s="429" customFormat="1">
      <c r="A206" s="429" t="str">
        <f t="shared" si="12"/>
        <v>KU</v>
      </c>
      <c r="B206" s="429" t="str">
        <f t="shared" si="13"/>
        <v>VA</v>
      </c>
      <c r="C206" s="429" t="str">
        <f t="shared" si="14"/>
        <v>364</v>
      </c>
      <c r="D206" s="430" t="s">
        <v>1789</v>
      </c>
      <c r="E206" s="428" t="str">
        <f t="shared" si="15"/>
        <v/>
      </c>
      <c r="F206" s="429">
        <v>3.2907199999999999</v>
      </c>
      <c r="G206" s="429">
        <v>72.915379999999999</v>
      </c>
      <c r="H206" s="429">
        <v>336.89042999999998</v>
      </c>
      <c r="I206" s="429">
        <v>-25.462579999999999</v>
      </c>
      <c r="J206" s="429">
        <v>156.39877999999999</v>
      </c>
      <c r="K206" s="429">
        <v>133.95392999999899</v>
      </c>
      <c r="L206" s="429">
        <v>80.254220000000004</v>
      </c>
      <c r="M206" s="429">
        <v>22.189709999999899</v>
      </c>
      <c r="N206" s="429">
        <v>16.59713</v>
      </c>
      <c r="O206" s="429">
        <v>-2.3403100000000001</v>
      </c>
      <c r="P206" s="429">
        <v>-2.3735599999999999</v>
      </c>
      <c r="Q206" s="429">
        <v>-2.3403100000000001</v>
      </c>
      <c r="R206" s="429">
        <v>712.39558999999997</v>
      </c>
      <c r="S206" s="429">
        <f t="shared" si="16"/>
        <v>1499.0784099999987</v>
      </c>
    </row>
    <row r="207" spans="1:19" s="429" customFormat="1">
      <c r="A207" s="429" t="str">
        <f t="shared" si="12"/>
        <v>KU</v>
      </c>
      <c r="B207" s="429" t="str">
        <f t="shared" si="13"/>
        <v>KY</v>
      </c>
      <c r="C207" s="429" t="str">
        <f t="shared" si="14"/>
        <v>365</v>
      </c>
      <c r="D207" s="430" t="s">
        <v>1790</v>
      </c>
      <c r="E207" s="428" t="str">
        <f t="shared" si="15"/>
        <v/>
      </c>
      <c r="F207" s="429">
        <v>3044.49314</v>
      </c>
      <c r="G207" s="429">
        <v>2106.3732399999999</v>
      </c>
      <c r="H207" s="429">
        <v>4192.5811800000001</v>
      </c>
      <c r="I207" s="429">
        <v>1180.70669</v>
      </c>
      <c r="J207" s="429">
        <v>3927.4468099999999</v>
      </c>
      <c r="K207" s="429">
        <v>3253.6243599999998</v>
      </c>
      <c r="L207" s="429">
        <v>1737.1236100000001</v>
      </c>
      <c r="M207" s="429">
        <v>6848.7835399999904</v>
      </c>
      <c r="N207" s="429">
        <v>5039.2711799999997</v>
      </c>
      <c r="O207" s="429">
        <v>3754.2587800000001</v>
      </c>
      <c r="P207" s="429">
        <v>2353.0439200000001</v>
      </c>
      <c r="Q207" s="429">
        <v>1871.7334499999999</v>
      </c>
      <c r="R207" s="429">
        <v>6772.00910999999</v>
      </c>
      <c r="S207" s="429">
        <f t="shared" si="16"/>
        <v>43036.955869999983</v>
      </c>
    </row>
    <row r="208" spans="1:19" s="429" customFormat="1">
      <c r="A208" s="429" t="str">
        <f t="shared" si="12"/>
        <v>KU</v>
      </c>
      <c r="B208" s="429" t="str">
        <f t="shared" si="13"/>
        <v>VA</v>
      </c>
      <c r="C208" s="429" t="str">
        <f t="shared" si="14"/>
        <v>365</v>
      </c>
      <c r="D208" s="430" t="s">
        <v>1792</v>
      </c>
      <c r="E208" s="428" t="str">
        <f t="shared" si="15"/>
        <v/>
      </c>
      <c r="F208" s="429">
        <v>109.55097000000001</v>
      </c>
      <c r="G208" s="429">
        <v>172.50230999999999</v>
      </c>
      <c r="H208" s="429">
        <v>528.88851</v>
      </c>
      <c r="I208" s="429">
        <v>25.13645</v>
      </c>
      <c r="J208" s="429">
        <v>506.46231999999998</v>
      </c>
      <c r="K208" s="429">
        <v>225.87275</v>
      </c>
      <c r="L208" s="429">
        <v>69.923720000000003</v>
      </c>
      <c r="M208" s="429">
        <v>315.9701</v>
      </c>
      <c r="N208" s="429">
        <v>320.42423000000002</v>
      </c>
      <c r="O208" s="429">
        <v>186.22656999999899</v>
      </c>
      <c r="P208" s="429">
        <v>266.5994</v>
      </c>
      <c r="Q208" s="429">
        <v>67.667209999999997</v>
      </c>
      <c r="R208" s="429">
        <v>69.871939999999995</v>
      </c>
      <c r="S208" s="429">
        <f t="shared" si="16"/>
        <v>2755.545509999999</v>
      </c>
    </row>
    <row r="209" spans="1:19" s="429" customFormat="1">
      <c r="A209" s="429" t="str">
        <f t="shared" si="12"/>
        <v>KU</v>
      </c>
      <c r="B209" s="429" t="str">
        <f t="shared" si="13"/>
        <v>KY</v>
      </c>
      <c r="C209" s="429" t="str">
        <f t="shared" si="14"/>
        <v>366</v>
      </c>
      <c r="D209" s="430" t="s">
        <v>1793</v>
      </c>
      <c r="E209" s="428" t="str">
        <f t="shared" si="15"/>
        <v/>
      </c>
      <c r="F209" s="429">
        <v>0</v>
      </c>
      <c r="G209" s="429">
        <v>0</v>
      </c>
      <c r="H209" s="429">
        <v>0</v>
      </c>
      <c r="I209" s="429">
        <v>-6.5019999999999994E-2</v>
      </c>
      <c r="J209" s="429">
        <v>0</v>
      </c>
      <c r="K209" s="429">
        <v>0</v>
      </c>
      <c r="L209" s="429">
        <v>0</v>
      </c>
      <c r="M209" s="429">
        <v>0</v>
      </c>
      <c r="N209" s="429">
        <v>0</v>
      </c>
      <c r="O209" s="429">
        <v>0</v>
      </c>
      <c r="P209" s="429">
        <v>0</v>
      </c>
      <c r="Q209" s="429">
        <v>0</v>
      </c>
      <c r="R209" s="429">
        <v>0</v>
      </c>
      <c r="S209" s="429">
        <f t="shared" si="16"/>
        <v>-6.5019999999999994E-2</v>
      </c>
    </row>
    <row r="210" spans="1:19" s="429" customFormat="1">
      <c r="A210" s="429" t="str">
        <f t="shared" si="12"/>
        <v>KU</v>
      </c>
      <c r="B210" s="429" t="str">
        <f t="shared" si="13"/>
        <v>KY</v>
      </c>
      <c r="C210" s="429" t="str">
        <f t="shared" si="14"/>
        <v>367</v>
      </c>
      <c r="D210" s="430" t="s">
        <v>1794</v>
      </c>
      <c r="E210" s="428" t="str">
        <f t="shared" si="15"/>
        <v/>
      </c>
      <c r="F210" s="429">
        <v>778.00757999999996</v>
      </c>
      <c r="G210" s="429">
        <v>1152.2609499999901</v>
      </c>
      <c r="H210" s="429">
        <v>898.29444000000001</v>
      </c>
      <c r="I210" s="429">
        <v>14.167619999999999</v>
      </c>
      <c r="J210" s="429">
        <v>2030.4098899999999</v>
      </c>
      <c r="K210" s="429">
        <v>847.54694999999901</v>
      </c>
      <c r="L210" s="429">
        <v>165.36184</v>
      </c>
      <c r="M210" s="429">
        <v>2461.9584799999998</v>
      </c>
      <c r="N210" s="429">
        <v>1933.2931799999999</v>
      </c>
      <c r="O210" s="429">
        <v>1309.85158</v>
      </c>
      <c r="P210" s="429">
        <v>1335.52234</v>
      </c>
      <c r="Q210" s="429">
        <v>1182.5076799999999</v>
      </c>
      <c r="R210" s="429">
        <v>1031.7799599999901</v>
      </c>
      <c r="S210" s="429">
        <f t="shared" si="16"/>
        <v>14362.95490999998</v>
      </c>
    </row>
    <row r="211" spans="1:19" s="429" customFormat="1">
      <c r="A211" s="429" t="str">
        <f t="shared" si="12"/>
        <v>KU</v>
      </c>
      <c r="B211" s="429" t="str">
        <f t="shared" si="13"/>
        <v>VA</v>
      </c>
      <c r="C211" s="429" t="str">
        <f t="shared" si="14"/>
        <v>367</v>
      </c>
      <c r="D211" s="430" t="s">
        <v>1795</v>
      </c>
      <c r="E211" s="428" t="str">
        <f t="shared" si="15"/>
        <v/>
      </c>
      <c r="F211" s="429">
        <v>7.4923799999999998</v>
      </c>
      <c r="G211" s="429">
        <v>10.06997</v>
      </c>
      <c r="H211" s="429">
        <v>-334.91509000000002</v>
      </c>
      <c r="I211" s="429">
        <v>0</v>
      </c>
      <c r="J211" s="429">
        <v>36.259300000000003</v>
      </c>
      <c r="K211" s="429">
        <v>14.96321</v>
      </c>
      <c r="L211" s="429">
        <v>-1.27969</v>
      </c>
      <c r="M211" s="429">
        <v>78.987520000000004</v>
      </c>
      <c r="N211" s="429">
        <v>81.873630000000006</v>
      </c>
      <c r="O211" s="429">
        <v>35.166899999999998</v>
      </c>
      <c r="P211" s="429">
        <v>35.955739999999999</v>
      </c>
      <c r="Q211" s="429">
        <v>32.318379999999998</v>
      </c>
      <c r="R211" s="429">
        <v>8.8866899999999909</v>
      </c>
      <c r="S211" s="429">
        <f t="shared" si="16"/>
        <v>-1.7134400000000163</v>
      </c>
    </row>
    <row r="212" spans="1:19" s="429" customFormat="1">
      <c r="A212" s="429" t="str">
        <f t="shared" si="12"/>
        <v>KU</v>
      </c>
      <c r="B212" s="429" t="str">
        <f t="shared" si="13"/>
        <v>KY</v>
      </c>
      <c r="C212" s="429" t="str">
        <f t="shared" si="14"/>
        <v>368</v>
      </c>
      <c r="D212" s="430" t="s">
        <v>1796</v>
      </c>
      <c r="E212" s="428" t="str">
        <f t="shared" si="15"/>
        <v/>
      </c>
      <c r="F212" s="429">
        <v>1569.16806</v>
      </c>
      <c r="G212" s="429">
        <v>222.30596</v>
      </c>
      <c r="H212" s="429">
        <v>181.94798</v>
      </c>
      <c r="I212" s="429">
        <v>530.08876999999995</v>
      </c>
      <c r="J212" s="429">
        <v>473.19092999999998</v>
      </c>
      <c r="K212" s="429">
        <v>656.60963000000004</v>
      </c>
      <c r="L212" s="429">
        <v>0</v>
      </c>
      <c r="M212" s="429">
        <v>1630.7239999999999</v>
      </c>
      <c r="N212" s="429">
        <v>791.01477999999997</v>
      </c>
      <c r="O212" s="429">
        <v>1009.35022</v>
      </c>
      <c r="P212" s="429">
        <v>1032.4619299999999</v>
      </c>
      <c r="Q212" s="429">
        <v>1040.3150000000001</v>
      </c>
      <c r="R212" s="429">
        <v>728.20651999999995</v>
      </c>
      <c r="S212" s="429">
        <f t="shared" si="16"/>
        <v>8296.2157200000001</v>
      </c>
    </row>
    <row r="213" spans="1:19" s="429" customFormat="1">
      <c r="A213" s="429" t="str">
        <f t="shared" si="12"/>
        <v>KU</v>
      </c>
      <c r="B213" s="429" t="str">
        <f t="shared" si="13"/>
        <v>VA</v>
      </c>
      <c r="C213" s="429" t="str">
        <f t="shared" si="14"/>
        <v>368</v>
      </c>
      <c r="D213" s="430" t="s">
        <v>1798</v>
      </c>
      <c r="E213" s="428" t="str">
        <f t="shared" si="15"/>
        <v/>
      </c>
      <c r="F213" s="429">
        <v>0.59807999999999995</v>
      </c>
      <c r="G213" s="429">
        <v>0.11822000000000001</v>
      </c>
      <c r="H213" s="429">
        <v>-4.4549999999999999E-2</v>
      </c>
      <c r="I213" s="429">
        <v>5.0937799999999998</v>
      </c>
      <c r="J213" s="429">
        <v>0.30235000000000001</v>
      </c>
      <c r="K213" s="429">
        <v>0.32862999999999998</v>
      </c>
      <c r="L213" s="429">
        <v>0</v>
      </c>
      <c r="M213" s="429">
        <v>2.1551100000000001</v>
      </c>
      <c r="N213" s="429">
        <v>49.154580000000003</v>
      </c>
      <c r="O213" s="429">
        <v>2.3407800000000001</v>
      </c>
      <c r="P213" s="429">
        <v>3.6020699999999999</v>
      </c>
      <c r="Q213" s="429">
        <v>2.9714200000000002</v>
      </c>
      <c r="R213" s="429">
        <v>2.3407800000000001</v>
      </c>
      <c r="S213" s="429">
        <f t="shared" ref="S213:S237" si="17">SUM(G213:R213)</f>
        <v>68.363169999999997</v>
      </c>
    </row>
    <row r="214" spans="1:19" s="429" customFormat="1">
      <c r="A214" s="429" t="str">
        <f t="shared" si="12"/>
        <v>KU</v>
      </c>
      <c r="B214" s="429" t="str">
        <f t="shared" si="13"/>
        <v>KY</v>
      </c>
      <c r="C214" s="429" t="str">
        <f t="shared" si="14"/>
        <v>369</v>
      </c>
      <c r="D214" s="430" t="s">
        <v>1799</v>
      </c>
      <c r="E214" s="428" t="str">
        <f t="shared" si="15"/>
        <v/>
      </c>
      <c r="F214" s="429">
        <v>1.0000000000000001E-5</v>
      </c>
      <c r="G214" s="429">
        <v>51.703569999999999</v>
      </c>
      <c r="H214" s="429">
        <v>17.562470000000001</v>
      </c>
      <c r="I214" s="429">
        <v>0</v>
      </c>
      <c r="J214" s="429">
        <v>40.331440000000001</v>
      </c>
      <c r="K214" s="429">
        <v>26.28847</v>
      </c>
      <c r="L214" s="429">
        <v>-0.39038</v>
      </c>
      <c r="M214" s="429">
        <v>0</v>
      </c>
      <c r="N214" s="429">
        <v>0</v>
      </c>
      <c r="O214" s="429">
        <v>0</v>
      </c>
      <c r="P214" s="429">
        <v>0</v>
      </c>
      <c r="Q214" s="429">
        <v>0</v>
      </c>
      <c r="R214" s="429">
        <v>0</v>
      </c>
      <c r="S214" s="429">
        <f t="shared" si="17"/>
        <v>135.49557000000001</v>
      </c>
    </row>
    <row r="215" spans="1:19" s="429" customFormat="1">
      <c r="A215" s="429" t="str">
        <f t="shared" si="12"/>
        <v>KU</v>
      </c>
      <c r="B215" s="429" t="str">
        <f t="shared" si="13"/>
        <v>KY</v>
      </c>
      <c r="C215" s="429" t="str">
        <f t="shared" si="14"/>
        <v>370</v>
      </c>
      <c r="D215" s="430" t="s">
        <v>1802</v>
      </c>
      <c r="E215" s="428" t="str">
        <f t="shared" ref="E215:E237" si="18">IF(ISTEXT(MID($D215,SEARCH("FUTURE USE",$D215),3)),"FUTURE USE",IF(ISTEXT(MID($D215,SEARCH("ECR",$D215),3)),"ECR",IF(ISTEXT(MID($D215,SEARCH("ARO",$D215),3)),"ARO",IF(ISTEXT(MID($D215,SEARCH("DSM",$D215),3)),"DSM",""))))</f>
        <v/>
      </c>
      <c r="F215" s="429">
        <v>244.53748999999999</v>
      </c>
      <c r="G215" s="429">
        <v>90.703850000000003</v>
      </c>
      <c r="H215" s="429">
        <v>125.79071</v>
      </c>
      <c r="I215" s="429">
        <v>350.99941000000001</v>
      </c>
      <c r="J215" s="429">
        <v>70.085619999999906</v>
      </c>
      <c r="K215" s="429">
        <v>93.613900000000001</v>
      </c>
      <c r="L215" s="429">
        <v>0</v>
      </c>
      <c r="M215" s="429">
        <v>124.21068</v>
      </c>
      <c r="N215" s="429">
        <v>128.45271</v>
      </c>
      <c r="O215" s="429">
        <v>107.14700000000001</v>
      </c>
      <c r="P215" s="429">
        <v>958.16197</v>
      </c>
      <c r="Q215" s="429">
        <v>107.47408</v>
      </c>
      <c r="R215" s="429">
        <v>106.60108</v>
      </c>
      <c r="S215" s="429">
        <f t="shared" si="17"/>
        <v>2263.2410099999997</v>
      </c>
    </row>
    <row r="216" spans="1:19" s="429" customFormat="1">
      <c r="A216" s="429" t="str">
        <f t="shared" si="12"/>
        <v>KU</v>
      </c>
      <c r="B216" s="429" t="str">
        <f t="shared" si="13"/>
        <v>KY</v>
      </c>
      <c r="C216" s="429" t="str">
        <f t="shared" si="14"/>
        <v>370</v>
      </c>
      <c r="D216" s="430" t="s">
        <v>2508</v>
      </c>
      <c r="E216" s="428" t="str">
        <f t="shared" si="18"/>
        <v>DSM</v>
      </c>
      <c r="F216" s="429">
        <v>80.787530000000004</v>
      </c>
      <c r="G216" s="429">
        <v>0</v>
      </c>
      <c r="H216" s="429">
        <v>2.1493000000000002</v>
      </c>
      <c r="I216" s="429">
        <v>159.12904999999901</v>
      </c>
      <c r="J216" s="429">
        <v>0</v>
      </c>
      <c r="K216" s="429">
        <v>0.37709999999999999</v>
      </c>
      <c r="L216" s="429">
        <v>7.528E-2</v>
      </c>
      <c r="M216" s="429">
        <v>0</v>
      </c>
      <c r="N216" s="429">
        <v>0</v>
      </c>
      <c r="O216" s="429">
        <v>0</v>
      </c>
      <c r="P216" s="429">
        <v>0</v>
      </c>
      <c r="Q216" s="429">
        <v>0</v>
      </c>
      <c r="R216" s="429">
        <v>0</v>
      </c>
      <c r="S216" s="429">
        <f t="shared" si="17"/>
        <v>161.73072999999903</v>
      </c>
    </row>
    <row r="217" spans="1:19" s="429" customFormat="1">
      <c r="A217" s="429" t="str">
        <f t="shared" si="12"/>
        <v>KU</v>
      </c>
      <c r="B217" s="429" t="str">
        <f t="shared" si="13"/>
        <v>VA</v>
      </c>
      <c r="C217" s="429" t="str">
        <f t="shared" si="14"/>
        <v>370</v>
      </c>
      <c r="D217" s="430" t="s">
        <v>1804</v>
      </c>
      <c r="E217" s="428" t="str">
        <f t="shared" si="18"/>
        <v/>
      </c>
      <c r="F217" s="429">
        <v>109.26831</v>
      </c>
      <c r="G217" s="429">
        <v>45.351939999999999</v>
      </c>
      <c r="H217" s="429">
        <v>62.895359999999997</v>
      </c>
      <c r="I217" s="429">
        <v>-280.566969999999</v>
      </c>
      <c r="J217" s="429">
        <v>35.042809999999903</v>
      </c>
      <c r="K217" s="429">
        <v>46.806980000000003</v>
      </c>
      <c r="L217" s="429">
        <v>0</v>
      </c>
      <c r="M217" s="429">
        <v>0</v>
      </c>
      <c r="N217" s="429">
        <v>0</v>
      </c>
      <c r="O217" s="429">
        <v>0</v>
      </c>
      <c r="P217" s="429">
        <v>0</v>
      </c>
      <c r="Q217" s="429">
        <v>0</v>
      </c>
      <c r="R217" s="429">
        <v>0</v>
      </c>
      <c r="S217" s="429">
        <f t="shared" si="17"/>
        <v>-90.46987999999908</v>
      </c>
    </row>
    <row r="218" spans="1:19" s="429" customFormat="1">
      <c r="A218" s="429" t="str">
        <f t="shared" si="12"/>
        <v>KU</v>
      </c>
      <c r="B218" s="429" t="str">
        <f t="shared" si="13"/>
        <v>KY</v>
      </c>
      <c r="C218" s="429" t="str">
        <f t="shared" si="14"/>
        <v>371</v>
      </c>
      <c r="D218" s="430" t="s">
        <v>1805</v>
      </c>
      <c r="E218" s="428" t="str">
        <f t="shared" si="18"/>
        <v/>
      </c>
      <c r="F218" s="429">
        <v>0</v>
      </c>
      <c r="G218" s="429">
        <v>0</v>
      </c>
      <c r="H218" s="429">
        <v>0</v>
      </c>
      <c r="I218" s="429">
        <v>0</v>
      </c>
      <c r="J218" s="429">
        <v>0</v>
      </c>
      <c r="K218" s="429">
        <v>2.1732499999999999</v>
      </c>
      <c r="L218" s="429">
        <v>0</v>
      </c>
      <c r="M218" s="429">
        <v>0</v>
      </c>
      <c r="N218" s="429">
        <v>0</v>
      </c>
      <c r="O218" s="429">
        <v>0</v>
      </c>
      <c r="P218" s="429">
        <v>0</v>
      </c>
      <c r="Q218" s="429">
        <v>0</v>
      </c>
      <c r="R218" s="429">
        <v>0</v>
      </c>
      <c r="S218" s="429">
        <f t="shared" si="17"/>
        <v>2.1732499999999999</v>
      </c>
    </row>
    <row r="219" spans="1:19" s="429" customFormat="1">
      <c r="A219" s="429" t="str">
        <f t="shared" si="12"/>
        <v>KU</v>
      </c>
      <c r="B219" s="429" t="str">
        <f t="shared" si="13"/>
        <v>KY</v>
      </c>
      <c r="C219" s="429" t="str">
        <f t="shared" si="14"/>
        <v>371</v>
      </c>
      <c r="D219" s="430" t="s">
        <v>2674</v>
      </c>
      <c r="E219" s="428" t="str">
        <f t="shared" si="18"/>
        <v/>
      </c>
      <c r="F219" s="429">
        <v>0</v>
      </c>
      <c r="G219" s="429">
        <v>0</v>
      </c>
      <c r="H219" s="429">
        <v>0</v>
      </c>
      <c r="I219" s="429">
        <v>0</v>
      </c>
      <c r="J219" s="429">
        <v>0</v>
      </c>
      <c r="K219" s="429">
        <v>0</v>
      </c>
      <c r="L219" s="429">
        <v>0</v>
      </c>
      <c r="M219" s="429">
        <v>70.984359999999995</v>
      </c>
      <c r="N219" s="429">
        <v>7.1950000000000003</v>
      </c>
      <c r="O219" s="429">
        <v>7.1950000000000003</v>
      </c>
      <c r="P219" s="429">
        <v>7.1950000000000003</v>
      </c>
      <c r="Q219" s="429">
        <v>7.1950000000000003</v>
      </c>
      <c r="R219" s="429">
        <v>40.716650000000001</v>
      </c>
      <c r="S219" s="429">
        <f t="shared" ref="S219" si="19">SUM(G219:R219)</f>
        <v>140.48100999999997</v>
      </c>
    </row>
    <row r="220" spans="1:19" s="429" customFormat="1">
      <c r="A220" s="429" t="str">
        <f t="shared" si="12"/>
        <v>KU</v>
      </c>
      <c r="B220" s="429" t="str">
        <f t="shared" si="13"/>
        <v>KY</v>
      </c>
      <c r="C220" s="429" t="str">
        <f t="shared" si="14"/>
        <v>373</v>
      </c>
      <c r="D220" s="430" t="s">
        <v>1806</v>
      </c>
      <c r="E220" s="428" t="str">
        <f t="shared" si="18"/>
        <v/>
      </c>
      <c r="F220" s="429">
        <v>607.19605999999999</v>
      </c>
      <c r="G220" s="429">
        <v>914.47699999999998</v>
      </c>
      <c r="H220" s="429">
        <v>535.01090999999997</v>
      </c>
      <c r="I220" s="429">
        <v>2.5495700000000001</v>
      </c>
      <c r="J220" s="429">
        <v>982.63878</v>
      </c>
      <c r="K220" s="429">
        <v>611.32826999999997</v>
      </c>
      <c r="L220" s="429">
        <v>-124.86203</v>
      </c>
      <c r="M220" s="429">
        <v>906.84683999999902</v>
      </c>
      <c r="N220" s="429">
        <v>742.49876999999901</v>
      </c>
      <c r="O220" s="429">
        <v>563.85369999999898</v>
      </c>
      <c r="P220" s="429">
        <v>599.75246000000004</v>
      </c>
      <c r="Q220" s="429">
        <v>546.96974</v>
      </c>
      <c r="R220" s="429">
        <v>539.90286000000003</v>
      </c>
      <c r="S220" s="429">
        <f t="shared" si="17"/>
        <v>6820.9668699999966</v>
      </c>
    </row>
    <row r="221" spans="1:19" s="429" customFormat="1">
      <c r="A221" s="429" t="str">
        <f t="shared" si="12"/>
        <v>KU</v>
      </c>
      <c r="B221" s="429" t="str">
        <f t="shared" si="13"/>
        <v>VA</v>
      </c>
      <c r="C221" s="429" t="str">
        <f t="shared" si="14"/>
        <v>373</v>
      </c>
      <c r="D221" s="430" t="s">
        <v>1807</v>
      </c>
      <c r="E221" s="428" t="str">
        <f t="shared" si="18"/>
        <v/>
      </c>
      <c r="F221" s="429">
        <v>12.53857</v>
      </c>
      <c r="G221" s="429">
        <v>11.92563</v>
      </c>
      <c r="H221" s="429">
        <v>9.6732600000000009</v>
      </c>
      <c r="I221" s="429">
        <v>-4.7676499999999997</v>
      </c>
      <c r="J221" s="429">
        <v>21.254200000000001</v>
      </c>
      <c r="K221" s="429">
        <v>1.31951</v>
      </c>
      <c r="L221" s="429">
        <v>-1.25719</v>
      </c>
      <c r="M221" s="429">
        <v>5.8151700000000002</v>
      </c>
      <c r="N221" s="429">
        <v>85.065879999999893</v>
      </c>
      <c r="O221" s="429">
        <v>13.30932</v>
      </c>
      <c r="P221" s="429">
        <v>12.17892</v>
      </c>
      <c r="Q221" s="429">
        <v>12.20393</v>
      </c>
      <c r="R221" s="429">
        <v>12.15208</v>
      </c>
      <c r="S221" s="429">
        <f t="shared" si="17"/>
        <v>178.87305999999995</v>
      </c>
    </row>
    <row r="222" spans="1:19" s="429" customFormat="1">
      <c r="A222" s="429" t="str">
        <f t="shared" si="12"/>
        <v>KU</v>
      </c>
      <c r="B222" s="429" t="str">
        <f t="shared" si="13"/>
        <v>KY</v>
      </c>
      <c r="C222" s="429" t="str">
        <f t="shared" si="14"/>
        <v>389</v>
      </c>
      <c r="D222" s="430" t="s">
        <v>1809</v>
      </c>
      <c r="E222" s="428" t="str">
        <f t="shared" si="18"/>
        <v/>
      </c>
      <c r="F222" s="429">
        <v>0</v>
      </c>
      <c r="G222" s="429">
        <v>0</v>
      </c>
      <c r="H222" s="429">
        <v>0</v>
      </c>
      <c r="I222" s="429">
        <v>0</v>
      </c>
      <c r="J222" s="429">
        <v>0</v>
      </c>
      <c r="K222" s="429">
        <v>0</v>
      </c>
      <c r="L222" s="429">
        <v>0</v>
      </c>
      <c r="M222" s="429">
        <v>112.17543999999999</v>
      </c>
      <c r="N222" s="429">
        <v>0</v>
      </c>
      <c r="O222" s="429">
        <v>0</v>
      </c>
      <c r="P222" s="429">
        <v>0</v>
      </c>
      <c r="Q222" s="429">
        <v>0</v>
      </c>
      <c r="R222" s="429">
        <v>0</v>
      </c>
      <c r="S222" s="429">
        <f t="shared" si="17"/>
        <v>112.17543999999999</v>
      </c>
    </row>
    <row r="223" spans="1:19" s="429" customFormat="1">
      <c r="A223" s="429" t="str">
        <f t="shared" si="12"/>
        <v>KU</v>
      </c>
      <c r="B223" s="429" t="str">
        <f t="shared" si="13"/>
        <v>VA</v>
      </c>
      <c r="C223" s="429" t="str">
        <f t="shared" si="14"/>
        <v>389</v>
      </c>
      <c r="D223" s="430" t="s">
        <v>1810</v>
      </c>
      <c r="E223" s="428" t="str">
        <f t="shared" si="18"/>
        <v/>
      </c>
      <c r="F223" s="429">
        <v>0</v>
      </c>
      <c r="G223" s="429">
        <v>0</v>
      </c>
      <c r="H223" s="429">
        <v>0</v>
      </c>
      <c r="I223" s="429">
        <v>0</v>
      </c>
      <c r="J223" s="429">
        <v>0</v>
      </c>
      <c r="K223" s="429">
        <v>0</v>
      </c>
      <c r="L223" s="429">
        <v>0</v>
      </c>
      <c r="M223" s="429">
        <v>481.27859999999998</v>
      </c>
      <c r="N223" s="429">
        <v>0</v>
      </c>
      <c r="O223" s="429">
        <v>130.00815</v>
      </c>
      <c r="P223" s="429">
        <v>0</v>
      </c>
      <c r="Q223" s="429">
        <v>0</v>
      </c>
      <c r="R223" s="429">
        <v>0</v>
      </c>
      <c r="S223" s="429">
        <f t="shared" si="17"/>
        <v>611.28674999999998</v>
      </c>
    </row>
    <row r="224" spans="1:19" s="429" customFormat="1">
      <c r="A224" s="429" t="str">
        <f t="shared" si="12"/>
        <v>KU</v>
      </c>
      <c r="B224" s="429" t="str">
        <f t="shared" si="13"/>
        <v>KY</v>
      </c>
      <c r="C224" s="429" t="str">
        <f t="shared" si="14"/>
        <v>390</v>
      </c>
      <c r="D224" s="430" t="s">
        <v>1811</v>
      </c>
      <c r="E224" s="428" t="str">
        <f t="shared" si="18"/>
        <v/>
      </c>
      <c r="F224" s="429">
        <v>129.39690999999999</v>
      </c>
      <c r="G224" s="429">
        <v>-1.389E-2</v>
      </c>
      <c r="H224" s="429">
        <v>10.5301499999999</v>
      </c>
      <c r="I224" s="429">
        <v>331.64017999999999</v>
      </c>
      <c r="J224" s="429">
        <v>4.0599999999999996</v>
      </c>
      <c r="K224" s="429">
        <v>0.51334000000000002</v>
      </c>
      <c r="L224" s="429">
        <v>0</v>
      </c>
      <c r="M224" s="429">
        <v>-0.57657999999999998</v>
      </c>
      <c r="N224" s="429">
        <v>61.627160000000003</v>
      </c>
      <c r="O224" s="429">
        <v>0</v>
      </c>
      <c r="P224" s="429">
        <v>0</v>
      </c>
      <c r="Q224" s="429">
        <v>0</v>
      </c>
      <c r="R224" s="429">
        <v>0</v>
      </c>
      <c r="S224" s="429">
        <f t="shared" si="17"/>
        <v>407.78035999999992</v>
      </c>
    </row>
    <row r="225" spans="1:19" s="429" customFormat="1">
      <c r="A225" s="429" t="str">
        <f t="shared" si="12"/>
        <v>KU</v>
      </c>
      <c r="B225" s="429" t="str">
        <f t="shared" si="13"/>
        <v>KY</v>
      </c>
      <c r="C225" s="429" t="str">
        <f t="shared" si="14"/>
        <v>390</v>
      </c>
      <c r="D225" s="430" t="s">
        <v>1812</v>
      </c>
      <c r="E225" s="428" t="str">
        <f t="shared" si="18"/>
        <v/>
      </c>
      <c r="F225" s="429">
        <v>492.39589999999998</v>
      </c>
      <c r="G225" s="429">
        <v>433.85172</v>
      </c>
      <c r="H225" s="429">
        <v>418.68317999999999</v>
      </c>
      <c r="I225" s="429">
        <v>1319.4114199999999</v>
      </c>
      <c r="J225" s="429">
        <v>316.45443999999998</v>
      </c>
      <c r="K225" s="429">
        <v>221.71167</v>
      </c>
      <c r="L225" s="429">
        <v>101.328229999999</v>
      </c>
      <c r="M225" s="429">
        <v>494.871209999999</v>
      </c>
      <c r="N225" s="429">
        <v>276.21724</v>
      </c>
      <c r="O225" s="429">
        <v>254.78489999999999</v>
      </c>
      <c r="P225" s="429">
        <v>789.60091</v>
      </c>
      <c r="Q225" s="429">
        <v>1152.0025599999999</v>
      </c>
      <c r="R225" s="429">
        <v>635.74645999999996</v>
      </c>
      <c r="S225" s="429">
        <f t="shared" si="17"/>
        <v>6414.6639399999985</v>
      </c>
    </row>
    <row r="226" spans="1:19" s="429" customFormat="1">
      <c r="A226" s="429" t="str">
        <f t="shared" si="12"/>
        <v>KU</v>
      </c>
      <c r="B226" s="429" t="str">
        <f t="shared" si="13"/>
        <v>VA</v>
      </c>
      <c r="C226" s="429" t="str">
        <f t="shared" si="14"/>
        <v>390</v>
      </c>
      <c r="D226" s="430" t="s">
        <v>1813</v>
      </c>
      <c r="E226" s="428" t="str">
        <f t="shared" si="18"/>
        <v/>
      </c>
      <c r="F226" s="429">
        <v>0</v>
      </c>
      <c r="G226" s="429">
        <v>0</v>
      </c>
      <c r="H226" s="429">
        <v>0</v>
      </c>
      <c r="I226" s="429">
        <v>17.51801</v>
      </c>
      <c r="J226" s="429">
        <v>0</v>
      </c>
      <c r="K226" s="429">
        <v>0</v>
      </c>
      <c r="L226" s="429">
        <v>8.8545599999999993</v>
      </c>
      <c r="M226" s="429">
        <v>0</v>
      </c>
      <c r="N226" s="429">
        <v>-0.15686</v>
      </c>
      <c r="O226" s="429">
        <v>0</v>
      </c>
      <c r="P226" s="429">
        <v>0</v>
      </c>
      <c r="Q226" s="429">
        <v>39.76782</v>
      </c>
      <c r="R226" s="429">
        <v>13.00067</v>
      </c>
      <c r="S226" s="429">
        <f t="shared" si="17"/>
        <v>78.984200000000001</v>
      </c>
    </row>
    <row r="227" spans="1:19" s="429" customFormat="1">
      <c r="A227" s="429" t="str">
        <f t="shared" si="12"/>
        <v>KU</v>
      </c>
      <c r="B227" s="429" t="str">
        <f t="shared" si="13"/>
        <v>KY</v>
      </c>
      <c r="C227" s="429" t="str">
        <f t="shared" si="14"/>
        <v>391</v>
      </c>
      <c r="D227" s="430" t="s">
        <v>1814</v>
      </c>
      <c r="E227" s="428" t="str">
        <f t="shared" si="18"/>
        <v/>
      </c>
      <c r="F227" s="429">
        <v>9.2777700000000003</v>
      </c>
      <c r="G227" s="429">
        <v>998.90822000000003</v>
      </c>
      <c r="H227" s="429">
        <v>21.914249999999999</v>
      </c>
      <c r="I227" s="429">
        <v>12.6043799999999</v>
      </c>
      <c r="J227" s="429">
        <v>0.2208</v>
      </c>
      <c r="K227" s="429">
        <v>0</v>
      </c>
      <c r="L227" s="429">
        <v>77.939440000000005</v>
      </c>
      <c r="M227" s="429">
        <v>186.50371999999999</v>
      </c>
      <c r="N227" s="429">
        <v>0</v>
      </c>
      <c r="O227" s="429">
        <v>0</v>
      </c>
      <c r="P227" s="429">
        <v>0</v>
      </c>
      <c r="Q227" s="429">
        <v>1390.3937000000001</v>
      </c>
      <c r="R227" s="429">
        <v>95.813649999999996</v>
      </c>
      <c r="S227" s="429">
        <f t="shared" si="17"/>
        <v>2784.2981600000003</v>
      </c>
    </row>
    <row r="228" spans="1:19" s="429" customFormat="1">
      <c r="A228" s="429" t="str">
        <f t="shared" si="12"/>
        <v>KU</v>
      </c>
      <c r="B228" s="429" t="str">
        <f t="shared" si="13"/>
        <v>KY</v>
      </c>
      <c r="C228" s="429" t="str">
        <f t="shared" si="14"/>
        <v>391</v>
      </c>
      <c r="D228" s="430" t="s">
        <v>1815</v>
      </c>
      <c r="E228" s="428" t="str">
        <f t="shared" si="18"/>
        <v/>
      </c>
      <c r="F228" s="429">
        <v>-14.4541</v>
      </c>
      <c r="G228" s="429">
        <v>4127.8815199999999</v>
      </c>
      <c r="H228" s="429">
        <v>121.62560999999999</v>
      </c>
      <c r="I228" s="429">
        <v>445.43297999999999</v>
      </c>
      <c r="J228" s="429">
        <v>308.67482000000001</v>
      </c>
      <c r="K228" s="429">
        <v>-26.081620000000001</v>
      </c>
      <c r="L228" s="429">
        <v>17.124490000000002</v>
      </c>
      <c r="M228" s="429">
        <v>793.66876999999999</v>
      </c>
      <c r="N228" s="429">
        <v>376.72906999999998</v>
      </c>
      <c r="O228" s="429">
        <v>1324.7268999999999</v>
      </c>
      <c r="P228" s="429">
        <v>1034.4714799999999</v>
      </c>
      <c r="Q228" s="429">
        <v>389.10408000000001</v>
      </c>
      <c r="R228" s="429">
        <v>952.01086999999995</v>
      </c>
      <c r="S228" s="429">
        <f t="shared" si="17"/>
        <v>9865.3689699999995</v>
      </c>
    </row>
    <row r="229" spans="1:19" s="429" customFormat="1">
      <c r="A229" s="429" t="str">
        <f t="shared" si="12"/>
        <v>KU</v>
      </c>
      <c r="B229" s="429" t="str">
        <f t="shared" si="13"/>
        <v>KY</v>
      </c>
      <c r="C229" s="429" t="str">
        <f t="shared" si="14"/>
        <v>392</v>
      </c>
      <c r="D229" s="430" t="s">
        <v>1818</v>
      </c>
      <c r="E229" s="428" t="str">
        <f t="shared" si="18"/>
        <v/>
      </c>
      <c r="F229" s="429">
        <v>0</v>
      </c>
      <c r="G229" s="429">
        <v>0</v>
      </c>
      <c r="H229" s="429">
        <v>175.85469000000001</v>
      </c>
      <c r="I229" s="429">
        <v>0</v>
      </c>
      <c r="J229" s="429">
        <v>0</v>
      </c>
      <c r="K229" s="429">
        <v>171.59447</v>
      </c>
      <c r="L229" s="429">
        <v>20.449210000000001</v>
      </c>
      <c r="M229" s="429">
        <v>123.1859</v>
      </c>
      <c r="N229" s="429">
        <v>0</v>
      </c>
      <c r="O229" s="429">
        <v>0</v>
      </c>
      <c r="P229" s="429">
        <v>0</v>
      </c>
      <c r="Q229" s="429">
        <v>0</v>
      </c>
      <c r="R229" s="429">
        <v>0</v>
      </c>
      <c r="S229" s="429">
        <f t="shared" si="17"/>
        <v>491.08427</v>
      </c>
    </row>
    <row r="230" spans="1:19" s="429" customFormat="1">
      <c r="A230" s="429" t="str">
        <f t="shared" si="12"/>
        <v>KU</v>
      </c>
      <c r="B230" s="429" t="str">
        <f t="shared" si="13"/>
        <v>VA</v>
      </c>
      <c r="C230" s="429" t="str">
        <f t="shared" si="14"/>
        <v>392</v>
      </c>
      <c r="D230" s="430" t="s">
        <v>2510</v>
      </c>
      <c r="E230" s="428" t="str">
        <f t="shared" si="18"/>
        <v/>
      </c>
      <c r="F230" s="429">
        <v>0</v>
      </c>
      <c r="G230" s="429">
        <v>0</v>
      </c>
      <c r="H230" s="429">
        <v>14.946400000000001</v>
      </c>
      <c r="I230" s="429">
        <v>0</v>
      </c>
      <c r="J230" s="429">
        <v>0</v>
      </c>
      <c r="K230" s="429">
        <v>0</v>
      </c>
      <c r="L230" s="429">
        <v>0</v>
      </c>
      <c r="M230" s="429">
        <v>0</v>
      </c>
      <c r="N230" s="429">
        <v>0</v>
      </c>
      <c r="O230" s="429">
        <v>0</v>
      </c>
      <c r="P230" s="429">
        <v>0</v>
      </c>
      <c r="Q230" s="429">
        <v>0</v>
      </c>
      <c r="R230" s="429">
        <v>0</v>
      </c>
      <c r="S230" s="429">
        <f t="shared" si="17"/>
        <v>14.946400000000001</v>
      </c>
    </row>
    <row r="231" spans="1:19" s="429" customFormat="1">
      <c r="A231" s="429" t="str">
        <f t="shared" si="12"/>
        <v>KU</v>
      </c>
      <c r="B231" s="429" t="str">
        <f t="shared" si="13"/>
        <v>KY</v>
      </c>
      <c r="C231" s="429" t="str">
        <f t="shared" si="14"/>
        <v>393</v>
      </c>
      <c r="D231" s="430" t="s">
        <v>1819</v>
      </c>
      <c r="E231" s="428" t="str">
        <f t="shared" si="18"/>
        <v/>
      </c>
      <c r="F231" s="429">
        <v>0</v>
      </c>
      <c r="G231" s="429">
        <v>0</v>
      </c>
      <c r="H231" s="429">
        <v>79.926100000000005</v>
      </c>
      <c r="I231" s="429">
        <v>0</v>
      </c>
      <c r="J231" s="429">
        <v>0</v>
      </c>
      <c r="K231" s="429">
        <v>-79.926100000000005</v>
      </c>
      <c r="L231" s="429">
        <v>0</v>
      </c>
      <c r="M231" s="429">
        <v>0</v>
      </c>
      <c r="N231" s="429">
        <v>0</v>
      </c>
      <c r="O231" s="429">
        <v>0</v>
      </c>
      <c r="P231" s="429">
        <v>51.064500000000002</v>
      </c>
      <c r="Q231" s="429">
        <v>0</v>
      </c>
      <c r="R231" s="429">
        <v>0</v>
      </c>
      <c r="S231" s="429">
        <f t="shared" si="17"/>
        <v>51.064500000000002</v>
      </c>
    </row>
    <row r="232" spans="1:19" s="429" customFormat="1">
      <c r="A232" s="429" t="str">
        <f t="shared" ref="A232:A237" si="20">MID($D232,4,2)</f>
        <v>KU</v>
      </c>
      <c r="B232" s="429" t="str">
        <f t="shared" ref="B232:B237" si="21">IF(MID($D232,12,2)="- ","KY",MID($D232,12,2))</f>
        <v>KY</v>
      </c>
      <c r="C232" s="429" t="str">
        <f t="shared" ref="C232:C237" si="22">MID($D232,8,3)</f>
        <v>394</v>
      </c>
      <c r="D232" s="430" t="s">
        <v>1821</v>
      </c>
      <c r="E232" s="428" t="str">
        <f t="shared" si="18"/>
        <v/>
      </c>
      <c r="F232" s="429">
        <v>19.79908</v>
      </c>
      <c r="G232" s="429">
        <v>0</v>
      </c>
      <c r="H232" s="429">
        <v>23.53191</v>
      </c>
      <c r="I232" s="429">
        <v>30.332000000000001</v>
      </c>
      <c r="J232" s="429">
        <v>44.501609999999999</v>
      </c>
      <c r="K232" s="429">
        <v>80.346059999999994</v>
      </c>
      <c r="L232" s="429">
        <v>373.24907999999999</v>
      </c>
      <c r="M232" s="429">
        <v>302.12133</v>
      </c>
      <c r="N232" s="429">
        <v>294.31947000000002</v>
      </c>
      <c r="O232" s="429">
        <v>136.1825</v>
      </c>
      <c r="P232" s="429">
        <v>568.81299999999999</v>
      </c>
      <c r="Q232" s="429">
        <v>5.5728799999999996</v>
      </c>
      <c r="R232" s="429">
        <v>139.23523</v>
      </c>
      <c r="S232" s="429">
        <f t="shared" si="17"/>
        <v>1998.20507</v>
      </c>
    </row>
    <row r="233" spans="1:19" s="429" customFormat="1">
      <c r="A233" s="429" t="str">
        <f t="shared" si="20"/>
        <v>KU</v>
      </c>
      <c r="B233" s="429" t="str">
        <f t="shared" si="21"/>
        <v>VA</v>
      </c>
      <c r="C233" s="429" t="str">
        <f t="shared" si="22"/>
        <v>394</v>
      </c>
      <c r="D233" s="430" t="s">
        <v>1822</v>
      </c>
      <c r="E233" s="428" t="str">
        <f t="shared" si="18"/>
        <v/>
      </c>
      <c r="F233" s="429">
        <v>0</v>
      </c>
      <c r="G233" s="429">
        <v>0</v>
      </c>
      <c r="H233" s="429">
        <v>0</v>
      </c>
      <c r="I233" s="429">
        <v>0</v>
      </c>
      <c r="J233" s="429">
        <v>0</v>
      </c>
      <c r="K233" s="429">
        <v>0</v>
      </c>
      <c r="L233" s="429">
        <v>0</v>
      </c>
      <c r="M233" s="429">
        <v>52.637889999999999</v>
      </c>
      <c r="N233" s="429">
        <v>37.870899999999999</v>
      </c>
      <c r="O233" s="429">
        <v>5.9494999999999996</v>
      </c>
      <c r="P233" s="429">
        <v>57.01399</v>
      </c>
      <c r="Q233" s="429">
        <v>5.9494999999999996</v>
      </c>
      <c r="R233" s="429">
        <v>4.2450000000000002E-2</v>
      </c>
      <c r="S233" s="429">
        <f t="shared" ref="S233:S236" si="23">SUM(G233:R233)</f>
        <v>159.46423000000001</v>
      </c>
    </row>
    <row r="234" spans="1:19" s="429" customFormat="1">
      <c r="A234" s="429" t="str">
        <f t="shared" si="20"/>
        <v>KU</v>
      </c>
      <c r="B234" s="429" t="str">
        <f t="shared" si="21"/>
        <v>KY</v>
      </c>
      <c r="C234" s="429" t="str">
        <f t="shared" si="22"/>
        <v>396</v>
      </c>
      <c r="D234" s="430" t="s">
        <v>1823</v>
      </c>
      <c r="E234" s="428" t="str">
        <f t="shared" si="18"/>
        <v/>
      </c>
      <c r="F234" s="429">
        <v>0</v>
      </c>
      <c r="G234" s="429">
        <v>0</v>
      </c>
      <c r="H234" s="429">
        <v>-770.89337999999998</v>
      </c>
      <c r="I234" s="429">
        <v>0</v>
      </c>
      <c r="J234" s="429">
        <v>0</v>
      </c>
      <c r="K234" s="429">
        <v>0</v>
      </c>
      <c r="L234" s="429">
        <v>0</v>
      </c>
      <c r="M234" s="429">
        <v>0</v>
      </c>
      <c r="N234" s="429">
        <v>0</v>
      </c>
      <c r="O234" s="429">
        <v>0</v>
      </c>
      <c r="P234" s="429">
        <v>0</v>
      </c>
      <c r="Q234" s="429">
        <v>0</v>
      </c>
      <c r="R234" s="429">
        <v>0</v>
      </c>
      <c r="S234" s="429">
        <f t="shared" si="23"/>
        <v>-770.89337999999998</v>
      </c>
    </row>
    <row r="235" spans="1:19" s="429" customFormat="1">
      <c r="A235" s="429" t="str">
        <f t="shared" si="20"/>
        <v>KU</v>
      </c>
      <c r="B235" s="429" t="str">
        <f t="shared" si="21"/>
        <v>KY</v>
      </c>
      <c r="C235" s="429" t="str">
        <f t="shared" si="22"/>
        <v>396</v>
      </c>
      <c r="D235" s="430" t="s">
        <v>2511</v>
      </c>
      <c r="E235" s="428" t="str">
        <f t="shared" si="18"/>
        <v/>
      </c>
      <c r="F235" s="429">
        <v>0</v>
      </c>
      <c r="G235" s="429">
        <v>0</v>
      </c>
      <c r="H235" s="429">
        <v>1099.3183899999999</v>
      </c>
      <c r="I235" s="429">
        <v>0</v>
      </c>
      <c r="J235" s="429">
        <v>0</v>
      </c>
      <c r="K235" s="429">
        <v>41.081969999999998</v>
      </c>
      <c r="L235" s="429">
        <v>123.36501</v>
      </c>
      <c r="M235" s="429">
        <v>187.01958999999999</v>
      </c>
      <c r="N235" s="429">
        <v>0</v>
      </c>
      <c r="O235" s="429">
        <v>0</v>
      </c>
      <c r="P235" s="429">
        <v>0</v>
      </c>
      <c r="Q235" s="429">
        <v>0</v>
      </c>
      <c r="R235" s="429">
        <v>0</v>
      </c>
      <c r="S235" s="429">
        <f t="shared" si="23"/>
        <v>1450.78496</v>
      </c>
    </row>
    <row r="236" spans="1:19" s="429" customFormat="1">
      <c r="A236" s="429" t="str">
        <f t="shared" si="20"/>
        <v>KU</v>
      </c>
      <c r="B236" s="429" t="str">
        <f t="shared" si="21"/>
        <v>KY</v>
      </c>
      <c r="C236" s="429" t="str">
        <f t="shared" si="22"/>
        <v>397</v>
      </c>
      <c r="D236" s="430" t="s">
        <v>1825</v>
      </c>
      <c r="E236" s="428" t="str">
        <f t="shared" si="18"/>
        <v>DSM</v>
      </c>
      <c r="F236" s="429">
        <v>0.91054999999999997</v>
      </c>
      <c r="G236" s="429">
        <v>6.2714699999999999</v>
      </c>
      <c r="H236" s="429">
        <v>1.8577300000000001</v>
      </c>
      <c r="I236" s="429">
        <v>0.38401000000000002</v>
      </c>
      <c r="J236" s="429">
        <v>1.5234300000000001</v>
      </c>
      <c r="K236" s="429">
        <v>0.77317000000000002</v>
      </c>
      <c r="L236" s="429">
        <v>5.4046700000000003</v>
      </c>
      <c r="M236" s="429">
        <v>5</v>
      </c>
      <c r="N236" s="429">
        <v>4.3051599999999999</v>
      </c>
      <c r="O236" s="429">
        <v>109.38647</v>
      </c>
      <c r="P236" s="429">
        <v>4.75</v>
      </c>
      <c r="Q236" s="429">
        <v>4.75</v>
      </c>
      <c r="R236" s="429">
        <v>47.957239999999999</v>
      </c>
      <c r="S236" s="429">
        <f t="shared" si="23"/>
        <v>192.36335000000003</v>
      </c>
    </row>
    <row r="237" spans="1:19" s="429" customFormat="1">
      <c r="A237" s="429" t="str">
        <f t="shared" si="20"/>
        <v>KU</v>
      </c>
      <c r="B237" s="429" t="str">
        <f t="shared" si="21"/>
        <v>KY</v>
      </c>
      <c r="C237" s="429" t="str">
        <f t="shared" si="22"/>
        <v>397</v>
      </c>
      <c r="D237" s="430" t="s">
        <v>1826</v>
      </c>
      <c r="E237" s="428" t="str">
        <f t="shared" si="18"/>
        <v/>
      </c>
      <c r="F237" s="429">
        <v>0</v>
      </c>
      <c r="G237" s="429">
        <v>4848.9153900000001</v>
      </c>
      <c r="H237" s="429">
        <v>0.39344999999999902</v>
      </c>
      <c r="I237" s="429">
        <v>1.03704</v>
      </c>
      <c r="J237" s="429">
        <v>9.4115099999999892</v>
      </c>
      <c r="K237" s="429">
        <v>0.56093000000000004</v>
      </c>
      <c r="L237" s="429">
        <v>151.28646000000001</v>
      </c>
      <c r="M237" s="429">
        <v>122.70492</v>
      </c>
      <c r="N237" s="429">
        <v>144.11338000000001</v>
      </c>
      <c r="O237" s="429">
        <v>0</v>
      </c>
      <c r="P237" s="429">
        <v>517.26931000000002</v>
      </c>
      <c r="Q237" s="429">
        <v>1739.7999199999999</v>
      </c>
      <c r="R237" s="429">
        <v>1466.8241399999999</v>
      </c>
      <c r="S237" s="429">
        <f t="shared" si="17"/>
        <v>9002.3164500000003</v>
      </c>
    </row>
    <row r="242" spans="1:19">
      <c r="D242" s="403" t="s">
        <v>1830</v>
      </c>
      <c r="E242" s="403"/>
      <c r="S242" s="235">
        <f t="shared" ref="S242:S292" si="24">SUM(G242:R242)</f>
        <v>0</v>
      </c>
    </row>
    <row r="243" spans="1:19" s="429" customFormat="1">
      <c r="A243" s="429" t="str">
        <f t="shared" ref="A243:A292" si="25">MID($D243,4,2)</f>
        <v>KU</v>
      </c>
      <c r="B243" s="429" t="str">
        <f t="shared" ref="B243:B292" si="26">IF(MID($D243,12,2)="- ","KY",MID($D243,12,2))</f>
        <v>KY</v>
      </c>
      <c r="C243" s="429" t="str">
        <f t="shared" ref="C243:C292" si="27">MID($D243,8,3)</f>
        <v>303</v>
      </c>
      <c r="D243" s="430" t="s">
        <v>1726</v>
      </c>
      <c r="E243" s="428" t="str">
        <f t="shared" ref="E243:E292" si="28">IF(ISTEXT(MID($D243,SEARCH("FUTURE USE",$D243),3)),"FUTURE USE",IF(ISTEXT(MID($D243,SEARCH("ECR",$D243),3)),"ECR",IF(ISTEXT(MID($D243,SEARCH("ARO",$D243),3)),"ARO",IF(ISTEXT(MID($D243,SEARCH("DSM",$D243),3)),"DSM",""))))</f>
        <v/>
      </c>
      <c r="F243" s="429">
        <v>32.030810000000002</v>
      </c>
      <c r="G243" s="429">
        <v>136.62244000000001</v>
      </c>
      <c r="H243" s="429">
        <v>842.89734999999996</v>
      </c>
      <c r="I243" s="429">
        <v>0</v>
      </c>
      <c r="J243" s="429">
        <v>364.20774</v>
      </c>
      <c r="K243" s="429">
        <v>467.14413999999999</v>
      </c>
      <c r="L243" s="429">
        <v>1119.8396699999901</v>
      </c>
      <c r="M243" s="429">
        <v>1223.06087</v>
      </c>
      <c r="N243" s="429">
        <v>513.81984999999997</v>
      </c>
      <c r="O243" s="429">
        <v>1158.71748</v>
      </c>
      <c r="P243" s="429">
        <v>1286.93444</v>
      </c>
      <c r="Q243" s="429">
        <v>12.285399999999999</v>
      </c>
      <c r="R243" s="429">
        <v>0</v>
      </c>
      <c r="S243" s="429">
        <f t="shared" si="24"/>
        <v>7125.5293799999899</v>
      </c>
    </row>
    <row r="244" spans="1:19" s="429" customFormat="1">
      <c r="A244" s="429" t="str">
        <f t="shared" si="25"/>
        <v>KU</v>
      </c>
      <c r="B244" s="429" t="str">
        <f t="shared" si="26"/>
        <v>KY</v>
      </c>
      <c r="C244" s="429" t="str">
        <f t="shared" si="27"/>
        <v>303</v>
      </c>
      <c r="D244" s="430" t="s">
        <v>1727</v>
      </c>
      <c r="E244" s="428" t="str">
        <f t="shared" si="28"/>
        <v/>
      </c>
      <c r="F244" s="429">
        <v>0</v>
      </c>
      <c r="G244" s="429">
        <v>0</v>
      </c>
      <c r="H244" s="429">
        <v>0</v>
      </c>
      <c r="I244" s="429">
        <v>0</v>
      </c>
      <c r="J244" s="429">
        <v>0</v>
      </c>
      <c r="K244" s="429">
        <v>0</v>
      </c>
      <c r="L244" s="429">
        <v>0</v>
      </c>
      <c r="M244" s="429">
        <v>0</v>
      </c>
      <c r="N244" s="429">
        <v>0</v>
      </c>
      <c r="O244" s="429">
        <v>0</v>
      </c>
      <c r="P244" s="429">
        <v>0</v>
      </c>
      <c r="Q244" s="429">
        <v>0</v>
      </c>
      <c r="R244" s="429">
        <v>0</v>
      </c>
      <c r="S244" s="429">
        <f t="shared" si="24"/>
        <v>0</v>
      </c>
    </row>
    <row r="245" spans="1:19" s="429" customFormat="1">
      <c r="A245" s="429" t="str">
        <f t="shared" si="25"/>
        <v>KU</v>
      </c>
      <c r="B245" s="429" t="str">
        <f t="shared" si="26"/>
        <v>KY</v>
      </c>
      <c r="C245" s="429" t="str">
        <f t="shared" si="27"/>
        <v>311</v>
      </c>
      <c r="D245" s="430" t="s">
        <v>1732</v>
      </c>
      <c r="E245" s="428" t="str">
        <f t="shared" si="28"/>
        <v/>
      </c>
      <c r="F245" s="429">
        <v>107.886929999999</v>
      </c>
      <c r="G245" s="429">
        <v>12.17187</v>
      </c>
      <c r="H245" s="429">
        <v>12.745329999999999</v>
      </c>
      <c r="I245" s="429">
        <v>0</v>
      </c>
      <c r="J245" s="429">
        <v>0</v>
      </c>
      <c r="K245" s="429">
        <v>0</v>
      </c>
      <c r="L245" s="429">
        <v>9.7791599999999992</v>
      </c>
      <c r="M245" s="429">
        <v>0</v>
      </c>
      <c r="N245" s="429">
        <v>0</v>
      </c>
      <c r="O245" s="429">
        <v>0</v>
      </c>
      <c r="P245" s="429">
        <v>0</v>
      </c>
      <c r="Q245" s="429">
        <v>0</v>
      </c>
      <c r="R245" s="429">
        <v>0</v>
      </c>
      <c r="S245" s="429">
        <f t="shared" si="24"/>
        <v>34.696359999999999</v>
      </c>
    </row>
    <row r="246" spans="1:19" s="429" customFormat="1">
      <c r="A246" s="429" t="str">
        <f t="shared" si="25"/>
        <v>KU</v>
      </c>
      <c r="B246" s="429" t="str">
        <f t="shared" si="26"/>
        <v>KY</v>
      </c>
      <c r="C246" s="429" t="str">
        <f t="shared" si="27"/>
        <v>312</v>
      </c>
      <c r="D246" s="430" t="s">
        <v>1733</v>
      </c>
      <c r="E246" s="428" t="str">
        <f t="shared" si="28"/>
        <v/>
      </c>
      <c r="F246" s="429">
        <v>221.23400000000001</v>
      </c>
      <c r="G246" s="429">
        <v>404.794139999999</v>
      </c>
      <c r="H246" s="429">
        <v>5499.0848799999903</v>
      </c>
      <c r="I246" s="429">
        <v>0</v>
      </c>
      <c r="J246" s="429">
        <v>0</v>
      </c>
      <c r="K246" s="429">
        <v>207.05719999999999</v>
      </c>
      <c r="L246" s="429">
        <v>1276.17401</v>
      </c>
      <c r="M246" s="429">
        <v>0</v>
      </c>
      <c r="N246" s="429">
        <v>0</v>
      </c>
      <c r="O246" s="429">
        <v>0</v>
      </c>
      <c r="P246" s="429">
        <v>0</v>
      </c>
      <c r="Q246" s="429">
        <v>0</v>
      </c>
      <c r="R246" s="429">
        <v>0</v>
      </c>
      <c r="S246" s="429">
        <f t="shared" si="24"/>
        <v>7387.1102299999893</v>
      </c>
    </row>
    <row r="247" spans="1:19" s="429" customFormat="1">
      <c r="A247" s="429" t="str">
        <f t="shared" si="25"/>
        <v>KU</v>
      </c>
      <c r="B247" s="429" t="str">
        <f t="shared" si="26"/>
        <v>KY</v>
      </c>
      <c r="C247" s="429" t="str">
        <f t="shared" si="27"/>
        <v>312</v>
      </c>
      <c r="D247" s="430" t="s">
        <v>1734</v>
      </c>
      <c r="E247" s="428" t="str">
        <f t="shared" si="28"/>
        <v>ECR</v>
      </c>
      <c r="F247" s="429">
        <v>0</v>
      </c>
      <c r="G247" s="429">
        <v>0</v>
      </c>
      <c r="H247" s="429">
        <v>0</v>
      </c>
      <c r="I247" s="429">
        <v>0</v>
      </c>
      <c r="J247" s="429">
        <v>0</v>
      </c>
      <c r="K247" s="429">
        <v>0</v>
      </c>
      <c r="L247" s="429">
        <v>0</v>
      </c>
      <c r="M247" s="429">
        <v>0</v>
      </c>
      <c r="N247" s="429">
        <v>0</v>
      </c>
      <c r="O247" s="429">
        <v>0</v>
      </c>
      <c r="P247" s="429">
        <v>0</v>
      </c>
      <c r="Q247" s="429">
        <v>0</v>
      </c>
      <c r="R247" s="429">
        <v>0</v>
      </c>
      <c r="S247" s="429">
        <f t="shared" si="24"/>
        <v>0</v>
      </c>
    </row>
    <row r="248" spans="1:19" s="429" customFormat="1">
      <c r="A248" s="429" t="str">
        <f t="shared" si="25"/>
        <v>KU</v>
      </c>
      <c r="B248" s="429" t="str">
        <f t="shared" si="26"/>
        <v>KY</v>
      </c>
      <c r="C248" s="429" t="str">
        <f t="shared" si="27"/>
        <v>312</v>
      </c>
      <c r="D248" s="430" t="s">
        <v>1735</v>
      </c>
      <c r="E248" s="428" t="str">
        <f t="shared" si="28"/>
        <v>ECR</v>
      </c>
      <c r="F248" s="429">
        <v>0</v>
      </c>
      <c r="G248" s="429">
        <v>0</v>
      </c>
      <c r="H248" s="429">
        <v>0</v>
      </c>
      <c r="I248" s="429">
        <v>0</v>
      </c>
      <c r="J248" s="429">
        <v>0</v>
      </c>
      <c r="K248" s="429">
        <v>0</v>
      </c>
      <c r="L248" s="429">
        <v>0</v>
      </c>
      <c r="M248" s="429">
        <v>0</v>
      </c>
      <c r="N248" s="429">
        <v>0</v>
      </c>
      <c r="O248" s="429">
        <v>0</v>
      </c>
      <c r="P248" s="429">
        <v>0</v>
      </c>
      <c r="Q248" s="429">
        <v>0</v>
      </c>
      <c r="R248" s="429">
        <v>0</v>
      </c>
      <c r="S248" s="429">
        <f t="shared" si="24"/>
        <v>0</v>
      </c>
    </row>
    <row r="249" spans="1:19" s="429" customFormat="1">
      <c r="A249" s="429" t="str">
        <f t="shared" si="25"/>
        <v>KU</v>
      </c>
      <c r="B249" s="429" t="str">
        <f t="shared" si="26"/>
        <v>KY</v>
      </c>
      <c r="C249" s="429" t="str">
        <f t="shared" si="27"/>
        <v>314</v>
      </c>
      <c r="D249" s="430" t="s">
        <v>1737</v>
      </c>
      <c r="E249" s="428" t="str">
        <f t="shared" si="28"/>
        <v/>
      </c>
      <c r="F249" s="429">
        <v>89.95787</v>
      </c>
      <c r="G249" s="429">
        <v>8.7049500000000002</v>
      </c>
      <c r="H249" s="429">
        <v>0</v>
      </c>
      <c r="I249" s="429">
        <v>0</v>
      </c>
      <c r="J249" s="429">
        <v>0</v>
      </c>
      <c r="K249" s="429">
        <v>0</v>
      </c>
      <c r="L249" s="429">
        <v>317.08042</v>
      </c>
      <c r="M249" s="429">
        <v>0</v>
      </c>
      <c r="N249" s="429">
        <v>0</v>
      </c>
      <c r="O249" s="429">
        <v>0</v>
      </c>
      <c r="P249" s="429">
        <v>0</v>
      </c>
      <c r="Q249" s="429">
        <v>6089.1945100000003</v>
      </c>
      <c r="R249" s="429">
        <v>0</v>
      </c>
      <c r="S249" s="429">
        <f t="shared" si="24"/>
        <v>6414.9798799999999</v>
      </c>
    </row>
    <row r="250" spans="1:19" s="429" customFormat="1">
      <c r="A250" s="429" t="str">
        <f t="shared" si="25"/>
        <v>KU</v>
      </c>
      <c r="B250" s="429" t="str">
        <f t="shared" si="26"/>
        <v>KY</v>
      </c>
      <c r="C250" s="429" t="str">
        <f t="shared" si="27"/>
        <v>315</v>
      </c>
      <c r="D250" s="430" t="s">
        <v>1738</v>
      </c>
      <c r="E250" s="428" t="str">
        <f t="shared" si="28"/>
        <v/>
      </c>
      <c r="F250" s="429">
        <v>0</v>
      </c>
      <c r="G250" s="429">
        <v>0</v>
      </c>
      <c r="H250" s="429">
        <v>0</v>
      </c>
      <c r="I250" s="429">
        <v>0</v>
      </c>
      <c r="J250" s="429">
        <v>0</v>
      </c>
      <c r="K250" s="429">
        <v>0</v>
      </c>
      <c r="L250" s="429">
        <v>6.1156100000000002</v>
      </c>
      <c r="M250" s="429">
        <v>0</v>
      </c>
      <c r="N250" s="429">
        <v>0</v>
      </c>
      <c r="O250" s="429">
        <v>0</v>
      </c>
      <c r="P250" s="429">
        <v>0</v>
      </c>
      <c r="Q250" s="429">
        <v>0</v>
      </c>
      <c r="R250" s="429">
        <v>0</v>
      </c>
      <c r="S250" s="429">
        <f t="shared" si="24"/>
        <v>6.1156100000000002</v>
      </c>
    </row>
    <row r="251" spans="1:19" s="429" customFormat="1">
      <c r="A251" s="429" t="str">
        <f t="shared" si="25"/>
        <v>KU</v>
      </c>
      <c r="B251" s="429" t="str">
        <f t="shared" si="26"/>
        <v>KY</v>
      </c>
      <c r="C251" s="429" t="str">
        <f t="shared" si="27"/>
        <v>316</v>
      </c>
      <c r="D251" s="430" t="s">
        <v>1740</v>
      </c>
      <c r="E251" s="428" t="str">
        <f t="shared" si="28"/>
        <v/>
      </c>
      <c r="F251" s="429">
        <v>0</v>
      </c>
      <c r="G251" s="429">
        <v>0</v>
      </c>
      <c r="H251" s="429">
        <v>0</v>
      </c>
      <c r="I251" s="429">
        <v>0</v>
      </c>
      <c r="J251" s="429">
        <v>0</v>
      </c>
      <c r="K251" s="429">
        <v>5.52677</v>
      </c>
      <c r="L251" s="429">
        <v>35.428839999999902</v>
      </c>
      <c r="M251" s="429">
        <v>0</v>
      </c>
      <c r="N251" s="429">
        <v>0</v>
      </c>
      <c r="O251" s="429">
        <v>0</v>
      </c>
      <c r="P251" s="429">
        <v>0</v>
      </c>
      <c r="Q251" s="429">
        <v>0</v>
      </c>
      <c r="R251" s="429">
        <v>0</v>
      </c>
      <c r="S251" s="429">
        <f t="shared" si="24"/>
        <v>40.955609999999901</v>
      </c>
    </row>
    <row r="252" spans="1:19" s="429" customFormat="1">
      <c r="A252" s="429" t="str">
        <f t="shared" si="25"/>
        <v>KU</v>
      </c>
      <c r="B252" s="429" t="str">
        <f t="shared" si="26"/>
        <v>KY</v>
      </c>
      <c r="C252" s="429" t="str">
        <f t="shared" si="27"/>
        <v>317</v>
      </c>
      <c r="D252" s="430" t="s">
        <v>1741</v>
      </c>
      <c r="E252" s="428" t="str">
        <f t="shared" si="28"/>
        <v>ARO</v>
      </c>
      <c r="F252" s="429">
        <v>0</v>
      </c>
      <c r="G252" s="429">
        <v>0</v>
      </c>
      <c r="H252" s="429">
        <v>0</v>
      </c>
      <c r="I252" s="429">
        <v>0</v>
      </c>
      <c r="J252" s="429">
        <v>0</v>
      </c>
      <c r="K252" s="429">
        <v>0</v>
      </c>
      <c r="L252" s="429">
        <v>0</v>
      </c>
      <c r="M252" s="429">
        <v>0</v>
      </c>
      <c r="N252" s="429">
        <v>0</v>
      </c>
      <c r="O252" s="429">
        <v>0</v>
      </c>
      <c r="P252" s="429">
        <v>0</v>
      </c>
      <c r="Q252" s="429">
        <v>0</v>
      </c>
      <c r="R252" s="429">
        <v>0</v>
      </c>
      <c r="S252" s="429">
        <f t="shared" si="24"/>
        <v>0</v>
      </c>
    </row>
    <row r="253" spans="1:19" s="429" customFormat="1">
      <c r="A253" s="429" t="str">
        <f t="shared" si="25"/>
        <v>KU</v>
      </c>
      <c r="B253" s="429" t="str">
        <f t="shared" si="26"/>
        <v>KY</v>
      </c>
      <c r="C253" s="429" t="str">
        <f t="shared" si="27"/>
        <v>317</v>
      </c>
      <c r="D253" s="430" t="s">
        <v>2507</v>
      </c>
      <c r="E253" s="428" t="str">
        <f t="shared" si="28"/>
        <v>ARO</v>
      </c>
      <c r="F253" s="429">
        <v>0</v>
      </c>
      <c r="G253" s="429">
        <v>0</v>
      </c>
      <c r="H253" s="429">
        <v>0</v>
      </c>
      <c r="I253" s="429">
        <v>0</v>
      </c>
      <c r="J253" s="429">
        <v>0</v>
      </c>
      <c r="K253" s="429">
        <v>0</v>
      </c>
      <c r="L253" s="429">
        <v>0</v>
      </c>
      <c r="M253" s="429">
        <v>0</v>
      </c>
      <c r="N253" s="429">
        <v>0</v>
      </c>
      <c r="O253" s="429">
        <v>0</v>
      </c>
      <c r="P253" s="429">
        <v>0</v>
      </c>
      <c r="Q253" s="429">
        <v>0</v>
      </c>
      <c r="R253" s="429">
        <v>0</v>
      </c>
      <c r="S253" s="429">
        <f t="shared" si="24"/>
        <v>0</v>
      </c>
    </row>
    <row r="254" spans="1:19" s="429" customFormat="1">
      <c r="A254" s="429" t="str">
        <f t="shared" si="25"/>
        <v>KU</v>
      </c>
      <c r="B254" s="429" t="str">
        <f t="shared" si="26"/>
        <v>KY</v>
      </c>
      <c r="C254" s="429" t="str">
        <f t="shared" si="27"/>
        <v>343</v>
      </c>
      <c r="D254" s="430" t="s">
        <v>1753</v>
      </c>
      <c r="E254" s="428" t="str">
        <f t="shared" si="28"/>
        <v/>
      </c>
      <c r="F254" s="429">
        <v>0</v>
      </c>
      <c r="G254" s="429">
        <v>0</v>
      </c>
      <c r="H254" s="429">
        <v>1479.7669900000001</v>
      </c>
      <c r="I254" s="429">
        <v>0</v>
      </c>
      <c r="J254" s="429">
        <v>0</v>
      </c>
      <c r="K254" s="429">
        <v>0</v>
      </c>
      <c r="L254" s="429">
        <v>0</v>
      </c>
      <c r="M254" s="429">
        <v>0</v>
      </c>
      <c r="N254" s="429">
        <v>0</v>
      </c>
      <c r="O254" s="429">
        <v>0</v>
      </c>
      <c r="P254" s="429">
        <v>0</v>
      </c>
      <c r="Q254" s="429">
        <v>0</v>
      </c>
      <c r="R254" s="429">
        <v>0</v>
      </c>
      <c r="S254" s="429">
        <f t="shared" si="24"/>
        <v>1479.7669900000001</v>
      </c>
    </row>
    <row r="255" spans="1:19" s="429" customFormat="1">
      <c r="A255" s="429" t="str">
        <f t="shared" si="25"/>
        <v>KU</v>
      </c>
      <c r="B255" s="429" t="str">
        <f t="shared" si="26"/>
        <v>KY</v>
      </c>
      <c r="C255" s="429" t="str">
        <f t="shared" si="27"/>
        <v>343</v>
      </c>
      <c r="D255" s="430" t="s">
        <v>2204</v>
      </c>
      <c r="E255" s="428" t="str">
        <f t="shared" si="28"/>
        <v/>
      </c>
      <c r="F255" s="429">
        <v>0</v>
      </c>
      <c r="G255" s="429">
        <v>0</v>
      </c>
      <c r="H255" s="429">
        <v>7652.6448600000003</v>
      </c>
      <c r="I255" s="429">
        <v>0</v>
      </c>
      <c r="J255" s="429">
        <v>0</v>
      </c>
      <c r="K255" s="429">
        <v>0</v>
      </c>
      <c r="L255" s="429">
        <v>0</v>
      </c>
      <c r="M255" s="429">
        <v>0</v>
      </c>
      <c r="N255" s="429">
        <v>0</v>
      </c>
      <c r="O255" s="429">
        <v>0</v>
      </c>
      <c r="P255" s="429">
        <v>0</v>
      </c>
      <c r="Q255" s="429">
        <v>0</v>
      </c>
      <c r="R255" s="429">
        <v>0</v>
      </c>
      <c r="S255" s="429">
        <f t="shared" si="24"/>
        <v>7652.6448600000003</v>
      </c>
    </row>
    <row r="256" spans="1:19" s="429" customFormat="1">
      <c r="A256" s="429" t="str">
        <f t="shared" si="25"/>
        <v>KU</v>
      </c>
      <c r="B256" s="429" t="str">
        <f t="shared" si="26"/>
        <v>KY</v>
      </c>
      <c r="C256" s="429" t="str">
        <f t="shared" si="27"/>
        <v>352</v>
      </c>
      <c r="D256" s="430" t="s">
        <v>1761</v>
      </c>
      <c r="E256" s="428" t="str">
        <f t="shared" si="28"/>
        <v/>
      </c>
      <c r="F256" s="429">
        <v>6.5880799999999997</v>
      </c>
      <c r="G256" s="429">
        <v>0</v>
      </c>
      <c r="H256" s="429">
        <v>5.5411400000000004</v>
      </c>
      <c r="I256" s="429">
        <v>0</v>
      </c>
      <c r="J256" s="429">
        <v>0.73397000000000001</v>
      </c>
      <c r="K256" s="429">
        <v>9.5879999999999896E-2</v>
      </c>
      <c r="L256" s="429">
        <v>0.36458999999999903</v>
      </c>
      <c r="M256" s="429">
        <v>0</v>
      </c>
      <c r="N256" s="429">
        <v>0</v>
      </c>
      <c r="O256" s="429">
        <v>0</v>
      </c>
      <c r="P256" s="429">
        <v>0</v>
      </c>
      <c r="Q256" s="429">
        <v>0</v>
      </c>
      <c r="R256" s="429">
        <v>0</v>
      </c>
      <c r="S256" s="429">
        <f t="shared" si="24"/>
        <v>6.7355799999999997</v>
      </c>
    </row>
    <row r="257" spans="1:19" s="429" customFormat="1">
      <c r="A257" s="429" t="str">
        <f t="shared" si="25"/>
        <v>KU</v>
      </c>
      <c r="B257" s="429" t="str">
        <f t="shared" si="26"/>
        <v>KY</v>
      </c>
      <c r="C257" s="429" t="str">
        <f t="shared" si="27"/>
        <v>353</v>
      </c>
      <c r="D257" s="430" t="s">
        <v>1763</v>
      </c>
      <c r="E257" s="428" t="str">
        <f t="shared" si="28"/>
        <v/>
      </c>
      <c r="F257" s="429">
        <v>144.79727</v>
      </c>
      <c r="G257" s="429">
        <v>531.33780000000002</v>
      </c>
      <c r="H257" s="429">
        <v>226.64762999999999</v>
      </c>
      <c r="I257" s="429">
        <v>86.056119999999893</v>
      </c>
      <c r="J257" s="429">
        <v>803.88388999999995</v>
      </c>
      <c r="K257" s="429">
        <v>139.52477999999999</v>
      </c>
      <c r="L257" s="429">
        <v>111.90785</v>
      </c>
      <c r="M257" s="429">
        <v>0</v>
      </c>
      <c r="N257" s="429">
        <v>0</v>
      </c>
      <c r="O257" s="429">
        <v>0</v>
      </c>
      <c r="P257" s="429">
        <v>0</v>
      </c>
      <c r="Q257" s="429">
        <v>0</v>
      </c>
      <c r="R257" s="429">
        <v>0</v>
      </c>
      <c r="S257" s="429">
        <f t="shared" si="24"/>
        <v>1899.3580699999998</v>
      </c>
    </row>
    <row r="258" spans="1:19" s="429" customFormat="1">
      <c r="A258" s="429" t="str">
        <f t="shared" si="25"/>
        <v>KU</v>
      </c>
      <c r="B258" s="429" t="s">
        <v>17</v>
      </c>
      <c r="C258" s="429" t="str">
        <f t="shared" si="27"/>
        <v>353</v>
      </c>
      <c r="D258" s="430" t="s">
        <v>1764</v>
      </c>
      <c r="E258" s="428" t="str">
        <f t="shared" si="28"/>
        <v/>
      </c>
      <c r="F258" s="429">
        <v>233.10624999999999</v>
      </c>
      <c r="G258" s="429">
        <v>0</v>
      </c>
      <c r="H258" s="429">
        <v>0</v>
      </c>
      <c r="I258" s="429">
        <v>0</v>
      </c>
      <c r="J258" s="429">
        <v>0</v>
      </c>
      <c r="K258" s="429">
        <v>0</v>
      </c>
      <c r="L258" s="429">
        <v>0</v>
      </c>
      <c r="M258" s="429">
        <v>0</v>
      </c>
      <c r="N258" s="429">
        <v>0</v>
      </c>
      <c r="O258" s="429">
        <v>0</v>
      </c>
      <c r="P258" s="429">
        <v>0</v>
      </c>
      <c r="Q258" s="429">
        <v>0</v>
      </c>
      <c r="R258" s="429">
        <v>0</v>
      </c>
      <c r="S258" s="429">
        <f t="shared" si="24"/>
        <v>0</v>
      </c>
    </row>
    <row r="259" spans="1:19" s="429" customFormat="1">
      <c r="A259" s="429" t="str">
        <f t="shared" si="25"/>
        <v>KU</v>
      </c>
      <c r="B259" s="429" t="str">
        <f t="shared" si="26"/>
        <v>VA</v>
      </c>
      <c r="C259" s="429" t="str">
        <f t="shared" si="27"/>
        <v>353</v>
      </c>
      <c r="D259" s="430" t="s">
        <v>1765</v>
      </c>
      <c r="E259" s="428" t="str">
        <f t="shared" si="28"/>
        <v/>
      </c>
      <c r="F259" s="429">
        <v>64.366540000000001</v>
      </c>
      <c r="G259" s="429">
        <v>6.06907</v>
      </c>
      <c r="H259" s="429">
        <v>2.2929499999999998</v>
      </c>
      <c r="I259" s="429">
        <v>0</v>
      </c>
      <c r="J259" s="429">
        <v>0</v>
      </c>
      <c r="K259" s="429">
        <v>5.07531</v>
      </c>
      <c r="L259" s="429">
        <v>0</v>
      </c>
      <c r="M259" s="429">
        <v>0</v>
      </c>
      <c r="N259" s="429">
        <v>0</v>
      </c>
      <c r="O259" s="429">
        <v>0</v>
      </c>
      <c r="P259" s="429">
        <v>0</v>
      </c>
      <c r="Q259" s="429">
        <v>0</v>
      </c>
      <c r="R259" s="429">
        <v>0</v>
      </c>
      <c r="S259" s="429">
        <f t="shared" si="24"/>
        <v>13.437329999999999</v>
      </c>
    </row>
    <row r="260" spans="1:19" s="429" customFormat="1">
      <c r="A260" s="429" t="str">
        <f t="shared" si="25"/>
        <v>KU</v>
      </c>
      <c r="B260" s="429" t="str">
        <f t="shared" si="26"/>
        <v>KY</v>
      </c>
      <c r="C260" s="429" t="str">
        <f t="shared" si="27"/>
        <v>355</v>
      </c>
      <c r="D260" s="430" t="s">
        <v>1768</v>
      </c>
      <c r="E260" s="428" t="str">
        <f t="shared" si="28"/>
        <v/>
      </c>
      <c r="F260" s="429">
        <v>87.632769999999994</v>
      </c>
      <c r="G260" s="429">
        <v>25.591939999999902</v>
      </c>
      <c r="H260" s="429">
        <v>763.81754000000001</v>
      </c>
      <c r="I260" s="429">
        <v>597.75960999999995</v>
      </c>
      <c r="J260" s="429">
        <v>182.57422</v>
      </c>
      <c r="K260" s="429">
        <v>190.74189999999999</v>
      </c>
      <c r="L260" s="429">
        <v>100.09256000000001</v>
      </c>
      <c r="M260" s="429">
        <v>0</v>
      </c>
      <c r="N260" s="429">
        <v>0</v>
      </c>
      <c r="O260" s="429">
        <v>0</v>
      </c>
      <c r="P260" s="429">
        <v>0</v>
      </c>
      <c r="Q260" s="429">
        <v>0</v>
      </c>
      <c r="R260" s="429">
        <v>0</v>
      </c>
      <c r="S260" s="429">
        <f t="shared" si="24"/>
        <v>1860.5777699999999</v>
      </c>
    </row>
    <row r="261" spans="1:19" s="429" customFormat="1">
      <c r="A261" s="429" t="str">
        <f t="shared" si="25"/>
        <v>KU</v>
      </c>
      <c r="B261" s="429" t="str">
        <f t="shared" si="26"/>
        <v>TN</v>
      </c>
      <c r="C261" s="429" t="str">
        <f t="shared" si="27"/>
        <v>355</v>
      </c>
      <c r="D261" s="430" t="s">
        <v>1769</v>
      </c>
      <c r="E261" s="428" t="str">
        <f t="shared" si="28"/>
        <v/>
      </c>
      <c r="F261" s="429">
        <v>0</v>
      </c>
      <c r="G261" s="429">
        <v>0</v>
      </c>
      <c r="H261" s="429">
        <v>0</v>
      </c>
      <c r="I261" s="429">
        <v>3.8460000000000001E-2</v>
      </c>
      <c r="J261" s="429">
        <v>0</v>
      </c>
      <c r="K261" s="429">
        <v>0</v>
      </c>
      <c r="L261" s="429">
        <v>0</v>
      </c>
      <c r="M261" s="429">
        <v>0</v>
      </c>
      <c r="N261" s="429">
        <v>0</v>
      </c>
      <c r="O261" s="429">
        <v>0</v>
      </c>
      <c r="P261" s="429">
        <v>0</v>
      </c>
      <c r="Q261" s="429">
        <v>0</v>
      </c>
      <c r="R261" s="429">
        <v>0</v>
      </c>
      <c r="S261" s="429">
        <f t="shared" si="24"/>
        <v>3.8460000000000001E-2</v>
      </c>
    </row>
    <row r="262" spans="1:19" s="429" customFormat="1">
      <c r="A262" s="429" t="str">
        <f t="shared" si="25"/>
        <v>KU</v>
      </c>
      <c r="B262" s="429" t="str">
        <f t="shared" si="26"/>
        <v>VA</v>
      </c>
      <c r="C262" s="429" t="str">
        <f t="shared" si="27"/>
        <v>355</v>
      </c>
      <c r="D262" s="430" t="s">
        <v>1770</v>
      </c>
      <c r="E262" s="428" t="str">
        <f t="shared" si="28"/>
        <v/>
      </c>
      <c r="F262" s="429">
        <v>0</v>
      </c>
      <c r="G262" s="429">
        <v>-0.77646000000000004</v>
      </c>
      <c r="H262" s="429">
        <v>9.8957999999999995</v>
      </c>
      <c r="I262" s="429">
        <v>0.80088000000000004</v>
      </c>
      <c r="J262" s="429">
        <v>0</v>
      </c>
      <c r="K262" s="429">
        <v>0</v>
      </c>
      <c r="L262" s="429">
        <v>0</v>
      </c>
      <c r="M262" s="429">
        <v>0</v>
      </c>
      <c r="N262" s="429">
        <v>0</v>
      </c>
      <c r="O262" s="429">
        <v>0</v>
      </c>
      <c r="P262" s="429">
        <v>0</v>
      </c>
      <c r="Q262" s="429">
        <v>0</v>
      </c>
      <c r="R262" s="429">
        <v>0</v>
      </c>
      <c r="S262" s="429">
        <f t="shared" si="24"/>
        <v>9.9202199999999987</v>
      </c>
    </row>
    <row r="263" spans="1:19" s="429" customFormat="1">
      <c r="A263" s="429" t="str">
        <f t="shared" si="25"/>
        <v>KU</v>
      </c>
      <c r="B263" s="429" t="str">
        <f t="shared" si="26"/>
        <v>KY</v>
      </c>
      <c r="C263" s="429" t="str">
        <f t="shared" si="27"/>
        <v>356</v>
      </c>
      <c r="D263" s="430" t="s">
        <v>1771</v>
      </c>
      <c r="E263" s="428" t="str">
        <f t="shared" si="28"/>
        <v/>
      </c>
      <c r="F263" s="429">
        <v>3.1988599999999998</v>
      </c>
      <c r="G263" s="429">
        <v>58.325559999999903</v>
      </c>
      <c r="H263" s="429">
        <v>214.51829999999899</v>
      </c>
      <c r="I263" s="429">
        <v>347.83433000000002</v>
      </c>
      <c r="J263" s="429">
        <v>56.449669999999998</v>
      </c>
      <c r="K263" s="429">
        <v>269.90257000000003</v>
      </c>
      <c r="L263" s="429">
        <v>293.73917999999998</v>
      </c>
      <c r="M263" s="429">
        <v>0</v>
      </c>
      <c r="N263" s="429">
        <v>0</v>
      </c>
      <c r="O263" s="429">
        <v>0</v>
      </c>
      <c r="P263" s="429">
        <v>0</v>
      </c>
      <c r="Q263" s="429">
        <v>0</v>
      </c>
      <c r="R263" s="429">
        <v>0</v>
      </c>
      <c r="S263" s="429">
        <f t="shared" si="24"/>
        <v>1240.7696099999989</v>
      </c>
    </row>
    <row r="264" spans="1:19" s="429" customFormat="1">
      <c r="A264" s="429" t="str">
        <f t="shared" si="25"/>
        <v>KU</v>
      </c>
      <c r="B264" s="429" t="str">
        <f t="shared" si="26"/>
        <v>TN</v>
      </c>
      <c r="C264" s="429" t="str">
        <f t="shared" si="27"/>
        <v>356</v>
      </c>
      <c r="D264" s="430" t="s">
        <v>1772</v>
      </c>
      <c r="E264" s="428" t="str">
        <f t="shared" si="28"/>
        <v/>
      </c>
      <c r="F264" s="429">
        <v>0</v>
      </c>
      <c r="G264" s="429">
        <v>0</v>
      </c>
      <c r="H264" s="429">
        <v>0</v>
      </c>
      <c r="I264" s="429">
        <v>3.5580000000000001E-2</v>
      </c>
      <c r="J264" s="429">
        <v>0</v>
      </c>
      <c r="K264" s="429">
        <v>0</v>
      </c>
      <c r="L264" s="429">
        <v>0</v>
      </c>
      <c r="M264" s="429">
        <v>0</v>
      </c>
      <c r="N264" s="429">
        <v>0</v>
      </c>
      <c r="O264" s="429">
        <v>0</v>
      </c>
      <c r="P264" s="429">
        <v>0</v>
      </c>
      <c r="Q264" s="429">
        <v>0</v>
      </c>
      <c r="R264" s="429">
        <v>0</v>
      </c>
      <c r="S264" s="429">
        <f t="shared" si="24"/>
        <v>3.5580000000000001E-2</v>
      </c>
    </row>
    <row r="265" spans="1:19" s="429" customFormat="1">
      <c r="A265" s="429" t="str">
        <f t="shared" si="25"/>
        <v>KU</v>
      </c>
      <c r="B265" s="429" t="str">
        <f t="shared" si="26"/>
        <v>VA</v>
      </c>
      <c r="C265" s="429" t="str">
        <f t="shared" si="27"/>
        <v>356</v>
      </c>
      <c r="D265" s="430" t="s">
        <v>1773</v>
      </c>
      <c r="E265" s="428" t="str">
        <f t="shared" si="28"/>
        <v/>
      </c>
      <c r="F265" s="429">
        <v>0</v>
      </c>
      <c r="G265" s="429">
        <v>24.46087</v>
      </c>
      <c r="H265" s="429">
        <v>25.08052</v>
      </c>
      <c r="I265" s="429">
        <v>0.64761000000000002</v>
      </c>
      <c r="J265" s="429">
        <v>0</v>
      </c>
      <c r="K265" s="429">
        <v>0</v>
      </c>
      <c r="L265" s="429">
        <v>0</v>
      </c>
      <c r="M265" s="429">
        <v>0</v>
      </c>
      <c r="N265" s="429">
        <v>0</v>
      </c>
      <c r="O265" s="429">
        <v>0</v>
      </c>
      <c r="P265" s="429">
        <v>0</v>
      </c>
      <c r="Q265" s="429">
        <v>0</v>
      </c>
      <c r="R265" s="429">
        <v>0</v>
      </c>
      <c r="S265" s="429">
        <f t="shared" si="24"/>
        <v>50.189</v>
      </c>
    </row>
    <row r="266" spans="1:19" s="429" customFormat="1">
      <c r="A266" s="429" t="str">
        <f t="shared" si="25"/>
        <v>KU</v>
      </c>
      <c r="B266" s="429" t="str">
        <f t="shared" si="26"/>
        <v>KY</v>
      </c>
      <c r="C266" s="429" t="str">
        <f t="shared" si="27"/>
        <v>359</v>
      </c>
      <c r="D266" s="430" t="s">
        <v>1776</v>
      </c>
      <c r="E266" s="428" t="str">
        <f t="shared" si="28"/>
        <v>ARO</v>
      </c>
      <c r="F266" s="429">
        <v>0</v>
      </c>
      <c r="G266" s="429">
        <v>0</v>
      </c>
      <c r="H266" s="429">
        <v>0</v>
      </c>
      <c r="I266" s="429">
        <v>0</v>
      </c>
      <c r="J266" s="429">
        <v>0</v>
      </c>
      <c r="K266" s="429">
        <v>5.5337399999999999</v>
      </c>
      <c r="L266" s="429">
        <v>0</v>
      </c>
      <c r="M266" s="429">
        <v>0</v>
      </c>
      <c r="N266" s="429">
        <v>0</v>
      </c>
      <c r="O266" s="429">
        <v>0</v>
      </c>
      <c r="P266" s="429">
        <v>0</v>
      </c>
      <c r="Q266" s="429">
        <v>0</v>
      </c>
      <c r="R266" s="429">
        <v>0</v>
      </c>
      <c r="S266" s="429">
        <f t="shared" si="24"/>
        <v>5.5337399999999999</v>
      </c>
    </row>
    <row r="267" spans="1:19" s="429" customFormat="1">
      <c r="A267" s="429" t="str">
        <f t="shared" si="25"/>
        <v>KU</v>
      </c>
      <c r="B267" s="429" t="str">
        <f t="shared" si="26"/>
        <v>KY</v>
      </c>
      <c r="C267" s="429" t="str">
        <f t="shared" si="27"/>
        <v>361</v>
      </c>
      <c r="D267" s="430" t="s">
        <v>1781</v>
      </c>
      <c r="E267" s="428" t="str">
        <f t="shared" si="28"/>
        <v/>
      </c>
      <c r="F267" s="429">
        <v>0</v>
      </c>
      <c r="G267" s="429">
        <v>0</v>
      </c>
      <c r="H267" s="429">
        <v>0</v>
      </c>
      <c r="I267" s="429">
        <v>0</v>
      </c>
      <c r="J267" s="429">
        <v>0</v>
      </c>
      <c r="K267" s="429">
        <v>54.514940000000003</v>
      </c>
      <c r="L267" s="429">
        <v>0</v>
      </c>
      <c r="M267" s="429">
        <v>0</v>
      </c>
      <c r="N267" s="429">
        <v>0</v>
      </c>
      <c r="O267" s="429">
        <v>0</v>
      </c>
      <c r="P267" s="429">
        <v>0</v>
      </c>
      <c r="Q267" s="429">
        <v>0</v>
      </c>
      <c r="R267" s="429">
        <v>0</v>
      </c>
      <c r="S267" s="429">
        <f t="shared" si="24"/>
        <v>54.514940000000003</v>
      </c>
    </row>
    <row r="268" spans="1:19" s="429" customFormat="1">
      <c r="A268" s="429" t="str">
        <f t="shared" si="25"/>
        <v>KU</v>
      </c>
      <c r="B268" s="429" t="str">
        <f t="shared" si="26"/>
        <v>KY</v>
      </c>
      <c r="C268" s="429" t="str">
        <f t="shared" si="27"/>
        <v>362</v>
      </c>
      <c r="D268" s="430" t="s">
        <v>1784</v>
      </c>
      <c r="E268" s="428" t="str">
        <f t="shared" si="28"/>
        <v/>
      </c>
      <c r="F268" s="429">
        <v>0.94482999999999995</v>
      </c>
      <c r="G268" s="429">
        <v>115.93715</v>
      </c>
      <c r="H268" s="429">
        <v>748.74143000000004</v>
      </c>
      <c r="I268" s="429">
        <v>62.506099999999897</v>
      </c>
      <c r="J268" s="429">
        <v>2.4874700000000001</v>
      </c>
      <c r="K268" s="429">
        <v>414.53231</v>
      </c>
      <c r="L268" s="429">
        <v>32.741160000000001</v>
      </c>
      <c r="M268" s="429">
        <v>0</v>
      </c>
      <c r="N268" s="429">
        <v>0</v>
      </c>
      <c r="O268" s="429">
        <v>0</v>
      </c>
      <c r="P268" s="429">
        <v>0</v>
      </c>
      <c r="Q268" s="429">
        <v>0</v>
      </c>
      <c r="R268" s="429">
        <v>0</v>
      </c>
      <c r="S268" s="429">
        <f t="shared" si="24"/>
        <v>1376.94562</v>
      </c>
    </row>
    <row r="269" spans="1:19" s="429" customFormat="1">
      <c r="A269" s="429" t="str">
        <f t="shared" si="25"/>
        <v>KU</v>
      </c>
      <c r="B269" s="429" t="str">
        <f t="shared" si="26"/>
        <v>VA</v>
      </c>
      <c r="C269" s="429" t="str">
        <f t="shared" si="27"/>
        <v>362</v>
      </c>
      <c r="D269" s="430" t="s">
        <v>1786</v>
      </c>
      <c r="E269" s="428" t="str">
        <f t="shared" si="28"/>
        <v/>
      </c>
      <c r="F269" s="429">
        <v>13.62879</v>
      </c>
      <c r="G269" s="429">
        <v>4.5339700000000001</v>
      </c>
      <c r="H269" s="429">
        <v>0</v>
      </c>
      <c r="I269" s="429">
        <v>0</v>
      </c>
      <c r="J269" s="429">
        <v>0</v>
      </c>
      <c r="K269" s="429">
        <v>13.238629999999899</v>
      </c>
      <c r="L269" s="429">
        <v>0</v>
      </c>
      <c r="M269" s="429">
        <v>0</v>
      </c>
      <c r="N269" s="429">
        <v>0</v>
      </c>
      <c r="O269" s="429">
        <v>0</v>
      </c>
      <c r="P269" s="429">
        <v>0</v>
      </c>
      <c r="Q269" s="429">
        <v>0</v>
      </c>
      <c r="R269" s="429">
        <v>0</v>
      </c>
      <c r="S269" s="429">
        <f t="shared" si="24"/>
        <v>17.772599999999898</v>
      </c>
    </row>
    <row r="270" spans="1:19" s="429" customFormat="1">
      <c r="A270" s="429" t="str">
        <f t="shared" si="25"/>
        <v>KU</v>
      </c>
      <c r="B270" s="429" t="str">
        <f t="shared" si="26"/>
        <v>KY</v>
      </c>
      <c r="C270" s="429" t="str">
        <f t="shared" si="27"/>
        <v>364</v>
      </c>
      <c r="D270" s="430" t="s">
        <v>1787</v>
      </c>
      <c r="E270" s="428" t="str">
        <f t="shared" si="28"/>
        <v/>
      </c>
      <c r="F270" s="429">
        <v>6.5412699999999999</v>
      </c>
      <c r="G270" s="429">
        <v>8.8384</v>
      </c>
      <c r="H270" s="429">
        <v>58.891120000000001</v>
      </c>
      <c r="I270" s="429">
        <v>31.811</v>
      </c>
      <c r="J270" s="429">
        <v>120.9294</v>
      </c>
      <c r="K270" s="429">
        <v>415.50335999999999</v>
      </c>
      <c r="L270" s="429">
        <v>510.02039000000002</v>
      </c>
      <c r="M270" s="429">
        <v>0</v>
      </c>
      <c r="N270" s="429">
        <v>0</v>
      </c>
      <c r="O270" s="429">
        <v>0</v>
      </c>
      <c r="P270" s="429">
        <v>0</v>
      </c>
      <c r="Q270" s="429">
        <v>0</v>
      </c>
      <c r="R270" s="429">
        <v>0</v>
      </c>
      <c r="S270" s="429">
        <f t="shared" si="24"/>
        <v>1145.9936699999998</v>
      </c>
    </row>
    <row r="271" spans="1:19" s="429" customFormat="1">
      <c r="A271" s="429" t="str">
        <f t="shared" si="25"/>
        <v>KU</v>
      </c>
      <c r="B271" s="429" t="str">
        <f t="shared" si="26"/>
        <v>VA</v>
      </c>
      <c r="C271" s="429" t="str">
        <f t="shared" si="27"/>
        <v>364</v>
      </c>
      <c r="D271" s="430" t="s">
        <v>1789</v>
      </c>
      <c r="E271" s="428" t="str">
        <f t="shared" si="28"/>
        <v/>
      </c>
      <c r="F271" s="429">
        <v>13.5007</v>
      </c>
      <c r="G271" s="429">
        <v>0</v>
      </c>
      <c r="H271" s="429">
        <v>0</v>
      </c>
      <c r="I271" s="429">
        <v>3.7033999999999998</v>
      </c>
      <c r="J271" s="429">
        <v>13.937279999999999</v>
      </c>
      <c r="K271" s="429">
        <v>27.935289999999998</v>
      </c>
      <c r="L271" s="429">
        <v>46.003749999999997</v>
      </c>
      <c r="M271" s="429">
        <v>0</v>
      </c>
      <c r="N271" s="429">
        <v>0</v>
      </c>
      <c r="O271" s="429">
        <v>0</v>
      </c>
      <c r="P271" s="429">
        <v>0</v>
      </c>
      <c r="Q271" s="429">
        <v>0</v>
      </c>
      <c r="R271" s="429">
        <v>0</v>
      </c>
      <c r="S271" s="429">
        <f t="shared" si="24"/>
        <v>91.579719999999995</v>
      </c>
    </row>
    <row r="272" spans="1:19" s="429" customFormat="1">
      <c r="A272" s="429" t="str">
        <f t="shared" si="25"/>
        <v>KU</v>
      </c>
      <c r="B272" s="429" t="str">
        <f t="shared" si="26"/>
        <v>KY</v>
      </c>
      <c r="C272" s="429" t="str">
        <f t="shared" si="27"/>
        <v>365</v>
      </c>
      <c r="D272" s="430" t="s">
        <v>1790</v>
      </c>
      <c r="E272" s="428" t="str">
        <f t="shared" si="28"/>
        <v/>
      </c>
      <c r="F272" s="429">
        <v>30.942910000000001</v>
      </c>
      <c r="G272" s="429">
        <v>177.77372</v>
      </c>
      <c r="H272" s="429">
        <v>183.62656000000001</v>
      </c>
      <c r="I272" s="429">
        <v>160.40197000000001</v>
      </c>
      <c r="J272" s="429">
        <v>919.67421000000002</v>
      </c>
      <c r="K272" s="429">
        <v>2491.6768299999999</v>
      </c>
      <c r="L272" s="429">
        <v>1748.4558500000001</v>
      </c>
      <c r="M272" s="429">
        <v>0</v>
      </c>
      <c r="N272" s="429">
        <v>0</v>
      </c>
      <c r="O272" s="429">
        <v>0</v>
      </c>
      <c r="P272" s="429">
        <v>0</v>
      </c>
      <c r="Q272" s="429">
        <v>0</v>
      </c>
      <c r="R272" s="429">
        <v>0</v>
      </c>
      <c r="S272" s="429">
        <f t="shared" si="24"/>
        <v>5681.6091399999996</v>
      </c>
    </row>
    <row r="273" spans="1:19" s="429" customFormat="1">
      <c r="A273" s="429" t="str">
        <f t="shared" si="25"/>
        <v>KU</v>
      </c>
      <c r="B273" s="429" t="str">
        <f t="shared" si="26"/>
        <v>VA</v>
      </c>
      <c r="C273" s="429" t="str">
        <f t="shared" si="27"/>
        <v>365</v>
      </c>
      <c r="D273" s="430" t="s">
        <v>1792</v>
      </c>
      <c r="E273" s="428" t="str">
        <f t="shared" si="28"/>
        <v/>
      </c>
      <c r="F273" s="429">
        <v>71.728789999999904</v>
      </c>
      <c r="G273" s="429">
        <v>0</v>
      </c>
      <c r="H273" s="429">
        <v>0.99956999999999996</v>
      </c>
      <c r="I273" s="429">
        <v>26.337419999999899</v>
      </c>
      <c r="J273" s="429">
        <v>112.618789999999</v>
      </c>
      <c r="K273" s="429">
        <v>109.08522000000001</v>
      </c>
      <c r="L273" s="429">
        <v>58.237900000000003</v>
      </c>
      <c r="M273" s="429">
        <v>0</v>
      </c>
      <c r="N273" s="429">
        <v>0</v>
      </c>
      <c r="O273" s="429">
        <v>0</v>
      </c>
      <c r="P273" s="429">
        <v>0</v>
      </c>
      <c r="Q273" s="429">
        <v>0</v>
      </c>
      <c r="R273" s="429">
        <v>0</v>
      </c>
      <c r="S273" s="429">
        <f t="shared" si="24"/>
        <v>307.27889999999894</v>
      </c>
    </row>
    <row r="274" spans="1:19" s="429" customFormat="1">
      <c r="A274" s="429" t="str">
        <f t="shared" si="25"/>
        <v>KU</v>
      </c>
      <c r="B274" s="429" t="str">
        <f t="shared" si="26"/>
        <v>KY</v>
      </c>
      <c r="C274" s="429" t="str">
        <f t="shared" si="27"/>
        <v>367</v>
      </c>
      <c r="D274" s="430" t="s">
        <v>1794</v>
      </c>
      <c r="E274" s="428" t="str">
        <f t="shared" si="28"/>
        <v/>
      </c>
      <c r="F274" s="429">
        <v>10.217040000000001</v>
      </c>
      <c r="G274" s="429">
        <v>71.142390000000006</v>
      </c>
      <c r="H274" s="429">
        <v>-1.7680100000000001</v>
      </c>
      <c r="I274" s="429">
        <v>0</v>
      </c>
      <c r="J274" s="429">
        <v>127.00945</v>
      </c>
      <c r="K274" s="429">
        <v>212.50706</v>
      </c>
      <c r="L274" s="429">
        <v>52.396419999999999</v>
      </c>
      <c r="M274" s="429">
        <v>0</v>
      </c>
      <c r="N274" s="429">
        <v>0</v>
      </c>
      <c r="O274" s="429">
        <v>0</v>
      </c>
      <c r="P274" s="429">
        <v>0</v>
      </c>
      <c r="Q274" s="429">
        <v>0</v>
      </c>
      <c r="R274" s="429">
        <v>0</v>
      </c>
      <c r="S274" s="429">
        <f t="shared" si="24"/>
        <v>461.28730999999999</v>
      </c>
    </row>
    <row r="275" spans="1:19" s="429" customFormat="1">
      <c r="A275" s="429" t="str">
        <f t="shared" si="25"/>
        <v>KU</v>
      </c>
      <c r="B275" s="429" t="str">
        <f t="shared" si="26"/>
        <v>VA</v>
      </c>
      <c r="C275" s="429" t="str">
        <f t="shared" si="27"/>
        <v>367</v>
      </c>
      <c r="D275" s="430" t="s">
        <v>1795</v>
      </c>
      <c r="E275" s="428" t="str">
        <f t="shared" si="28"/>
        <v/>
      </c>
      <c r="F275" s="429">
        <v>0</v>
      </c>
      <c r="G275" s="429">
        <v>0</v>
      </c>
      <c r="H275" s="429">
        <v>0</v>
      </c>
      <c r="I275" s="429">
        <v>0</v>
      </c>
      <c r="J275" s="429">
        <v>0.99229000000000001</v>
      </c>
      <c r="K275" s="429">
        <v>4.0563399999999996</v>
      </c>
      <c r="L275" s="429">
        <v>0</v>
      </c>
      <c r="M275" s="429">
        <v>0</v>
      </c>
      <c r="N275" s="429">
        <v>0</v>
      </c>
      <c r="O275" s="429">
        <v>0</v>
      </c>
      <c r="P275" s="429">
        <v>0</v>
      </c>
      <c r="Q275" s="429">
        <v>0</v>
      </c>
      <c r="R275" s="429">
        <v>0</v>
      </c>
      <c r="S275" s="429">
        <f t="shared" si="24"/>
        <v>5.0486299999999993</v>
      </c>
    </row>
    <row r="276" spans="1:19" s="429" customFormat="1">
      <c r="A276" s="429" t="str">
        <f t="shared" si="25"/>
        <v>KU</v>
      </c>
      <c r="B276" s="429" t="str">
        <f t="shared" si="26"/>
        <v>KY</v>
      </c>
      <c r="C276" s="429" t="str">
        <f t="shared" si="27"/>
        <v>368</v>
      </c>
      <c r="D276" s="430" t="s">
        <v>1796</v>
      </c>
      <c r="E276" s="428" t="str">
        <f t="shared" si="28"/>
        <v/>
      </c>
      <c r="F276" s="429">
        <v>0</v>
      </c>
      <c r="G276" s="429">
        <v>0</v>
      </c>
      <c r="H276" s="429">
        <v>1.73434</v>
      </c>
      <c r="I276" s="429">
        <v>102.75529</v>
      </c>
      <c r="J276" s="429">
        <v>227.75089</v>
      </c>
      <c r="K276" s="429">
        <v>0</v>
      </c>
      <c r="L276" s="429">
        <v>0</v>
      </c>
      <c r="M276" s="429">
        <v>0</v>
      </c>
      <c r="N276" s="429">
        <v>0</v>
      </c>
      <c r="O276" s="429">
        <v>0</v>
      </c>
      <c r="P276" s="429">
        <v>0</v>
      </c>
      <c r="Q276" s="429">
        <v>0</v>
      </c>
      <c r="R276" s="429">
        <v>0</v>
      </c>
      <c r="S276" s="429">
        <f t="shared" si="24"/>
        <v>332.24052</v>
      </c>
    </row>
    <row r="277" spans="1:19" s="429" customFormat="1">
      <c r="A277" s="429" t="str">
        <f t="shared" si="25"/>
        <v>KU</v>
      </c>
      <c r="B277" s="429" t="str">
        <f t="shared" si="26"/>
        <v>VA</v>
      </c>
      <c r="C277" s="429" t="str">
        <f t="shared" si="27"/>
        <v>368</v>
      </c>
      <c r="D277" s="430" t="s">
        <v>1798</v>
      </c>
      <c r="E277" s="428" t="str">
        <f t="shared" si="28"/>
        <v/>
      </c>
      <c r="F277" s="429">
        <v>0</v>
      </c>
      <c r="G277" s="429">
        <v>0</v>
      </c>
      <c r="H277" s="429">
        <v>0</v>
      </c>
      <c r="I277" s="429">
        <v>10.021799999999899</v>
      </c>
      <c r="J277" s="429">
        <v>59.633519999999997</v>
      </c>
      <c r="K277" s="429">
        <v>0</v>
      </c>
      <c r="L277" s="429">
        <v>0</v>
      </c>
      <c r="M277" s="429">
        <v>0</v>
      </c>
      <c r="N277" s="429">
        <v>0</v>
      </c>
      <c r="O277" s="429">
        <v>0</v>
      </c>
      <c r="P277" s="429">
        <v>0</v>
      </c>
      <c r="Q277" s="429">
        <v>0</v>
      </c>
      <c r="R277" s="429">
        <v>0</v>
      </c>
      <c r="S277" s="429">
        <f t="shared" si="24"/>
        <v>69.655319999999904</v>
      </c>
    </row>
    <row r="278" spans="1:19" s="429" customFormat="1">
      <c r="A278" s="429" t="str">
        <f t="shared" si="25"/>
        <v>KU</v>
      </c>
      <c r="B278" s="429" t="str">
        <f t="shared" si="26"/>
        <v>KY</v>
      </c>
      <c r="C278" s="429" t="str">
        <f t="shared" si="27"/>
        <v>370</v>
      </c>
      <c r="D278" s="430" t="s">
        <v>1802</v>
      </c>
      <c r="E278" s="428" t="str">
        <f t="shared" si="28"/>
        <v/>
      </c>
      <c r="F278" s="429">
        <v>0</v>
      </c>
      <c r="G278" s="429">
        <v>0</v>
      </c>
      <c r="H278" s="429">
        <v>0</v>
      </c>
      <c r="I278" s="429">
        <v>115.19354</v>
      </c>
      <c r="J278" s="429">
        <v>7.4607200000000002</v>
      </c>
      <c r="K278" s="429">
        <v>0</v>
      </c>
      <c r="L278" s="429">
        <v>0</v>
      </c>
      <c r="M278" s="429">
        <v>0</v>
      </c>
      <c r="N278" s="429">
        <v>0</v>
      </c>
      <c r="O278" s="429">
        <v>0</v>
      </c>
      <c r="P278" s="429">
        <v>0</v>
      </c>
      <c r="Q278" s="429">
        <v>0</v>
      </c>
      <c r="R278" s="429">
        <v>0</v>
      </c>
      <c r="S278" s="429">
        <f t="shared" si="24"/>
        <v>122.65425999999999</v>
      </c>
    </row>
    <row r="279" spans="1:19" s="429" customFormat="1">
      <c r="A279" s="429" t="str">
        <f t="shared" si="25"/>
        <v>KU</v>
      </c>
      <c r="B279" s="429" t="str">
        <f t="shared" si="26"/>
        <v>VA</v>
      </c>
      <c r="C279" s="429" t="str">
        <f t="shared" si="27"/>
        <v>370</v>
      </c>
      <c r="D279" s="430" t="s">
        <v>1804</v>
      </c>
      <c r="E279" s="428" t="str">
        <f t="shared" si="28"/>
        <v/>
      </c>
      <c r="F279" s="429">
        <v>0</v>
      </c>
      <c r="G279" s="429">
        <v>0</v>
      </c>
      <c r="H279" s="429">
        <v>0</v>
      </c>
      <c r="I279" s="429">
        <v>7.8324999999999996</v>
      </c>
      <c r="J279" s="429">
        <v>0</v>
      </c>
      <c r="K279" s="429">
        <v>0</v>
      </c>
      <c r="L279" s="429">
        <v>0</v>
      </c>
      <c r="M279" s="429">
        <v>0</v>
      </c>
      <c r="N279" s="429">
        <v>0</v>
      </c>
      <c r="O279" s="429">
        <v>0</v>
      </c>
      <c r="P279" s="429">
        <v>0</v>
      </c>
      <c r="Q279" s="429">
        <v>0</v>
      </c>
      <c r="R279" s="429">
        <v>0</v>
      </c>
      <c r="S279" s="429">
        <f t="shared" si="24"/>
        <v>7.8324999999999996</v>
      </c>
    </row>
    <row r="280" spans="1:19" s="429" customFormat="1">
      <c r="A280" s="429" t="str">
        <f t="shared" si="25"/>
        <v>KU</v>
      </c>
      <c r="B280" s="429" t="str">
        <f t="shared" si="26"/>
        <v>KY</v>
      </c>
      <c r="C280" s="429" t="str">
        <f t="shared" si="27"/>
        <v>373</v>
      </c>
      <c r="D280" s="430" t="s">
        <v>1806</v>
      </c>
      <c r="E280" s="428" t="str">
        <f t="shared" si="28"/>
        <v/>
      </c>
      <c r="F280" s="429">
        <v>10.001989999999999</v>
      </c>
      <c r="G280" s="429">
        <v>0</v>
      </c>
      <c r="H280" s="429">
        <v>3.1924699999999899</v>
      </c>
      <c r="I280" s="429">
        <v>0</v>
      </c>
      <c r="J280" s="429">
        <v>44.323480000000004</v>
      </c>
      <c r="K280" s="429">
        <v>17.552610000000001</v>
      </c>
      <c r="L280" s="429">
        <v>13.6242</v>
      </c>
      <c r="M280" s="429">
        <v>0</v>
      </c>
      <c r="N280" s="429">
        <v>0</v>
      </c>
      <c r="O280" s="429">
        <v>0</v>
      </c>
      <c r="P280" s="429">
        <v>0</v>
      </c>
      <c r="Q280" s="429">
        <v>0</v>
      </c>
      <c r="R280" s="429">
        <v>0</v>
      </c>
      <c r="S280" s="429">
        <f t="shared" si="24"/>
        <v>78.692759999999993</v>
      </c>
    </row>
    <row r="281" spans="1:19" s="429" customFormat="1">
      <c r="A281" s="429" t="str">
        <f t="shared" si="25"/>
        <v>KU</v>
      </c>
      <c r="B281" s="429" t="str">
        <f t="shared" si="26"/>
        <v>VA</v>
      </c>
      <c r="C281" s="429" t="str">
        <f t="shared" si="27"/>
        <v>373</v>
      </c>
      <c r="D281" s="430" t="s">
        <v>1807</v>
      </c>
      <c r="E281" s="428" t="str">
        <f t="shared" si="28"/>
        <v/>
      </c>
      <c r="F281" s="429">
        <v>0</v>
      </c>
      <c r="G281" s="429">
        <v>0</v>
      </c>
      <c r="H281" s="429">
        <v>0</v>
      </c>
      <c r="I281" s="429">
        <v>0.26967999999999998</v>
      </c>
      <c r="J281" s="429">
        <v>0</v>
      </c>
      <c r="K281" s="429">
        <v>22.471619999999898</v>
      </c>
      <c r="L281" s="429">
        <v>0.87934999999999997</v>
      </c>
      <c r="M281" s="429">
        <v>0</v>
      </c>
      <c r="N281" s="429">
        <v>0</v>
      </c>
      <c r="O281" s="429">
        <v>0</v>
      </c>
      <c r="P281" s="429">
        <v>0</v>
      </c>
      <c r="Q281" s="429">
        <v>0</v>
      </c>
      <c r="R281" s="429">
        <v>0</v>
      </c>
      <c r="S281" s="429">
        <f t="shared" si="24"/>
        <v>23.620649999999898</v>
      </c>
    </row>
    <row r="282" spans="1:19" s="429" customFormat="1">
      <c r="A282" s="429" t="str">
        <f t="shared" si="25"/>
        <v>KU</v>
      </c>
      <c r="B282" s="429" t="str">
        <f t="shared" si="26"/>
        <v>KY</v>
      </c>
      <c r="C282" s="429" t="str">
        <f t="shared" si="27"/>
        <v>374</v>
      </c>
      <c r="D282" s="430" t="s">
        <v>1808</v>
      </c>
      <c r="E282" s="428" t="str">
        <f t="shared" si="28"/>
        <v>ARO</v>
      </c>
      <c r="F282" s="429">
        <v>0</v>
      </c>
      <c r="G282" s="429">
        <v>0</v>
      </c>
      <c r="H282" s="429">
        <v>0</v>
      </c>
      <c r="I282" s="429">
        <v>0</v>
      </c>
      <c r="J282" s="429">
        <v>0</v>
      </c>
      <c r="K282" s="429">
        <v>2.1770200000000002</v>
      </c>
      <c r="L282" s="429">
        <v>9.7261600000000001</v>
      </c>
      <c r="M282" s="429">
        <v>0</v>
      </c>
      <c r="N282" s="429">
        <v>0</v>
      </c>
      <c r="O282" s="429">
        <v>0</v>
      </c>
      <c r="P282" s="429">
        <v>0</v>
      </c>
      <c r="Q282" s="429">
        <v>0</v>
      </c>
      <c r="R282" s="429">
        <v>0</v>
      </c>
      <c r="S282" s="429">
        <f t="shared" si="24"/>
        <v>11.903180000000001</v>
      </c>
    </row>
    <row r="283" spans="1:19" s="429" customFormat="1">
      <c r="A283" s="429" t="str">
        <f t="shared" si="25"/>
        <v>KU</v>
      </c>
      <c r="B283" s="429" t="str">
        <f t="shared" si="26"/>
        <v>KY</v>
      </c>
      <c r="C283" s="429" t="str">
        <f t="shared" si="27"/>
        <v>390</v>
      </c>
      <c r="D283" s="430" t="s">
        <v>1811</v>
      </c>
      <c r="E283" s="428" t="str">
        <f t="shared" si="28"/>
        <v/>
      </c>
      <c r="F283" s="429">
        <v>0</v>
      </c>
      <c r="G283" s="429">
        <v>0</v>
      </c>
      <c r="H283" s="429">
        <v>0</v>
      </c>
      <c r="I283" s="429">
        <v>0</v>
      </c>
      <c r="J283" s="429">
        <v>0</v>
      </c>
      <c r="K283" s="429">
        <v>0</v>
      </c>
      <c r="L283" s="429">
        <v>15.574529999999999</v>
      </c>
      <c r="M283" s="429">
        <v>0</v>
      </c>
      <c r="N283" s="429">
        <v>0</v>
      </c>
      <c r="O283" s="429">
        <v>0</v>
      </c>
      <c r="P283" s="429">
        <v>0</v>
      </c>
      <c r="Q283" s="429">
        <v>0</v>
      </c>
      <c r="R283" s="429">
        <v>0</v>
      </c>
      <c r="S283" s="429">
        <f t="shared" si="24"/>
        <v>15.574529999999999</v>
      </c>
    </row>
    <row r="284" spans="1:19" s="429" customFormat="1">
      <c r="A284" s="429" t="str">
        <f t="shared" si="25"/>
        <v>KU</v>
      </c>
      <c r="B284" s="429" t="str">
        <f t="shared" si="26"/>
        <v>KY</v>
      </c>
      <c r="C284" s="429" t="str">
        <f t="shared" si="27"/>
        <v>390</v>
      </c>
      <c r="D284" s="430" t="s">
        <v>1812</v>
      </c>
      <c r="E284" s="428" t="str">
        <f t="shared" si="28"/>
        <v/>
      </c>
      <c r="F284" s="429">
        <v>12.92381</v>
      </c>
      <c r="G284" s="429">
        <v>9.2088099999999997</v>
      </c>
      <c r="H284" s="429">
        <v>21.681650000000001</v>
      </c>
      <c r="I284" s="429">
        <v>14.96674</v>
      </c>
      <c r="J284" s="429">
        <v>37.091149999999999</v>
      </c>
      <c r="K284" s="429">
        <v>18.422619999999998</v>
      </c>
      <c r="L284" s="429">
        <v>165.04115999999999</v>
      </c>
      <c r="M284" s="429">
        <v>0</v>
      </c>
      <c r="N284" s="429">
        <v>0</v>
      </c>
      <c r="O284" s="429">
        <v>0</v>
      </c>
      <c r="P284" s="429">
        <v>0</v>
      </c>
      <c r="Q284" s="429">
        <v>0</v>
      </c>
      <c r="R284" s="429">
        <v>0</v>
      </c>
      <c r="S284" s="429">
        <f t="shared" si="24"/>
        <v>266.41212999999999</v>
      </c>
    </row>
    <row r="285" spans="1:19" s="429" customFormat="1">
      <c r="A285" s="429" t="str">
        <f t="shared" si="25"/>
        <v>KU</v>
      </c>
      <c r="B285" s="429" t="str">
        <f t="shared" si="26"/>
        <v>VA</v>
      </c>
      <c r="C285" s="429" t="str">
        <f t="shared" si="27"/>
        <v>390</v>
      </c>
      <c r="D285" s="430" t="s">
        <v>1813</v>
      </c>
      <c r="E285" s="428" t="str">
        <f t="shared" si="28"/>
        <v/>
      </c>
      <c r="F285" s="429">
        <v>0</v>
      </c>
      <c r="G285" s="429">
        <v>0</v>
      </c>
      <c r="H285" s="429">
        <v>7.1957599999999999</v>
      </c>
      <c r="I285" s="429">
        <v>0</v>
      </c>
      <c r="J285" s="429">
        <v>0</v>
      </c>
      <c r="K285" s="429">
        <v>0</v>
      </c>
      <c r="L285" s="429">
        <v>0</v>
      </c>
      <c r="M285" s="429">
        <v>0</v>
      </c>
      <c r="N285" s="429">
        <v>0</v>
      </c>
      <c r="O285" s="429">
        <v>0</v>
      </c>
      <c r="P285" s="429">
        <v>0</v>
      </c>
      <c r="Q285" s="429">
        <v>0</v>
      </c>
      <c r="R285" s="429">
        <v>0</v>
      </c>
      <c r="S285" s="429">
        <f t="shared" si="24"/>
        <v>7.1957599999999999</v>
      </c>
    </row>
    <row r="286" spans="1:19" s="429" customFormat="1">
      <c r="A286" s="429" t="str">
        <f t="shared" si="25"/>
        <v>KU</v>
      </c>
      <c r="B286" s="429" t="str">
        <f t="shared" si="26"/>
        <v>KY</v>
      </c>
      <c r="C286" s="429" t="str">
        <f t="shared" si="27"/>
        <v>391</v>
      </c>
      <c r="D286" s="430" t="s">
        <v>1814</v>
      </c>
      <c r="E286" s="428" t="str">
        <f t="shared" si="28"/>
        <v/>
      </c>
      <c r="F286" s="429">
        <v>0</v>
      </c>
      <c r="G286" s="429">
        <v>0</v>
      </c>
      <c r="H286" s="429">
        <v>75.646060000000006</v>
      </c>
      <c r="I286" s="429">
        <v>0</v>
      </c>
      <c r="J286" s="429">
        <v>0</v>
      </c>
      <c r="K286" s="429">
        <v>0</v>
      </c>
      <c r="L286" s="429">
        <v>0</v>
      </c>
      <c r="M286" s="429">
        <v>47.640259999999998</v>
      </c>
      <c r="N286" s="429">
        <v>92.55865</v>
      </c>
      <c r="O286" s="429">
        <v>0</v>
      </c>
      <c r="P286" s="429">
        <v>22.340019999999999</v>
      </c>
      <c r="Q286" s="429">
        <v>768.83636999999999</v>
      </c>
      <c r="R286" s="429">
        <v>106.68537999999999</v>
      </c>
      <c r="S286" s="429">
        <f t="shared" si="24"/>
        <v>1113.7067399999999</v>
      </c>
    </row>
    <row r="287" spans="1:19" s="429" customFormat="1">
      <c r="A287" s="429" t="str">
        <f t="shared" si="25"/>
        <v>KU</v>
      </c>
      <c r="B287" s="429" t="str">
        <f t="shared" si="26"/>
        <v>KY</v>
      </c>
      <c r="C287" s="429" t="str">
        <f t="shared" si="27"/>
        <v>391</v>
      </c>
      <c r="D287" s="430" t="s">
        <v>1815</v>
      </c>
      <c r="E287" s="428" t="str">
        <f t="shared" si="28"/>
        <v/>
      </c>
      <c r="F287" s="429">
        <v>88.152050000000003</v>
      </c>
      <c r="G287" s="429">
        <v>156.00572</v>
      </c>
      <c r="H287" s="429">
        <v>399.02172999999999</v>
      </c>
      <c r="I287" s="429">
        <v>148.23259999999999</v>
      </c>
      <c r="J287" s="429">
        <v>921.50252999999998</v>
      </c>
      <c r="K287" s="429">
        <v>519.03511000000003</v>
      </c>
      <c r="L287" s="429">
        <v>71.253140000000002</v>
      </c>
      <c r="M287" s="429">
        <v>635.33655999999996</v>
      </c>
      <c r="N287" s="429">
        <v>32.726239999999997</v>
      </c>
      <c r="O287" s="429">
        <v>25.091609999999999</v>
      </c>
      <c r="P287" s="429">
        <v>583.59086000000002</v>
      </c>
      <c r="Q287" s="429">
        <v>0</v>
      </c>
      <c r="R287" s="429">
        <v>0</v>
      </c>
      <c r="S287" s="429">
        <f t="shared" si="24"/>
        <v>3491.7960999999996</v>
      </c>
    </row>
    <row r="288" spans="1:19" s="429" customFormat="1">
      <c r="A288" s="429" t="str">
        <f t="shared" si="25"/>
        <v>KU</v>
      </c>
      <c r="B288" s="429" t="str">
        <f t="shared" si="26"/>
        <v>KY</v>
      </c>
      <c r="C288" s="429" t="str">
        <f t="shared" si="27"/>
        <v>392</v>
      </c>
      <c r="D288" s="430" t="s">
        <v>1818</v>
      </c>
      <c r="E288" s="428" t="str">
        <f t="shared" si="28"/>
        <v/>
      </c>
      <c r="F288" s="429">
        <v>0</v>
      </c>
      <c r="G288" s="429">
        <v>0</v>
      </c>
      <c r="H288" s="429">
        <v>214.78165000000001</v>
      </c>
      <c r="I288" s="429">
        <v>0</v>
      </c>
      <c r="J288" s="429">
        <v>0</v>
      </c>
      <c r="K288" s="429">
        <v>0</v>
      </c>
      <c r="L288" s="429">
        <v>0</v>
      </c>
      <c r="M288" s="429">
        <v>0</v>
      </c>
      <c r="N288" s="429">
        <v>0</v>
      </c>
      <c r="O288" s="429">
        <v>0</v>
      </c>
      <c r="P288" s="429">
        <v>0</v>
      </c>
      <c r="Q288" s="429">
        <v>0</v>
      </c>
      <c r="R288" s="429">
        <v>0</v>
      </c>
      <c r="S288" s="429">
        <f t="shared" si="24"/>
        <v>214.78165000000001</v>
      </c>
    </row>
    <row r="289" spans="1:19" s="429" customFormat="1">
      <c r="A289" s="429" t="str">
        <f t="shared" si="25"/>
        <v>KU</v>
      </c>
      <c r="B289" s="429" t="str">
        <f t="shared" si="26"/>
        <v>KY</v>
      </c>
      <c r="C289" s="429" t="str">
        <f t="shared" si="27"/>
        <v>393</v>
      </c>
      <c r="D289" s="430" t="s">
        <v>1819</v>
      </c>
      <c r="E289" s="428" t="str">
        <f t="shared" si="28"/>
        <v/>
      </c>
      <c r="F289" s="429">
        <v>0</v>
      </c>
      <c r="G289" s="429">
        <v>0</v>
      </c>
      <c r="H289" s="429">
        <v>0</v>
      </c>
      <c r="I289" s="429">
        <v>0</v>
      </c>
      <c r="J289" s="429">
        <v>0</v>
      </c>
      <c r="K289" s="429">
        <v>0</v>
      </c>
      <c r="L289" s="429">
        <v>0</v>
      </c>
      <c r="M289" s="429">
        <v>0</v>
      </c>
      <c r="N289" s="429">
        <v>0</v>
      </c>
      <c r="O289" s="429">
        <v>6.8484400000000001</v>
      </c>
      <c r="P289" s="429">
        <v>0</v>
      </c>
      <c r="Q289" s="429">
        <v>0</v>
      </c>
      <c r="R289" s="429">
        <v>0</v>
      </c>
      <c r="S289" s="429">
        <f t="shared" si="24"/>
        <v>6.8484400000000001</v>
      </c>
    </row>
    <row r="290" spans="1:19" s="429" customFormat="1">
      <c r="A290" s="429" t="str">
        <f t="shared" si="25"/>
        <v>KU</v>
      </c>
      <c r="B290" s="429" t="str">
        <f t="shared" si="26"/>
        <v>VA</v>
      </c>
      <c r="C290" s="429" t="str">
        <f t="shared" si="27"/>
        <v>393</v>
      </c>
      <c r="D290" s="430" t="s">
        <v>1820</v>
      </c>
      <c r="E290" s="428" t="str">
        <f t="shared" si="28"/>
        <v/>
      </c>
      <c r="F290" s="429">
        <v>0</v>
      </c>
      <c r="G290" s="429">
        <v>0</v>
      </c>
      <c r="H290" s="429">
        <v>0</v>
      </c>
      <c r="I290" s="429">
        <v>0</v>
      </c>
      <c r="J290" s="429">
        <v>0</v>
      </c>
      <c r="K290" s="429">
        <v>0</v>
      </c>
      <c r="L290" s="429">
        <v>0</v>
      </c>
      <c r="M290" s="429">
        <v>0</v>
      </c>
      <c r="N290" s="429">
        <v>0</v>
      </c>
      <c r="O290" s="429">
        <v>3.64967</v>
      </c>
      <c r="P290" s="429">
        <v>0</v>
      </c>
      <c r="Q290" s="429">
        <v>0</v>
      </c>
      <c r="R290" s="429">
        <v>0</v>
      </c>
      <c r="S290" s="429">
        <f t="shared" si="24"/>
        <v>3.64967</v>
      </c>
    </row>
    <row r="291" spans="1:19" s="429" customFormat="1">
      <c r="A291" s="429" t="str">
        <f t="shared" si="25"/>
        <v>KU</v>
      </c>
      <c r="B291" s="429" t="str">
        <f t="shared" si="26"/>
        <v>KY</v>
      </c>
      <c r="C291" s="429" t="str">
        <f t="shared" si="27"/>
        <v>394</v>
      </c>
      <c r="D291" s="430" t="s">
        <v>1821</v>
      </c>
      <c r="E291" s="428" t="str">
        <f t="shared" si="28"/>
        <v/>
      </c>
      <c r="F291" s="429">
        <v>7.7416999999999998</v>
      </c>
      <c r="G291" s="429">
        <v>0</v>
      </c>
      <c r="H291" s="429">
        <v>4.9243399999999999</v>
      </c>
      <c r="I291" s="429">
        <v>1.9129700000000001</v>
      </c>
      <c r="J291" s="429">
        <v>2.18115999999999</v>
      </c>
      <c r="K291" s="429">
        <v>13.40573</v>
      </c>
      <c r="L291" s="429">
        <v>4.8656300000000003</v>
      </c>
      <c r="M291" s="429">
        <v>10.55387</v>
      </c>
      <c r="N291" s="429">
        <v>0</v>
      </c>
      <c r="O291" s="429">
        <v>12.296469999999999</v>
      </c>
      <c r="P291" s="429">
        <v>0</v>
      </c>
      <c r="Q291" s="429">
        <v>0</v>
      </c>
      <c r="R291" s="429">
        <v>4.7250699999999997</v>
      </c>
      <c r="S291" s="429">
        <f t="shared" si="24"/>
        <v>54.865239999999993</v>
      </c>
    </row>
    <row r="292" spans="1:19" s="429" customFormat="1">
      <c r="A292" s="429" t="str">
        <f t="shared" si="25"/>
        <v>KU</v>
      </c>
      <c r="B292" s="429" t="str">
        <f t="shared" si="26"/>
        <v>VA</v>
      </c>
      <c r="C292" s="429" t="str">
        <f t="shared" si="27"/>
        <v>394</v>
      </c>
      <c r="D292" s="430" t="s">
        <v>1822</v>
      </c>
      <c r="E292" s="428" t="str">
        <f t="shared" si="28"/>
        <v/>
      </c>
      <c r="F292" s="429">
        <v>0</v>
      </c>
      <c r="G292" s="429">
        <v>0</v>
      </c>
      <c r="H292" s="429">
        <v>0</v>
      </c>
      <c r="I292" s="429">
        <v>0</v>
      </c>
      <c r="J292" s="429">
        <v>0</v>
      </c>
      <c r="K292" s="429">
        <v>0</v>
      </c>
      <c r="L292" s="429">
        <v>0</v>
      </c>
      <c r="M292" s="429">
        <v>0</v>
      </c>
      <c r="N292" s="429">
        <v>0</v>
      </c>
      <c r="O292" s="429">
        <v>6.2433100000000001</v>
      </c>
      <c r="P292" s="429">
        <v>0</v>
      </c>
      <c r="Q292" s="429">
        <v>0</v>
      </c>
      <c r="R292" s="429">
        <v>0</v>
      </c>
      <c r="S292" s="429">
        <f t="shared" si="24"/>
        <v>6.2433100000000001</v>
      </c>
    </row>
    <row r="293" spans="1:19" s="429" customFormat="1">
      <c r="D293" s="430"/>
      <c r="E293" s="428"/>
    </row>
    <row r="294" spans="1:19" s="429" customFormat="1">
      <c r="D294" s="430"/>
      <c r="E294" s="428"/>
    </row>
    <row r="295" spans="1:19" s="429" customFormat="1">
      <c r="D295" s="430"/>
      <c r="E295" s="428"/>
    </row>
    <row r="296" spans="1:19" s="429" customFormat="1">
      <c r="D296" s="430"/>
      <c r="E296" s="428"/>
    </row>
    <row r="297" spans="1:19" s="429" customFormat="1">
      <c r="D297" s="430"/>
      <c r="E297" s="428"/>
    </row>
    <row r="298" spans="1:19" s="429" customFormat="1">
      <c r="D298" s="430"/>
      <c r="E298" s="428"/>
    </row>
    <row r="299" spans="1:19" s="429" customFormat="1">
      <c r="D299" s="430"/>
      <c r="E299" s="428"/>
    </row>
    <row r="302" spans="1:19">
      <c r="D302" s="403" t="s">
        <v>1831</v>
      </c>
      <c r="E302" s="403"/>
    </row>
    <row r="303" spans="1:19" s="429" customFormat="1">
      <c r="A303" s="429" t="str">
        <f t="shared" ref="A303:A371" si="29">MID($D303,4,2)</f>
        <v>KU</v>
      </c>
      <c r="B303" s="429" t="str">
        <f t="shared" ref="B303:B371" si="30">IF(MID($D303,12,2)="- ","KY",MID($D303,12,2))</f>
        <v>KY</v>
      </c>
      <c r="C303" s="429" t="str">
        <f t="shared" ref="C303:C371" si="31">MID($D303,8,3)</f>
        <v>302</v>
      </c>
      <c r="D303" s="430" t="s">
        <v>1725</v>
      </c>
      <c r="E303" s="428" t="str">
        <f t="shared" ref="E303:E369" si="32">IF(ISTEXT(MID($D303,SEARCH("FUTURE USE",$D303),3)),"FUTURE USE",IF(ISTEXT(MID($D303,SEARCH("ECR",$D303),3)),"ECR",IF(ISTEXT(MID($D303,SEARCH("ARO",$D303),3)),"ARO",IF(ISTEXT(MID($D303,SEARCH("DSM",$D303),3)),"DSM",""))))</f>
        <v/>
      </c>
      <c r="F303" s="429">
        <v>69.345470000000006</v>
      </c>
      <c r="G303" s="429">
        <v>69.514619999999994</v>
      </c>
      <c r="H303" s="429">
        <v>69.683769999999996</v>
      </c>
      <c r="I303" s="429">
        <v>69.852919999999997</v>
      </c>
      <c r="J303" s="429">
        <v>70.022069999999999</v>
      </c>
      <c r="K303" s="429">
        <v>70.191220000000001</v>
      </c>
      <c r="L303" s="429">
        <v>70.360370000000003</v>
      </c>
      <c r="M303" s="429">
        <v>70.529524460800005</v>
      </c>
      <c r="N303" s="429">
        <v>70.698678921600006</v>
      </c>
      <c r="O303" s="429">
        <v>70.867833382399994</v>
      </c>
      <c r="P303" s="429">
        <v>71.036987843199995</v>
      </c>
      <c r="Q303" s="429">
        <v>71.206142303999997</v>
      </c>
      <c r="R303" s="429">
        <v>71.375296764799998</v>
      </c>
    </row>
    <row r="304" spans="1:19" s="429" customFormat="1">
      <c r="A304" s="429" t="str">
        <f t="shared" si="29"/>
        <v>KU</v>
      </c>
      <c r="B304" s="429" t="str">
        <f t="shared" si="30"/>
        <v>KY</v>
      </c>
      <c r="C304" s="429" t="str">
        <f t="shared" si="31"/>
        <v>303</v>
      </c>
      <c r="D304" s="430" t="s">
        <v>1726</v>
      </c>
      <c r="E304" s="428" t="str">
        <f t="shared" si="32"/>
        <v/>
      </c>
      <c r="F304" s="429">
        <v>22964.374250000001</v>
      </c>
      <c r="G304" s="429">
        <v>23886.955539999999</v>
      </c>
      <c r="H304" s="429">
        <v>24135.689040000001</v>
      </c>
      <c r="I304" s="429">
        <v>25220.136579999999</v>
      </c>
      <c r="J304" s="429">
        <v>25937.096750000001</v>
      </c>
      <c r="K304" s="429">
        <v>26548.1659</v>
      </c>
      <c r="L304" s="429">
        <v>26497.773789999999</v>
      </c>
      <c r="M304" s="429">
        <v>26366.554774999899</v>
      </c>
      <c r="N304" s="429">
        <v>26978.545662999899</v>
      </c>
      <c r="O304" s="429">
        <v>26944.092399999899</v>
      </c>
      <c r="P304" s="429">
        <v>26830.166410999998</v>
      </c>
      <c r="Q304" s="429">
        <v>28056.911969999899</v>
      </c>
      <c r="R304" s="429">
        <v>29344.516880999901</v>
      </c>
    </row>
    <row r="305" spans="1:18" s="429" customFormat="1">
      <c r="A305" s="429" t="str">
        <f t="shared" si="29"/>
        <v>KU</v>
      </c>
      <c r="B305" s="429" t="str">
        <f t="shared" si="30"/>
        <v>KY</v>
      </c>
      <c r="C305" s="429" t="str">
        <f t="shared" si="31"/>
        <v>303</v>
      </c>
      <c r="D305" s="430" t="s">
        <v>1727</v>
      </c>
      <c r="E305" s="428" t="str">
        <f t="shared" si="32"/>
        <v/>
      </c>
      <c r="F305" s="429">
        <v>35670.939509999997</v>
      </c>
      <c r="G305" s="429">
        <v>36136.167260000002</v>
      </c>
      <c r="H305" s="429">
        <v>36601.39501</v>
      </c>
      <c r="I305" s="429">
        <v>37066.622759999998</v>
      </c>
      <c r="J305" s="429">
        <v>37531.850509999997</v>
      </c>
      <c r="K305" s="429">
        <v>37997.078260000002</v>
      </c>
      <c r="L305" s="429">
        <v>38462.30601</v>
      </c>
      <c r="M305" s="429">
        <v>38927.533761400002</v>
      </c>
      <c r="N305" s="429">
        <v>39392.761512800003</v>
      </c>
      <c r="O305" s="429">
        <v>39859.332823800003</v>
      </c>
      <c r="P305" s="429">
        <v>40327.3000111</v>
      </c>
      <c r="Q305" s="429">
        <v>40795.3497374</v>
      </c>
      <c r="R305" s="429">
        <v>41264.012793599999</v>
      </c>
    </row>
    <row r="306" spans="1:18" s="429" customFormat="1">
      <c r="A306" s="429" t="str">
        <f t="shared" si="29"/>
        <v>KU</v>
      </c>
      <c r="B306" s="429" t="str">
        <f t="shared" si="30"/>
        <v>KY</v>
      </c>
      <c r="C306" s="429" t="str">
        <f t="shared" si="31"/>
        <v>311</v>
      </c>
      <c r="D306" s="430" t="s">
        <v>1731</v>
      </c>
      <c r="E306" s="428" t="str">
        <f t="shared" si="32"/>
        <v>ECR</v>
      </c>
      <c r="F306" s="429">
        <v>280.31319999999999</v>
      </c>
      <c r="G306" s="429">
        <v>301.98405999999898</v>
      </c>
      <c r="H306" s="429">
        <v>323.65492</v>
      </c>
      <c r="I306" s="429">
        <v>345.32577999999899</v>
      </c>
      <c r="J306" s="429">
        <v>366.99663999999899</v>
      </c>
      <c r="K306" s="429">
        <v>388.667499999999</v>
      </c>
      <c r="L306" s="429">
        <v>410.338359999999</v>
      </c>
      <c r="M306" s="429">
        <v>432.00922704247</v>
      </c>
      <c r="N306" s="429">
        <v>453.68009408493998</v>
      </c>
      <c r="O306" s="429">
        <v>475.35096112741002</v>
      </c>
      <c r="P306" s="429">
        <v>497.02182816988</v>
      </c>
      <c r="Q306" s="429">
        <v>518.69269521235003</v>
      </c>
      <c r="R306" s="429">
        <v>540.36356225481995</v>
      </c>
    </row>
    <row r="307" spans="1:18" s="429" customFormat="1">
      <c r="A307" s="429" t="str">
        <f t="shared" si="29"/>
        <v>KU</v>
      </c>
      <c r="B307" s="429" t="str">
        <f t="shared" si="30"/>
        <v>KY</v>
      </c>
      <c r="C307" s="429" t="str">
        <f t="shared" si="31"/>
        <v>311</v>
      </c>
      <c r="D307" s="430" t="s">
        <v>2194</v>
      </c>
      <c r="E307" s="428" t="str">
        <f t="shared" si="32"/>
        <v>ECR</v>
      </c>
      <c r="F307" s="429">
        <v>369.03888999999998</v>
      </c>
      <c r="G307" s="429">
        <v>387.95927</v>
      </c>
      <c r="H307" s="429">
        <v>406.87965000000003</v>
      </c>
      <c r="I307" s="429">
        <v>425.80002999999999</v>
      </c>
      <c r="J307" s="429">
        <v>444.72041000000002</v>
      </c>
      <c r="K307" s="429">
        <v>463.64078999999998</v>
      </c>
      <c r="L307" s="429">
        <v>482.56117</v>
      </c>
      <c r="M307" s="429">
        <v>501.48155435149999</v>
      </c>
      <c r="N307" s="429">
        <v>520.40193870300004</v>
      </c>
      <c r="O307" s="429">
        <v>539.32232305449998</v>
      </c>
      <c r="P307" s="429">
        <v>558.242707405999</v>
      </c>
      <c r="Q307" s="429">
        <v>577.16309175749905</v>
      </c>
      <c r="R307" s="429">
        <v>596.08347610899898</v>
      </c>
    </row>
    <row r="308" spans="1:18" s="429" customFormat="1">
      <c r="A308" s="429" t="str">
        <f t="shared" si="29"/>
        <v>KU</v>
      </c>
      <c r="B308" s="429" t="str">
        <f t="shared" si="30"/>
        <v>KY</v>
      </c>
      <c r="C308" s="429" t="str">
        <f t="shared" si="31"/>
        <v>311</v>
      </c>
      <c r="D308" s="430" t="s">
        <v>1732</v>
      </c>
      <c r="E308" s="428" t="str">
        <f t="shared" si="32"/>
        <v/>
      </c>
      <c r="F308" s="429">
        <v>180398.38271000001</v>
      </c>
      <c r="G308" s="429">
        <v>180938.56254000001</v>
      </c>
      <c r="H308" s="429">
        <v>181474.43002999999</v>
      </c>
      <c r="I308" s="429">
        <v>182028.60553999999</v>
      </c>
      <c r="J308" s="429">
        <v>182582.97868999999</v>
      </c>
      <c r="K308" s="429">
        <v>187464.7934</v>
      </c>
      <c r="L308" s="429">
        <v>188010.73045999999</v>
      </c>
      <c r="M308" s="429">
        <v>188363.096605717</v>
      </c>
      <c r="N308" s="429">
        <v>188890.52911139099</v>
      </c>
      <c r="O308" s="429">
        <v>189448.326349604</v>
      </c>
      <c r="P308" s="429">
        <v>189978.70503854999</v>
      </c>
      <c r="Q308" s="429">
        <v>190537.85846653901</v>
      </c>
      <c r="R308" s="429">
        <v>191052.349843031</v>
      </c>
    </row>
    <row r="309" spans="1:18" s="429" customFormat="1">
      <c r="A309" s="429" t="str">
        <f t="shared" si="29"/>
        <v>KU</v>
      </c>
      <c r="B309" s="429" t="str">
        <f t="shared" si="30"/>
        <v>KY</v>
      </c>
      <c r="C309" s="429" t="str">
        <f t="shared" si="31"/>
        <v>312</v>
      </c>
      <c r="D309" s="430" t="s">
        <v>1733</v>
      </c>
      <c r="E309" s="428" t="str">
        <f t="shared" si="32"/>
        <v/>
      </c>
      <c r="F309" s="429">
        <v>1119310.1274900001</v>
      </c>
      <c r="G309" s="429">
        <v>1125501.8794499999</v>
      </c>
      <c r="H309" s="429">
        <v>1126670.0556000001</v>
      </c>
      <c r="I309" s="429">
        <v>1133340.9315899999</v>
      </c>
      <c r="J309" s="429">
        <v>1140017.2543599999</v>
      </c>
      <c r="K309" s="429">
        <v>1144608.3824499999</v>
      </c>
      <c r="L309" s="429">
        <v>1149454.23826</v>
      </c>
      <c r="M309" s="429">
        <v>1153103.5140920801</v>
      </c>
      <c r="N309" s="429">
        <v>1159719.5460765101</v>
      </c>
      <c r="O309" s="429">
        <v>1166412.5972395299</v>
      </c>
      <c r="P309" s="429">
        <v>1172811.8971793901</v>
      </c>
      <c r="Q309" s="429">
        <v>1177212.8569585001</v>
      </c>
      <c r="R309" s="429">
        <v>1182159.58306729</v>
      </c>
    </row>
    <row r="310" spans="1:18" s="429" customFormat="1">
      <c r="A310" s="429" t="str">
        <f t="shared" si="29"/>
        <v>KU</v>
      </c>
      <c r="B310" s="429" t="str">
        <f t="shared" si="30"/>
        <v>KY</v>
      </c>
      <c r="C310" s="429" t="str">
        <f t="shared" si="31"/>
        <v>312</v>
      </c>
      <c r="D310" s="430" t="s">
        <v>1734</v>
      </c>
      <c r="E310" s="428" t="str">
        <f t="shared" si="32"/>
        <v>ECR</v>
      </c>
      <c r="F310" s="429">
        <v>38088.166089999904</v>
      </c>
      <c r="G310" s="429">
        <v>39052.059050000003</v>
      </c>
      <c r="H310" s="429">
        <v>40016.022970000005</v>
      </c>
      <c r="I310" s="429">
        <v>40979.98689</v>
      </c>
      <c r="J310" s="429">
        <v>41943.950810000002</v>
      </c>
      <c r="K310" s="429">
        <v>42907.914730000004</v>
      </c>
      <c r="L310" s="429">
        <v>43871.878650000006</v>
      </c>
      <c r="M310" s="429">
        <v>44838.570275043101</v>
      </c>
      <c r="N310" s="429">
        <v>45840.418432447099</v>
      </c>
      <c r="O310" s="429">
        <v>46902.745678064101</v>
      </c>
      <c r="P310" s="429">
        <v>47994.880613699104</v>
      </c>
      <c r="Q310" s="429">
        <v>49090.386657380099</v>
      </c>
      <c r="R310" s="429">
        <v>50188.922075662005</v>
      </c>
    </row>
    <row r="311" spans="1:18" s="429" customFormat="1">
      <c r="A311" s="429" t="str">
        <f t="shared" si="29"/>
        <v>KU</v>
      </c>
      <c r="B311" s="429" t="str">
        <f t="shared" si="30"/>
        <v>KY</v>
      </c>
      <c r="C311" s="429" t="str">
        <f t="shared" si="31"/>
        <v>312</v>
      </c>
      <c r="D311" s="430" t="s">
        <v>1735</v>
      </c>
      <c r="E311" s="428" t="str">
        <f t="shared" si="32"/>
        <v>ECR</v>
      </c>
      <c r="F311" s="429">
        <v>46117.700039999901</v>
      </c>
      <c r="G311" s="429">
        <v>47779.107069999998</v>
      </c>
      <c r="H311" s="429">
        <v>49440.5141</v>
      </c>
      <c r="I311" s="429">
        <v>51101.921130000002</v>
      </c>
      <c r="J311" s="429">
        <v>52763.325169999996</v>
      </c>
      <c r="K311" s="429">
        <v>54424.726219999997</v>
      </c>
      <c r="L311" s="429">
        <v>56091.221230000003</v>
      </c>
      <c r="M311" s="429">
        <v>57765.563076373001</v>
      </c>
      <c r="N311" s="429">
        <v>59442.657795020998</v>
      </c>
      <c r="O311" s="429">
        <v>61119.752513668995</v>
      </c>
      <c r="P311" s="429">
        <v>62796.847232316999</v>
      </c>
      <c r="Q311" s="429">
        <v>64473.941950964996</v>
      </c>
      <c r="R311" s="429">
        <v>66151.036669613008</v>
      </c>
    </row>
    <row r="312" spans="1:18" s="429" customFormat="1">
      <c r="A312" s="429" t="str">
        <f t="shared" si="29"/>
        <v>KU</v>
      </c>
      <c r="B312" s="429" t="str">
        <f t="shared" si="30"/>
        <v>KY</v>
      </c>
      <c r="C312" s="429" t="str">
        <f t="shared" si="31"/>
        <v>312</v>
      </c>
      <c r="D312" s="430" t="s">
        <v>2563</v>
      </c>
      <c r="E312" s="428" t="str">
        <f t="shared" si="32"/>
        <v/>
      </c>
      <c r="F312" s="429">
        <v>-6.6878099999999998</v>
      </c>
      <c r="G312" s="429">
        <v>-6.6878099999999998</v>
      </c>
      <c r="H312" s="429">
        <v>-6.6878099999999998</v>
      </c>
      <c r="I312" s="429">
        <v>-6.6878099999999998</v>
      </c>
      <c r="J312" s="429">
        <v>-6.6878099999999998</v>
      </c>
      <c r="K312" s="429">
        <v>-6.6878099999999998</v>
      </c>
      <c r="L312" s="429">
        <v>-6.6878099999999998</v>
      </c>
      <c r="M312" s="429">
        <v>-36.445779999999999</v>
      </c>
      <c r="N312" s="429">
        <v>-36.445779999999999</v>
      </c>
      <c r="O312" s="429">
        <v>-36.445779999999999</v>
      </c>
      <c r="P312" s="429">
        <v>-36.445779999999999</v>
      </c>
      <c r="Q312" s="429">
        <v>-36.445779999999999</v>
      </c>
      <c r="R312" s="429">
        <v>-36.445779999999999</v>
      </c>
    </row>
    <row r="313" spans="1:18" s="429" customFormat="1">
      <c r="A313" s="429" t="str">
        <f t="shared" si="29"/>
        <v>KU</v>
      </c>
      <c r="B313" s="429" t="str">
        <f t="shared" si="30"/>
        <v>KY</v>
      </c>
      <c r="C313" s="429" t="str">
        <f t="shared" si="31"/>
        <v>312</v>
      </c>
      <c r="D313" s="430" t="s">
        <v>2564</v>
      </c>
      <c r="E313" s="428" t="str">
        <f t="shared" si="32"/>
        <v/>
      </c>
      <c r="M313" s="429">
        <v>-12031.50655</v>
      </c>
      <c r="N313" s="429">
        <v>-12031.50655</v>
      </c>
      <c r="O313" s="429">
        <v>-12031.50655</v>
      </c>
      <c r="P313" s="429">
        <v>-12031.50655</v>
      </c>
      <c r="Q313" s="429">
        <v>-12031.50655</v>
      </c>
      <c r="R313" s="429">
        <v>-12031.50655</v>
      </c>
    </row>
    <row r="314" spans="1:18" s="429" customFormat="1">
      <c r="A314" s="429" t="str">
        <f t="shared" si="29"/>
        <v>KU</v>
      </c>
      <c r="B314" s="429" t="str">
        <f t="shared" si="30"/>
        <v>KY</v>
      </c>
      <c r="C314" s="429" t="str">
        <f t="shared" si="31"/>
        <v>312</v>
      </c>
      <c r="D314" s="430" t="s">
        <v>2195</v>
      </c>
      <c r="E314" s="428" t="str">
        <f t="shared" si="32"/>
        <v>ECR</v>
      </c>
      <c r="F314" s="429">
        <v>62.120060000000002</v>
      </c>
      <c r="G314" s="429">
        <v>77.541030000000006</v>
      </c>
      <c r="H314" s="429">
        <v>93.853309999999993</v>
      </c>
      <c r="I314" s="429">
        <v>110.16558999999999</v>
      </c>
      <c r="J314" s="429">
        <v>126.47787</v>
      </c>
      <c r="K314" s="429">
        <v>142.79015000000001</v>
      </c>
      <c r="L314" s="429">
        <v>159.10243</v>
      </c>
      <c r="M314" s="429">
        <v>175.599685185157</v>
      </c>
      <c r="N314" s="429">
        <v>192.28191491761399</v>
      </c>
      <c r="O314" s="429">
        <v>208.96414465007101</v>
      </c>
      <c r="P314" s="429">
        <v>225.64637438252799</v>
      </c>
      <c r="Q314" s="429">
        <v>242.32860411498501</v>
      </c>
      <c r="R314" s="429">
        <v>259.01083384744197</v>
      </c>
    </row>
    <row r="315" spans="1:18" s="429" customFormat="1">
      <c r="A315" s="429" t="str">
        <f t="shared" si="29"/>
        <v>KU</v>
      </c>
      <c r="B315" s="429" t="str">
        <f t="shared" si="30"/>
        <v>KY</v>
      </c>
      <c r="C315" s="429" t="str">
        <f t="shared" si="31"/>
        <v>314</v>
      </c>
      <c r="D315" s="430" t="s">
        <v>1737</v>
      </c>
      <c r="E315" s="428" t="str">
        <f t="shared" si="32"/>
        <v/>
      </c>
      <c r="F315" s="429">
        <v>167489.484839999</v>
      </c>
      <c r="G315" s="429">
        <v>168099.25424999901</v>
      </c>
      <c r="H315" s="429">
        <v>168724.39020999899</v>
      </c>
      <c r="I315" s="429">
        <v>169349.87607999999</v>
      </c>
      <c r="J315" s="429">
        <v>169975.78907999999</v>
      </c>
      <c r="K315" s="429">
        <v>169298.44167999999</v>
      </c>
      <c r="L315" s="429">
        <v>169610.38438</v>
      </c>
      <c r="M315" s="429">
        <v>169977.61693991499</v>
      </c>
      <c r="N315" s="429">
        <v>170574.29696358199</v>
      </c>
      <c r="O315" s="429">
        <v>171211.082948461</v>
      </c>
      <c r="P315" s="429">
        <v>171843.23614031199</v>
      </c>
      <c r="Q315" s="429">
        <v>165365.97498558299</v>
      </c>
      <c r="R315" s="429">
        <v>166016.82350884401</v>
      </c>
    </row>
    <row r="316" spans="1:18" s="429" customFormat="1">
      <c r="A316" s="429" t="str">
        <f t="shared" si="29"/>
        <v>KU</v>
      </c>
      <c r="B316" s="429" t="str">
        <f t="shared" si="30"/>
        <v>KY</v>
      </c>
      <c r="C316" s="429" t="str">
        <f t="shared" si="31"/>
        <v>315</v>
      </c>
      <c r="D316" s="430" t="s">
        <v>1738</v>
      </c>
      <c r="E316" s="428" t="str">
        <f t="shared" si="32"/>
        <v/>
      </c>
      <c r="F316" s="429">
        <v>109440.378759999</v>
      </c>
      <c r="G316" s="429">
        <v>109894.66389</v>
      </c>
      <c r="H316" s="429">
        <v>110348.97902</v>
      </c>
      <c r="I316" s="429">
        <v>110803.29415</v>
      </c>
      <c r="J316" s="429">
        <v>111257.60928</v>
      </c>
      <c r="K316" s="429">
        <v>110870.66168999999</v>
      </c>
      <c r="L316" s="429">
        <v>111319.49956</v>
      </c>
      <c r="M316" s="429">
        <v>111731.81945894301</v>
      </c>
      <c r="N316" s="429">
        <v>112168.057991029</v>
      </c>
      <c r="O316" s="429">
        <v>112579.017817313</v>
      </c>
      <c r="P316" s="429">
        <v>113029.90561498899</v>
      </c>
      <c r="Q316" s="429">
        <v>113464.976347769</v>
      </c>
      <c r="R316" s="429">
        <v>113921.784188227</v>
      </c>
    </row>
    <row r="317" spans="1:18" s="429" customFormat="1">
      <c r="A317" s="429" t="str">
        <f t="shared" si="29"/>
        <v>KU</v>
      </c>
      <c r="B317" s="429" t="str">
        <f t="shared" si="30"/>
        <v>KY</v>
      </c>
      <c r="C317" s="429" t="str">
        <f t="shared" si="31"/>
        <v>315</v>
      </c>
      <c r="D317" s="430" t="s">
        <v>2196</v>
      </c>
      <c r="E317" s="428" t="str">
        <f t="shared" si="32"/>
        <v>ECR</v>
      </c>
      <c r="F317" s="429">
        <v>111.85887999999998</v>
      </c>
      <c r="G317" s="429">
        <v>142.38401999999999</v>
      </c>
      <c r="H317" s="429">
        <v>172.90916000000001</v>
      </c>
      <c r="I317" s="429">
        <v>203.43430000000001</v>
      </c>
      <c r="J317" s="429">
        <v>233.95944</v>
      </c>
      <c r="K317" s="429">
        <v>264.48457999999999</v>
      </c>
      <c r="L317" s="429">
        <v>295.00971999999996</v>
      </c>
      <c r="M317" s="429">
        <v>325.53485731802999</v>
      </c>
      <c r="N317" s="429">
        <v>356.05999463605997</v>
      </c>
      <c r="O317" s="429">
        <v>386.58513195408995</v>
      </c>
      <c r="P317" s="429">
        <v>417.11026927211998</v>
      </c>
      <c r="Q317" s="429">
        <v>447.63540659014996</v>
      </c>
      <c r="R317" s="429">
        <v>478.16054390817999</v>
      </c>
    </row>
    <row r="318" spans="1:18" s="429" customFormat="1">
      <c r="A318" s="429" t="str">
        <f t="shared" si="29"/>
        <v>KU</v>
      </c>
      <c r="B318" s="429" t="str">
        <f t="shared" si="30"/>
        <v>KY</v>
      </c>
      <c r="C318" s="429" t="str">
        <f t="shared" si="31"/>
        <v>315</v>
      </c>
      <c r="D318" s="430" t="s">
        <v>2565</v>
      </c>
      <c r="E318" s="428" t="str">
        <f t="shared" si="32"/>
        <v/>
      </c>
      <c r="F318" s="429">
        <v>-2.19457999999999</v>
      </c>
      <c r="G318" s="429">
        <v>-2.19457999999999</v>
      </c>
      <c r="H318" s="429">
        <v>-2.19457999999999</v>
      </c>
      <c r="I318" s="429">
        <v>-2.19457999999999</v>
      </c>
      <c r="J318" s="429">
        <v>-2.19457999999999</v>
      </c>
      <c r="K318" s="429">
        <v>-2.19457999999999</v>
      </c>
      <c r="L318" s="429">
        <v>-2.19457999999999</v>
      </c>
      <c r="M318" s="429">
        <v>-2.19457999999999</v>
      </c>
      <c r="N318" s="429">
        <v>-2.19457999999999</v>
      </c>
      <c r="O318" s="429">
        <v>-2.19457999999999</v>
      </c>
      <c r="P318" s="429">
        <v>-2.19457999999999</v>
      </c>
      <c r="Q318" s="429">
        <v>-2.19457999999999</v>
      </c>
      <c r="R318" s="429">
        <v>-2.19457999999999</v>
      </c>
    </row>
    <row r="319" spans="1:18" s="429" customFormat="1">
      <c r="A319" s="429" t="str">
        <f t="shared" si="29"/>
        <v>KU</v>
      </c>
      <c r="B319" s="429" t="str">
        <f t="shared" si="30"/>
        <v>KY</v>
      </c>
      <c r="C319" s="429" t="str">
        <f t="shared" si="31"/>
        <v>315</v>
      </c>
      <c r="D319" s="430" t="s">
        <v>1739</v>
      </c>
      <c r="E319" s="428" t="str">
        <f t="shared" si="32"/>
        <v>ECR</v>
      </c>
      <c r="F319" s="429">
        <v>324.99011000000002</v>
      </c>
      <c r="G319" s="429">
        <v>340.83891999999997</v>
      </c>
      <c r="H319" s="429">
        <v>356.68772999999999</v>
      </c>
      <c r="I319" s="429">
        <v>372.53654</v>
      </c>
      <c r="J319" s="429">
        <v>388.38535000000002</v>
      </c>
      <c r="K319" s="429">
        <v>404.23415999999997</v>
      </c>
      <c r="L319" s="429">
        <v>420.10007000000002</v>
      </c>
      <c r="M319" s="429">
        <v>435.98307908520002</v>
      </c>
      <c r="N319" s="429">
        <v>451.86608817040002</v>
      </c>
      <c r="O319" s="429">
        <v>467.74909725560002</v>
      </c>
      <c r="P319" s="429">
        <v>483.63210634080002</v>
      </c>
      <c r="Q319" s="429">
        <v>499.51511542600002</v>
      </c>
      <c r="R319" s="429">
        <v>515.39812451119997</v>
      </c>
    </row>
    <row r="320" spans="1:18" s="429" customFormat="1">
      <c r="A320" s="429" t="str">
        <f t="shared" si="29"/>
        <v>KU</v>
      </c>
      <c r="B320" s="429" t="str">
        <f t="shared" si="30"/>
        <v>KY</v>
      </c>
      <c r="C320" s="429" t="str">
        <f t="shared" si="31"/>
        <v>316</v>
      </c>
      <c r="D320" s="430" t="s">
        <v>2197</v>
      </c>
      <c r="E320" s="428" t="str">
        <f t="shared" si="32"/>
        <v>ECR</v>
      </c>
      <c r="F320" s="429">
        <v>25.17436</v>
      </c>
      <c r="G320" s="429">
        <v>25.999289999999998</v>
      </c>
      <c r="H320" s="429">
        <v>26.82422</v>
      </c>
      <c r="I320" s="429">
        <v>27.649149999999999</v>
      </c>
      <c r="J320" s="429">
        <v>28.474080000000001</v>
      </c>
      <c r="K320" s="429">
        <v>29.299009999999999</v>
      </c>
      <c r="L320" s="429">
        <v>30.123940000000001</v>
      </c>
      <c r="M320" s="429">
        <v>30.948863379999999</v>
      </c>
      <c r="N320" s="429">
        <v>31.77378676</v>
      </c>
      <c r="O320" s="429">
        <v>32.598710140000001</v>
      </c>
      <c r="P320" s="429">
        <v>33.423633520000003</v>
      </c>
      <c r="Q320" s="429">
        <v>34.248556899999997</v>
      </c>
      <c r="R320" s="429">
        <v>35.073480279999998</v>
      </c>
    </row>
    <row r="321" spans="1:18" s="429" customFormat="1">
      <c r="A321" s="429" t="str">
        <f t="shared" si="29"/>
        <v>KU</v>
      </c>
      <c r="B321" s="429" t="str">
        <f t="shared" si="30"/>
        <v>KY</v>
      </c>
      <c r="C321" s="429" t="str">
        <f t="shared" si="31"/>
        <v>316</v>
      </c>
      <c r="D321" s="430" t="s">
        <v>1740</v>
      </c>
      <c r="E321" s="428" t="str">
        <f t="shared" si="32"/>
        <v/>
      </c>
      <c r="F321" s="429">
        <v>16575.124199999998</v>
      </c>
      <c r="G321" s="429">
        <v>16644.18506</v>
      </c>
      <c r="H321" s="429">
        <v>16713.383969999999</v>
      </c>
      <c r="I321" s="429">
        <v>16782.431479999999</v>
      </c>
      <c r="J321" s="429">
        <v>16851.611649999999</v>
      </c>
      <c r="K321" s="429">
        <v>16630.30832</v>
      </c>
      <c r="L321" s="429">
        <v>16661.0120399999</v>
      </c>
      <c r="M321" s="429">
        <v>16719.5489543029</v>
      </c>
      <c r="N321" s="429">
        <v>16790.244239689699</v>
      </c>
      <c r="O321" s="429">
        <v>16861.8808352659</v>
      </c>
      <c r="P321" s="429">
        <v>16934.111054346598</v>
      </c>
      <c r="Q321" s="429">
        <v>17006.868006099099</v>
      </c>
      <c r="R321" s="429">
        <v>17078.0010166672</v>
      </c>
    </row>
    <row r="322" spans="1:18" s="429" customFormat="1">
      <c r="A322" s="429" t="str">
        <f t="shared" si="29"/>
        <v>KU</v>
      </c>
      <c r="B322" s="429" t="str">
        <f t="shared" si="30"/>
        <v>KY</v>
      </c>
      <c r="C322" s="429" t="str">
        <f t="shared" si="31"/>
        <v>317</v>
      </c>
      <c r="D322" s="430" t="s">
        <v>1741</v>
      </c>
      <c r="E322" s="428" t="str">
        <f t="shared" si="32"/>
        <v>ARO</v>
      </c>
      <c r="F322" s="429">
        <v>6941.4481799999903</v>
      </c>
      <c r="G322" s="429">
        <v>7397.8747100000001</v>
      </c>
      <c r="H322" s="429">
        <v>7854.3012699999999</v>
      </c>
      <c r="I322" s="429">
        <v>8308.4533599999995</v>
      </c>
      <c r="J322" s="429">
        <v>8760.3935399999991</v>
      </c>
      <c r="K322" s="429">
        <v>9212.3337499999998</v>
      </c>
      <c r="L322" s="429">
        <v>9665.4517799999994</v>
      </c>
      <c r="M322" s="429">
        <v>10117.391960000001</v>
      </c>
      <c r="N322" s="429">
        <v>10569.33214</v>
      </c>
      <c r="O322" s="429">
        <v>11021.27232</v>
      </c>
      <c r="P322" s="429">
        <v>11473.2125</v>
      </c>
      <c r="Q322" s="429">
        <v>11925.152679999999</v>
      </c>
      <c r="R322" s="429">
        <v>12377.092860000001</v>
      </c>
    </row>
    <row r="323" spans="1:18" s="429" customFormat="1">
      <c r="A323" s="429" t="str">
        <f t="shared" si="29"/>
        <v>KU</v>
      </c>
      <c r="B323" s="429" t="str">
        <f t="shared" si="30"/>
        <v>KY</v>
      </c>
      <c r="C323" s="429" t="str">
        <f t="shared" si="31"/>
        <v>317</v>
      </c>
      <c r="D323" s="430" t="s">
        <v>2507</v>
      </c>
      <c r="E323" s="428" t="str">
        <f t="shared" si="32"/>
        <v>ARO</v>
      </c>
      <c r="F323" s="429">
        <v>107043.8431</v>
      </c>
      <c r="G323" s="429">
        <v>107950.388599999</v>
      </c>
      <c r="H323" s="429">
        <v>108856.9339</v>
      </c>
      <c r="I323" s="429">
        <v>109760.42</v>
      </c>
      <c r="J323" s="429">
        <v>113563.2105</v>
      </c>
      <c r="K323" s="429">
        <v>114740.2641</v>
      </c>
      <c r="L323" s="429">
        <v>115589.8982</v>
      </c>
      <c r="M323" s="429">
        <v>116625.2611</v>
      </c>
      <c r="N323" s="429">
        <v>117660.624</v>
      </c>
      <c r="O323" s="429">
        <v>118695.9869</v>
      </c>
      <c r="P323" s="429">
        <v>119731.3498</v>
      </c>
      <c r="Q323" s="429">
        <v>120766.7127</v>
      </c>
      <c r="R323" s="429">
        <v>121802.0756</v>
      </c>
    </row>
    <row r="324" spans="1:18" s="429" customFormat="1">
      <c r="A324" s="429" t="str">
        <f t="shared" si="29"/>
        <v>KU</v>
      </c>
      <c r="B324" s="429" t="str">
        <f t="shared" si="30"/>
        <v>KY</v>
      </c>
      <c r="C324" s="429" t="str">
        <f t="shared" si="31"/>
        <v>330</v>
      </c>
      <c r="D324" s="430" t="s">
        <v>1742</v>
      </c>
      <c r="E324" s="428" t="str">
        <f t="shared" si="32"/>
        <v/>
      </c>
      <c r="F324" s="429">
        <v>912.33259999999996</v>
      </c>
      <c r="G324" s="429">
        <v>912.33259999999996</v>
      </c>
      <c r="H324" s="429">
        <v>912.33259999999996</v>
      </c>
      <c r="I324" s="429">
        <v>912.33259999999996</v>
      </c>
      <c r="J324" s="429">
        <v>912.33259999999996</v>
      </c>
      <c r="K324" s="429">
        <v>912.33259999999996</v>
      </c>
      <c r="L324" s="429">
        <v>912.33259999999996</v>
      </c>
      <c r="M324" s="429">
        <v>912.33259999999996</v>
      </c>
      <c r="N324" s="429">
        <v>912.33259999999996</v>
      </c>
      <c r="O324" s="429">
        <v>912.33259999999996</v>
      </c>
      <c r="P324" s="429">
        <v>912.33259999999996</v>
      </c>
      <c r="Q324" s="429">
        <v>912.33259999999996</v>
      </c>
      <c r="R324" s="429">
        <v>912.33259999999996</v>
      </c>
    </row>
    <row r="325" spans="1:18" s="429" customFormat="1">
      <c r="A325" s="429" t="str">
        <f t="shared" si="29"/>
        <v>KU</v>
      </c>
      <c r="B325" s="429" t="str">
        <f t="shared" si="30"/>
        <v>KY</v>
      </c>
      <c r="C325" s="429" t="str">
        <f t="shared" si="31"/>
        <v>331</v>
      </c>
      <c r="D325" s="430" t="s">
        <v>1743</v>
      </c>
      <c r="E325" s="428" t="str">
        <f t="shared" si="32"/>
        <v/>
      </c>
      <c r="F325" s="429">
        <v>422.36700999999999</v>
      </c>
      <c r="G325" s="429">
        <v>428.56574999999998</v>
      </c>
      <c r="H325" s="429">
        <v>434.76449000000002</v>
      </c>
      <c r="I325" s="429">
        <v>440.96323000000001</v>
      </c>
      <c r="J325" s="429">
        <v>447.16197</v>
      </c>
      <c r="K325" s="429">
        <v>453.36070999999998</v>
      </c>
      <c r="L325" s="429">
        <v>459.55945000000003</v>
      </c>
      <c r="M325" s="429">
        <v>465.75819044920001</v>
      </c>
      <c r="N325" s="429">
        <v>341.01565029149998</v>
      </c>
      <c r="O325" s="429">
        <v>349.30264952799899</v>
      </c>
      <c r="P325" s="429">
        <v>357.58964876449897</v>
      </c>
      <c r="Q325" s="429">
        <v>316.28998133369902</v>
      </c>
      <c r="R325" s="429">
        <v>325.40364723649901</v>
      </c>
    </row>
    <row r="326" spans="1:18" s="429" customFormat="1">
      <c r="A326" s="429" t="str">
        <f t="shared" si="29"/>
        <v>KU</v>
      </c>
      <c r="B326" s="429" t="str">
        <f t="shared" si="30"/>
        <v>KY</v>
      </c>
      <c r="C326" s="429" t="str">
        <f t="shared" si="31"/>
        <v>332</v>
      </c>
      <c r="D326" s="430" t="s">
        <v>1744</v>
      </c>
      <c r="E326" s="428" t="str">
        <f t="shared" si="32"/>
        <v/>
      </c>
      <c r="F326" s="429">
        <v>9316.3740500000004</v>
      </c>
      <c r="G326" s="429">
        <v>9363.9753299999993</v>
      </c>
      <c r="H326" s="429">
        <v>9411.5766100000001</v>
      </c>
      <c r="I326" s="429">
        <v>9459.1778900000008</v>
      </c>
      <c r="J326" s="429">
        <v>9506.7791699999998</v>
      </c>
      <c r="K326" s="429">
        <v>9554.3804499999897</v>
      </c>
      <c r="L326" s="429">
        <v>9601.9817299999995</v>
      </c>
      <c r="M326" s="429">
        <v>9649.5830108509999</v>
      </c>
      <c r="N326" s="429">
        <v>9697.1842917019894</v>
      </c>
      <c r="O326" s="429">
        <v>9744.7855725529898</v>
      </c>
      <c r="P326" s="429">
        <v>9792.3868534039902</v>
      </c>
      <c r="Q326" s="429">
        <v>9839.9881342549907</v>
      </c>
      <c r="R326" s="429">
        <v>9887.5894151059892</v>
      </c>
    </row>
    <row r="327" spans="1:18" s="429" customFormat="1">
      <c r="A327" s="429" t="str">
        <f t="shared" si="29"/>
        <v>KU</v>
      </c>
      <c r="B327" s="429" t="str">
        <f t="shared" si="30"/>
        <v>KY</v>
      </c>
      <c r="C327" s="429" t="str">
        <f t="shared" si="31"/>
        <v>333</v>
      </c>
      <c r="D327" s="430" t="s">
        <v>1745</v>
      </c>
      <c r="E327" s="428" t="str">
        <f t="shared" si="32"/>
        <v/>
      </c>
      <c r="F327" s="429">
        <v>1847.2081499999999</v>
      </c>
      <c r="G327" s="429">
        <v>1892.39184</v>
      </c>
      <c r="H327" s="429">
        <v>1937.5755300000001</v>
      </c>
      <c r="I327" s="429">
        <v>1982.7592199999999</v>
      </c>
      <c r="J327" s="429">
        <v>2027.94291</v>
      </c>
      <c r="K327" s="429">
        <v>2073.1266000000001</v>
      </c>
      <c r="L327" s="429">
        <v>2118.3102899999999</v>
      </c>
      <c r="M327" s="429">
        <v>2163.4939754186998</v>
      </c>
      <c r="N327" s="429">
        <v>2208.6776608373998</v>
      </c>
      <c r="O327" s="429">
        <v>2253.8613462560902</v>
      </c>
      <c r="P327" s="429">
        <v>2299.0450316747902</v>
      </c>
      <c r="Q327" s="429">
        <v>2344.2287170934901</v>
      </c>
      <c r="R327" s="429">
        <v>2389.4124025121901</v>
      </c>
    </row>
    <row r="328" spans="1:18" s="429" customFormat="1">
      <c r="A328" s="429" t="str">
        <f t="shared" si="29"/>
        <v>KU</v>
      </c>
      <c r="B328" s="429" t="str">
        <f t="shared" si="30"/>
        <v>KY</v>
      </c>
      <c r="C328" s="429" t="str">
        <f t="shared" si="31"/>
        <v>334</v>
      </c>
      <c r="D328" s="430" t="s">
        <v>1746</v>
      </c>
      <c r="E328" s="428" t="str">
        <f t="shared" si="32"/>
        <v/>
      </c>
      <c r="F328" s="429">
        <v>318.30932999999999</v>
      </c>
      <c r="G328" s="429">
        <v>322.69677000000001</v>
      </c>
      <c r="H328" s="429">
        <v>327.08420999999998</v>
      </c>
      <c r="I328" s="429">
        <v>331.47165000000001</v>
      </c>
      <c r="J328" s="429">
        <v>335.85908999999998</v>
      </c>
      <c r="K328" s="429">
        <v>340.24653000000001</v>
      </c>
      <c r="L328" s="429">
        <v>344.63396999999998</v>
      </c>
      <c r="M328" s="429">
        <v>349.02140937709902</v>
      </c>
      <c r="N328" s="429">
        <v>353.40884875419903</v>
      </c>
      <c r="O328" s="429">
        <v>357.79628813129898</v>
      </c>
      <c r="P328" s="429">
        <v>362.18372750839899</v>
      </c>
      <c r="Q328" s="429">
        <v>366.571166885499</v>
      </c>
      <c r="R328" s="429">
        <v>370.95860626259901</v>
      </c>
    </row>
    <row r="329" spans="1:18" s="429" customFormat="1">
      <c r="A329" s="429" t="str">
        <f t="shared" si="29"/>
        <v>KU</v>
      </c>
      <c r="B329" s="429" t="str">
        <f t="shared" si="30"/>
        <v>KY</v>
      </c>
      <c r="C329" s="429" t="str">
        <f t="shared" si="31"/>
        <v>335</v>
      </c>
      <c r="D329" s="430" t="s">
        <v>1747</v>
      </c>
      <c r="E329" s="428" t="str">
        <f t="shared" si="32"/>
        <v/>
      </c>
      <c r="F329" s="429">
        <v>143.55381</v>
      </c>
      <c r="G329" s="429">
        <v>144.58584999999999</v>
      </c>
      <c r="H329" s="429">
        <v>145.61788999999999</v>
      </c>
      <c r="I329" s="429">
        <v>146.64992999999899</v>
      </c>
      <c r="J329" s="429">
        <v>147.68197000000001</v>
      </c>
      <c r="K329" s="429">
        <v>148.71401</v>
      </c>
      <c r="L329" s="429">
        <v>149.74605</v>
      </c>
      <c r="M329" s="429">
        <v>150.77808909717001</v>
      </c>
      <c r="N329" s="429">
        <v>151.81012819434</v>
      </c>
      <c r="O329" s="429">
        <v>152.84216729151001</v>
      </c>
      <c r="P329" s="429">
        <v>153.87420638867999</v>
      </c>
      <c r="Q329" s="429">
        <v>154.90624548585001</v>
      </c>
      <c r="R329" s="429">
        <v>155.93828458301999</v>
      </c>
    </row>
    <row r="330" spans="1:18" s="429" customFormat="1">
      <c r="A330" s="429" t="str">
        <f t="shared" si="29"/>
        <v>KU</v>
      </c>
      <c r="B330" s="429" t="str">
        <f t="shared" si="30"/>
        <v>KY</v>
      </c>
      <c r="C330" s="429" t="str">
        <f t="shared" si="31"/>
        <v>336</v>
      </c>
      <c r="D330" s="430" t="s">
        <v>1748</v>
      </c>
      <c r="E330" s="428" t="str">
        <f t="shared" si="32"/>
        <v/>
      </c>
      <c r="F330" s="429">
        <v>88.014799999999994</v>
      </c>
      <c r="G330" s="429">
        <v>88.665559999999999</v>
      </c>
      <c r="H330" s="429">
        <v>89.316320000000005</v>
      </c>
      <c r="I330" s="429">
        <v>89.967079999999996</v>
      </c>
      <c r="J330" s="429">
        <v>90.617840000000001</v>
      </c>
      <c r="K330" s="429">
        <v>91.268600000000006</v>
      </c>
      <c r="L330" s="429">
        <v>91.919359999999998</v>
      </c>
      <c r="M330" s="429">
        <v>92.570122835799907</v>
      </c>
      <c r="N330" s="429">
        <v>93.220885671599902</v>
      </c>
      <c r="O330" s="429">
        <v>93.871648507399897</v>
      </c>
      <c r="P330" s="429">
        <v>94.522411343199906</v>
      </c>
      <c r="Q330" s="429">
        <v>95.173174178999901</v>
      </c>
      <c r="R330" s="429">
        <v>95.823937014799895</v>
      </c>
    </row>
    <row r="331" spans="1:18" s="429" customFormat="1">
      <c r="A331" s="429" t="str">
        <f t="shared" si="29"/>
        <v>KU</v>
      </c>
      <c r="B331" s="429" t="str">
        <f t="shared" si="30"/>
        <v>KY</v>
      </c>
      <c r="C331" s="429" t="str">
        <f t="shared" si="31"/>
        <v>337</v>
      </c>
      <c r="D331" s="430" t="s">
        <v>1749</v>
      </c>
      <c r="E331" s="428" t="str">
        <f t="shared" si="32"/>
        <v>ARO</v>
      </c>
      <c r="F331" s="429">
        <v>37.589949999999902</v>
      </c>
      <c r="G331" s="429">
        <v>39.080629999999999</v>
      </c>
      <c r="H331" s="429">
        <v>40.571309999999997</v>
      </c>
      <c r="I331" s="429">
        <v>42.061990000000002</v>
      </c>
      <c r="J331" s="429">
        <v>43.552669999999999</v>
      </c>
      <c r="K331" s="429">
        <v>45.043349999999997</v>
      </c>
      <c r="L331" s="429">
        <v>46.534030000000001</v>
      </c>
      <c r="M331" s="429">
        <v>48.024709999999999</v>
      </c>
      <c r="N331" s="429">
        <v>49.515389999999996</v>
      </c>
      <c r="O331" s="429">
        <v>51.006069999999902</v>
      </c>
      <c r="P331" s="429">
        <v>52.496749999999899</v>
      </c>
      <c r="Q331" s="429">
        <v>53.987429999999897</v>
      </c>
      <c r="R331" s="429">
        <v>55.478109999999901</v>
      </c>
    </row>
    <row r="332" spans="1:18" s="429" customFormat="1">
      <c r="A332" s="429" t="str">
        <f t="shared" si="29"/>
        <v>KU</v>
      </c>
      <c r="B332" s="429" t="str">
        <f t="shared" si="30"/>
        <v>KY</v>
      </c>
      <c r="C332" s="429" t="str">
        <f t="shared" si="31"/>
        <v>340</v>
      </c>
      <c r="D332" s="430" t="s">
        <v>2199</v>
      </c>
      <c r="E332" s="428" t="str">
        <f t="shared" si="32"/>
        <v/>
      </c>
      <c r="F332" s="429">
        <v>124.39149999999999</v>
      </c>
      <c r="G332" s="429">
        <v>124.71344999999999</v>
      </c>
      <c r="H332" s="429">
        <v>125.0354</v>
      </c>
      <c r="I332" s="429">
        <v>125.35735</v>
      </c>
      <c r="J332" s="429">
        <v>125.6793</v>
      </c>
      <c r="K332" s="429">
        <v>126.00125</v>
      </c>
      <c r="L332" s="429">
        <v>126.3232</v>
      </c>
      <c r="M332" s="429">
        <v>126.7001914089</v>
      </c>
      <c r="N332" s="429">
        <v>127.13222723589899</v>
      </c>
      <c r="O332" s="429">
        <v>127.564263062899</v>
      </c>
      <c r="P332" s="429">
        <v>127.99629888989899</v>
      </c>
      <c r="Q332" s="429">
        <v>128.428334716899</v>
      </c>
      <c r="R332" s="429">
        <v>128.86037054389899</v>
      </c>
    </row>
    <row r="333" spans="1:18" s="429" customFormat="1">
      <c r="A333" s="429" t="str">
        <f t="shared" si="29"/>
        <v>KU</v>
      </c>
      <c r="B333" s="429" t="str">
        <f t="shared" si="30"/>
        <v>KY</v>
      </c>
      <c r="C333" s="429" t="str">
        <f t="shared" si="31"/>
        <v>341</v>
      </c>
      <c r="D333" s="430" t="s">
        <v>1751</v>
      </c>
      <c r="E333" s="428" t="str">
        <f t="shared" si="32"/>
        <v/>
      </c>
      <c r="F333" s="429">
        <v>20378.857329999999</v>
      </c>
      <c r="G333" s="429">
        <v>20495.063300000002</v>
      </c>
      <c r="H333" s="429">
        <v>20611.351839999999</v>
      </c>
      <c r="I333" s="429">
        <v>20727.640380000001</v>
      </c>
      <c r="J333" s="429">
        <v>20843.928919999998</v>
      </c>
      <c r="K333" s="429">
        <v>20960.21746</v>
      </c>
      <c r="L333" s="429">
        <v>21076.506000000001</v>
      </c>
      <c r="M333" s="429">
        <v>21192.825215920398</v>
      </c>
      <c r="N333" s="429">
        <v>21309.175098678901</v>
      </c>
      <c r="O333" s="429">
        <v>21425.5249814374</v>
      </c>
      <c r="P333" s="429">
        <v>21541.915234465901</v>
      </c>
      <c r="Q333" s="429">
        <v>21658.345857763401</v>
      </c>
      <c r="R333" s="429">
        <v>21774.776481060901</v>
      </c>
    </row>
    <row r="334" spans="1:18" s="429" customFormat="1">
      <c r="A334" s="429" t="str">
        <f t="shared" si="29"/>
        <v>KU</v>
      </c>
      <c r="B334" s="429" t="str">
        <f t="shared" si="30"/>
        <v>KY</v>
      </c>
      <c r="C334" s="429" t="str">
        <f t="shared" si="31"/>
        <v>341</v>
      </c>
      <c r="D334" s="430" t="s">
        <v>2200</v>
      </c>
      <c r="E334" s="428" t="str">
        <f t="shared" si="32"/>
        <v/>
      </c>
      <c r="F334" s="429">
        <v>3252.1544600000002</v>
      </c>
      <c r="G334" s="429">
        <v>3373.3386099999998</v>
      </c>
      <c r="H334" s="429">
        <v>3494.9311699999998</v>
      </c>
      <c r="I334" s="429">
        <v>3616.5237299999999</v>
      </c>
      <c r="J334" s="429">
        <v>3738.1176799999998</v>
      </c>
      <c r="K334" s="429">
        <v>3859.7130200000001</v>
      </c>
      <c r="L334" s="429">
        <v>3982.0408299999999</v>
      </c>
      <c r="M334" s="429">
        <v>4105.0976082400002</v>
      </c>
      <c r="N334" s="429">
        <v>4229.1427419000001</v>
      </c>
      <c r="O334" s="429">
        <v>4353.2402462700002</v>
      </c>
      <c r="P334" s="429">
        <v>4466.2440983500001</v>
      </c>
      <c r="Q334" s="429">
        <v>4590.4382873300001</v>
      </c>
      <c r="R334" s="429">
        <v>4714.6324763100001</v>
      </c>
    </row>
    <row r="335" spans="1:18" s="429" customFormat="1">
      <c r="A335" s="429" t="str">
        <f t="shared" si="29"/>
        <v>KU</v>
      </c>
      <c r="B335" s="429" t="str">
        <f t="shared" si="30"/>
        <v>KY</v>
      </c>
      <c r="C335" s="429" t="str">
        <f t="shared" si="31"/>
        <v>341</v>
      </c>
      <c r="D335" s="430" t="s">
        <v>2201</v>
      </c>
      <c r="E335" s="428" t="str">
        <f t="shared" si="32"/>
        <v/>
      </c>
      <c r="F335" s="429">
        <v>59.173209999999997</v>
      </c>
      <c r="G335" s="429">
        <v>64.274680000000004</v>
      </c>
      <c r="H335" s="429">
        <v>69.376149999999996</v>
      </c>
      <c r="I335" s="429">
        <v>74.477620000000002</v>
      </c>
      <c r="J335" s="429">
        <v>79.579089999999994</v>
      </c>
      <c r="K335" s="429">
        <v>84.68056</v>
      </c>
      <c r="L335" s="429">
        <v>89.782030000000006</v>
      </c>
      <c r="M335" s="429">
        <v>94.883492141700003</v>
      </c>
      <c r="N335" s="429">
        <v>99.9849542834</v>
      </c>
      <c r="O335" s="429">
        <v>105.0864164251</v>
      </c>
      <c r="P335" s="429">
        <v>110.18787856679999</v>
      </c>
      <c r="Q335" s="429">
        <v>115.28934070850001</v>
      </c>
      <c r="R335" s="429">
        <v>120.3908028502</v>
      </c>
    </row>
    <row r="336" spans="1:18" s="429" customFormat="1">
      <c r="A336" s="429" t="str">
        <f t="shared" si="29"/>
        <v>KU</v>
      </c>
      <c r="B336" s="429" t="str">
        <f t="shared" si="30"/>
        <v>KY</v>
      </c>
      <c r="C336" s="429" t="str">
        <f t="shared" si="31"/>
        <v>342</v>
      </c>
      <c r="D336" s="430" t="s">
        <v>1752</v>
      </c>
      <c r="E336" s="428" t="str">
        <f t="shared" si="32"/>
        <v/>
      </c>
      <c r="F336" s="429">
        <v>5410.6946699999999</v>
      </c>
      <c r="G336" s="429">
        <v>5463.6846999999998</v>
      </c>
      <c r="H336" s="429">
        <v>5516.6747299999997</v>
      </c>
      <c r="I336" s="429">
        <v>5569.7432099999996</v>
      </c>
      <c r="J336" s="429">
        <v>5622.8901400000004</v>
      </c>
      <c r="K336" s="429">
        <v>5676.0370700000003</v>
      </c>
      <c r="L336" s="429">
        <v>5729.1839999999902</v>
      </c>
      <c r="M336" s="429">
        <v>5782.4446435930904</v>
      </c>
      <c r="N336" s="429">
        <v>5835.8190152972902</v>
      </c>
      <c r="O336" s="429">
        <v>5879.7180536681899</v>
      </c>
      <c r="P336" s="429">
        <v>5934.5392203226902</v>
      </c>
      <c r="Q336" s="429">
        <v>5989.7578485940903</v>
      </c>
      <c r="R336" s="429">
        <v>6044.9764768654904</v>
      </c>
    </row>
    <row r="337" spans="1:18" s="429" customFormat="1">
      <c r="A337" s="429" t="str">
        <f t="shared" si="29"/>
        <v>KU</v>
      </c>
      <c r="B337" s="429" t="str">
        <f t="shared" si="30"/>
        <v>KY</v>
      </c>
      <c r="C337" s="429" t="str">
        <f t="shared" si="31"/>
        <v>342</v>
      </c>
      <c r="D337" s="430" t="s">
        <v>2202</v>
      </c>
      <c r="E337" s="428" t="str">
        <f t="shared" si="32"/>
        <v/>
      </c>
      <c r="F337" s="429">
        <v>3556.5837000000001</v>
      </c>
      <c r="G337" s="429">
        <v>3572.9088099999999</v>
      </c>
      <c r="H337" s="429">
        <v>3589.2339200000001</v>
      </c>
      <c r="I337" s="429">
        <v>3605.5590299999999</v>
      </c>
      <c r="J337" s="429">
        <v>3621.8841400000001</v>
      </c>
      <c r="K337" s="429">
        <v>3638.2092499999999</v>
      </c>
      <c r="L337" s="429">
        <v>3654.5343600000001</v>
      </c>
      <c r="M337" s="429">
        <v>3670.8594717579999</v>
      </c>
      <c r="N337" s="429">
        <v>3687.1845835159902</v>
      </c>
      <c r="O337" s="429">
        <v>3703.50969527399</v>
      </c>
      <c r="P337" s="429">
        <v>3719.8348070319898</v>
      </c>
      <c r="Q337" s="429">
        <v>3736.1599187899901</v>
      </c>
      <c r="R337" s="429">
        <v>3752.4850305479899</v>
      </c>
    </row>
    <row r="338" spans="1:18" s="429" customFormat="1">
      <c r="A338" s="429" t="str">
        <f t="shared" si="29"/>
        <v>KU</v>
      </c>
      <c r="B338" s="429" t="str">
        <f t="shared" si="30"/>
        <v>KY</v>
      </c>
      <c r="C338" s="429" t="str">
        <f t="shared" si="31"/>
        <v>342</v>
      </c>
      <c r="D338" s="430" t="s">
        <v>2203</v>
      </c>
      <c r="E338" s="428" t="str">
        <f t="shared" si="32"/>
        <v/>
      </c>
      <c r="F338" s="429">
        <v>10205.36117</v>
      </c>
      <c r="G338" s="429">
        <v>10321.20991</v>
      </c>
      <c r="H338" s="429">
        <v>10437.058650000001</v>
      </c>
      <c r="I338" s="429">
        <v>10552.90739</v>
      </c>
      <c r="J338" s="429">
        <v>10668.75613</v>
      </c>
      <c r="K338" s="429">
        <v>10784.604869999999</v>
      </c>
      <c r="L338" s="429">
        <v>10900.45361</v>
      </c>
      <c r="M338" s="429">
        <v>11016.302342004999</v>
      </c>
      <c r="N338" s="429">
        <v>11132.1510740099</v>
      </c>
      <c r="O338" s="429">
        <v>11247.999806014899</v>
      </c>
      <c r="P338" s="429">
        <v>11364.1464564629</v>
      </c>
      <c r="Q338" s="429">
        <v>11480.5910253439</v>
      </c>
      <c r="R338" s="429">
        <v>11597.035594224901</v>
      </c>
    </row>
    <row r="339" spans="1:18" s="429" customFormat="1">
      <c r="A339" s="429" t="str">
        <f t="shared" si="29"/>
        <v>KU</v>
      </c>
      <c r="B339" s="429" t="str">
        <f t="shared" si="30"/>
        <v>KY</v>
      </c>
      <c r="C339" s="429" t="str">
        <f t="shared" si="31"/>
        <v>343</v>
      </c>
      <c r="D339" s="430" t="s">
        <v>1753</v>
      </c>
      <c r="E339" s="428" t="str">
        <f t="shared" si="32"/>
        <v/>
      </c>
      <c r="F339" s="429">
        <v>189430.06419</v>
      </c>
      <c r="G339" s="429">
        <v>191021.00482999999</v>
      </c>
      <c r="H339" s="429">
        <v>191130.38918</v>
      </c>
      <c r="I339" s="429">
        <v>192717.21881999899</v>
      </c>
      <c r="J339" s="429">
        <v>194304.38673</v>
      </c>
      <c r="K339" s="429">
        <v>195891.81372999999</v>
      </c>
      <c r="L339" s="429">
        <v>197479.27168000001</v>
      </c>
      <c r="M339" s="429">
        <v>198755.61695116301</v>
      </c>
      <c r="N339" s="429">
        <v>200344.485219472</v>
      </c>
      <c r="O339" s="429">
        <v>201933.577335073</v>
      </c>
      <c r="P339" s="429">
        <v>203523.17873329701</v>
      </c>
      <c r="Q339" s="429">
        <v>204764.483832403</v>
      </c>
      <c r="R339" s="429">
        <v>206394.67936325999</v>
      </c>
    </row>
    <row r="340" spans="1:18" s="429" customFormat="1">
      <c r="A340" s="429" t="str">
        <f t="shared" si="29"/>
        <v>KU</v>
      </c>
      <c r="B340" s="429" t="str">
        <f t="shared" si="30"/>
        <v>KY</v>
      </c>
      <c r="C340" s="429" t="str">
        <f t="shared" si="31"/>
        <v>343</v>
      </c>
      <c r="D340" s="430" t="s">
        <v>2204</v>
      </c>
      <c r="E340" s="428" t="str">
        <f t="shared" si="32"/>
        <v/>
      </c>
      <c r="F340" s="429">
        <v>13874.81623</v>
      </c>
      <c r="G340" s="429">
        <v>14649.331319999999</v>
      </c>
      <c r="H340" s="429">
        <v>7772.7847099999999</v>
      </c>
      <c r="I340" s="429">
        <v>8536.1815000000006</v>
      </c>
      <c r="J340" s="429">
        <v>9299.5994100000007</v>
      </c>
      <c r="K340" s="429">
        <v>10063.01613</v>
      </c>
      <c r="L340" s="429">
        <v>10826.42923</v>
      </c>
      <c r="M340" s="429">
        <v>11001.320961830001</v>
      </c>
      <c r="N340" s="429">
        <v>11767.419803159901</v>
      </c>
      <c r="O340" s="429">
        <v>12525.495714270901</v>
      </c>
      <c r="P340" s="429">
        <v>13288.910356008901</v>
      </c>
      <c r="Q340" s="429">
        <v>14066.968438493899</v>
      </c>
      <c r="R340" s="429">
        <v>14845.536670617899</v>
      </c>
    </row>
    <row r="341" spans="1:18" s="429" customFormat="1">
      <c r="A341" s="429" t="str">
        <f t="shared" si="29"/>
        <v>KU</v>
      </c>
      <c r="B341" s="429" t="str">
        <f t="shared" si="30"/>
        <v>KY</v>
      </c>
      <c r="C341" s="429" t="str">
        <f t="shared" si="31"/>
        <v>344</v>
      </c>
      <c r="D341" s="430" t="s">
        <v>1754</v>
      </c>
      <c r="E341" s="428" t="str">
        <f t="shared" si="32"/>
        <v/>
      </c>
      <c r="F341" s="429">
        <v>33951.203589999997</v>
      </c>
      <c r="G341" s="429">
        <v>34150.376819999998</v>
      </c>
      <c r="H341" s="429">
        <v>34349.550049999998</v>
      </c>
      <c r="I341" s="429">
        <v>34548.745309999998</v>
      </c>
      <c r="J341" s="429">
        <v>34747.962599999999</v>
      </c>
      <c r="K341" s="429">
        <v>34947.179889999999</v>
      </c>
      <c r="L341" s="429">
        <v>35146.39718</v>
      </c>
      <c r="M341" s="429">
        <v>35294.224155020202</v>
      </c>
      <c r="N341" s="429">
        <v>35493.4414600405</v>
      </c>
      <c r="O341" s="429">
        <v>35690.4695376452</v>
      </c>
      <c r="P341" s="429">
        <v>35865.737485167803</v>
      </c>
      <c r="Q341" s="429">
        <v>36066.954530010698</v>
      </c>
      <c r="R341" s="429">
        <v>36268.522012353598</v>
      </c>
    </row>
    <row r="342" spans="1:18" s="429" customFormat="1">
      <c r="A342" s="429" t="str">
        <f t="shared" si="29"/>
        <v>KU</v>
      </c>
      <c r="B342" s="429" t="str">
        <f t="shared" si="30"/>
        <v>KY</v>
      </c>
      <c r="C342" s="429" t="str">
        <f t="shared" si="31"/>
        <v>344</v>
      </c>
      <c r="D342" s="430" t="s">
        <v>2205</v>
      </c>
      <c r="E342" s="428" t="str">
        <f t="shared" si="32"/>
        <v/>
      </c>
      <c r="F342" s="429">
        <v>6376.1373100000001</v>
      </c>
      <c r="G342" s="429">
        <v>6516.2840299999998</v>
      </c>
      <c r="H342" s="429">
        <v>6656.4339300000001</v>
      </c>
      <c r="I342" s="429">
        <v>6796.5846199999996</v>
      </c>
      <c r="J342" s="429">
        <v>6936.73531</v>
      </c>
      <c r="K342" s="429">
        <v>7076.8860000000004</v>
      </c>
      <c r="L342" s="429">
        <v>7217.0366899999999</v>
      </c>
      <c r="M342" s="429">
        <v>7357.1873750929999</v>
      </c>
      <c r="N342" s="429">
        <v>7497.3380601859999</v>
      </c>
      <c r="O342" s="429">
        <v>7637.4887452789999</v>
      </c>
      <c r="P342" s="429">
        <v>7777.6394303719999</v>
      </c>
      <c r="Q342" s="429">
        <v>7917.7901154649999</v>
      </c>
      <c r="R342" s="429">
        <v>8057.9408005579999</v>
      </c>
    </row>
    <row r="343" spans="1:18" s="429" customFormat="1">
      <c r="A343" s="429" t="str">
        <f t="shared" si="29"/>
        <v>KU</v>
      </c>
      <c r="B343" s="429" t="str">
        <f t="shared" si="30"/>
        <v>KY</v>
      </c>
      <c r="C343" s="429" t="str">
        <f t="shared" si="31"/>
        <v>344</v>
      </c>
      <c r="D343" s="430" t="s">
        <v>2206</v>
      </c>
      <c r="E343" s="428" t="str">
        <f t="shared" si="32"/>
        <v/>
      </c>
      <c r="F343" s="429">
        <v>947.66246000000001</v>
      </c>
      <c r="G343" s="429">
        <v>997.86788999999999</v>
      </c>
      <c r="H343" s="429">
        <v>1048.07332</v>
      </c>
      <c r="I343" s="429">
        <v>1098.2787499999999</v>
      </c>
      <c r="J343" s="429">
        <v>1148.4841799999999</v>
      </c>
      <c r="K343" s="429">
        <v>1198.6896099999999</v>
      </c>
      <c r="L343" s="429">
        <v>1248.8950400000001</v>
      </c>
      <c r="M343" s="429">
        <v>1299.1004725386999</v>
      </c>
      <c r="N343" s="429">
        <v>1349.3059050774</v>
      </c>
      <c r="O343" s="429">
        <v>1399.5113376161</v>
      </c>
      <c r="P343" s="429">
        <v>1449.7167701548001</v>
      </c>
      <c r="Q343" s="429">
        <v>1499.9222026934999</v>
      </c>
      <c r="R343" s="429">
        <v>1550.1276352322</v>
      </c>
    </row>
    <row r="344" spans="1:18" s="429" customFormat="1">
      <c r="A344" s="429" t="str">
        <f t="shared" si="29"/>
        <v>KU</v>
      </c>
      <c r="B344" s="429" t="str">
        <f t="shared" si="30"/>
        <v>KY</v>
      </c>
      <c r="C344" s="429" t="str">
        <f t="shared" si="31"/>
        <v>345</v>
      </c>
      <c r="D344" s="430" t="s">
        <v>1755</v>
      </c>
      <c r="E344" s="428" t="str">
        <f t="shared" si="32"/>
        <v/>
      </c>
      <c r="F344" s="429">
        <v>23834.813849999999</v>
      </c>
      <c r="G344" s="429">
        <v>24028.568220000001</v>
      </c>
      <c r="H344" s="429">
        <v>24222.33194</v>
      </c>
      <c r="I344" s="429">
        <v>24416.0974299999</v>
      </c>
      <c r="J344" s="429">
        <v>24609.8621199999</v>
      </c>
      <c r="K344" s="429">
        <v>24803.627110000001</v>
      </c>
      <c r="L344" s="429">
        <v>24997.392089999899</v>
      </c>
      <c r="M344" s="429">
        <v>25191.1567527513</v>
      </c>
      <c r="N344" s="429">
        <v>25384.9214155027</v>
      </c>
      <c r="O344" s="429">
        <v>25578.686078254101</v>
      </c>
      <c r="P344" s="429">
        <v>25772.450741005501</v>
      </c>
      <c r="Q344" s="429">
        <v>25966.215403756902</v>
      </c>
      <c r="R344" s="429">
        <v>26159.980066508298</v>
      </c>
    </row>
    <row r="345" spans="1:18" s="429" customFormat="1">
      <c r="A345" s="429" t="str">
        <f t="shared" si="29"/>
        <v>KU</v>
      </c>
      <c r="B345" s="429" t="str">
        <f t="shared" si="30"/>
        <v>KY</v>
      </c>
      <c r="C345" s="429" t="str">
        <f t="shared" si="31"/>
        <v>345</v>
      </c>
      <c r="D345" s="430" t="s">
        <v>2207</v>
      </c>
      <c r="E345" s="428" t="str">
        <f t="shared" si="32"/>
        <v/>
      </c>
      <c r="F345" s="429">
        <v>1640.2660000000001</v>
      </c>
      <c r="G345" s="429">
        <v>1705.0863400000001</v>
      </c>
      <c r="H345" s="429">
        <v>1770.1683399999999</v>
      </c>
      <c r="I345" s="429">
        <v>1835.2503999999999</v>
      </c>
      <c r="J345" s="429">
        <v>1900.33277</v>
      </c>
      <c r="K345" s="429">
        <v>1965.4154900000001</v>
      </c>
      <c r="L345" s="429">
        <v>2030.4977200000001</v>
      </c>
      <c r="M345" s="429">
        <v>2095.5794317609998</v>
      </c>
      <c r="N345" s="429">
        <v>2160.6611435220002</v>
      </c>
      <c r="O345" s="429">
        <v>2225.7428552830002</v>
      </c>
      <c r="P345" s="429">
        <v>2290.8588989959999</v>
      </c>
      <c r="Q345" s="429">
        <v>2356.0092746619998</v>
      </c>
      <c r="R345" s="429">
        <v>2421.1596503280002</v>
      </c>
    </row>
    <row r="346" spans="1:18" s="429" customFormat="1">
      <c r="A346" s="429" t="str">
        <f t="shared" si="29"/>
        <v>KU</v>
      </c>
      <c r="B346" s="429" t="str">
        <f t="shared" si="30"/>
        <v>KY</v>
      </c>
      <c r="C346" s="429" t="str">
        <f t="shared" si="31"/>
        <v>345</v>
      </c>
      <c r="D346" s="430" t="s">
        <v>2208</v>
      </c>
      <c r="E346" s="428" t="str">
        <f t="shared" si="32"/>
        <v/>
      </c>
      <c r="F346" s="429">
        <v>45.852820000000001</v>
      </c>
      <c r="G346" s="429">
        <v>47.471359999999997</v>
      </c>
      <c r="H346" s="429">
        <v>49.0899</v>
      </c>
      <c r="I346" s="429">
        <v>50.708440000000003</v>
      </c>
      <c r="J346" s="429">
        <v>52.326979999999999</v>
      </c>
      <c r="K346" s="429">
        <v>53.945519999999902</v>
      </c>
      <c r="L346" s="429">
        <v>55.564059999999998</v>
      </c>
      <c r="M346" s="429">
        <v>57.182599982999903</v>
      </c>
      <c r="N346" s="429">
        <v>58.801139965999901</v>
      </c>
      <c r="O346" s="429">
        <v>60.419679948999899</v>
      </c>
      <c r="P346" s="429">
        <v>62.038219931999897</v>
      </c>
      <c r="Q346" s="429">
        <v>63.656759914999903</v>
      </c>
      <c r="R346" s="429">
        <v>65.275299897999901</v>
      </c>
    </row>
    <row r="347" spans="1:18" s="429" customFormat="1">
      <c r="A347" s="429" t="str">
        <f t="shared" si="29"/>
        <v>KU</v>
      </c>
      <c r="B347" s="429" t="str">
        <f t="shared" si="30"/>
        <v>KY</v>
      </c>
      <c r="C347" s="429" t="str">
        <f t="shared" si="31"/>
        <v>346</v>
      </c>
      <c r="D347" s="430" t="s">
        <v>1756</v>
      </c>
      <c r="E347" s="428" t="str">
        <f t="shared" si="32"/>
        <v/>
      </c>
      <c r="F347" s="429">
        <v>3230.5982100000001</v>
      </c>
      <c r="G347" s="429">
        <v>3250.9888799999999</v>
      </c>
      <c r="H347" s="429">
        <v>3271.43209999999</v>
      </c>
      <c r="I347" s="429">
        <v>3291.92785</v>
      </c>
      <c r="J347" s="429">
        <v>3312.4236000000001</v>
      </c>
      <c r="K347" s="429">
        <v>3332.9193499999901</v>
      </c>
      <c r="L347" s="429">
        <v>3353.4151000000002</v>
      </c>
      <c r="M347" s="429">
        <v>3373.91083789295</v>
      </c>
      <c r="N347" s="429">
        <v>3394.4065757858998</v>
      </c>
      <c r="O347" s="429">
        <v>3414.9023136788601</v>
      </c>
      <c r="P347" s="429">
        <v>3435.3980515718099</v>
      </c>
      <c r="Q347" s="429">
        <v>3455.9449695962699</v>
      </c>
      <c r="R347" s="429">
        <v>3476.54306775122</v>
      </c>
    </row>
    <row r="348" spans="1:18" s="429" customFormat="1">
      <c r="A348" s="429" t="str">
        <f t="shared" si="29"/>
        <v>KU</v>
      </c>
      <c r="B348" s="429" t="str">
        <f t="shared" si="30"/>
        <v>KY</v>
      </c>
      <c r="C348" s="429" t="str">
        <f t="shared" si="31"/>
        <v>346</v>
      </c>
      <c r="D348" s="430" t="s">
        <v>2209</v>
      </c>
      <c r="E348" s="428" t="str">
        <f t="shared" si="32"/>
        <v/>
      </c>
      <c r="F348" s="429">
        <v>134.13354999999899</v>
      </c>
      <c r="G348" s="429">
        <v>142.59863000000001</v>
      </c>
      <c r="H348" s="429">
        <v>151.06370999999999</v>
      </c>
      <c r="I348" s="429">
        <v>159.52878999999999</v>
      </c>
      <c r="J348" s="429">
        <v>167.99386999999999</v>
      </c>
      <c r="K348" s="429">
        <v>176.45894999999999</v>
      </c>
      <c r="L348" s="429">
        <v>184.92402999999999</v>
      </c>
      <c r="M348" s="429">
        <v>193.389105325</v>
      </c>
      <c r="N348" s="429">
        <v>201.85418064999999</v>
      </c>
      <c r="O348" s="429">
        <v>210.34623096050001</v>
      </c>
      <c r="P348" s="429">
        <v>218.86525625749999</v>
      </c>
      <c r="Q348" s="429">
        <v>228.03596914049999</v>
      </c>
      <c r="R348" s="429">
        <v>238.0790251105</v>
      </c>
    </row>
    <row r="349" spans="1:18" s="429" customFormat="1">
      <c r="A349" s="429" t="str">
        <f t="shared" si="29"/>
        <v>KU</v>
      </c>
      <c r="B349" s="429" t="str">
        <f t="shared" si="30"/>
        <v>KY</v>
      </c>
      <c r="C349" s="429" t="str">
        <f t="shared" si="31"/>
        <v>346</v>
      </c>
      <c r="D349" s="430" t="s">
        <v>2210</v>
      </c>
      <c r="E349" s="428" t="str">
        <f t="shared" si="32"/>
        <v/>
      </c>
      <c r="F349" s="429">
        <v>20.108830000000001</v>
      </c>
      <c r="G349" s="429">
        <v>21.613250000000001</v>
      </c>
      <c r="H349" s="429">
        <v>23.11767</v>
      </c>
      <c r="I349" s="429">
        <v>24.62209</v>
      </c>
      <c r="J349" s="429">
        <v>26.12651</v>
      </c>
      <c r="K349" s="429">
        <v>27.630929999999999</v>
      </c>
      <c r="L349" s="429">
        <v>29.135349999999999</v>
      </c>
      <c r="M349" s="429">
        <v>30.639773075000001</v>
      </c>
      <c r="N349" s="429">
        <v>32.144196149999999</v>
      </c>
      <c r="O349" s="429">
        <v>33.648619224999997</v>
      </c>
      <c r="P349" s="429">
        <v>35.153042299999903</v>
      </c>
      <c r="Q349" s="429">
        <v>36.657465374999902</v>
      </c>
      <c r="R349" s="429">
        <v>38.1618884499999</v>
      </c>
    </row>
    <row r="350" spans="1:18" s="429" customFormat="1">
      <c r="A350" s="429" t="str">
        <f t="shared" si="29"/>
        <v>KU</v>
      </c>
      <c r="B350" s="429" t="str">
        <f t="shared" si="30"/>
        <v>KY</v>
      </c>
      <c r="C350" s="429" t="str">
        <f t="shared" si="31"/>
        <v>347</v>
      </c>
      <c r="D350" s="430" t="s">
        <v>2211</v>
      </c>
      <c r="E350" s="428" t="str">
        <f t="shared" si="32"/>
        <v>ARO</v>
      </c>
      <c r="F350" s="429">
        <v>53.377580000000002</v>
      </c>
      <c r="G350" s="429">
        <v>55.056699999999999</v>
      </c>
      <c r="H350" s="429">
        <v>56.735819999999997</v>
      </c>
      <c r="I350" s="429">
        <v>58.414940000000001</v>
      </c>
      <c r="J350" s="429">
        <v>60.094059999999999</v>
      </c>
      <c r="K350" s="429">
        <v>61.773180000000004</v>
      </c>
      <c r="L350" s="429">
        <v>63.452300000000001</v>
      </c>
      <c r="M350" s="429">
        <v>65.131420000000006</v>
      </c>
      <c r="N350" s="429">
        <v>66.810540000000003</v>
      </c>
      <c r="O350" s="429">
        <v>68.489660000000001</v>
      </c>
      <c r="P350" s="429">
        <v>70.168779999999998</v>
      </c>
      <c r="Q350" s="429">
        <v>71.847899999999996</v>
      </c>
      <c r="R350" s="429">
        <v>73.527019999999993</v>
      </c>
    </row>
    <row r="351" spans="1:18" s="429" customFormat="1">
      <c r="A351" s="429" t="str">
        <f t="shared" si="29"/>
        <v>KU</v>
      </c>
      <c r="B351" s="429" t="str">
        <f t="shared" si="30"/>
        <v>KY</v>
      </c>
      <c r="C351" s="429" t="str">
        <f t="shared" si="31"/>
        <v>350</v>
      </c>
      <c r="D351" s="430" t="s">
        <v>1757</v>
      </c>
      <c r="E351" s="428" t="str">
        <f t="shared" si="32"/>
        <v/>
      </c>
      <c r="F351" s="429">
        <v>15649.26123</v>
      </c>
      <c r="G351" s="429">
        <v>15668.833339999999</v>
      </c>
      <c r="H351" s="429">
        <v>15688.40545</v>
      </c>
      <c r="I351" s="429">
        <v>15707.977559999999</v>
      </c>
      <c r="J351" s="429">
        <v>15727.54967</v>
      </c>
      <c r="K351" s="429">
        <v>15747.121779999999</v>
      </c>
      <c r="L351" s="429">
        <v>15766.69389</v>
      </c>
      <c r="M351" s="429">
        <v>15786.314330769999</v>
      </c>
      <c r="N351" s="429">
        <v>15805.983099720001</v>
      </c>
      <c r="O351" s="429">
        <v>15825.65186867</v>
      </c>
      <c r="P351" s="429">
        <v>15845.32063762</v>
      </c>
      <c r="Q351" s="429">
        <v>15864.989406569999</v>
      </c>
      <c r="R351" s="429">
        <v>15884.658175549999</v>
      </c>
    </row>
    <row r="352" spans="1:18" s="429" customFormat="1">
      <c r="A352" s="429" t="str">
        <f t="shared" si="29"/>
        <v>KU</v>
      </c>
      <c r="B352" s="429" t="str">
        <f t="shared" si="30"/>
        <v>TN</v>
      </c>
      <c r="C352" s="429" t="str">
        <f t="shared" si="31"/>
        <v>350</v>
      </c>
      <c r="D352" s="430" t="s">
        <v>1758</v>
      </c>
      <c r="E352" s="428" t="str">
        <f t="shared" si="32"/>
        <v/>
      </c>
      <c r="F352" s="429">
        <v>0.36921999999999999</v>
      </c>
      <c r="G352" s="429">
        <v>0.36952999999999903</v>
      </c>
      <c r="H352" s="429">
        <v>0.36984</v>
      </c>
      <c r="I352" s="429">
        <v>0.37014999999999998</v>
      </c>
      <c r="J352" s="429">
        <v>0.37046000000000001</v>
      </c>
      <c r="K352" s="429">
        <v>0.37076999999999999</v>
      </c>
      <c r="L352" s="429">
        <v>0.37107999999999902</v>
      </c>
      <c r="M352" s="429">
        <v>0.37139499649999902</v>
      </c>
      <c r="N352" s="429">
        <v>0.37170999299999902</v>
      </c>
      <c r="O352" s="429">
        <v>0.37202498949999901</v>
      </c>
      <c r="P352" s="429">
        <v>0.37233998599999901</v>
      </c>
      <c r="Q352" s="429">
        <v>0.37265498249999901</v>
      </c>
      <c r="R352" s="429">
        <v>0.37296997899999901</v>
      </c>
    </row>
    <row r="353" spans="1:18" s="429" customFormat="1">
      <c r="A353" s="429" t="str">
        <f t="shared" si="29"/>
        <v>KU</v>
      </c>
      <c r="B353" s="429" t="str">
        <f t="shared" si="30"/>
        <v>VA</v>
      </c>
      <c r="C353" s="429" t="str">
        <f t="shared" si="31"/>
        <v>350</v>
      </c>
      <c r="D353" s="430" t="s">
        <v>1759</v>
      </c>
      <c r="E353" s="428" t="str">
        <f t="shared" si="32"/>
        <v/>
      </c>
      <c r="F353" s="429">
        <v>1945.86897</v>
      </c>
      <c r="G353" s="429">
        <v>1947.4595899999999</v>
      </c>
      <c r="H353" s="429">
        <v>1949.0502100000001</v>
      </c>
      <c r="I353" s="429">
        <v>1950.6408300000001</v>
      </c>
      <c r="J353" s="429">
        <v>1952.23145</v>
      </c>
      <c r="K353" s="429">
        <v>1953.8220699999999</v>
      </c>
      <c r="L353" s="429">
        <v>1955.4126899999901</v>
      </c>
      <c r="M353" s="429">
        <v>1957.00331418</v>
      </c>
      <c r="N353" s="429">
        <v>1958.59393836</v>
      </c>
      <c r="O353" s="429">
        <v>1960.1845625399999</v>
      </c>
      <c r="P353" s="429">
        <v>1961.77518672</v>
      </c>
      <c r="Q353" s="429">
        <v>1963.3658109</v>
      </c>
      <c r="R353" s="429">
        <v>1964.9564350799999</v>
      </c>
    </row>
    <row r="354" spans="1:18" s="429" customFormat="1">
      <c r="A354" s="429" t="str">
        <f t="shared" si="29"/>
        <v>KU</v>
      </c>
      <c r="B354" s="429" t="str">
        <f t="shared" si="30"/>
        <v>KY</v>
      </c>
      <c r="C354" s="429" t="str">
        <f t="shared" si="31"/>
        <v>352</v>
      </c>
      <c r="D354" s="430" t="s">
        <v>1760</v>
      </c>
      <c r="E354" s="428" t="str">
        <f t="shared" si="32"/>
        <v/>
      </c>
      <c r="F354" s="429">
        <v>895.83158000000003</v>
      </c>
      <c r="G354" s="429">
        <v>897.69542999999999</v>
      </c>
      <c r="H354" s="429">
        <v>899.55488000000003</v>
      </c>
      <c r="I354" s="429">
        <v>901.40992000000006</v>
      </c>
      <c r="J354" s="429">
        <v>903.26495999999997</v>
      </c>
      <c r="K354" s="429">
        <v>905.12</v>
      </c>
      <c r="L354" s="429">
        <v>906.97504000000004</v>
      </c>
      <c r="M354" s="429">
        <v>908.83007707479999</v>
      </c>
      <c r="N354" s="429">
        <v>910.68511414959903</v>
      </c>
      <c r="O354" s="429">
        <v>912.54015122439898</v>
      </c>
      <c r="P354" s="429">
        <v>914.39518829919905</v>
      </c>
      <c r="Q354" s="429">
        <v>916.250225373999</v>
      </c>
      <c r="R354" s="429">
        <v>918.10526244879895</v>
      </c>
    </row>
    <row r="355" spans="1:18" s="429" customFormat="1">
      <c r="A355" s="429" t="str">
        <f t="shared" si="29"/>
        <v>KU</v>
      </c>
      <c r="B355" s="429" t="str">
        <f t="shared" si="30"/>
        <v>KY</v>
      </c>
      <c r="C355" s="429" t="str">
        <f t="shared" si="31"/>
        <v>352</v>
      </c>
      <c r="D355" s="430" t="s">
        <v>1761</v>
      </c>
      <c r="E355" s="428" t="str">
        <f t="shared" si="32"/>
        <v/>
      </c>
      <c r="F355" s="429">
        <v>5509.3015500000001</v>
      </c>
      <c r="G355" s="429">
        <v>5545.8566600000004</v>
      </c>
      <c r="H355" s="429">
        <v>5576.8764799999999</v>
      </c>
      <c r="I355" s="429">
        <v>5613.4431800000002</v>
      </c>
      <c r="J355" s="429">
        <v>5648.4856300000001</v>
      </c>
      <c r="K355" s="429">
        <v>5662.4275699999998</v>
      </c>
      <c r="L355" s="429">
        <v>5698.7912900000001</v>
      </c>
      <c r="M355" s="429">
        <v>5735.5193482719997</v>
      </c>
      <c r="N355" s="429">
        <v>5772.2474065440001</v>
      </c>
      <c r="O355" s="429">
        <v>5808.9754648159997</v>
      </c>
      <c r="P355" s="429">
        <v>5845.7035230880001</v>
      </c>
      <c r="Q355" s="429">
        <v>5882.4315813599997</v>
      </c>
      <c r="R355" s="429">
        <v>5919.1596396320001</v>
      </c>
    </row>
    <row r="356" spans="1:18" s="429" customFormat="1">
      <c r="A356" s="429" t="str">
        <f t="shared" si="29"/>
        <v>KU</v>
      </c>
      <c r="B356" s="429" t="str">
        <f t="shared" si="30"/>
        <v>VA</v>
      </c>
      <c r="C356" s="429" t="str">
        <f t="shared" si="31"/>
        <v>352</v>
      </c>
      <c r="D356" s="430" t="s">
        <v>1762</v>
      </c>
      <c r="E356" s="428" t="str">
        <f t="shared" si="32"/>
        <v/>
      </c>
      <c r="F356" s="429">
        <v>786.91732000000002</v>
      </c>
      <c r="G356" s="429">
        <v>789.32875000000001</v>
      </c>
      <c r="H356" s="429">
        <v>791.74018000000001</v>
      </c>
      <c r="I356" s="429">
        <v>794.15161000000001</v>
      </c>
      <c r="J356" s="429">
        <v>796.56304</v>
      </c>
      <c r="K356" s="429">
        <v>798.97447</v>
      </c>
      <c r="L356" s="429">
        <v>801.38589999999999</v>
      </c>
      <c r="M356" s="429">
        <v>803.79732511699899</v>
      </c>
      <c r="N356" s="429">
        <v>806.20875023399901</v>
      </c>
      <c r="O356" s="429">
        <v>808.62017535099903</v>
      </c>
      <c r="P356" s="429">
        <v>811.03160046799906</v>
      </c>
      <c r="Q356" s="429">
        <v>813.44302558499896</v>
      </c>
      <c r="R356" s="429">
        <v>815.85445070199899</v>
      </c>
    </row>
    <row r="357" spans="1:18" s="429" customFormat="1">
      <c r="A357" s="429" t="str">
        <f t="shared" si="29"/>
        <v>KU</v>
      </c>
      <c r="B357" s="429" t="str">
        <f t="shared" si="30"/>
        <v>KY</v>
      </c>
      <c r="C357" s="429" t="str">
        <f t="shared" si="31"/>
        <v>353</v>
      </c>
      <c r="D357" s="430" t="s">
        <v>1763</v>
      </c>
      <c r="E357" s="428" t="str">
        <f t="shared" si="32"/>
        <v/>
      </c>
      <c r="F357" s="429">
        <v>65655.461460000006</v>
      </c>
      <c r="G357" s="429">
        <v>65468.785159999999</v>
      </c>
      <c r="H357" s="429">
        <v>65546.745739999998</v>
      </c>
      <c r="I357" s="429">
        <v>65875.582949999996</v>
      </c>
      <c r="J357" s="429">
        <v>65446.023229999999</v>
      </c>
      <c r="K357" s="429">
        <v>65619.490479999993</v>
      </c>
      <c r="L357" s="429">
        <v>65862.303060000006</v>
      </c>
      <c r="M357" s="429">
        <v>65491.674736599998</v>
      </c>
      <c r="N357" s="429">
        <v>65902.719244220003</v>
      </c>
      <c r="O357" s="429">
        <v>66324.693429930005</v>
      </c>
      <c r="P357" s="429">
        <v>66826.260250360006</v>
      </c>
      <c r="Q357" s="429">
        <v>67329.341943259904</v>
      </c>
      <c r="R357" s="429">
        <v>67896.455052799996</v>
      </c>
    </row>
    <row r="358" spans="1:18" s="429" customFormat="1">
      <c r="A358" s="429" t="str">
        <f t="shared" si="29"/>
        <v>KU</v>
      </c>
      <c r="B358" s="429" t="s">
        <v>17</v>
      </c>
      <c r="C358" s="429" t="str">
        <f t="shared" si="31"/>
        <v>353</v>
      </c>
      <c r="D358" s="430" t="s">
        <v>1764</v>
      </c>
      <c r="E358" s="428" t="str">
        <f t="shared" si="32"/>
        <v/>
      </c>
      <c r="F358" s="429">
        <v>5726.20802</v>
      </c>
      <c r="G358" s="429">
        <v>5726.20802</v>
      </c>
      <c r="H358" s="429">
        <v>5726.20802</v>
      </c>
      <c r="I358" s="429">
        <v>5726.20802</v>
      </c>
      <c r="J358" s="429">
        <v>5726.20802</v>
      </c>
      <c r="K358" s="429">
        <v>5726.20802</v>
      </c>
      <c r="L358" s="429">
        <v>5726.20802</v>
      </c>
      <c r="M358" s="429">
        <v>5685.8793900000001</v>
      </c>
      <c r="N358" s="429">
        <v>5685.8793900000001</v>
      </c>
      <c r="O358" s="429">
        <v>5685.8793900000001</v>
      </c>
      <c r="P358" s="429">
        <v>5685.8793900000001</v>
      </c>
      <c r="Q358" s="429">
        <v>5685.8793900000001</v>
      </c>
      <c r="R358" s="429">
        <v>5685.8793900000001</v>
      </c>
    </row>
    <row r="359" spans="1:18" s="429" customFormat="1">
      <c r="A359" s="429" t="str">
        <f t="shared" si="29"/>
        <v>KU</v>
      </c>
      <c r="B359" s="429" t="str">
        <f t="shared" si="30"/>
        <v>VA</v>
      </c>
      <c r="C359" s="429" t="str">
        <f t="shared" si="31"/>
        <v>353</v>
      </c>
      <c r="D359" s="430" t="s">
        <v>1765</v>
      </c>
      <c r="E359" s="428" t="str">
        <f t="shared" si="32"/>
        <v/>
      </c>
      <c r="F359" s="429">
        <v>7897.2542199999998</v>
      </c>
      <c r="G359" s="429">
        <v>7926.5246999999999</v>
      </c>
      <c r="H359" s="429">
        <v>7959.9119300000002</v>
      </c>
      <c r="I359" s="429">
        <v>7996.0660099999996</v>
      </c>
      <c r="J359" s="429">
        <v>8032.2449699999997</v>
      </c>
      <c r="K359" s="429">
        <v>8062.82485</v>
      </c>
      <c r="L359" s="429">
        <v>8099.1683499999999</v>
      </c>
      <c r="M359" s="429">
        <v>8135.5092305950902</v>
      </c>
      <c r="N359" s="429">
        <v>8171.8501111901896</v>
      </c>
      <c r="O359" s="429">
        <v>8208.19099178529</v>
      </c>
      <c r="P359" s="429">
        <v>8244.5318723803903</v>
      </c>
      <c r="Q359" s="429">
        <v>8280.8727529754906</v>
      </c>
      <c r="R359" s="429">
        <v>8317.2136335705909</v>
      </c>
    </row>
    <row r="360" spans="1:18" s="429" customFormat="1">
      <c r="A360" s="429" t="str">
        <f t="shared" si="29"/>
        <v>KU</v>
      </c>
      <c r="B360" s="429" t="str">
        <f t="shared" si="30"/>
        <v>KY</v>
      </c>
      <c r="C360" s="429" t="str">
        <f t="shared" si="31"/>
        <v>354</v>
      </c>
      <c r="D360" s="430" t="s">
        <v>1766</v>
      </c>
      <c r="E360" s="428" t="str">
        <f t="shared" si="32"/>
        <v/>
      </c>
      <c r="F360" s="429">
        <v>46116.981919999998</v>
      </c>
      <c r="G360" s="429">
        <v>46216.765180000002</v>
      </c>
      <c r="H360" s="429">
        <v>46316.548439999999</v>
      </c>
      <c r="I360" s="429">
        <v>46416.331700000002</v>
      </c>
      <c r="J360" s="429">
        <v>46516.114959999999</v>
      </c>
      <c r="K360" s="429">
        <v>46615.898220000003</v>
      </c>
      <c r="L360" s="429">
        <v>46715.681479999999</v>
      </c>
      <c r="M360" s="429">
        <v>46815.464731426997</v>
      </c>
      <c r="N360" s="429">
        <v>46915.2479828539</v>
      </c>
      <c r="O360" s="429">
        <v>47015.031234280897</v>
      </c>
      <c r="P360" s="429">
        <v>47114.814485707902</v>
      </c>
      <c r="Q360" s="429">
        <v>47214.5977371349</v>
      </c>
      <c r="R360" s="429">
        <v>47314.380988561898</v>
      </c>
    </row>
    <row r="361" spans="1:18" s="429" customFormat="1">
      <c r="A361" s="429" t="str">
        <f t="shared" si="29"/>
        <v>KU</v>
      </c>
      <c r="B361" s="429" t="str">
        <f t="shared" si="30"/>
        <v>VA</v>
      </c>
      <c r="C361" s="429" t="str">
        <f t="shared" si="31"/>
        <v>354</v>
      </c>
      <c r="D361" s="430" t="s">
        <v>1767</v>
      </c>
      <c r="E361" s="428" t="str">
        <f t="shared" si="32"/>
        <v/>
      </c>
      <c r="F361" s="429">
        <v>5034.5622100000001</v>
      </c>
      <c r="G361" s="429">
        <v>5044.6755700000003</v>
      </c>
      <c r="H361" s="429">
        <v>5054.7889299999997</v>
      </c>
      <c r="I361" s="429">
        <v>5064.90229</v>
      </c>
      <c r="J361" s="429">
        <v>5075.0156500000003</v>
      </c>
      <c r="K361" s="429">
        <v>5085.1290099999997</v>
      </c>
      <c r="L361" s="429">
        <v>5095.2423699999999</v>
      </c>
      <c r="M361" s="429">
        <v>5105.3557261639999</v>
      </c>
      <c r="N361" s="429">
        <v>5115.4690823279998</v>
      </c>
      <c r="O361" s="429">
        <v>5125.5824384919997</v>
      </c>
      <c r="P361" s="429">
        <v>5135.6957946559996</v>
      </c>
      <c r="Q361" s="429">
        <v>5145.8091508199996</v>
      </c>
      <c r="R361" s="429">
        <v>5155.9225069839904</v>
      </c>
    </row>
    <row r="362" spans="1:18" s="429" customFormat="1">
      <c r="A362" s="429" t="str">
        <f t="shared" si="29"/>
        <v>KU</v>
      </c>
      <c r="B362" s="429" t="str">
        <f t="shared" si="30"/>
        <v>KY</v>
      </c>
      <c r="C362" s="429" t="str">
        <f t="shared" si="31"/>
        <v>355</v>
      </c>
      <c r="D362" s="430" t="s">
        <v>1768</v>
      </c>
      <c r="E362" s="428" t="str">
        <f t="shared" si="32"/>
        <v/>
      </c>
      <c r="F362" s="429">
        <v>68041.208329999994</v>
      </c>
      <c r="G362" s="429">
        <v>68680.139920000001</v>
      </c>
      <c r="H362" s="429">
        <v>68307.766940000001</v>
      </c>
      <c r="I362" s="429">
        <v>68157.626879999996</v>
      </c>
      <c r="J362" s="429">
        <v>68446.33021</v>
      </c>
      <c r="K362" s="429">
        <v>68870.965129999997</v>
      </c>
      <c r="L362" s="429">
        <v>69349.452869999994</v>
      </c>
      <c r="M362" s="429">
        <v>66790.208621219994</v>
      </c>
      <c r="N362" s="429">
        <v>67329.857323889999</v>
      </c>
      <c r="O362" s="429">
        <v>67675.686655800004</v>
      </c>
      <c r="P362" s="429">
        <v>68434.0596678</v>
      </c>
      <c r="Q362" s="429">
        <v>68837.949154190006</v>
      </c>
      <c r="R362" s="429">
        <v>68919.42571363</v>
      </c>
    </row>
    <row r="363" spans="1:18" s="429" customFormat="1">
      <c r="A363" s="429" t="str">
        <f t="shared" si="29"/>
        <v>KU</v>
      </c>
      <c r="B363" s="429" t="str">
        <f t="shared" si="30"/>
        <v>TN</v>
      </c>
      <c r="C363" s="429" t="str">
        <f t="shared" si="31"/>
        <v>355</v>
      </c>
      <c r="D363" s="430" t="s">
        <v>1769</v>
      </c>
      <c r="E363" s="428" t="str">
        <f t="shared" si="32"/>
        <v/>
      </c>
      <c r="F363" s="429">
        <v>89.515050000000002</v>
      </c>
      <c r="G363" s="429">
        <v>89.822649999999996</v>
      </c>
      <c r="H363" s="429">
        <v>90.130250000000004</v>
      </c>
      <c r="I363" s="429">
        <v>89.141440000000003</v>
      </c>
      <c r="J363" s="429">
        <v>89.45581</v>
      </c>
      <c r="K363" s="429">
        <v>89.770179999999996</v>
      </c>
      <c r="L363" s="429">
        <v>90.084549999999993</v>
      </c>
      <c r="M363" s="429">
        <v>90.39891831912</v>
      </c>
      <c r="N363" s="429">
        <v>90.713286638240007</v>
      </c>
      <c r="O363" s="429">
        <v>91.027654957359999</v>
      </c>
      <c r="P363" s="429">
        <v>91.342023276480006</v>
      </c>
      <c r="Q363" s="429">
        <v>91.656391595599999</v>
      </c>
      <c r="R363" s="429">
        <v>91.970759914720006</v>
      </c>
    </row>
    <row r="364" spans="1:18" s="429" customFormat="1">
      <c r="A364" s="429" t="str">
        <f t="shared" si="29"/>
        <v>KU</v>
      </c>
      <c r="B364" s="429" t="str">
        <f t="shared" si="30"/>
        <v>VA</v>
      </c>
      <c r="C364" s="429" t="str">
        <f t="shared" si="31"/>
        <v>355</v>
      </c>
      <c r="D364" s="430" t="s">
        <v>1770</v>
      </c>
      <c r="E364" s="428" t="str">
        <f t="shared" si="32"/>
        <v/>
      </c>
      <c r="F364" s="429">
        <v>4569.5294299999996</v>
      </c>
      <c r="G364" s="429">
        <v>4601.7928000000002</v>
      </c>
      <c r="H364" s="429">
        <v>4618.0853099999904</v>
      </c>
      <c r="I364" s="429">
        <v>4642.3939700000001</v>
      </c>
      <c r="J364" s="429">
        <v>4673.5158700000002</v>
      </c>
      <c r="K364" s="429">
        <v>4704.6498799999999</v>
      </c>
      <c r="L364" s="429">
        <v>4735.79601</v>
      </c>
      <c r="M364" s="429">
        <v>4685.0495834739904</v>
      </c>
      <c r="N364" s="429">
        <v>4692.4778585619997</v>
      </c>
      <c r="O364" s="429">
        <v>4587.9219295510002</v>
      </c>
      <c r="P364" s="429">
        <v>4622.492000317</v>
      </c>
      <c r="Q364" s="429">
        <v>4657.2793770750004</v>
      </c>
      <c r="R364" s="429">
        <v>4692.0670244419998</v>
      </c>
    </row>
    <row r="365" spans="1:18" s="429" customFormat="1">
      <c r="A365" s="429" t="str">
        <f t="shared" si="29"/>
        <v>KU</v>
      </c>
      <c r="B365" s="429" t="str">
        <f t="shared" si="30"/>
        <v>KY</v>
      </c>
      <c r="C365" s="429" t="str">
        <f t="shared" si="31"/>
        <v>356</v>
      </c>
      <c r="D365" s="430" t="s">
        <v>1771</v>
      </c>
      <c r="E365" s="428" t="str">
        <f t="shared" si="32"/>
        <v/>
      </c>
      <c r="F365" s="429">
        <v>103360.7934</v>
      </c>
      <c r="G365" s="429">
        <v>103602.69130000001</v>
      </c>
      <c r="H365" s="429">
        <v>103599.49069999999</v>
      </c>
      <c r="I365" s="429">
        <v>103363.31909999999</v>
      </c>
      <c r="J365" s="429">
        <v>103636.28109999999</v>
      </c>
      <c r="K365" s="429">
        <v>103546.7154</v>
      </c>
      <c r="L365" s="429">
        <v>103364.2518</v>
      </c>
      <c r="M365" s="429">
        <v>103540.94802407001</v>
      </c>
      <c r="N365" s="429">
        <v>103902.19556129001</v>
      </c>
      <c r="O365" s="429">
        <v>104263.84289574</v>
      </c>
      <c r="P365" s="429">
        <v>104625.60752418</v>
      </c>
      <c r="Q365" s="429">
        <v>104987.37215262</v>
      </c>
      <c r="R365" s="429">
        <v>105349.13678106001</v>
      </c>
    </row>
    <row r="366" spans="1:18" s="429" customFormat="1">
      <c r="A366" s="429" t="str">
        <f t="shared" si="29"/>
        <v>KU</v>
      </c>
      <c r="B366" s="429" t="str">
        <f t="shared" si="30"/>
        <v>TN</v>
      </c>
      <c r="C366" s="429" t="str">
        <f t="shared" si="31"/>
        <v>356</v>
      </c>
      <c r="D366" s="430" t="s">
        <v>1772</v>
      </c>
      <c r="E366" s="428" t="str">
        <f t="shared" si="32"/>
        <v/>
      </c>
      <c r="F366" s="429">
        <v>53.818350000000002</v>
      </c>
      <c r="G366" s="429">
        <v>53.983580000000003</v>
      </c>
      <c r="H366" s="429">
        <v>54.148809999999997</v>
      </c>
      <c r="I366" s="429">
        <v>53.114359999999998</v>
      </c>
      <c r="J366" s="429">
        <v>53.285150000000002</v>
      </c>
      <c r="K366" s="429">
        <v>53.455939999999998</v>
      </c>
      <c r="L366" s="429">
        <v>53.626730000000002</v>
      </c>
      <c r="M366" s="429">
        <v>53.797526648500003</v>
      </c>
      <c r="N366" s="429">
        <v>53.968323296999998</v>
      </c>
      <c r="O366" s="429">
        <v>54.139119945499999</v>
      </c>
      <c r="P366" s="429">
        <v>54.309916594000001</v>
      </c>
      <c r="Q366" s="429">
        <v>54.480713242500002</v>
      </c>
      <c r="R366" s="429">
        <v>54.651509891000003</v>
      </c>
    </row>
    <row r="367" spans="1:18" s="429" customFormat="1">
      <c r="A367" s="429" t="str">
        <f t="shared" si="29"/>
        <v>KU</v>
      </c>
      <c r="B367" s="429" t="str">
        <f t="shared" si="30"/>
        <v>VA</v>
      </c>
      <c r="C367" s="429" t="str">
        <f t="shared" si="31"/>
        <v>356</v>
      </c>
      <c r="D367" s="430" t="s">
        <v>1773</v>
      </c>
      <c r="E367" s="428" t="str">
        <f t="shared" si="32"/>
        <v/>
      </c>
      <c r="F367" s="429">
        <v>10468.93563</v>
      </c>
      <c r="G367" s="429">
        <v>10159.117899999999</v>
      </c>
      <c r="H367" s="429">
        <v>10139.782149999999</v>
      </c>
      <c r="I367" s="429">
        <v>10173.874659999999</v>
      </c>
      <c r="J367" s="429">
        <v>10213.43953</v>
      </c>
      <c r="K367" s="429">
        <v>10253.00887</v>
      </c>
      <c r="L367" s="429">
        <v>10292.58267</v>
      </c>
      <c r="M367" s="429">
        <v>10332.156461696901</v>
      </c>
      <c r="N367" s="429">
        <v>10371.7302533939</v>
      </c>
      <c r="O367" s="429">
        <v>10411.304045090899</v>
      </c>
      <c r="P367" s="429">
        <v>10450.8778367879</v>
      </c>
      <c r="Q367" s="429">
        <v>10490.4516284849</v>
      </c>
      <c r="R367" s="429">
        <v>10530.025420181901</v>
      </c>
    </row>
    <row r="368" spans="1:18" s="429" customFormat="1">
      <c r="A368" s="429" t="str">
        <f t="shared" si="29"/>
        <v>KU</v>
      </c>
      <c r="B368" s="429" t="str">
        <f t="shared" si="30"/>
        <v>KY</v>
      </c>
      <c r="C368" s="429" t="str">
        <f t="shared" si="31"/>
        <v>357</v>
      </c>
      <c r="D368" s="430" t="s">
        <v>1774</v>
      </c>
      <c r="E368" s="428" t="str">
        <f t="shared" si="32"/>
        <v/>
      </c>
      <c r="F368" s="429">
        <v>248.74043</v>
      </c>
      <c r="G368" s="429">
        <v>249.37617</v>
      </c>
      <c r="H368" s="429">
        <v>250.01191</v>
      </c>
      <c r="I368" s="429">
        <v>250.64765</v>
      </c>
      <c r="J368" s="429">
        <v>251.28339</v>
      </c>
      <c r="K368" s="429">
        <v>251.91913</v>
      </c>
      <c r="L368" s="429">
        <v>252.55486999999999</v>
      </c>
      <c r="M368" s="429">
        <v>253.19061370169999</v>
      </c>
      <c r="N368" s="429">
        <v>253.82635740339899</v>
      </c>
      <c r="O368" s="429">
        <v>254.46210110509901</v>
      </c>
      <c r="P368" s="429">
        <v>255.097844806799</v>
      </c>
      <c r="Q368" s="429">
        <v>255.733588508499</v>
      </c>
      <c r="R368" s="429">
        <v>256.36933221019899</v>
      </c>
    </row>
    <row r="369" spans="1:18" s="429" customFormat="1">
      <c r="A369" s="429" t="str">
        <f t="shared" si="29"/>
        <v>KU</v>
      </c>
      <c r="B369" s="429" t="str">
        <f t="shared" si="30"/>
        <v>KY</v>
      </c>
      <c r="C369" s="429" t="str">
        <f t="shared" si="31"/>
        <v>358</v>
      </c>
      <c r="D369" s="430" t="s">
        <v>1775</v>
      </c>
      <c r="E369" s="428" t="str">
        <f t="shared" si="32"/>
        <v/>
      </c>
      <c r="F369" s="429">
        <v>948.75397999999996</v>
      </c>
      <c r="G369" s="429">
        <v>949.55508999999995</v>
      </c>
      <c r="H369" s="429">
        <v>950.35619999999994</v>
      </c>
      <c r="I369" s="429">
        <v>951.15746000000001</v>
      </c>
      <c r="J369" s="429">
        <v>951.95888000000002</v>
      </c>
      <c r="K369" s="429">
        <v>952.76030000000003</v>
      </c>
      <c r="L369" s="429">
        <v>953.56172000000004</v>
      </c>
      <c r="M369" s="429">
        <v>954.36313540579999</v>
      </c>
      <c r="N369" s="429">
        <v>955.16455081159995</v>
      </c>
      <c r="O369" s="429">
        <v>955.965966217399</v>
      </c>
      <c r="P369" s="429">
        <v>956.76738162319896</v>
      </c>
      <c r="Q369" s="429">
        <v>957.56879702899903</v>
      </c>
      <c r="R369" s="429">
        <v>958.37021243479899</v>
      </c>
    </row>
    <row r="370" spans="1:18" s="429" customFormat="1">
      <c r="A370" s="429" t="str">
        <f t="shared" si="29"/>
        <v>KU</v>
      </c>
      <c r="B370" s="429" t="str">
        <f t="shared" si="30"/>
        <v>KY</v>
      </c>
      <c r="C370" s="429" t="str">
        <f t="shared" si="31"/>
        <v>359</v>
      </c>
      <c r="D370" s="430" t="s">
        <v>1776</v>
      </c>
      <c r="E370" s="428" t="str">
        <f t="shared" ref="E370:E427" si="33">IF(ISTEXT(MID($D370,SEARCH("FUTURE USE",$D370),3)),"FUTURE USE",IF(ISTEXT(MID($D370,SEARCH("ECR",$D370),3)),"ECR",IF(ISTEXT(MID($D370,SEARCH("ARO",$D370),3)),"ARO",IF(ISTEXT(MID($D370,SEARCH("DSM",$D370),3)),"DSM",""))))</f>
        <v>ARO</v>
      </c>
      <c r="F370" s="429">
        <v>72.967680000000001</v>
      </c>
      <c r="G370" s="429">
        <v>74.560319999999905</v>
      </c>
      <c r="H370" s="429">
        <v>76.152959999999993</v>
      </c>
      <c r="I370" s="429">
        <v>77.745609999999999</v>
      </c>
      <c r="J370" s="429">
        <v>79.338249999999903</v>
      </c>
      <c r="K370" s="429">
        <v>80.087609999999998</v>
      </c>
      <c r="L370" s="429">
        <v>81.662949999999995</v>
      </c>
      <c r="M370" s="429">
        <v>83.255589999999998</v>
      </c>
      <c r="N370" s="429">
        <v>84.848229999999901</v>
      </c>
      <c r="O370" s="429">
        <v>86.440869999999904</v>
      </c>
      <c r="P370" s="429">
        <v>88.033509999999893</v>
      </c>
      <c r="Q370" s="429">
        <v>89.626149999999896</v>
      </c>
      <c r="R370" s="429">
        <v>91.218789999999899</v>
      </c>
    </row>
    <row r="371" spans="1:18" s="429" customFormat="1">
      <c r="A371" s="429" t="str">
        <f t="shared" si="29"/>
        <v>KU</v>
      </c>
      <c r="B371" s="429" t="str">
        <f t="shared" si="30"/>
        <v>KY</v>
      </c>
      <c r="C371" s="429" t="str">
        <f t="shared" si="31"/>
        <v>360</v>
      </c>
      <c r="D371" s="430" t="s">
        <v>1778</v>
      </c>
      <c r="E371" s="428" t="str">
        <f t="shared" si="33"/>
        <v/>
      </c>
      <c r="F371" s="429">
        <v>1412.3568499999999</v>
      </c>
      <c r="G371" s="429">
        <v>1413.4636800000001</v>
      </c>
      <c r="H371" s="429">
        <v>1414.57051</v>
      </c>
      <c r="I371" s="429">
        <v>1415.67734</v>
      </c>
      <c r="J371" s="429">
        <v>1416.7841699999999</v>
      </c>
      <c r="K371" s="429">
        <v>1417.8910000000001</v>
      </c>
      <c r="L371" s="429">
        <v>1418.99783</v>
      </c>
      <c r="M371" s="429">
        <v>1420.104656704</v>
      </c>
      <c r="N371" s="429">
        <v>1421.211483408</v>
      </c>
      <c r="O371" s="429">
        <v>1422.3183101120001</v>
      </c>
      <c r="P371" s="429">
        <v>1423.4251368160001</v>
      </c>
      <c r="Q371" s="429">
        <v>1424.5319635200001</v>
      </c>
      <c r="R371" s="429">
        <v>1425.6387902240001</v>
      </c>
    </row>
    <row r="372" spans="1:18" s="429" customFormat="1">
      <c r="A372" s="429" t="str">
        <f t="shared" ref="A372:A427" si="34">MID($D372,4,2)</f>
        <v>KU</v>
      </c>
      <c r="B372" s="429" t="str">
        <f t="shared" ref="B372:B427" si="35">IF(MID($D372,12,2)="- ","KY",MID($D372,12,2))</f>
        <v>TN</v>
      </c>
      <c r="C372" s="429" t="str">
        <f t="shared" ref="C372:C427" si="36">MID($D372,8,3)</f>
        <v>360</v>
      </c>
      <c r="D372" s="430" t="s">
        <v>1779</v>
      </c>
      <c r="E372" s="428" t="str">
        <f t="shared" si="33"/>
        <v/>
      </c>
      <c r="F372" s="429">
        <v>2.46915</v>
      </c>
      <c r="G372" s="429">
        <v>2.4705499999999998</v>
      </c>
      <c r="H372" s="429">
        <v>2.4719499999999899</v>
      </c>
      <c r="I372" s="429">
        <v>2.4733499999999999</v>
      </c>
      <c r="J372" s="429">
        <v>2.4747499999999998</v>
      </c>
      <c r="K372" s="429">
        <v>2.4761500000000001</v>
      </c>
      <c r="L372" s="429">
        <v>2.4775499999999999</v>
      </c>
      <c r="M372" s="429">
        <v>2.4789512853329998</v>
      </c>
      <c r="N372" s="429">
        <v>2.4803525706660001</v>
      </c>
      <c r="O372" s="429">
        <v>2.481753855999</v>
      </c>
      <c r="P372" s="429">
        <v>2.4831551413319999</v>
      </c>
      <c r="Q372" s="429">
        <v>2.48455642666499</v>
      </c>
      <c r="R372" s="429">
        <v>2.4859577119979899</v>
      </c>
    </row>
    <row r="373" spans="1:18" s="429" customFormat="1">
      <c r="A373" s="429" t="str">
        <f t="shared" si="34"/>
        <v>KU</v>
      </c>
      <c r="B373" s="429" t="str">
        <f t="shared" si="35"/>
        <v>VA</v>
      </c>
      <c r="C373" s="429" t="str">
        <f t="shared" si="36"/>
        <v>360</v>
      </c>
      <c r="D373" s="430" t="s">
        <v>1780</v>
      </c>
      <c r="E373" s="428" t="str">
        <f t="shared" si="33"/>
        <v/>
      </c>
      <c r="F373" s="429">
        <v>69.089119999999994</v>
      </c>
      <c r="G373" s="429">
        <v>69.137649999999994</v>
      </c>
      <c r="H373" s="429">
        <v>69.186179999999993</v>
      </c>
      <c r="I373" s="429">
        <v>69.234710000000007</v>
      </c>
      <c r="J373" s="429">
        <v>69.283240000000006</v>
      </c>
      <c r="K373" s="429">
        <v>69.331770000000006</v>
      </c>
      <c r="L373" s="429">
        <v>69.380300000000005</v>
      </c>
      <c r="M373" s="429">
        <v>69.42883430933</v>
      </c>
      <c r="N373" s="429">
        <v>69.477368618659995</v>
      </c>
      <c r="O373" s="429">
        <v>69.525902927989904</v>
      </c>
      <c r="P373" s="429">
        <v>69.574437237319898</v>
      </c>
      <c r="Q373" s="429">
        <v>69.622971546649893</v>
      </c>
      <c r="R373" s="429">
        <v>69.671505855979902</v>
      </c>
    </row>
    <row r="374" spans="1:18" s="429" customFormat="1">
      <c r="A374" s="429" t="str">
        <f t="shared" si="34"/>
        <v>KU</v>
      </c>
      <c r="B374" s="429" t="str">
        <f t="shared" si="35"/>
        <v>KY</v>
      </c>
      <c r="C374" s="429" t="str">
        <f t="shared" si="36"/>
        <v>361</v>
      </c>
      <c r="D374" s="430" t="s">
        <v>1781</v>
      </c>
      <c r="E374" s="428" t="str">
        <f t="shared" si="33"/>
        <v/>
      </c>
      <c r="F374" s="429">
        <v>2465.8693499999999</v>
      </c>
      <c r="G374" s="429">
        <v>2490.7112000000002</v>
      </c>
      <c r="H374" s="429">
        <v>2515.7280000000001</v>
      </c>
      <c r="I374" s="429">
        <v>2541.1741400000001</v>
      </c>
      <c r="J374" s="429">
        <v>2566.7260499999902</v>
      </c>
      <c r="K374" s="429">
        <v>2446.1262400000001</v>
      </c>
      <c r="L374" s="429">
        <v>2470.4759100000001</v>
      </c>
      <c r="M374" s="429">
        <v>2409.1815311619998</v>
      </c>
      <c r="N374" s="429">
        <v>2434.988194948</v>
      </c>
      <c r="O374" s="429">
        <v>2463.5565884339999</v>
      </c>
      <c r="P374" s="429">
        <v>2494.08672381</v>
      </c>
      <c r="Q374" s="429">
        <v>2526.840854309</v>
      </c>
      <c r="R374" s="429">
        <v>2551.5809115719999</v>
      </c>
    </row>
    <row r="375" spans="1:18" s="429" customFormat="1">
      <c r="A375" s="429" t="str">
        <f t="shared" si="34"/>
        <v>KU</v>
      </c>
      <c r="B375" s="429" t="str">
        <f t="shared" si="35"/>
        <v>TN</v>
      </c>
      <c r="C375" s="429" t="str">
        <f t="shared" si="36"/>
        <v>361</v>
      </c>
      <c r="D375" s="430" t="s">
        <v>1782</v>
      </c>
      <c r="E375" s="428" t="str">
        <f t="shared" si="33"/>
        <v/>
      </c>
      <c r="F375" s="429">
        <v>2.4578600000000002</v>
      </c>
      <c r="G375" s="429">
        <v>2.4624199999999998</v>
      </c>
      <c r="H375" s="429">
        <v>2.46698</v>
      </c>
      <c r="I375" s="429">
        <v>2.4715400000000001</v>
      </c>
      <c r="J375" s="429">
        <v>2.47609999999999</v>
      </c>
      <c r="K375" s="429">
        <v>2.4806599999999999</v>
      </c>
      <c r="L375" s="429">
        <v>2.48522</v>
      </c>
      <c r="M375" s="429">
        <v>2.4897800245839998</v>
      </c>
      <c r="N375" s="429">
        <v>2.4943400491680001</v>
      </c>
      <c r="O375" s="429">
        <v>2.498900073752</v>
      </c>
      <c r="P375" s="429">
        <v>2.5034600983359998</v>
      </c>
      <c r="Q375" s="429">
        <v>2.5080201229200001</v>
      </c>
      <c r="R375" s="429">
        <v>2.5125801475039999</v>
      </c>
    </row>
    <row r="376" spans="1:18" s="429" customFormat="1">
      <c r="A376" s="429" t="str">
        <f t="shared" si="34"/>
        <v>KU</v>
      </c>
      <c r="B376" s="429" t="str">
        <f t="shared" si="35"/>
        <v>VA</v>
      </c>
      <c r="C376" s="429" t="str">
        <f t="shared" si="36"/>
        <v>361</v>
      </c>
      <c r="D376" s="430" t="s">
        <v>1783</v>
      </c>
      <c r="E376" s="428" t="str">
        <f t="shared" si="33"/>
        <v/>
      </c>
      <c r="F376" s="429">
        <v>133.81453999999999</v>
      </c>
      <c r="G376" s="429">
        <v>134.83613</v>
      </c>
      <c r="H376" s="429">
        <v>135.85772</v>
      </c>
      <c r="I376" s="429">
        <v>136.87931</v>
      </c>
      <c r="J376" s="429">
        <v>137.90090000000001</v>
      </c>
      <c r="K376" s="429">
        <v>138.94114999999999</v>
      </c>
      <c r="L376" s="429">
        <v>140.00005999999999</v>
      </c>
      <c r="M376" s="429">
        <v>141.0715162804</v>
      </c>
      <c r="N376" s="429">
        <v>142.15551422749999</v>
      </c>
      <c r="O376" s="429">
        <v>143.2753455079</v>
      </c>
      <c r="P376" s="429">
        <v>144.44458199670001</v>
      </c>
      <c r="Q376" s="429">
        <v>145.62739036049999</v>
      </c>
      <c r="R376" s="429">
        <v>146.91295700680001</v>
      </c>
    </row>
    <row r="377" spans="1:18" s="429" customFormat="1">
      <c r="A377" s="429" t="str">
        <f t="shared" si="34"/>
        <v>KU</v>
      </c>
      <c r="B377" s="429" t="str">
        <f t="shared" si="35"/>
        <v>KY</v>
      </c>
      <c r="C377" s="429" t="str">
        <f t="shared" si="36"/>
        <v>362</v>
      </c>
      <c r="D377" s="430" t="s">
        <v>1784</v>
      </c>
      <c r="E377" s="428" t="str">
        <f t="shared" si="33"/>
        <v/>
      </c>
      <c r="F377" s="429">
        <v>49017.509440000002</v>
      </c>
      <c r="G377" s="429">
        <v>49243.59463</v>
      </c>
      <c r="H377" s="429">
        <v>48825.044990000002</v>
      </c>
      <c r="I377" s="429">
        <v>49108.517549999997</v>
      </c>
      <c r="J377" s="429">
        <v>49470.933559999998</v>
      </c>
      <c r="K377" s="429">
        <v>49385.111770000003</v>
      </c>
      <c r="L377" s="429">
        <v>49714.011760000001</v>
      </c>
      <c r="M377" s="429">
        <v>49339.428972959999</v>
      </c>
      <c r="N377" s="429">
        <v>49696.457592459999</v>
      </c>
      <c r="O377" s="429">
        <v>50052.376005580001</v>
      </c>
      <c r="P377" s="429">
        <v>50242.72800779</v>
      </c>
      <c r="Q377" s="429">
        <v>50606.326707870001</v>
      </c>
      <c r="R377" s="429">
        <v>49902.932029559997</v>
      </c>
    </row>
    <row r="378" spans="1:18" s="429" customFormat="1">
      <c r="A378" s="429" t="str">
        <f t="shared" si="34"/>
        <v>KU</v>
      </c>
      <c r="B378" s="429" t="str">
        <f t="shared" si="35"/>
        <v>TN</v>
      </c>
      <c r="C378" s="429" t="str">
        <f t="shared" si="36"/>
        <v>362</v>
      </c>
      <c r="D378" s="430" t="s">
        <v>1785</v>
      </c>
      <c r="E378" s="428" t="str">
        <f t="shared" si="33"/>
        <v/>
      </c>
      <c r="F378" s="429">
        <v>34.447209999999998</v>
      </c>
      <c r="G378" s="429">
        <v>34.574839999999902</v>
      </c>
      <c r="H378" s="429">
        <v>34.702469999999998</v>
      </c>
      <c r="I378" s="429">
        <v>34.830100000000002</v>
      </c>
      <c r="J378" s="429">
        <v>34.957729999999998</v>
      </c>
      <c r="K378" s="429">
        <v>35.085360000000001</v>
      </c>
      <c r="L378" s="429">
        <v>35.212989999999998</v>
      </c>
      <c r="M378" s="429">
        <v>35.340619619563</v>
      </c>
      <c r="N378" s="429">
        <v>35.468249239126003</v>
      </c>
      <c r="O378" s="429">
        <v>35.595878858688998</v>
      </c>
      <c r="P378" s="429">
        <v>35.723508478252</v>
      </c>
      <c r="Q378" s="429">
        <v>35.851138097815003</v>
      </c>
      <c r="R378" s="429">
        <v>35.978767717377998</v>
      </c>
    </row>
    <row r="379" spans="1:18" s="429" customFormat="1">
      <c r="A379" s="429" t="str">
        <f t="shared" si="34"/>
        <v>KU</v>
      </c>
      <c r="B379" s="429" t="str">
        <f t="shared" si="35"/>
        <v>VA</v>
      </c>
      <c r="C379" s="429" t="str">
        <f t="shared" si="36"/>
        <v>362</v>
      </c>
      <c r="D379" s="430" t="s">
        <v>1786</v>
      </c>
      <c r="E379" s="428" t="str">
        <f t="shared" si="33"/>
        <v/>
      </c>
      <c r="F379" s="429">
        <v>3174.5445199999999</v>
      </c>
      <c r="G379" s="429">
        <v>3184.1563099999998</v>
      </c>
      <c r="H379" s="429">
        <v>3200.1423199999999</v>
      </c>
      <c r="I379" s="429">
        <v>3216.12833</v>
      </c>
      <c r="J379" s="429">
        <v>3232.1143400000001</v>
      </c>
      <c r="K379" s="429">
        <v>3197.36276</v>
      </c>
      <c r="L379" s="429">
        <v>3213.5063100000002</v>
      </c>
      <c r="M379" s="429">
        <v>3229.7523942676999</v>
      </c>
      <c r="N379" s="429">
        <v>3245.9984785354</v>
      </c>
      <c r="O379" s="429">
        <v>3262.2445628031001</v>
      </c>
      <c r="P379" s="429">
        <v>3278.4906470708002</v>
      </c>
      <c r="Q379" s="429">
        <v>3294.7367313384998</v>
      </c>
      <c r="R379" s="429">
        <v>3310.9828156061999</v>
      </c>
    </row>
    <row r="380" spans="1:18" s="429" customFormat="1">
      <c r="A380" s="429" t="str">
        <f t="shared" si="34"/>
        <v>KU</v>
      </c>
      <c r="B380" s="429" t="str">
        <f t="shared" si="35"/>
        <v>KY</v>
      </c>
      <c r="C380" s="429" t="str">
        <f t="shared" si="36"/>
        <v>364</v>
      </c>
      <c r="D380" s="430" t="s">
        <v>2212</v>
      </c>
      <c r="E380" s="428" t="str">
        <f t="shared" si="33"/>
        <v>ECR</v>
      </c>
      <c r="F380" s="429">
        <v>2.0800999999999998</v>
      </c>
      <c r="G380" s="429">
        <v>2.1391300000000002</v>
      </c>
      <c r="H380" s="429">
        <v>2.1981600000000001</v>
      </c>
      <c r="I380" s="429">
        <v>2.25719</v>
      </c>
      <c r="J380" s="429">
        <v>2.3162199999999999</v>
      </c>
      <c r="K380" s="429">
        <v>2.3752499999999999</v>
      </c>
      <c r="L380" s="429">
        <v>2.4342800000000002</v>
      </c>
      <c r="M380" s="429">
        <v>2.49331192</v>
      </c>
      <c r="N380" s="429">
        <v>2.5523438399999998</v>
      </c>
      <c r="O380" s="429">
        <v>2.6113757599999898</v>
      </c>
      <c r="P380" s="429">
        <v>2.6704076799999901</v>
      </c>
      <c r="Q380" s="429">
        <v>2.7294395999999899</v>
      </c>
      <c r="R380" s="429">
        <v>2.7884715199999901</v>
      </c>
    </row>
    <row r="381" spans="1:18" s="429" customFormat="1">
      <c r="A381" s="429" t="str">
        <f t="shared" si="34"/>
        <v>KU</v>
      </c>
      <c r="B381" s="429" t="str">
        <f t="shared" si="35"/>
        <v>KY</v>
      </c>
      <c r="C381" s="429" t="str">
        <f t="shared" si="36"/>
        <v>364</v>
      </c>
      <c r="D381" s="430" t="s">
        <v>1787</v>
      </c>
      <c r="E381" s="428" t="str">
        <f t="shared" si="33"/>
        <v/>
      </c>
      <c r="F381" s="429">
        <v>151265.43268999999</v>
      </c>
      <c r="G381" s="429">
        <v>152045.45329</v>
      </c>
      <c r="H381" s="429">
        <v>152752.50878999999</v>
      </c>
      <c r="I381" s="429">
        <v>153508.97589</v>
      </c>
      <c r="J381" s="429">
        <v>154174.42718999999</v>
      </c>
      <c r="K381" s="429">
        <v>154499.84669000001</v>
      </c>
      <c r="L381" s="429">
        <v>154563.97419000001</v>
      </c>
      <c r="M381" s="429">
        <v>154615.42421149</v>
      </c>
      <c r="N381" s="429">
        <v>155358.88887333099</v>
      </c>
      <c r="O381" s="429">
        <v>156148.867475721</v>
      </c>
      <c r="P381" s="429">
        <v>156942.386102082</v>
      </c>
      <c r="Q381" s="429">
        <v>157757.86112638301</v>
      </c>
      <c r="R381" s="429">
        <v>158146.68320114401</v>
      </c>
    </row>
    <row r="382" spans="1:18" s="429" customFormat="1">
      <c r="A382" s="429" t="str">
        <f t="shared" si="34"/>
        <v>KU</v>
      </c>
      <c r="B382" s="429" t="str">
        <f t="shared" si="35"/>
        <v>TN</v>
      </c>
      <c r="C382" s="429" t="str">
        <f t="shared" si="36"/>
        <v>364</v>
      </c>
      <c r="D382" s="430" t="s">
        <v>1788</v>
      </c>
      <c r="E382" s="428" t="str">
        <f t="shared" si="33"/>
        <v/>
      </c>
      <c r="F382" s="429">
        <v>47.64349</v>
      </c>
      <c r="G382" s="429">
        <v>47.749809999999997</v>
      </c>
      <c r="H382" s="429">
        <v>47.85613</v>
      </c>
      <c r="I382" s="429">
        <v>47.962449999999997</v>
      </c>
      <c r="J382" s="429">
        <v>48.068770000000001</v>
      </c>
      <c r="K382" s="429">
        <v>48.175089999999997</v>
      </c>
      <c r="L382" s="429">
        <v>48.281410000000001</v>
      </c>
      <c r="M382" s="429">
        <v>48.387732870999997</v>
      </c>
      <c r="N382" s="429">
        <v>48.494055741999901</v>
      </c>
      <c r="O382" s="429">
        <v>48.600378612999897</v>
      </c>
      <c r="P382" s="429">
        <v>48.7067014839999</v>
      </c>
      <c r="Q382" s="429">
        <v>48.813024354999897</v>
      </c>
      <c r="R382" s="429">
        <v>48.9193472259999</v>
      </c>
    </row>
    <row r="383" spans="1:18" s="429" customFormat="1">
      <c r="A383" s="429" t="str">
        <f t="shared" si="34"/>
        <v>KU</v>
      </c>
      <c r="B383" s="429" t="str">
        <f t="shared" si="35"/>
        <v>VA</v>
      </c>
      <c r="C383" s="429" t="str">
        <f t="shared" si="36"/>
        <v>364</v>
      </c>
      <c r="D383" s="430" t="s">
        <v>1789</v>
      </c>
      <c r="E383" s="428" t="str">
        <f t="shared" si="33"/>
        <v/>
      </c>
      <c r="F383" s="429">
        <v>12544.81439</v>
      </c>
      <c r="G383" s="429">
        <v>12609.445180000001</v>
      </c>
      <c r="H383" s="429">
        <v>12674.531869999901</v>
      </c>
      <c r="I383" s="429">
        <v>12733.388300000001</v>
      </c>
      <c r="J383" s="429">
        <v>12772.453299999999</v>
      </c>
      <c r="K383" s="429">
        <v>12779.301519999901</v>
      </c>
      <c r="L383" s="429">
        <v>12791.45434</v>
      </c>
      <c r="M383" s="429">
        <v>12837.685006067</v>
      </c>
      <c r="N383" s="429">
        <v>12901.437732480999</v>
      </c>
      <c r="O383" s="429">
        <v>12965.206319613901</v>
      </c>
      <c r="P383" s="429">
        <v>13028.969662567</v>
      </c>
      <c r="Q383" s="429">
        <v>13092.72776134</v>
      </c>
      <c r="R383" s="429">
        <v>13109.287136606999</v>
      </c>
    </row>
    <row r="384" spans="1:18" s="429" customFormat="1">
      <c r="A384" s="429" t="str">
        <f t="shared" si="34"/>
        <v>KU</v>
      </c>
      <c r="B384" s="429" t="str">
        <f t="shared" si="35"/>
        <v>KY</v>
      </c>
      <c r="C384" s="429" t="str">
        <f t="shared" si="36"/>
        <v>365</v>
      </c>
      <c r="D384" s="430" t="s">
        <v>2213</v>
      </c>
      <c r="E384" s="428" t="str">
        <f t="shared" si="33"/>
        <v>ECR</v>
      </c>
      <c r="F384" s="429">
        <v>2.4197299999999999</v>
      </c>
      <c r="G384" s="429">
        <v>2.4683099999999998</v>
      </c>
      <c r="H384" s="429">
        <v>2.5168900000000001</v>
      </c>
      <c r="I384" s="429">
        <v>2.5654699999999999</v>
      </c>
      <c r="J384" s="429">
        <v>2.6140500000000002</v>
      </c>
      <c r="K384" s="429">
        <v>2.6626300000000001</v>
      </c>
      <c r="L384" s="429">
        <v>2.7112099999999999</v>
      </c>
      <c r="M384" s="429">
        <v>2.75978545225</v>
      </c>
      <c r="N384" s="429">
        <v>2.8083609045000002</v>
      </c>
      <c r="O384" s="429">
        <v>2.8569363567499999</v>
      </c>
      <c r="P384" s="429">
        <v>2.9055118090000001</v>
      </c>
      <c r="Q384" s="429">
        <v>2.9540872612500002</v>
      </c>
      <c r="R384" s="429">
        <v>3.0026627134999999</v>
      </c>
    </row>
    <row r="385" spans="1:18" s="429" customFormat="1">
      <c r="A385" s="429" t="str">
        <f t="shared" si="34"/>
        <v>KU</v>
      </c>
      <c r="B385" s="429" t="str">
        <f t="shared" si="35"/>
        <v>KY</v>
      </c>
      <c r="C385" s="429" t="str">
        <f t="shared" si="36"/>
        <v>365</v>
      </c>
      <c r="D385" s="430" t="s">
        <v>1790</v>
      </c>
      <c r="E385" s="428" t="str">
        <f t="shared" si="33"/>
        <v/>
      </c>
      <c r="F385" s="429">
        <v>108884.16739</v>
      </c>
      <c r="G385" s="429">
        <v>109362.09129</v>
      </c>
      <c r="H385" s="429">
        <v>109789.99269</v>
      </c>
      <c r="I385" s="429">
        <v>110262.31009</v>
      </c>
      <c r="J385" s="429">
        <v>109920.03268999999</v>
      </c>
      <c r="K385" s="429">
        <v>107818.54939</v>
      </c>
      <c r="L385" s="429">
        <v>106335.23379</v>
      </c>
      <c r="M385" s="429">
        <v>106085.27449998001</v>
      </c>
      <c r="N385" s="429">
        <v>106380.97866957</v>
      </c>
      <c r="O385" s="429">
        <v>106983.78086715</v>
      </c>
      <c r="P385" s="429">
        <v>107623.5133471</v>
      </c>
      <c r="Q385" s="429">
        <v>108319.22162714</v>
      </c>
      <c r="R385" s="429">
        <v>108817.259028759</v>
      </c>
    </row>
    <row r="386" spans="1:18" s="429" customFormat="1">
      <c r="A386" s="429" t="str">
        <f t="shared" si="34"/>
        <v>KU</v>
      </c>
      <c r="B386" s="429" t="str">
        <f t="shared" si="35"/>
        <v>TN</v>
      </c>
      <c r="C386" s="429" t="str">
        <f t="shared" si="36"/>
        <v>365</v>
      </c>
      <c r="D386" s="430" t="s">
        <v>1791</v>
      </c>
      <c r="E386" s="428" t="str">
        <f t="shared" si="33"/>
        <v/>
      </c>
      <c r="F386" s="429">
        <v>52.663220000000003</v>
      </c>
      <c r="G386" s="429">
        <v>52.75947</v>
      </c>
      <c r="H386" s="429">
        <v>52.855719999999998</v>
      </c>
      <c r="I386" s="429">
        <v>52.951970000000003</v>
      </c>
      <c r="J386" s="429">
        <v>53.048220000000001</v>
      </c>
      <c r="K386" s="429">
        <v>53.144469999999998</v>
      </c>
      <c r="L386" s="429">
        <v>53.240720000000003</v>
      </c>
      <c r="M386" s="429">
        <v>53.336974294500003</v>
      </c>
      <c r="N386" s="429">
        <v>53.433228589000002</v>
      </c>
      <c r="O386" s="429">
        <v>53.529482883500002</v>
      </c>
      <c r="P386" s="429">
        <v>53.625737178000001</v>
      </c>
      <c r="Q386" s="429">
        <v>53.721991472500001</v>
      </c>
      <c r="R386" s="429">
        <v>53.818245767000001</v>
      </c>
    </row>
    <row r="387" spans="1:18" s="429" customFormat="1">
      <c r="A387" s="429" t="str">
        <f t="shared" si="34"/>
        <v>KU</v>
      </c>
      <c r="B387" s="429" t="str">
        <f t="shared" si="35"/>
        <v>VA</v>
      </c>
      <c r="C387" s="429" t="str">
        <f t="shared" si="36"/>
        <v>365</v>
      </c>
      <c r="D387" s="430" t="s">
        <v>1792</v>
      </c>
      <c r="E387" s="428" t="str">
        <f t="shared" si="33"/>
        <v/>
      </c>
      <c r="F387" s="429">
        <v>8992.4189900000001</v>
      </c>
      <c r="G387" s="429">
        <v>9045.1769100000001</v>
      </c>
      <c r="H387" s="429">
        <v>9096.8116199999895</v>
      </c>
      <c r="I387" s="429">
        <v>9114.1314899999998</v>
      </c>
      <c r="J387" s="429">
        <v>9009.7890599999992</v>
      </c>
      <c r="K387" s="429">
        <v>8897.0136399999992</v>
      </c>
      <c r="L387" s="429">
        <v>8859.9664100000009</v>
      </c>
      <c r="M387" s="429">
        <v>8399.5120537830007</v>
      </c>
      <c r="N387" s="429">
        <v>8446.2619233869991</v>
      </c>
      <c r="O387" s="429">
        <v>8480.9072311060008</v>
      </c>
      <c r="P387" s="429">
        <v>8510.736992221</v>
      </c>
      <c r="Q387" s="429">
        <v>8561.6261893880001</v>
      </c>
      <c r="R387" s="429">
        <v>8610.9376272579993</v>
      </c>
    </row>
    <row r="388" spans="1:18" s="429" customFormat="1">
      <c r="A388" s="429" t="str">
        <f t="shared" si="34"/>
        <v>KU</v>
      </c>
      <c r="B388" s="429" t="str">
        <f t="shared" si="35"/>
        <v>KY</v>
      </c>
      <c r="C388" s="429" t="str">
        <f t="shared" si="36"/>
        <v>366</v>
      </c>
      <c r="D388" s="430" t="s">
        <v>2214</v>
      </c>
      <c r="E388" s="428" t="str">
        <f t="shared" si="33"/>
        <v>ECR</v>
      </c>
      <c r="F388" s="429">
        <v>14.873060000000001</v>
      </c>
      <c r="G388" s="429">
        <v>15.203659999999999</v>
      </c>
      <c r="H388" s="429">
        <v>15.53426</v>
      </c>
      <c r="I388" s="429">
        <v>15.86486</v>
      </c>
      <c r="J388" s="429">
        <v>16.195460000000001</v>
      </c>
      <c r="K388" s="429">
        <v>16.526060000000001</v>
      </c>
      <c r="L388" s="429">
        <v>16.856660000000002</v>
      </c>
      <c r="M388" s="429">
        <v>17.187264872</v>
      </c>
      <c r="N388" s="429">
        <v>17.517869743999999</v>
      </c>
      <c r="O388" s="429">
        <v>17.848474615999901</v>
      </c>
      <c r="P388" s="429">
        <v>18.1790794879999</v>
      </c>
      <c r="Q388" s="429">
        <v>18.509684359999898</v>
      </c>
      <c r="R388" s="429">
        <v>18.8402892319999</v>
      </c>
    </row>
    <row r="389" spans="1:18" s="429" customFormat="1">
      <c r="A389" s="429" t="str">
        <f t="shared" si="34"/>
        <v>KU</v>
      </c>
      <c r="B389" s="429" t="str">
        <f t="shared" si="35"/>
        <v>KY</v>
      </c>
      <c r="C389" s="429" t="str">
        <f t="shared" si="36"/>
        <v>366</v>
      </c>
      <c r="D389" s="430" t="s">
        <v>1793</v>
      </c>
      <c r="E389" s="428" t="str">
        <f t="shared" si="33"/>
        <v/>
      </c>
      <c r="F389" s="429">
        <v>936.23725000000002</v>
      </c>
      <c r="G389" s="429">
        <v>940.52764000000002</v>
      </c>
      <c r="H389" s="429">
        <v>944.81803000000002</v>
      </c>
      <c r="I389" s="429">
        <v>949.10835999999995</v>
      </c>
      <c r="J389" s="429">
        <v>953.39863000000003</v>
      </c>
      <c r="K389" s="429">
        <v>957.68889999999999</v>
      </c>
      <c r="L389" s="429">
        <v>961.97916999999995</v>
      </c>
      <c r="M389" s="429">
        <v>966.26943680500005</v>
      </c>
      <c r="N389" s="429">
        <v>970.55970361000004</v>
      </c>
      <c r="O389" s="429">
        <v>974.84997041500003</v>
      </c>
      <c r="P389" s="429">
        <v>979.14023722000002</v>
      </c>
      <c r="Q389" s="429">
        <v>983.430504025</v>
      </c>
      <c r="R389" s="429">
        <v>987.72077082999999</v>
      </c>
    </row>
    <row r="390" spans="1:18" s="429" customFormat="1">
      <c r="A390" s="429" t="str">
        <f t="shared" si="34"/>
        <v>KU</v>
      </c>
      <c r="B390" s="429" t="str">
        <f t="shared" si="35"/>
        <v>KY</v>
      </c>
      <c r="C390" s="429" t="str">
        <f t="shared" si="36"/>
        <v>367</v>
      </c>
      <c r="D390" s="430" t="s">
        <v>2215</v>
      </c>
      <c r="E390" s="428" t="str">
        <f t="shared" si="33"/>
        <v>ECR</v>
      </c>
      <c r="F390" s="429">
        <v>103.85146</v>
      </c>
      <c r="G390" s="429">
        <v>106.53684</v>
      </c>
      <c r="H390" s="429">
        <v>109.22221999999999</v>
      </c>
      <c r="I390" s="429">
        <v>111.9076</v>
      </c>
      <c r="J390" s="429">
        <v>114.59298</v>
      </c>
      <c r="K390" s="429">
        <v>117.27836000000001</v>
      </c>
      <c r="L390" s="429">
        <v>119.96374</v>
      </c>
      <c r="M390" s="429">
        <v>122.6491236241</v>
      </c>
      <c r="N390" s="429">
        <v>125.3345072482</v>
      </c>
      <c r="O390" s="429">
        <v>128.01989087230001</v>
      </c>
      <c r="P390" s="429">
        <v>130.70527449639999</v>
      </c>
      <c r="Q390" s="429">
        <v>133.39065812050001</v>
      </c>
      <c r="R390" s="429">
        <v>136.07604174459999</v>
      </c>
    </row>
    <row r="391" spans="1:18" s="429" customFormat="1">
      <c r="A391" s="429" t="str">
        <f t="shared" si="34"/>
        <v>KU</v>
      </c>
      <c r="B391" s="429" t="str">
        <f t="shared" si="35"/>
        <v>KY</v>
      </c>
      <c r="C391" s="429" t="str">
        <f t="shared" si="36"/>
        <v>367</v>
      </c>
      <c r="D391" s="430" t="s">
        <v>1794</v>
      </c>
      <c r="E391" s="428" t="str">
        <f t="shared" si="33"/>
        <v/>
      </c>
      <c r="F391" s="429">
        <v>46954.924220000001</v>
      </c>
      <c r="G391" s="429">
        <v>47266.0376599999</v>
      </c>
      <c r="H391" s="429">
        <v>47651.670539999999</v>
      </c>
      <c r="I391" s="429">
        <v>48036.857980000001</v>
      </c>
      <c r="J391" s="429">
        <v>48289.93737</v>
      </c>
      <c r="K391" s="429">
        <v>48429.585279999999</v>
      </c>
      <c r="L391" s="429">
        <v>48755.948530000001</v>
      </c>
      <c r="M391" s="429">
        <v>48797.461760519996</v>
      </c>
      <c r="N391" s="429">
        <v>49148.915153440001</v>
      </c>
      <c r="O391" s="429">
        <v>49528.05670039</v>
      </c>
      <c r="P391" s="429">
        <v>49885.577998369998</v>
      </c>
      <c r="Q391" s="429">
        <v>50270.449261820002</v>
      </c>
      <c r="R391" s="429">
        <v>50666.473321509999</v>
      </c>
    </row>
    <row r="392" spans="1:18" s="429" customFormat="1">
      <c r="A392" s="429" t="str">
        <f t="shared" si="34"/>
        <v>KU</v>
      </c>
      <c r="B392" s="429" t="str">
        <f t="shared" si="35"/>
        <v>VA</v>
      </c>
      <c r="C392" s="429" t="str">
        <f t="shared" si="36"/>
        <v>367</v>
      </c>
      <c r="D392" s="430" t="s">
        <v>1795</v>
      </c>
      <c r="E392" s="428" t="str">
        <f t="shared" si="33"/>
        <v/>
      </c>
      <c r="F392" s="429">
        <v>671.51644999999996</v>
      </c>
      <c r="G392" s="429">
        <v>681.04106999999999</v>
      </c>
      <c r="H392" s="429">
        <v>690.23680000000002</v>
      </c>
      <c r="I392" s="429">
        <v>699.09342000000004</v>
      </c>
      <c r="J392" s="429">
        <v>705.64539000000002</v>
      </c>
      <c r="K392" s="429">
        <v>707.8306</v>
      </c>
      <c r="L392" s="429">
        <v>716.77943000000005</v>
      </c>
      <c r="M392" s="429">
        <v>714.28466100979995</v>
      </c>
      <c r="N392" s="429">
        <v>721.13425393369903</v>
      </c>
      <c r="O392" s="429">
        <v>730.44313039489998</v>
      </c>
      <c r="P392" s="429">
        <v>737.48323852869999</v>
      </c>
      <c r="Q392" s="429">
        <v>746.93325420849999</v>
      </c>
      <c r="R392" s="429">
        <v>756.42499002239902</v>
      </c>
    </row>
    <row r="393" spans="1:18" s="429" customFormat="1">
      <c r="A393" s="429" t="str">
        <f t="shared" si="34"/>
        <v>KU</v>
      </c>
      <c r="B393" s="429" t="str">
        <f t="shared" si="35"/>
        <v>KY</v>
      </c>
      <c r="C393" s="429" t="str">
        <f t="shared" si="36"/>
        <v>368</v>
      </c>
      <c r="D393" s="430" t="s">
        <v>1796</v>
      </c>
      <c r="E393" s="428" t="str">
        <f t="shared" si="33"/>
        <v/>
      </c>
      <c r="F393" s="429">
        <v>138650.10699999999</v>
      </c>
      <c r="G393" s="429">
        <v>139101.52590000001</v>
      </c>
      <c r="H393" s="429">
        <v>139549.1011</v>
      </c>
      <c r="I393" s="429">
        <v>139847.34229999999</v>
      </c>
      <c r="J393" s="429">
        <v>140114.48389999999</v>
      </c>
      <c r="K393" s="429">
        <v>140528.9719</v>
      </c>
      <c r="L393" s="429">
        <v>140982.80840000001</v>
      </c>
      <c r="M393" s="429">
        <v>141480.50400823</v>
      </c>
      <c r="N393" s="429">
        <v>141926.61676996</v>
      </c>
      <c r="O393" s="429">
        <v>142384.818543879</v>
      </c>
      <c r="P393" s="429">
        <v>142839.95486944899</v>
      </c>
      <c r="Q393" s="429">
        <v>143296.74076105899</v>
      </c>
      <c r="R393" s="429">
        <v>143767.54113502899</v>
      </c>
    </row>
    <row r="394" spans="1:18" s="429" customFormat="1">
      <c r="A394" s="429" t="str">
        <f t="shared" si="34"/>
        <v>KU</v>
      </c>
      <c r="B394" s="429" t="str">
        <f t="shared" si="35"/>
        <v>TN</v>
      </c>
      <c r="C394" s="429" t="str">
        <f t="shared" si="36"/>
        <v>368</v>
      </c>
      <c r="D394" s="430" t="s">
        <v>1797</v>
      </c>
      <c r="E394" s="428" t="str">
        <f t="shared" si="33"/>
        <v/>
      </c>
      <c r="F394" s="429">
        <v>5.1991100000000001</v>
      </c>
      <c r="G394" s="429">
        <v>5.2037599999999999</v>
      </c>
      <c r="H394" s="429">
        <v>5.2084099999999998</v>
      </c>
      <c r="I394" s="429">
        <v>5.2130599999999996</v>
      </c>
      <c r="J394" s="429">
        <v>5.2177100000000003</v>
      </c>
      <c r="K394" s="429">
        <v>5.2223600000000001</v>
      </c>
      <c r="L394" s="429">
        <v>5.2270099999999999</v>
      </c>
      <c r="M394" s="429">
        <v>5.2316614343329997</v>
      </c>
      <c r="N394" s="429">
        <v>5.2363128686659897</v>
      </c>
      <c r="O394" s="429">
        <v>5.2409643029989903</v>
      </c>
      <c r="P394" s="429">
        <v>5.24561573733199</v>
      </c>
      <c r="Q394" s="429">
        <v>5.2502671716649898</v>
      </c>
      <c r="R394" s="429">
        <v>5.2549186059979904</v>
      </c>
    </row>
    <row r="395" spans="1:18" s="429" customFormat="1">
      <c r="A395" s="429" t="str">
        <f t="shared" si="34"/>
        <v>KU</v>
      </c>
      <c r="B395" s="429" t="str">
        <f t="shared" si="35"/>
        <v>VA</v>
      </c>
      <c r="C395" s="429" t="str">
        <f t="shared" si="36"/>
        <v>368</v>
      </c>
      <c r="D395" s="430" t="s">
        <v>1798</v>
      </c>
      <c r="E395" s="428" t="str">
        <f t="shared" si="33"/>
        <v/>
      </c>
      <c r="F395" s="429">
        <v>5424.9581799999996</v>
      </c>
      <c r="G395" s="429">
        <v>5441.5567899999996</v>
      </c>
      <c r="H395" s="429">
        <v>5458.1554500000002</v>
      </c>
      <c r="I395" s="429">
        <v>5455.2679600000001</v>
      </c>
      <c r="J395" s="429">
        <v>5408.6564500000004</v>
      </c>
      <c r="K395" s="429">
        <v>5425.1594699999996</v>
      </c>
      <c r="L395" s="429">
        <v>5441.66273</v>
      </c>
      <c r="M395" s="429">
        <v>5449.5675944000004</v>
      </c>
      <c r="N395" s="429">
        <v>5463.7699572730999</v>
      </c>
      <c r="O395" s="429">
        <v>5480.3515071022002</v>
      </c>
      <c r="P395" s="429">
        <v>5496.9374893079003</v>
      </c>
      <c r="Q395" s="429">
        <v>5513.5283742398997</v>
      </c>
      <c r="R395" s="429">
        <v>5530.1232211891001</v>
      </c>
    </row>
    <row r="396" spans="1:18" s="429" customFormat="1">
      <c r="A396" s="429" t="str">
        <f t="shared" si="34"/>
        <v>KU</v>
      </c>
      <c r="B396" s="429" t="str">
        <f t="shared" si="35"/>
        <v>KY</v>
      </c>
      <c r="C396" s="429" t="str">
        <f t="shared" si="36"/>
        <v>369</v>
      </c>
      <c r="D396" s="430" t="s">
        <v>1799</v>
      </c>
      <c r="E396" s="428" t="str">
        <f t="shared" si="33"/>
        <v/>
      </c>
      <c r="F396" s="429">
        <v>59759.378909999999</v>
      </c>
      <c r="G396" s="429">
        <v>59906.81364</v>
      </c>
      <c r="H396" s="429">
        <v>60054.295409999999</v>
      </c>
      <c r="I396" s="429">
        <v>60201.789109999998</v>
      </c>
      <c r="J396" s="429">
        <v>60349.3102</v>
      </c>
      <c r="K396" s="429">
        <v>60496.876539999997</v>
      </c>
      <c r="L396" s="429">
        <v>60644.460460000002</v>
      </c>
      <c r="M396" s="429">
        <v>60792.044123369997</v>
      </c>
      <c r="N396" s="429">
        <v>60939.627786739999</v>
      </c>
      <c r="O396" s="429">
        <v>61087.21145011</v>
      </c>
      <c r="P396" s="429">
        <v>61234.795113480002</v>
      </c>
      <c r="Q396" s="429">
        <v>61382.378776849997</v>
      </c>
      <c r="R396" s="429">
        <v>61529.962440219999</v>
      </c>
    </row>
    <row r="397" spans="1:18" s="429" customFormat="1">
      <c r="A397" s="429" t="str">
        <f t="shared" si="34"/>
        <v>KU</v>
      </c>
      <c r="B397" s="429" t="str">
        <f t="shared" si="35"/>
        <v>TN</v>
      </c>
      <c r="C397" s="429" t="str">
        <f t="shared" si="36"/>
        <v>369</v>
      </c>
      <c r="D397" s="430" t="s">
        <v>1800</v>
      </c>
      <c r="E397" s="428" t="str">
        <f t="shared" si="33"/>
        <v/>
      </c>
      <c r="F397" s="429">
        <v>1.1491499999999999</v>
      </c>
      <c r="G397" s="429">
        <v>1.1495</v>
      </c>
      <c r="H397" s="429">
        <v>1.14985</v>
      </c>
      <c r="I397" s="429">
        <v>1.1501999999999999</v>
      </c>
      <c r="J397" s="429">
        <v>1.15055</v>
      </c>
      <c r="K397" s="429">
        <v>1.1509</v>
      </c>
      <c r="L397" s="429">
        <v>1.1512500000000001</v>
      </c>
      <c r="M397" s="429">
        <v>1.151595858833</v>
      </c>
      <c r="N397" s="429">
        <v>1.1519417176659901</v>
      </c>
      <c r="O397" s="429">
        <v>1.1522875764989899</v>
      </c>
      <c r="P397" s="429">
        <v>1.15263343533199</v>
      </c>
      <c r="Q397" s="429">
        <v>1.1529792941649899</v>
      </c>
      <c r="R397" s="429">
        <v>1.15332515299799</v>
      </c>
    </row>
    <row r="398" spans="1:18" s="429" customFormat="1">
      <c r="A398" s="429" t="str">
        <f t="shared" si="34"/>
        <v>KU</v>
      </c>
      <c r="B398" s="429" t="str">
        <f t="shared" si="35"/>
        <v>VA</v>
      </c>
      <c r="C398" s="429" t="str">
        <f t="shared" si="36"/>
        <v>369</v>
      </c>
      <c r="D398" s="430" t="s">
        <v>1801</v>
      </c>
      <c r="E398" s="428" t="str">
        <f t="shared" si="33"/>
        <v/>
      </c>
      <c r="F398" s="429">
        <v>4265.1548599999996</v>
      </c>
      <c r="G398" s="429">
        <v>4273.1051100000004</v>
      </c>
      <c r="H398" s="429">
        <v>4281.0553600000003</v>
      </c>
      <c r="I398" s="429">
        <v>4289.0056100000002</v>
      </c>
      <c r="J398" s="429">
        <v>4296.95586</v>
      </c>
      <c r="K398" s="429">
        <v>4304.9061099999999</v>
      </c>
      <c r="L398" s="429">
        <v>4312.8563599999998</v>
      </c>
      <c r="M398" s="429">
        <v>4320.8066137289998</v>
      </c>
      <c r="N398" s="429">
        <v>4328.7568674579998</v>
      </c>
      <c r="O398" s="429">
        <v>4336.7071211869998</v>
      </c>
      <c r="P398" s="429">
        <v>4344.6573749159998</v>
      </c>
      <c r="Q398" s="429">
        <v>4352.6076286449997</v>
      </c>
      <c r="R398" s="429">
        <v>4360.5578823739997</v>
      </c>
    </row>
    <row r="399" spans="1:18" s="429" customFormat="1">
      <c r="A399" s="429" t="str">
        <f t="shared" si="34"/>
        <v>KU</v>
      </c>
      <c r="B399" s="429" t="str">
        <f t="shared" si="35"/>
        <v>KY</v>
      </c>
      <c r="C399" s="429" t="str">
        <f t="shared" si="36"/>
        <v>370</v>
      </c>
      <c r="D399" s="430" t="s">
        <v>1802</v>
      </c>
      <c r="E399" s="428" t="str">
        <f t="shared" si="33"/>
        <v/>
      </c>
      <c r="F399" s="429">
        <v>36574.942490000001</v>
      </c>
      <c r="G399" s="429">
        <v>36797.591979999997</v>
      </c>
      <c r="H399" s="429">
        <v>37020.558100000002</v>
      </c>
      <c r="I399" s="429">
        <v>37128.906860000003</v>
      </c>
      <c r="J399" s="429">
        <v>37347.813320000001</v>
      </c>
      <c r="K399" s="429">
        <v>37572.06308</v>
      </c>
      <c r="L399" s="429">
        <v>37796.44975</v>
      </c>
      <c r="M399" s="429">
        <v>38021.018072209998</v>
      </c>
      <c r="N399" s="429">
        <v>38245.955914619997</v>
      </c>
      <c r="O399" s="429">
        <v>38471.23832153</v>
      </c>
      <c r="P399" s="429">
        <v>38699.262518014002</v>
      </c>
      <c r="Q399" s="429">
        <v>38930.028982370997</v>
      </c>
      <c r="R399" s="429">
        <v>39161.108531628</v>
      </c>
    </row>
    <row r="400" spans="1:18" s="429" customFormat="1">
      <c r="A400" s="429" t="str">
        <f t="shared" si="34"/>
        <v>KU</v>
      </c>
      <c r="B400" s="429" t="str">
        <f t="shared" si="35"/>
        <v>KY</v>
      </c>
      <c r="C400" s="429" t="str">
        <f t="shared" si="36"/>
        <v>370</v>
      </c>
      <c r="D400" s="430" t="s">
        <v>2508</v>
      </c>
      <c r="E400" s="428" t="str">
        <f t="shared" si="33"/>
        <v>DSM</v>
      </c>
      <c r="F400" s="429">
        <v>72.934780000000003</v>
      </c>
      <c r="G400" s="429">
        <v>79.611260000000001</v>
      </c>
      <c r="H400" s="429">
        <v>86.293880000000001</v>
      </c>
      <c r="I400" s="429">
        <v>93.436809999999994</v>
      </c>
      <c r="J400" s="429">
        <v>101.03391999999999</v>
      </c>
      <c r="K400" s="429">
        <v>108.63211</v>
      </c>
      <c r="L400" s="429">
        <v>116.23159</v>
      </c>
      <c r="M400" s="429">
        <v>123.831285967</v>
      </c>
      <c r="N400" s="429">
        <v>131.43098193399999</v>
      </c>
      <c r="O400" s="429">
        <v>139.03067790099999</v>
      </c>
      <c r="P400" s="429">
        <v>146.63037386799999</v>
      </c>
      <c r="Q400" s="429">
        <v>154.23006983499999</v>
      </c>
      <c r="R400" s="429">
        <v>161.829765802</v>
      </c>
    </row>
    <row r="401" spans="1:18" s="429" customFormat="1">
      <c r="A401" s="429" t="str">
        <f t="shared" si="34"/>
        <v>KU</v>
      </c>
      <c r="B401" s="429" t="str">
        <f t="shared" si="35"/>
        <v>TN</v>
      </c>
      <c r="C401" s="429" t="str">
        <f t="shared" si="36"/>
        <v>370</v>
      </c>
      <c r="D401" s="430" t="s">
        <v>1803</v>
      </c>
      <c r="E401" s="428" t="str">
        <f t="shared" si="33"/>
        <v/>
      </c>
      <c r="F401" s="429">
        <v>0.42899999999999999</v>
      </c>
      <c r="G401" s="429">
        <v>0.44381999999999999</v>
      </c>
      <c r="H401" s="429">
        <v>0.45863999999999999</v>
      </c>
      <c r="I401" s="429">
        <v>0.47345999999999999</v>
      </c>
      <c r="J401" s="429">
        <v>0.48827999999999999</v>
      </c>
      <c r="K401" s="429">
        <v>0.50309999999999999</v>
      </c>
      <c r="L401" s="429">
        <v>0.51792000000000005</v>
      </c>
      <c r="M401" s="429">
        <v>0.53273678575000005</v>
      </c>
      <c r="N401" s="429">
        <v>0.54755357149999995</v>
      </c>
      <c r="O401" s="429">
        <v>0.56237035724999995</v>
      </c>
      <c r="P401" s="429">
        <v>0.57718714299999996</v>
      </c>
      <c r="Q401" s="429">
        <v>0.59200392874999996</v>
      </c>
      <c r="R401" s="429">
        <v>0.60682071449999997</v>
      </c>
    </row>
    <row r="402" spans="1:18" s="429" customFormat="1">
      <c r="A402" s="429" t="str">
        <f t="shared" si="34"/>
        <v>KU</v>
      </c>
      <c r="B402" s="429" t="str">
        <f t="shared" si="35"/>
        <v>VA</v>
      </c>
      <c r="C402" s="429" t="str">
        <f t="shared" si="36"/>
        <v>370</v>
      </c>
      <c r="D402" s="430" t="s">
        <v>1804</v>
      </c>
      <c r="E402" s="428" t="str">
        <f t="shared" si="33"/>
        <v/>
      </c>
      <c r="F402" s="429">
        <v>2566.9199899999999</v>
      </c>
      <c r="G402" s="429">
        <v>2578.88978</v>
      </c>
      <c r="H402" s="429">
        <v>2591.0178799999999</v>
      </c>
      <c r="I402" s="429">
        <v>2594.9814999999999</v>
      </c>
      <c r="J402" s="429">
        <v>2606.4049</v>
      </c>
      <c r="K402" s="429">
        <v>2617.9480100000001</v>
      </c>
      <c r="L402" s="429">
        <v>2629.5595699999999</v>
      </c>
      <c r="M402" s="429">
        <v>2641.1711342170001</v>
      </c>
      <c r="N402" s="429">
        <v>2652.7826984339999</v>
      </c>
      <c r="O402" s="429">
        <v>2664.3942626509902</v>
      </c>
      <c r="P402" s="429">
        <v>2676.00582686799</v>
      </c>
      <c r="Q402" s="429">
        <v>2687.6173910849898</v>
      </c>
      <c r="R402" s="429">
        <v>2699.22895530199</v>
      </c>
    </row>
    <row r="403" spans="1:18" s="429" customFormat="1">
      <c r="A403" s="429" t="str">
        <f t="shared" si="34"/>
        <v>KU</v>
      </c>
      <c r="B403" s="429" t="str">
        <f t="shared" si="35"/>
        <v>KY</v>
      </c>
      <c r="C403" s="429" t="str">
        <f t="shared" si="36"/>
        <v>371</v>
      </c>
      <c r="D403" s="430" t="s">
        <v>1805</v>
      </c>
      <c r="E403" s="428" t="str">
        <f t="shared" si="33"/>
        <v/>
      </c>
      <c r="F403" s="429">
        <v>3.0939999999999999E-2</v>
      </c>
      <c r="G403" s="429">
        <v>3.3669999999999999E-2</v>
      </c>
      <c r="H403" s="429">
        <v>3.6400000000000002E-2</v>
      </c>
      <c r="I403" s="429">
        <v>3.9129999999999998E-2</v>
      </c>
      <c r="J403" s="429">
        <v>4.1860000000000001E-2</v>
      </c>
      <c r="K403" s="429">
        <v>4.5060000000000003E-2</v>
      </c>
      <c r="L403" s="429">
        <v>4.8739999999999999E-2</v>
      </c>
      <c r="M403" s="429">
        <v>5.2422334000000001E-2</v>
      </c>
      <c r="N403" s="429">
        <v>5.6104668000000003E-2</v>
      </c>
      <c r="O403" s="429">
        <v>5.9787001999999999E-2</v>
      </c>
      <c r="P403" s="429">
        <v>6.3469336000000001E-2</v>
      </c>
      <c r="Q403" s="429">
        <v>6.7151669999999997E-2</v>
      </c>
      <c r="R403" s="429">
        <v>7.0834004000000006E-2</v>
      </c>
    </row>
    <row r="404" spans="1:18" s="429" customFormat="1">
      <c r="A404" s="429" t="str">
        <f t="shared" si="34"/>
        <v>KU</v>
      </c>
      <c r="B404" s="429" t="str">
        <f t="shared" si="35"/>
        <v>KY</v>
      </c>
      <c r="C404" s="429" t="str">
        <f t="shared" si="36"/>
        <v>371</v>
      </c>
      <c r="D404" s="430" t="s">
        <v>2674</v>
      </c>
      <c r="E404" s="428" t="str">
        <f t="shared" si="33"/>
        <v/>
      </c>
      <c r="F404" s="429">
        <v>0</v>
      </c>
      <c r="G404" s="429">
        <v>0</v>
      </c>
      <c r="H404" s="429">
        <v>0</v>
      </c>
      <c r="I404" s="429">
        <v>0</v>
      </c>
      <c r="J404" s="429">
        <v>0</v>
      </c>
      <c r="K404" s="429">
        <v>0</v>
      </c>
      <c r="L404" s="429">
        <v>0</v>
      </c>
      <c r="M404" s="429">
        <v>0.2957681667</v>
      </c>
      <c r="N404" s="429">
        <v>0.91728366669999895</v>
      </c>
      <c r="O404" s="429">
        <v>1.5987575000000001</v>
      </c>
      <c r="P404" s="429">
        <v>2.3401896667000002</v>
      </c>
      <c r="Q404" s="429">
        <v>3.1415801666999998</v>
      </c>
      <c r="R404" s="429">
        <v>4.1426025416999996</v>
      </c>
    </row>
    <row r="405" spans="1:18" s="429" customFormat="1">
      <c r="A405" s="429" t="str">
        <f t="shared" si="34"/>
        <v>KU</v>
      </c>
      <c r="B405" s="429" t="str">
        <f t="shared" si="35"/>
        <v>KY</v>
      </c>
      <c r="C405" s="429" t="str">
        <f t="shared" si="36"/>
        <v>373</v>
      </c>
      <c r="D405" s="430" t="s">
        <v>1806</v>
      </c>
      <c r="E405" s="428" t="str">
        <f t="shared" si="33"/>
        <v/>
      </c>
      <c r="F405" s="429">
        <v>39204.114200000004</v>
      </c>
      <c r="G405" s="429">
        <v>39596.277170000001</v>
      </c>
      <c r="H405" s="429">
        <v>39986.290379999999</v>
      </c>
      <c r="I405" s="429">
        <v>40381.75445</v>
      </c>
      <c r="J405" s="429">
        <v>40721.170659999902</v>
      </c>
      <c r="K405" s="429">
        <v>41100.669779999997</v>
      </c>
      <c r="L405" s="429">
        <v>41485.955670000003</v>
      </c>
      <c r="M405" s="429">
        <v>41601.615187470001</v>
      </c>
      <c r="N405" s="429">
        <v>41979.436374279998</v>
      </c>
      <c r="O405" s="429">
        <v>42380.058555160002</v>
      </c>
      <c r="P405" s="429">
        <v>42756.32698967</v>
      </c>
      <c r="Q405" s="429">
        <v>43148.020997899999</v>
      </c>
      <c r="R405" s="429">
        <v>43550.948960430003</v>
      </c>
    </row>
    <row r="406" spans="1:18" s="429" customFormat="1">
      <c r="A406" s="429" t="str">
        <f t="shared" si="34"/>
        <v>KU</v>
      </c>
      <c r="B406" s="429" t="str">
        <f t="shared" si="35"/>
        <v>VA</v>
      </c>
      <c r="C406" s="429" t="str">
        <f t="shared" si="36"/>
        <v>373</v>
      </c>
      <c r="D406" s="430" t="s">
        <v>1807</v>
      </c>
      <c r="E406" s="428" t="str">
        <f t="shared" si="33"/>
        <v/>
      </c>
      <c r="F406" s="429">
        <v>1753.82646</v>
      </c>
      <c r="G406" s="429">
        <v>1766.0840000000001</v>
      </c>
      <c r="H406" s="429">
        <v>1778.37754</v>
      </c>
      <c r="I406" s="429">
        <v>1790.3342399999999</v>
      </c>
      <c r="J406" s="429">
        <v>1802.6625200000001</v>
      </c>
      <c r="K406" s="429">
        <v>1787.5154500000001</v>
      </c>
      <c r="L406" s="429">
        <v>1798.9257399999999</v>
      </c>
      <c r="M406" s="429">
        <v>1780.889555813</v>
      </c>
      <c r="N406" s="429">
        <v>1790.9960200436001</v>
      </c>
      <c r="O406" s="429">
        <v>1801.2664429448</v>
      </c>
      <c r="P406" s="429">
        <v>1811.5793462419999</v>
      </c>
      <c r="Q406" s="429">
        <v>1821.9328876269999</v>
      </c>
      <c r="R406" s="429">
        <v>1832.3270223628001</v>
      </c>
    </row>
    <row r="407" spans="1:18" s="429" customFormat="1">
      <c r="A407" s="429" t="str">
        <f t="shared" si="34"/>
        <v>KU</v>
      </c>
      <c r="B407" s="429" t="str">
        <f t="shared" si="35"/>
        <v>KY</v>
      </c>
      <c r="C407" s="429" t="str">
        <f t="shared" si="36"/>
        <v>374</v>
      </c>
      <c r="D407" s="430" t="s">
        <v>1808</v>
      </c>
      <c r="E407" s="428" t="str">
        <f t="shared" si="33"/>
        <v>ARO</v>
      </c>
      <c r="F407" s="429">
        <v>125.357</v>
      </c>
      <c r="G407" s="429">
        <v>126.2252</v>
      </c>
      <c r="H407" s="429">
        <v>127.0934</v>
      </c>
      <c r="I407" s="429">
        <v>127.9616</v>
      </c>
      <c r="J407" s="429">
        <v>128.82979</v>
      </c>
      <c r="K407" s="429">
        <v>117.68071</v>
      </c>
      <c r="L407" s="429">
        <v>118.00935</v>
      </c>
      <c r="M407" s="429">
        <v>118.87754</v>
      </c>
      <c r="N407" s="429">
        <v>119.74572999999999</v>
      </c>
      <c r="O407" s="429">
        <v>120.61391999999999</v>
      </c>
      <c r="P407" s="429">
        <v>121.48211000000001</v>
      </c>
      <c r="Q407" s="429">
        <v>122.3503</v>
      </c>
      <c r="R407" s="429">
        <v>123.21849</v>
      </c>
    </row>
    <row r="408" spans="1:18" s="429" customFormat="1">
      <c r="A408" s="429" t="str">
        <f t="shared" si="34"/>
        <v>KU</v>
      </c>
      <c r="B408" s="429" t="str">
        <f t="shared" si="35"/>
        <v>KY</v>
      </c>
      <c r="C408" s="429" t="str">
        <f t="shared" si="36"/>
        <v>390</v>
      </c>
      <c r="D408" s="430" t="s">
        <v>1811</v>
      </c>
      <c r="E408" s="428" t="str">
        <f t="shared" si="33"/>
        <v/>
      </c>
      <c r="F408" s="429">
        <v>748.95081000000005</v>
      </c>
      <c r="G408" s="429">
        <v>754.07321999999999</v>
      </c>
      <c r="H408" s="429">
        <v>759.20627999999999</v>
      </c>
      <c r="I408" s="429">
        <v>764.68578000000002</v>
      </c>
      <c r="J408" s="429">
        <v>770.50518</v>
      </c>
      <c r="K408" s="429">
        <v>776.32920999999999</v>
      </c>
      <c r="L408" s="429">
        <v>766.56345999999905</v>
      </c>
      <c r="M408" s="429">
        <v>746.71036105557505</v>
      </c>
      <c r="N408" s="429">
        <v>752.56461582345105</v>
      </c>
      <c r="O408" s="429">
        <v>758.481268091027</v>
      </c>
      <c r="P408" s="429">
        <v>764.39792035860296</v>
      </c>
      <c r="Q408" s="429">
        <v>770.31457262617903</v>
      </c>
      <c r="R408" s="429">
        <v>776.23122489375498</v>
      </c>
    </row>
    <row r="409" spans="1:18" s="429" customFormat="1">
      <c r="A409" s="429" t="str">
        <f t="shared" si="34"/>
        <v>KU</v>
      </c>
      <c r="B409" s="429" t="str">
        <f t="shared" si="35"/>
        <v>KY</v>
      </c>
      <c r="C409" s="429" t="str">
        <f t="shared" si="36"/>
        <v>390</v>
      </c>
      <c r="D409" s="430" t="s">
        <v>1812</v>
      </c>
      <c r="E409" s="428" t="str">
        <f t="shared" si="33"/>
        <v/>
      </c>
      <c r="F409" s="429">
        <v>11962.544620000001</v>
      </c>
      <c r="G409" s="429">
        <v>12073.68137</v>
      </c>
      <c r="H409" s="429">
        <v>12169.1771899999</v>
      </c>
      <c r="I409" s="429">
        <v>12272.085489999999</v>
      </c>
      <c r="J409" s="429">
        <v>12333.9859499999</v>
      </c>
      <c r="K409" s="429">
        <v>12436.9977</v>
      </c>
      <c r="L409" s="429">
        <v>12326.711090000001</v>
      </c>
      <c r="M409" s="429">
        <v>12392.074295099501</v>
      </c>
      <c r="N409" s="429">
        <v>12477.637217251</v>
      </c>
      <c r="O409" s="429">
        <v>12551.5746090745</v>
      </c>
      <c r="P409" s="429">
        <v>12679.519011528</v>
      </c>
      <c r="Q409" s="429">
        <v>12804.636887491501</v>
      </c>
      <c r="R409" s="429">
        <v>12929.474549344999</v>
      </c>
    </row>
    <row r="410" spans="1:18" s="429" customFormat="1">
      <c r="A410" s="429" t="str">
        <f t="shared" si="34"/>
        <v>KU</v>
      </c>
      <c r="B410" s="429" t="str">
        <f t="shared" si="35"/>
        <v>VA</v>
      </c>
      <c r="C410" s="429" t="str">
        <f t="shared" si="36"/>
        <v>390</v>
      </c>
      <c r="D410" s="430" t="s">
        <v>1813</v>
      </c>
      <c r="E410" s="428" t="str">
        <f t="shared" si="33"/>
        <v/>
      </c>
      <c r="F410" s="429">
        <v>353.03688</v>
      </c>
      <c r="G410" s="429">
        <v>355.198839999999</v>
      </c>
      <c r="H410" s="429">
        <v>348.35775000000001</v>
      </c>
      <c r="I410" s="429">
        <v>350.52287000000001</v>
      </c>
      <c r="J410" s="429">
        <v>352.70573000000002</v>
      </c>
      <c r="K410" s="429">
        <v>354.888589999999</v>
      </c>
      <c r="L410" s="429">
        <v>357.08040999999997</v>
      </c>
      <c r="M410" s="429">
        <v>358.581196065337</v>
      </c>
      <c r="N410" s="429">
        <v>360.78182330897403</v>
      </c>
      <c r="O410" s="429">
        <v>362.98229173201099</v>
      </c>
      <c r="P410" s="429">
        <v>365.18276015504802</v>
      </c>
      <c r="Q410" s="429">
        <v>367.42349349608497</v>
      </c>
      <c r="R410" s="429">
        <v>369.71765493372197</v>
      </c>
    </row>
    <row r="411" spans="1:18" s="429" customFormat="1">
      <c r="A411" s="429" t="str">
        <f t="shared" si="34"/>
        <v>KU</v>
      </c>
      <c r="B411" s="429" t="str">
        <f t="shared" si="35"/>
        <v>KY</v>
      </c>
      <c r="C411" s="429" t="str">
        <f t="shared" si="36"/>
        <v>391</v>
      </c>
      <c r="D411" s="430" t="s">
        <v>1814</v>
      </c>
      <c r="E411" s="428" t="str">
        <f t="shared" si="33"/>
        <v/>
      </c>
      <c r="F411" s="429">
        <v>550.92885999999999</v>
      </c>
      <c r="G411" s="429">
        <v>656.88182999999901</v>
      </c>
      <c r="H411" s="429">
        <v>697.04220999999995</v>
      </c>
      <c r="I411" s="429">
        <v>812.41989000000001</v>
      </c>
      <c r="J411" s="429">
        <v>927.93127000000004</v>
      </c>
      <c r="K411" s="429">
        <v>1043.44496</v>
      </c>
      <c r="L411" s="429">
        <v>1159.77116</v>
      </c>
      <c r="M411" s="429">
        <v>1230.7172748999999</v>
      </c>
      <c r="N411" s="429">
        <v>1257.2277274999999</v>
      </c>
      <c r="O411" s="429">
        <v>1375.3319062</v>
      </c>
      <c r="P411" s="429">
        <v>1470.8631700999999</v>
      </c>
      <c r="Q411" s="429">
        <v>826.14492449999898</v>
      </c>
      <c r="R411" s="429">
        <v>849.94406629999901</v>
      </c>
    </row>
    <row r="412" spans="1:18" s="429" customFormat="1">
      <c r="A412" s="429" t="str">
        <f t="shared" si="34"/>
        <v>KU</v>
      </c>
      <c r="B412" s="429" t="str">
        <f t="shared" si="35"/>
        <v>KY</v>
      </c>
      <c r="C412" s="429" t="str">
        <f t="shared" si="36"/>
        <v>391</v>
      </c>
      <c r="D412" s="430" t="s">
        <v>1815</v>
      </c>
      <c r="E412" s="428" t="str">
        <f t="shared" si="33"/>
        <v/>
      </c>
      <c r="F412" s="429">
        <v>20740.853370000001</v>
      </c>
      <c r="G412" s="429">
        <v>20866.896430000001</v>
      </c>
      <c r="H412" s="429">
        <v>20766.991819999999</v>
      </c>
      <c r="I412" s="429">
        <v>20916.593850000001</v>
      </c>
      <c r="J412" s="429">
        <v>20290.166679999998</v>
      </c>
      <c r="K412" s="429">
        <v>20060.705539999999</v>
      </c>
      <c r="L412" s="429">
        <v>20276.30344</v>
      </c>
      <c r="M412" s="429">
        <v>19927.410428939998</v>
      </c>
      <c r="N412" s="429">
        <v>20182.4979942299</v>
      </c>
      <c r="O412" s="429">
        <v>20453.009991759998</v>
      </c>
      <c r="P412" s="429">
        <v>20173.549210589899</v>
      </c>
      <c r="Q412" s="429">
        <v>20481.677344499902</v>
      </c>
      <c r="R412" s="429">
        <v>20795.917463149901</v>
      </c>
    </row>
    <row r="413" spans="1:18" s="429" customFormat="1">
      <c r="A413" s="429" t="str">
        <f t="shared" si="34"/>
        <v>KU</v>
      </c>
      <c r="B413" s="429" t="str">
        <f t="shared" si="35"/>
        <v>VA</v>
      </c>
      <c r="C413" s="429" t="str">
        <f t="shared" si="36"/>
        <v>391</v>
      </c>
      <c r="D413" s="430" t="s">
        <v>1816</v>
      </c>
      <c r="E413" s="428" t="str">
        <f t="shared" si="33"/>
        <v/>
      </c>
      <c r="F413" s="429">
        <v>-0.30864999999999998</v>
      </c>
      <c r="G413" s="429">
        <v>-0.30864999999999998</v>
      </c>
      <c r="H413" s="429">
        <v>-0.30864999999999998</v>
      </c>
      <c r="I413" s="429">
        <v>-0.30864999999999998</v>
      </c>
      <c r="J413" s="429">
        <v>-0.30864999999999998</v>
      </c>
      <c r="K413" s="429">
        <v>-0.30864999999999998</v>
      </c>
      <c r="L413" s="429">
        <v>-0.30864999999999998</v>
      </c>
      <c r="M413" s="429">
        <v>-0.30864999999999998</v>
      </c>
      <c r="N413" s="429">
        <v>-0.30864999999999998</v>
      </c>
      <c r="O413" s="429">
        <v>-0.30864999999999998</v>
      </c>
      <c r="P413" s="429">
        <v>-0.30864999999999998</v>
      </c>
      <c r="Q413" s="429">
        <v>-0.30864999999999998</v>
      </c>
      <c r="R413" s="429">
        <v>-0.30864999999999998</v>
      </c>
    </row>
    <row r="414" spans="1:18" s="429" customFormat="1">
      <c r="A414" s="429" t="str">
        <f t="shared" si="34"/>
        <v>KU</v>
      </c>
      <c r="B414" s="429" t="str">
        <f t="shared" si="35"/>
        <v>KY</v>
      </c>
      <c r="C414" s="429" t="str">
        <f t="shared" si="36"/>
        <v>392</v>
      </c>
      <c r="D414" s="430" t="s">
        <v>1817</v>
      </c>
      <c r="E414" s="428" t="str">
        <f t="shared" si="33"/>
        <v>ECR</v>
      </c>
      <c r="F414" s="429">
        <v>18.887509999999999</v>
      </c>
      <c r="G414" s="429">
        <v>19.231719999999999</v>
      </c>
      <c r="H414" s="429">
        <v>19.40382</v>
      </c>
      <c r="I414" s="429">
        <v>19.40382</v>
      </c>
      <c r="J414" s="429">
        <v>19.40382</v>
      </c>
      <c r="K414" s="429">
        <v>19.40382</v>
      </c>
      <c r="L414" s="429">
        <v>19.40382</v>
      </c>
      <c r="M414" s="429">
        <v>19.435674604500001</v>
      </c>
      <c r="N414" s="429">
        <v>19.467529208999999</v>
      </c>
      <c r="O414" s="429">
        <v>19.4993838135</v>
      </c>
      <c r="P414" s="429">
        <v>19.531238418000001</v>
      </c>
      <c r="Q414" s="429">
        <v>19.563093022499999</v>
      </c>
      <c r="R414" s="429">
        <v>19.594947627</v>
      </c>
    </row>
    <row r="415" spans="1:18" s="429" customFormat="1">
      <c r="A415" s="429" t="str">
        <f t="shared" si="34"/>
        <v>KU</v>
      </c>
      <c r="B415" s="429" t="str">
        <f t="shared" si="35"/>
        <v>KY</v>
      </c>
      <c r="C415" s="429" t="str">
        <f t="shared" si="36"/>
        <v>392</v>
      </c>
      <c r="D415" s="430" t="s">
        <v>1818</v>
      </c>
      <c r="E415" s="428" t="str">
        <f t="shared" si="33"/>
        <v/>
      </c>
      <c r="F415" s="429">
        <v>4179.9570100000001</v>
      </c>
      <c r="G415" s="429">
        <v>4197.7161299999998</v>
      </c>
      <c r="H415" s="429">
        <v>4015.8938399999902</v>
      </c>
      <c r="I415" s="429">
        <v>4033.5558099999998</v>
      </c>
      <c r="J415" s="429">
        <v>4051.2177799999999</v>
      </c>
      <c r="K415" s="429">
        <v>4069.0775899999999</v>
      </c>
      <c r="L415" s="429">
        <v>4087.1520300000002</v>
      </c>
      <c r="M415" s="429">
        <v>4099.8693677659903</v>
      </c>
      <c r="N415" s="429">
        <v>4118.1628206249998</v>
      </c>
      <c r="O415" s="429">
        <v>4136.4562734840001</v>
      </c>
      <c r="P415" s="429">
        <v>4154.7497263429996</v>
      </c>
      <c r="Q415" s="429">
        <v>4173.0431792019999</v>
      </c>
      <c r="R415" s="429">
        <v>4187.4847520610001</v>
      </c>
    </row>
    <row r="416" spans="1:18" s="429" customFormat="1">
      <c r="A416" s="429" t="str">
        <f t="shared" si="34"/>
        <v>KU</v>
      </c>
      <c r="B416" s="429" t="str">
        <f t="shared" si="35"/>
        <v>VA</v>
      </c>
      <c r="C416" s="429" t="str">
        <f t="shared" si="36"/>
        <v>392</v>
      </c>
      <c r="D416" s="430" t="s">
        <v>2510</v>
      </c>
      <c r="E416" s="428" t="str">
        <f t="shared" si="33"/>
        <v/>
      </c>
      <c r="F416" s="429">
        <v>0</v>
      </c>
      <c r="G416" s="429">
        <v>0</v>
      </c>
      <c r="H416" s="429">
        <v>1.227E-2</v>
      </c>
      <c r="I416" s="429">
        <v>3.6810000000000002E-2</v>
      </c>
      <c r="J416" s="429">
        <v>6.1350000000000002E-2</v>
      </c>
      <c r="K416" s="429">
        <v>8.5889999999999994E-2</v>
      </c>
      <c r="L416" s="429">
        <v>0.11043</v>
      </c>
      <c r="M416" s="429">
        <v>0.13496700667</v>
      </c>
      <c r="N416" s="429">
        <v>0.15950401334</v>
      </c>
      <c r="O416" s="429">
        <v>0.18404102001</v>
      </c>
      <c r="P416" s="429">
        <v>0.20857802668</v>
      </c>
      <c r="Q416" s="429">
        <v>0.23311503335</v>
      </c>
      <c r="R416" s="429">
        <v>0.25765204001999997</v>
      </c>
    </row>
    <row r="417" spans="1:19" s="429" customFormat="1">
      <c r="A417" s="429" t="str">
        <f t="shared" si="34"/>
        <v>KU</v>
      </c>
      <c r="B417" s="429" t="str">
        <f t="shared" si="35"/>
        <v>KY</v>
      </c>
      <c r="C417" s="429" t="str">
        <f t="shared" si="36"/>
        <v>393</v>
      </c>
      <c r="D417" s="430" t="s">
        <v>1819</v>
      </c>
      <c r="E417" s="428" t="str">
        <f t="shared" si="33"/>
        <v/>
      </c>
      <c r="F417" s="429">
        <v>418.87970000000001</v>
      </c>
      <c r="G417" s="429">
        <v>422.20332999999999</v>
      </c>
      <c r="H417" s="429">
        <v>425.67349000000002</v>
      </c>
      <c r="I417" s="429">
        <v>429.29018000000002</v>
      </c>
      <c r="J417" s="429">
        <v>432.90687000000003</v>
      </c>
      <c r="K417" s="429">
        <v>436.37702999999999</v>
      </c>
      <c r="L417" s="429">
        <v>439.700659999999</v>
      </c>
      <c r="M417" s="429">
        <v>443.024290089999</v>
      </c>
      <c r="N417" s="429">
        <v>446.34792017999899</v>
      </c>
      <c r="O417" s="429">
        <v>442.81055479699899</v>
      </c>
      <c r="P417" s="429">
        <v>446.20269218999903</v>
      </c>
      <c r="Q417" s="429">
        <v>449.68844783299897</v>
      </c>
      <c r="R417" s="429">
        <v>453.17420347599898</v>
      </c>
    </row>
    <row r="418" spans="1:19" s="429" customFormat="1">
      <c r="A418" s="429" t="str">
        <f t="shared" si="34"/>
        <v>KU</v>
      </c>
      <c r="B418" s="429" t="str">
        <f t="shared" si="35"/>
        <v>VA</v>
      </c>
      <c r="C418" s="429" t="str">
        <f t="shared" si="36"/>
        <v>393</v>
      </c>
      <c r="D418" s="430" t="s">
        <v>1820</v>
      </c>
      <c r="E418" s="428" t="str">
        <f t="shared" si="33"/>
        <v/>
      </c>
      <c r="F418" s="429">
        <v>3.7065700000000001</v>
      </c>
      <c r="G418" s="429">
        <v>3.7231700000000001</v>
      </c>
      <c r="H418" s="429">
        <v>3.73977</v>
      </c>
      <c r="I418" s="429">
        <v>3.75637</v>
      </c>
      <c r="J418" s="429">
        <v>3.7729699999999999</v>
      </c>
      <c r="K418" s="429">
        <v>3.7895699999999999</v>
      </c>
      <c r="L418" s="429">
        <v>3.8061699999999998</v>
      </c>
      <c r="M418" s="429">
        <v>3.8227661400000001</v>
      </c>
      <c r="N418" s="429">
        <v>3.83936228</v>
      </c>
      <c r="O418" s="429">
        <v>0.19959735833299899</v>
      </c>
      <c r="P418" s="429">
        <v>0.20281137499999899</v>
      </c>
      <c r="Q418" s="429">
        <v>0.20602539166699901</v>
      </c>
      <c r="R418" s="429">
        <v>0.20923940833399901</v>
      </c>
    </row>
    <row r="419" spans="1:19" s="429" customFormat="1">
      <c r="A419" s="429" t="str">
        <f t="shared" si="34"/>
        <v>KU</v>
      </c>
      <c r="B419" s="429" t="str">
        <f t="shared" si="35"/>
        <v>KY</v>
      </c>
      <c r="C419" s="429" t="str">
        <f t="shared" si="36"/>
        <v>394</v>
      </c>
      <c r="D419" s="430" t="s">
        <v>1821</v>
      </c>
      <c r="E419" s="428" t="str">
        <f t="shared" si="33"/>
        <v/>
      </c>
      <c r="F419" s="429">
        <v>4090.67472</v>
      </c>
      <c r="G419" s="429">
        <v>4133.6436599999997</v>
      </c>
      <c r="H419" s="429">
        <v>4172.0690400000003</v>
      </c>
      <c r="I419" s="429">
        <v>4213.23495</v>
      </c>
      <c r="J419" s="429">
        <v>4254.2511599999998</v>
      </c>
      <c r="K419" s="429">
        <v>4289.7008099999903</v>
      </c>
      <c r="L419" s="429">
        <v>4328.9447300000002</v>
      </c>
      <c r="M419" s="429">
        <v>4363.6058231999996</v>
      </c>
      <c r="N419" s="429">
        <v>4409.8021470100002</v>
      </c>
      <c r="O419" s="429">
        <v>4444.40249503</v>
      </c>
      <c r="P419" s="429">
        <v>4492.4595839200001</v>
      </c>
      <c r="Q419" s="429">
        <v>4541.4787691600004</v>
      </c>
      <c r="R419" s="429">
        <v>4586.0075235000004</v>
      </c>
    </row>
    <row r="420" spans="1:19" s="429" customFormat="1">
      <c r="A420" s="429" t="str">
        <f t="shared" si="34"/>
        <v>KU</v>
      </c>
      <c r="B420" s="429" t="str">
        <f t="shared" si="35"/>
        <v>VA</v>
      </c>
      <c r="C420" s="429" t="str">
        <f t="shared" si="36"/>
        <v>394</v>
      </c>
      <c r="D420" s="430" t="s">
        <v>1822</v>
      </c>
      <c r="E420" s="428" t="str">
        <f t="shared" si="33"/>
        <v/>
      </c>
      <c r="F420" s="429">
        <v>204.59141</v>
      </c>
      <c r="G420" s="429">
        <v>206.18942000000001</v>
      </c>
      <c r="H420" s="429">
        <v>207.78743</v>
      </c>
      <c r="I420" s="429">
        <v>209.38543999999999</v>
      </c>
      <c r="J420" s="429">
        <v>210.98345</v>
      </c>
      <c r="K420" s="429">
        <v>212.58145999999999</v>
      </c>
      <c r="L420" s="429">
        <v>214.17947000000001</v>
      </c>
      <c r="M420" s="429">
        <v>215.86564598499999</v>
      </c>
      <c r="N420" s="429">
        <v>217.70342419400001</v>
      </c>
      <c r="O420" s="429">
        <v>213.360834028</v>
      </c>
      <c r="P420" s="429">
        <v>215.356560164</v>
      </c>
      <c r="Q420" s="429">
        <v>217.457750146</v>
      </c>
      <c r="R420" s="429">
        <v>219.568976644</v>
      </c>
    </row>
    <row r="421" spans="1:19" s="429" customFormat="1">
      <c r="A421" s="429" t="str">
        <f t="shared" si="34"/>
        <v>KU</v>
      </c>
      <c r="B421" s="429" t="str">
        <f t="shared" si="35"/>
        <v>KY</v>
      </c>
      <c r="C421" s="429" t="str">
        <f t="shared" si="36"/>
        <v>396</v>
      </c>
      <c r="D421" s="430" t="s">
        <v>1823</v>
      </c>
      <c r="E421" s="428" t="str">
        <f t="shared" si="33"/>
        <v/>
      </c>
      <c r="F421" s="429">
        <v>1018.7731</v>
      </c>
      <c r="G421" s="429">
        <v>243.37315000000001</v>
      </c>
      <c r="H421" s="429">
        <v>248.12279999999899</v>
      </c>
      <c r="I421" s="429">
        <v>251.05763999999999</v>
      </c>
      <c r="J421" s="429">
        <v>253.99248</v>
      </c>
      <c r="K421" s="429">
        <v>256.92732000000001</v>
      </c>
      <c r="L421" s="429">
        <v>259.86216000000002</v>
      </c>
      <c r="M421" s="429">
        <v>262.79700310999999</v>
      </c>
      <c r="N421" s="429">
        <v>265.731846219999</v>
      </c>
      <c r="O421" s="429">
        <v>268.66668932999897</v>
      </c>
      <c r="P421" s="429">
        <v>271.601532439999</v>
      </c>
      <c r="Q421" s="429">
        <v>274.53637554999898</v>
      </c>
      <c r="R421" s="429">
        <v>277.47121865999901</v>
      </c>
    </row>
    <row r="422" spans="1:19" s="429" customFormat="1">
      <c r="A422" s="429" t="str">
        <f t="shared" si="34"/>
        <v>KU</v>
      </c>
      <c r="B422" s="429" t="str">
        <f t="shared" si="35"/>
        <v>KY</v>
      </c>
      <c r="C422" s="429" t="str">
        <f t="shared" si="36"/>
        <v>396</v>
      </c>
      <c r="D422" s="430" t="s">
        <v>2511</v>
      </c>
      <c r="E422" s="428" t="str">
        <f t="shared" si="33"/>
        <v/>
      </c>
      <c r="F422" s="429">
        <v>0</v>
      </c>
      <c r="G422" s="429">
        <v>790.35235999999998</v>
      </c>
      <c r="H422" s="429">
        <v>801.32830999999999</v>
      </c>
      <c r="I422" s="429">
        <v>814.89224000000002</v>
      </c>
      <c r="J422" s="429">
        <v>828.45617000000004</v>
      </c>
      <c r="K422" s="429">
        <v>842.11680999999999</v>
      </c>
      <c r="L422" s="429">
        <v>856.16458999999998</v>
      </c>
      <c r="M422" s="429">
        <v>870.94306351</v>
      </c>
      <c r="N422" s="429">
        <v>886.16181230999996</v>
      </c>
      <c r="O422" s="429">
        <v>901.38056110999901</v>
      </c>
      <c r="P422" s="429">
        <v>916.59930990999896</v>
      </c>
      <c r="Q422" s="429">
        <v>931.81805870999904</v>
      </c>
      <c r="R422" s="429">
        <v>947.03680750999899</v>
      </c>
    </row>
    <row r="423" spans="1:19" s="429" customFormat="1">
      <c r="A423" s="429" t="str">
        <f t="shared" si="34"/>
        <v>KU</v>
      </c>
      <c r="B423" s="429" t="str">
        <f t="shared" si="35"/>
        <v>VA</v>
      </c>
      <c r="C423" s="429" t="str">
        <f t="shared" si="36"/>
        <v>396</v>
      </c>
      <c r="D423" s="430" t="s">
        <v>1824</v>
      </c>
      <c r="E423" s="428" t="str">
        <f t="shared" si="33"/>
        <v/>
      </c>
      <c r="F423" s="429">
        <v>114.26909999999999</v>
      </c>
      <c r="G423" s="429">
        <v>0</v>
      </c>
      <c r="H423" s="429">
        <v>0</v>
      </c>
      <c r="I423" s="429">
        <v>0</v>
      </c>
      <c r="J423" s="429">
        <v>0</v>
      </c>
      <c r="K423" s="429">
        <v>0</v>
      </c>
      <c r="L423" s="429">
        <v>0</v>
      </c>
      <c r="M423" s="429">
        <v>0</v>
      </c>
      <c r="N423" s="429">
        <v>0</v>
      </c>
      <c r="O423" s="429">
        <v>0</v>
      </c>
      <c r="P423" s="429">
        <v>0</v>
      </c>
      <c r="Q423" s="429">
        <v>0</v>
      </c>
      <c r="R423" s="429">
        <v>0</v>
      </c>
    </row>
    <row r="424" spans="1:19" s="429" customFormat="1">
      <c r="A424" s="429" t="str">
        <f t="shared" si="34"/>
        <v>KU</v>
      </c>
      <c r="B424" s="429" t="str">
        <f t="shared" si="35"/>
        <v>VA</v>
      </c>
      <c r="C424" s="429" t="str">
        <f t="shared" si="36"/>
        <v>396</v>
      </c>
      <c r="D424" s="430" t="s">
        <v>2512</v>
      </c>
      <c r="E424" s="428" t="str">
        <f t="shared" si="33"/>
        <v/>
      </c>
      <c r="F424" s="429">
        <v>0</v>
      </c>
      <c r="G424" s="429">
        <v>115.59815999999999</v>
      </c>
      <c r="H424" s="429">
        <v>116.92722000000001</v>
      </c>
      <c r="I424" s="429">
        <v>118.25628</v>
      </c>
      <c r="J424" s="429">
        <v>119.58534</v>
      </c>
      <c r="K424" s="429">
        <v>120.9144</v>
      </c>
      <c r="L424" s="429">
        <v>122.24346</v>
      </c>
      <c r="M424" s="429">
        <v>123.57251543300001</v>
      </c>
      <c r="N424" s="429">
        <v>124.901570866</v>
      </c>
      <c r="O424" s="429">
        <v>126.23062629899999</v>
      </c>
      <c r="P424" s="429">
        <v>127.55968173199901</v>
      </c>
      <c r="Q424" s="429">
        <v>128.88873716499899</v>
      </c>
      <c r="R424" s="429">
        <v>130.21779259799999</v>
      </c>
    </row>
    <row r="425" spans="1:19" s="429" customFormat="1">
      <c r="A425" s="429" t="str">
        <f t="shared" si="34"/>
        <v>KU</v>
      </c>
      <c r="B425" s="429" t="str">
        <f t="shared" si="35"/>
        <v>KY</v>
      </c>
      <c r="C425" s="429" t="str">
        <f t="shared" si="36"/>
        <v>397</v>
      </c>
      <c r="D425" s="430" t="s">
        <v>1825</v>
      </c>
      <c r="E425" s="428" t="str">
        <f t="shared" si="33"/>
        <v>DSM</v>
      </c>
      <c r="F425" s="429">
        <v>1585.4340500000001</v>
      </c>
      <c r="G425" s="429">
        <v>1674.46615</v>
      </c>
      <c r="H425" s="429">
        <v>1763.54594</v>
      </c>
      <c r="I425" s="429">
        <v>1852.63888</v>
      </c>
      <c r="J425" s="429">
        <v>1941.7430099999999</v>
      </c>
      <c r="K425" s="429">
        <v>2030.86061</v>
      </c>
      <c r="L425" s="429">
        <v>2120.0144599999999</v>
      </c>
      <c r="M425" s="429">
        <v>2209.22934682</v>
      </c>
      <c r="N425" s="429">
        <v>2298.4988239099998</v>
      </c>
      <c r="O425" s="429">
        <v>2388.4352918899999</v>
      </c>
      <c r="P425" s="429">
        <v>2479.0413604999999</v>
      </c>
      <c r="Q425" s="429">
        <v>2569.7031624399901</v>
      </c>
      <c r="R425" s="429">
        <v>2660.6741801899998</v>
      </c>
    </row>
    <row r="426" spans="1:19" s="429" customFormat="1">
      <c r="A426" s="429" t="str">
        <f t="shared" si="34"/>
        <v>KU</v>
      </c>
      <c r="B426" s="429" t="str">
        <f t="shared" si="35"/>
        <v>KY</v>
      </c>
      <c r="C426" s="429" t="str">
        <f t="shared" si="36"/>
        <v>397</v>
      </c>
      <c r="D426" s="430" t="s">
        <v>1826</v>
      </c>
      <c r="E426" s="428" t="str">
        <f t="shared" si="33"/>
        <v/>
      </c>
      <c r="F426" s="429">
        <v>19831.406419999999</v>
      </c>
      <c r="G426" s="429">
        <v>20141.46847</v>
      </c>
      <c r="H426" s="429">
        <v>20470.906729999999</v>
      </c>
      <c r="I426" s="429">
        <v>20800.350480000001</v>
      </c>
      <c r="J426" s="429">
        <v>21129.430359999998</v>
      </c>
      <c r="K426" s="429">
        <v>21458.142589999999</v>
      </c>
      <c r="L426" s="429">
        <v>21787.538809999998</v>
      </c>
      <c r="M426" s="429">
        <v>22077.409280899999</v>
      </c>
      <c r="N426" s="429">
        <v>22408.284085800002</v>
      </c>
      <c r="O426" s="429">
        <v>22739.453122200001</v>
      </c>
      <c r="P426" s="429">
        <v>23065.152430099999</v>
      </c>
      <c r="Q426" s="429">
        <v>23401.105050999999</v>
      </c>
      <c r="R426" s="429">
        <v>23744.485219400001</v>
      </c>
    </row>
    <row r="427" spans="1:19" s="429" customFormat="1">
      <c r="A427" s="429" t="str">
        <f t="shared" si="34"/>
        <v>KU</v>
      </c>
      <c r="B427" s="429" t="str">
        <f t="shared" si="35"/>
        <v>VA</v>
      </c>
      <c r="C427" s="429" t="str">
        <f t="shared" si="36"/>
        <v>397</v>
      </c>
      <c r="D427" s="430" t="s">
        <v>1827</v>
      </c>
      <c r="E427" s="428" t="str">
        <f t="shared" si="33"/>
        <v/>
      </c>
      <c r="F427" s="429">
        <v>635.24423000000002</v>
      </c>
      <c r="G427" s="429">
        <v>641.13959999999997</v>
      </c>
      <c r="H427" s="429">
        <v>647.03496999999902</v>
      </c>
      <c r="I427" s="429">
        <v>652.93034</v>
      </c>
      <c r="J427" s="429">
        <v>658.82570999999996</v>
      </c>
      <c r="K427" s="429">
        <v>664.72108000000003</v>
      </c>
      <c r="L427" s="429">
        <v>670.61644999999999</v>
      </c>
      <c r="M427" s="429">
        <v>676.51181651000002</v>
      </c>
      <c r="N427" s="429">
        <v>682.40718302000005</v>
      </c>
      <c r="O427" s="429">
        <v>688.30254952999996</v>
      </c>
      <c r="P427" s="429">
        <v>694.19791604</v>
      </c>
      <c r="Q427" s="429">
        <v>700.09328255000003</v>
      </c>
      <c r="R427" s="429">
        <v>705.98864905999994</v>
      </c>
    </row>
    <row r="428" spans="1:19" s="429" customFormat="1">
      <c r="D428" s="430"/>
      <c r="E428" s="428"/>
    </row>
    <row r="431" spans="1:19">
      <c r="D431" s="403" t="s">
        <v>1832</v>
      </c>
      <c r="E431" s="403"/>
    </row>
    <row r="432" spans="1:19" s="429" customFormat="1">
      <c r="A432" s="429" t="str">
        <f t="shared" ref="A432:A495" si="37">MID($D432,4,2)</f>
        <v>KU</v>
      </c>
      <c r="B432" s="429" t="str">
        <f t="shared" ref="B432:B495" si="38">IF(MID($D432,12,2)="- ","KY",MID($D432,12,2))</f>
        <v>KY</v>
      </c>
      <c r="C432" s="429" t="str">
        <f t="shared" ref="C432:C495" si="39">MID($D432,8,3)</f>
        <v>302</v>
      </c>
      <c r="D432" s="430" t="s">
        <v>1725</v>
      </c>
      <c r="E432" s="428" t="str">
        <f t="shared" ref="E432:E511" si="40">IF(ISTEXT(MID($D432,SEARCH("FUTURE USE",$D432),3)),"FUTURE USE",IF(ISTEXT(MID($D432,SEARCH("ECR",$D432),3)),"ECR",IF(ISTEXT(MID($D432,SEARCH("ARO",$D432),3)),"ARO",IF(ISTEXT(MID($D432,SEARCH("DSM",$D432),3)),"DSM",""))))</f>
        <v/>
      </c>
      <c r="G432" s="429">
        <v>0.16914999999999999</v>
      </c>
      <c r="H432" s="429">
        <v>0.16914999999999999</v>
      </c>
      <c r="I432" s="429">
        <v>0.16914999999999999</v>
      </c>
      <c r="J432" s="429">
        <v>0.16914999999999999</v>
      </c>
      <c r="K432" s="429">
        <v>0.16914999999999999</v>
      </c>
      <c r="L432" s="429">
        <v>0.16914999999999999</v>
      </c>
      <c r="M432" s="429">
        <v>0.16915446079999999</v>
      </c>
      <c r="N432" s="429">
        <v>0.16915446079999999</v>
      </c>
      <c r="O432" s="429">
        <v>0.16915446079999999</v>
      </c>
      <c r="P432" s="429">
        <v>0.16915446079999999</v>
      </c>
      <c r="Q432" s="429">
        <v>0.16915446079999999</v>
      </c>
      <c r="R432" s="429">
        <v>0.16915446079999999</v>
      </c>
      <c r="S432" s="429">
        <f t="shared" ref="S432:S495" si="41">SUM(G432:R432)</f>
        <v>2.0298267647999997</v>
      </c>
    </row>
    <row r="433" spans="1:19" s="429" customFormat="1">
      <c r="A433" s="429" t="str">
        <f t="shared" si="37"/>
        <v>KU</v>
      </c>
      <c r="B433" s="429" t="str">
        <f t="shared" si="38"/>
        <v>KY</v>
      </c>
      <c r="C433" s="429" t="str">
        <f t="shared" si="39"/>
        <v>303</v>
      </c>
      <c r="D433" s="430" t="s">
        <v>1726</v>
      </c>
      <c r="E433" s="428" t="str">
        <f t="shared" si="40"/>
        <v/>
      </c>
      <c r="G433" s="429">
        <v>1059.20373</v>
      </c>
      <c r="H433" s="429">
        <v>1091.63085</v>
      </c>
      <c r="I433" s="429">
        <v>1084.4475399999999</v>
      </c>
      <c r="J433" s="429">
        <v>1081.1679099999999</v>
      </c>
      <c r="K433" s="429">
        <v>1078.2132899999999</v>
      </c>
      <c r="L433" s="429">
        <v>1069.4475600000001</v>
      </c>
      <c r="M433" s="429">
        <v>1091.8418549999999</v>
      </c>
      <c r="N433" s="429">
        <v>1125.8107379999999</v>
      </c>
      <c r="O433" s="429">
        <v>1124.2642169999999</v>
      </c>
      <c r="P433" s="429">
        <v>1173.0084509999999</v>
      </c>
      <c r="Q433" s="429">
        <v>1239.0309589999999</v>
      </c>
      <c r="R433" s="429">
        <v>1287.6049109999999</v>
      </c>
      <c r="S433" s="429">
        <f t="shared" si="41"/>
        <v>13505.672010999999</v>
      </c>
    </row>
    <row r="434" spans="1:19" s="429" customFormat="1">
      <c r="A434" s="429" t="str">
        <f t="shared" si="37"/>
        <v>KU</v>
      </c>
      <c r="B434" s="429" t="str">
        <f t="shared" si="38"/>
        <v>KY</v>
      </c>
      <c r="C434" s="429" t="str">
        <f t="shared" si="39"/>
        <v>303</v>
      </c>
      <c r="D434" s="430" t="s">
        <v>1727</v>
      </c>
      <c r="E434" s="428" t="str">
        <f t="shared" si="40"/>
        <v/>
      </c>
      <c r="G434" s="429">
        <v>465.22775000000001</v>
      </c>
      <c r="H434" s="429">
        <v>465.22775000000001</v>
      </c>
      <c r="I434" s="429">
        <v>465.22775000000001</v>
      </c>
      <c r="J434" s="429">
        <v>465.22775000000001</v>
      </c>
      <c r="K434" s="429">
        <v>465.22775000000001</v>
      </c>
      <c r="L434" s="429">
        <v>465.22775000000001</v>
      </c>
      <c r="M434" s="429">
        <v>465.22775139999999</v>
      </c>
      <c r="N434" s="429">
        <v>465.22775139999999</v>
      </c>
      <c r="O434" s="429">
        <v>466.57131099999998</v>
      </c>
      <c r="P434" s="429">
        <v>467.96718729999998</v>
      </c>
      <c r="Q434" s="429">
        <v>468.04972629999997</v>
      </c>
      <c r="R434" s="429">
        <v>468.66305620000003</v>
      </c>
      <c r="S434" s="429">
        <f t="shared" si="41"/>
        <v>5593.0732835999988</v>
      </c>
    </row>
    <row r="435" spans="1:19" s="429" customFormat="1">
      <c r="A435" s="429" t="str">
        <f t="shared" si="37"/>
        <v>KU</v>
      </c>
      <c r="B435" s="429" t="str">
        <f t="shared" si="38"/>
        <v>KY</v>
      </c>
      <c r="C435" s="429" t="str">
        <f t="shared" si="39"/>
        <v>311</v>
      </c>
      <c r="D435" s="430" t="s">
        <v>1731</v>
      </c>
      <c r="E435" s="428" t="str">
        <f t="shared" si="40"/>
        <v>ECR</v>
      </c>
      <c r="G435" s="429">
        <v>21.670860000000001</v>
      </c>
      <c r="H435" s="429">
        <v>21.670860000000001</v>
      </c>
      <c r="I435" s="429">
        <v>21.670860000000001</v>
      </c>
      <c r="J435" s="429">
        <v>21.670860000000001</v>
      </c>
      <c r="K435" s="429">
        <v>21.670860000000001</v>
      </c>
      <c r="L435" s="429">
        <v>21.670860000000001</v>
      </c>
      <c r="M435" s="429">
        <v>21.67086704247</v>
      </c>
      <c r="N435" s="429">
        <v>21.67086704247</v>
      </c>
      <c r="O435" s="429">
        <v>21.67086704247</v>
      </c>
      <c r="P435" s="429">
        <v>21.67086704247</v>
      </c>
      <c r="Q435" s="429">
        <v>21.67086704247</v>
      </c>
      <c r="R435" s="429">
        <v>21.67086704247</v>
      </c>
      <c r="S435" s="429">
        <f t="shared" si="41"/>
        <v>260.05036225482002</v>
      </c>
    </row>
    <row r="436" spans="1:19" s="429" customFormat="1">
      <c r="A436" s="429" t="str">
        <f t="shared" si="37"/>
        <v>KU</v>
      </c>
      <c r="B436" s="429" t="str">
        <f t="shared" si="38"/>
        <v>KY</v>
      </c>
      <c r="C436" s="429" t="str">
        <f t="shared" si="39"/>
        <v>311</v>
      </c>
      <c r="D436" s="430" t="s">
        <v>2194</v>
      </c>
      <c r="E436" s="428" t="str">
        <f t="shared" si="40"/>
        <v>ECR</v>
      </c>
      <c r="G436" s="429">
        <v>18.920380000000002</v>
      </c>
      <c r="H436" s="429">
        <v>18.920380000000002</v>
      </c>
      <c r="I436" s="429">
        <v>18.920380000000002</v>
      </c>
      <c r="J436" s="429">
        <v>18.920380000000002</v>
      </c>
      <c r="K436" s="429">
        <v>18.920380000000002</v>
      </c>
      <c r="L436" s="429">
        <v>18.920380000000002</v>
      </c>
      <c r="M436" s="429">
        <v>18.920384351500001</v>
      </c>
      <c r="N436" s="429">
        <v>18.920384351500001</v>
      </c>
      <c r="O436" s="429">
        <v>18.920384351500001</v>
      </c>
      <c r="P436" s="429">
        <v>18.920384351500001</v>
      </c>
      <c r="Q436" s="429">
        <v>18.920384351500001</v>
      </c>
      <c r="R436" s="429">
        <v>18.920384351500001</v>
      </c>
      <c r="S436" s="429">
        <f t="shared" si="41"/>
        <v>227.04458610899994</v>
      </c>
    </row>
    <row r="437" spans="1:19" s="429" customFormat="1">
      <c r="A437" s="429" t="str">
        <f t="shared" si="37"/>
        <v>KU</v>
      </c>
      <c r="B437" s="429" t="str">
        <f t="shared" si="38"/>
        <v>KY</v>
      </c>
      <c r="C437" s="429" t="str">
        <f t="shared" si="39"/>
        <v>311</v>
      </c>
      <c r="D437" s="430" t="s">
        <v>1732</v>
      </c>
      <c r="E437" s="428" t="str">
        <f t="shared" si="40"/>
        <v/>
      </c>
      <c r="G437" s="429">
        <v>553.84520999999995</v>
      </c>
      <c r="H437" s="429">
        <v>554.04129999999998</v>
      </c>
      <c r="I437" s="429">
        <v>554.17551000000003</v>
      </c>
      <c r="J437" s="429">
        <v>554.37315000000001</v>
      </c>
      <c r="K437" s="429">
        <v>554.97307999999998</v>
      </c>
      <c r="L437" s="429">
        <v>555.71622000000002</v>
      </c>
      <c r="M437" s="429">
        <v>555.87709571716698</v>
      </c>
      <c r="N437" s="429">
        <v>556.69906567476698</v>
      </c>
      <c r="O437" s="429">
        <v>557.79723821226696</v>
      </c>
      <c r="P437" s="429">
        <v>558.62241894646695</v>
      </c>
      <c r="Q437" s="429">
        <v>559.153427988467</v>
      </c>
      <c r="R437" s="429">
        <v>559.357506491967</v>
      </c>
      <c r="S437" s="429">
        <f t="shared" si="41"/>
        <v>6674.6312230311023</v>
      </c>
    </row>
    <row r="438" spans="1:19" s="429" customFormat="1">
      <c r="A438" s="429" t="str">
        <f t="shared" si="37"/>
        <v>KU</v>
      </c>
      <c r="B438" s="429" t="str">
        <f t="shared" si="38"/>
        <v>KY</v>
      </c>
      <c r="C438" s="429" t="str">
        <f t="shared" si="39"/>
        <v>312</v>
      </c>
      <c r="D438" s="430" t="s">
        <v>1733</v>
      </c>
      <c r="E438" s="428" t="str">
        <f t="shared" si="40"/>
        <v/>
      </c>
      <c r="G438" s="429">
        <v>6676.2243099999996</v>
      </c>
      <c r="H438" s="429">
        <v>6672.6823299999996</v>
      </c>
      <c r="I438" s="429">
        <v>6670.8759999999902</v>
      </c>
      <c r="J438" s="429">
        <v>6676.3227699999998</v>
      </c>
      <c r="K438" s="429">
        <v>6682.6757399999997</v>
      </c>
      <c r="L438" s="429">
        <v>6698.0973000000004</v>
      </c>
      <c r="M438" s="429">
        <v>6709.3791020878998</v>
      </c>
      <c r="N438" s="429">
        <v>6712.1444444298904</v>
      </c>
      <c r="O438" s="429">
        <v>6715.1506430218997</v>
      </c>
      <c r="P438" s="429">
        <v>6719.8741298538998</v>
      </c>
      <c r="Q438" s="429">
        <v>6743.7667491099</v>
      </c>
      <c r="R438" s="429">
        <v>6778.1049087908996</v>
      </c>
      <c r="S438" s="429">
        <f t="shared" si="41"/>
        <v>80455.298427294387</v>
      </c>
    </row>
    <row r="439" spans="1:19" s="429" customFormat="1">
      <c r="A439" s="429" t="str">
        <f t="shared" si="37"/>
        <v>KU</v>
      </c>
      <c r="B439" s="429" t="str">
        <f t="shared" si="38"/>
        <v>KY</v>
      </c>
      <c r="C439" s="429" t="str">
        <f t="shared" si="39"/>
        <v>312</v>
      </c>
      <c r="D439" s="430" t="s">
        <v>1734</v>
      </c>
      <c r="E439" s="428" t="str">
        <f t="shared" si="40"/>
        <v>ECR</v>
      </c>
      <c r="G439" s="429">
        <v>963.97604000000001</v>
      </c>
      <c r="H439" s="429">
        <v>963.96392000000003</v>
      </c>
      <c r="I439" s="429">
        <v>963.96392000000003</v>
      </c>
      <c r="J439" s="429">
        <v>963.96392000000003</v>
      </c>
      <c r="K439" s="429">
        <v>963.96392000000003</v>
      </c>
      <c r="L439" s="429">
        <v>963.96392000000003</v>
      </c>
      <c r="M439" s="429">
        <v>966.69162504309998</v>
      </c>
      <c r="N439" s="429">
        <v>1001.8481574039999</v>
      </c>
      <c r="O439" s="429">
        <v>1062.327245617</v>
      </c>
      <c r="P439" s="429">
        <v>1092.1349356349999</v>
      </c>
      <c r="Q439" s="429">
        <v>1095.5060436809899</v>
      </c>
      <c r="R439" s="429">
        <v>1098.5354182819999</v>
      </c>
      <c r="S439" s="429">
        <f t="shared" si="41"/>
        <v>12100.839065662089</v>
      </c>
    </row>
    <row r="440" spans="1:19" s="429" customFormat="1">
      <c r="A440" s="429" t="str">
        <f t="shared" si="37"/>
        <v>KU</v>
      </c>
      <c r="B440" s="429" t="str">
        <f t="shared" si="38"/>
        <v>KY</v>
      </c>
      <c r="C440" s="429" t="str">
        <f t="shared" si="39"/>
        <v>312</v>
      </c>
      <c r="D440" s="430" t="s">
        <v>1735</v>
      </c>
      <c r="E440" s="428" t="str">
        <f t="shared" si="40"/>
        <v>ECR</v>
      </c>
      <c r="G440" s="429">
        <v>1661.4070299999901</v>
      </c>
      <c r="H440" s="429">
        <v>1661.4070299999901</v>
      </c>
      <c r="I440" s="429">
        <v>1661.4070299999901</v>
      </c>
      <c r="J440" s="429">
        <v>1661.4040399999999</v>
      </c>
      <c r="K440" s="429">
        <v>1661.4010499999999</v>
      </c>
      <c r="L440" s="429">
        <v>1666.4950100000001</v>
      </c>
      <c r="M440" s="429">
        <v>1674.341846373</v>
      </c>
      <c r="N440" s="429">
        <v>1677.09471864799</v>
      </c>
      <c r="O440" s="429">
        <v>1677.09471864799</v>
      </c>
      <c r="P440" s="429">
        <v>1677.09471864799</v>
      </c>
      <c r="Q440" s="429">
        <v>1677.09471864799</v>
      </c>
      <c r="R440" s="429">
        <v>1677.09471864799</v>
      </c>
      <c r="S440" s="429">
        <f t="shared" si="41"/>
        <v>20033.336629612921</v>
      </c>
    </row>
    <row r="441" spans="1:19" s="429" customFormat="1">
      <c r="A441" s="429" t="str">
        <f t="shared" si="37"/>
        <v>KU</v>
      </c>
      <c r="B441" s="429" t="str">
        <f t="shared" si="38"/>
        <v>KY</v>
      </c>
      <c r="C441" s="429" t="str">
        <f t="shared" si="39"/>
        <v>312</v>
      </c>
      <c r="D441" s="430" t="s">
        <v>2195</v>
      </c>
      <c r="E441" s="428" t="str">
        <f t="shared" si="40"/>
        <v>ECR</v>
      </c>
      <c r="G441" s="429">
        <v>15.420970000000001</v>
      </c>
      <c r="H441" s="429">
        <v>16.312280000000001</v>
      </c>
      <c r="I441" s="429">
        <v>16.312280000000001</v>
      </c>
      <c r="J441" s="429">
        <v>16.312280000000001</v>
      </c>
      <c r="K441" s="429">
        <v>16.312280000000001</v>
      </c>
      <c r="L441" s="429">
        <v>16.312280000000001</v>
      </c>
      <c r="M441" s="429">
        <v>16.497255185156899</v>
      </c>
      <c r="N441" s="429">
        <v>16.682229732456999</v>
      </c>
      <c r="O441" s="429">
        <v>16.682229732456999</v>
      </c>
      <c r="P441" s="429">
        <v>16.682229732456999</v>
      </c>
      <c r="Q441" s="429">
        <v>16.682229732456999</v>
      </c>
      <c r="R441" s="429">
        <v>16.682229732456999</v>
      </c>
      <c r="S441" s="429">
        <f t="shared" si="41"/>
        <v>196.89077384744186</v>
      </c>
    </row>
    <row r="442" spans="1:19" s="429" customFormat="1">
      <c r="A442" s="429" t="str">
        <f t="shared" si="37"/>
        <v>KU</v>
      </c>
      <c r="B442" s="429" t="str">
        <f t="shared" si="38"/>
        <v>KY</v>
      </c>
      <c r="C442" s="429" t="str">
        <f t="shared" si="39"/>
        <v>314</v>
      </c>
      <c r="D442" s="430" t="s">
        <v>1737</v>
      </c>
      <c r="E442" s="428" t="str">
        <f t="shared" si="40"/>
        <v/>
      </c>
      <c r="G442" s="429">
        <v>624.76526999999999</v>
      </c>
      <c r="H442" s="429">
        <v>625.13595999999995</v>
      </c>
      <c r="I442" s="429">
        <v>625.48586999999998</v>
      </c>
      <c r="J442" s="429">
        <v>625.91300000000001</v>
      </c>
      <c r="K442" s="429">
        <v>627.26244999999994</v>
      </c>
      <c r="L442" s="429">
        <v>631.55664999999999</v>
      </c>
      <c r="M442" s="429">
        <v>635.22009991499999</v>
      </c>
      <c r="N442" s="429">
        <v>636.32295366699998</v>
      </c>
      <c r="O442" s="429">
        <v>636.78598487900001</v>
      </c>
      <c r="P442" s="429">
        <v>636.96709185099996</v>
      </c>
      <c r="Q442" s="429">
        <v>644.41387527200004</v>
      </c>
      <c r="R442" s="429">
        <v>653.48823326000002</v>
      </c>
      <c r="S442" s="429">
        <f t="shared" si="41"/>
        <v>7603.3174388440002</v>
      </c>
    </row>
    <row r="443" spans="1:19" s="429" customFormat="1">
      <c r="A443" s="429" t="str">
        <f t="shared" si="37"/>
        <v>KU</v>
      </c>
      <c r="B443" s="429" t="str">
        <f t="shared" si="38"/>
        <v>KY</v>
      </c>
      <c r="C443" s="429" t="str">
        <f t="shared" si="39"/>
        <v>315</v>
      </c>
      <c r="D443" s="430" t="s">
        <v>1738</v>
      </c>
      <c r="E443" s="428" t="str">
        <f t="shared" si="40"/>
        <v/>
      </c>
      <c r="G443" s="429">
        <v>454.28512999999998</v>
      </c>
      <c r="H443" s="429">
        <v>454.31513000000001</v>
      </c>
      <c r="I443" s="429">
        <v>454.31513000000001</v>
      </c>
      <c r="J443" s="429">
        <v>454.31513000000001</v>
      </c>
      <c r="K443" s="429">
        <v>454.41845000000001</v>
      </c>
      <c r="L443" s="429">
        <v>454.95348000000001</v>
      </c>
      <c r="M443" s="429">
        <v>455.40853894347998</v>
      </c>
      <c r="N443" s="429">
        <v>455.54223208567998</v>
      </c>
      <c r="O443" s="429">
        <v>455.75179628408</v>
      </c>
      <c r="P443" s="429">
        <v>455.88779767647998</v>
      </c>
      <c r="Q443" s="429">
        <v>456.20782277988002</v>
      </c>
      <c r="R443" s="429">
        <v>456.80784045778</v>
      </c>
      <c r="S443" s="429">
        <f t="shared" si="41"/>
        <v>5462.2084782273796</v>
      </c>
    </row>
    <row r="444" spans="1:19" s="429" customFormat="1">
      <c r="A444" s="429" t="str">
        <f t="shared" si="37"/>
        <v>KU</v>
      </c>
      <c r="B444" s="429" t="str">
        <f t="shared" si="38"/>
        <v>KY</v>
      </c>
      <c r="C444" s="429" t="str">
        <f t="shared" si="39"/>
        <v>315</v>
      </c>
      <c r="D444" s="430" t="s">
        <v>2196</v>
      </c>
      <c r="E444" s="428" t="str">
        <f t="shared" si="40"/>
        <v>ECR</v>
      </c>
      <c r="G444" s="429">
        <v>30.52514</v>
      </c>
      <c r="H444" s="429">
        <v>30.52514</v>
      </c>
      <c r="I444" s="429">
        <v>30.52514</v>
      </c>
      <c r="J444" s="429">
        <v>30.52514</v>
      </c>
      <c r="K444" s="429">
        <v>30.52514</v>
      </c>
      <c r="L444" s="429">
        <v>30.52514</v>
      </c>
      <c r="M444" s="429">
        <v>30.525137318029898</v>
      </c>
      <c r="N444" s="429">
        <v>30.525137318029898</v>
      </c>
      <c r="O444" s="429">
        <v>30.525137318029898</v>
      </c>
      <c r="P444" s="429">
        <v>30.525137318029898</v>
      </c>
      <c r="Q444" s="429">
        <v>30.525137318029898</v>
      </c>
      <c r="R444" s="429">
        <v>30.525137318029898</v>
      </c>
      <c r="S444" s="429">
        <f t="shared" si="41"/>
        <v>366.30166390817942</v>
      </c>
    </row>
    <row r="445" spans="1:19" s="429" customFormat="1">
      <c r="A445" s="429" t="str">
        <f t="shared" si="37"/>
        <v>KU</v>
      </c>
      <c r="B445" s="429" t="str">
        <f t="shared" si="38"/>
        <v>KY</v>
      </c>
      <c r="C445" s="429" t="str">
        <f t="shared" si="39"/>
        <v>315</v>
      </c>
      <c r="D445" s="430" t="s">
        <v>1739</v>
      </c>
      <c r="E445" s="428" t="str">
        <f t="shared" si="40"/>
        <v>ECR</v>
      </c>
      <c r="G445" s="429">
        <v>15.84881</v>
      </c>
      <c r="H445" s="429">
        <v>15.84881</v>
      </c>
      <c r="I445" s="429">
        <v>15.84881</v>
      </c>
      <c r="J445" s="429">
        <v>15.84881</v>
      </c>
      <c r="K445" s="429">
        <v>15.84881</v>
      </c>
      <c r="L445" s="429">
        <v>15.86591</v>
      </c>
      <c r="M445" s="429">
        <v>15.883009085199999</v>
      </c>
      <c r="N445" s="429">
        <v>15.883009085199999</v>
      </c>
      <c r="O445" s="429">
        <v>15.883009085199999</v>
      </c>
      <c r="P445" s="429">
        <v>15.883009085199999</v>
      </c>
      <c r="Q445" s="429">
        <v>15.883009085199999</v>
      </c>
      <c r="R445" s="429">
        <v>15.883009085199999</v>
      </c>
      <c r="S445" s="429">
        <f t="shared" si="41"/>
        <v>190.40801451120001</v>
      </c>
    </row>
    <row r="446" spans="1:19" s="429" customFormat="1">
      <c r="A446" s="429" t="str">
        <f t="shared" si="37"/>
        <v>KU</v>
      </c>
      <c r="B446" s="429" t="str">
        <f t="shared" si="38"/>
        <v>KY</v>
      </c>
      <c r="C446" s="429" t="str">
        <f t="shared" si="39"/>
        <v>316</v>
      </c>
      <c r="D446" s="430" t="s">
        <v>2197</v>
      </c>
      <c r="E446" s="428" t="str">
        <f t="shared" si="40"/>
        <v>ECR</v>
      </c>
      <c r="G446" s="429">
        <v>0.82492999999999905</v>
      </c>
      <c r="H446" s="429">
        <v>0.82492999999999905</v>
      </c>
      <c r="I446" s="429">
        <v>0.82492999999999905</v>
      </c>
      <c r="J446" s="429">
        <v>0.82492999999999905</v>
      </c>
      <c r="K446" s="429">
        <v>0.82492999999999905</v>
      </c>
      <c r="L446" s="429">
        <v>0.82492999999999905</v>
      </c>
      <c r="M446" s="429">
        <v>0.82492337999999998</v>
      </c>
      <c r="N446" s="429">
        <v>0.82492337999999998</v>
      </c>
      <c r="O446" s="429">
        <v>0.82492337999999998</v>
      </c>
      <c r="P446" s="429">
        <v>0.82492337999999998</v>
      </c>
      <c r="Q446" s="429">
        <v>0.82492337999999998</v>
      </c>
      <c r="R446" s="429">
        <v>0.82492337999999998</v>
      </c>
      <c r="S446" s="429">
        <f t="shared" si="41"/>
        <v>9.8991202799999929</v>
      </c>
    </row>
    <row r="447" spans="1:19" s="429" customFormat="1">
      <c r="A447" s="429" t="str">
        <f t="shared" si="37"/>
        <v>KU</v>
      </c>
      <c r="B447" s="429" t="str">
        <f t="shared" si="38"/>
        <v>KY</v>
      </c>
      <c r="C447" s="429" t="str">
        <f t="shared" si="39"/>
        <v>316</v>
      </c>
      <c r="D447" s="430" t="s">
        <v>1740</v>
      </c>
      <c r="E447" s="428" t="str">
        <f t="shared" si="40"/>
        <v/>
      </c>
      <c r="G447" s="429">
        <v>69.060860000000005</v>
      </c>
      <c r="H447" s="429">
        <v>69.198909999999998</v>
      </c>
      <c r="I447" s="429">
        <v>69.047510000000003</v>
      </c>
      <c r="J447" s="429">
        <v>69.180170000000004</v>
      </c>
      <c r="K447" s="429">
        <v>69.292469999999994</v>
      </c>
      <c r="L447" s="429">
        <v>69.619720000000001</v>
      </c>
      <c r="M447" s="429">
        <v>70.37118430292</v>
      </c>
      <c r="N447" s="429">
        <v>71.195285386799995</v>
      </c>
      <c r="O447" s="429">
        <v>71.636595576199994</v>
      </c>
      <c r="P447" s="429">
        <v>72.230219080699996</v>
      </c>
      <c r="Q447" s="429">
        <v>72.756951752500001</v>
      </c>
      <c r="R447" s="429">
        <v>73.165590568099901</v>
      </c>
      <c r="S447" s="429">
        <f t="shared" si="41"/>
        <v>846.75546666721982</v>
      </c>
    </row>
    <row r="448" spans="1:19" s="429" customFormat="1">
      <c r="A448" s="429" t="str">
        <f t="shared" si="37"/>
        <v>KU</v>
      </c>
      <c r="B448" s="429" t="str">
        <f t="shared" si="38"/>
        <v>KY</v>
      </c>
      <c r="C448" s="429" t="str">
        <f t="shared" si="39"/>
        <v>317</v>
      </c>
      <c r="D448" s="430" t="s">
        <v>1741</v>
      </c>
      <c r="E448" s="428" t="str">
        <f t="shared" si="40"/>
        <v>ARO</v>
      </c>
      <c r="G448" s="429">
        <v>456.42653000000001</v>
      </c>
      <c r="H448" s="429">
        <v>456.42655999999999</v>
      </c>
      <c r="I448" s="429">
        <v>454.15208999999999</v>
      </c>
      <c r="J448" s="429">
        <v>451.94018</v>
      </c>
      <c r="K448" s="429">
        <v>451.94020999999998</v>
      </c>
      <c r="L448" s="429">
        <v>453.11802999999998</v>
      </c>
      <c r="M448" s="429">
        <v>451.94018000000102</v>
      </c>
      <c r="N448" s="429">
        <v>451.94018000000102</v>
      </c>
      <c r="O448" s="429">
        <v>451.94018000000102</v>
      </c>
      <c r="P448" s="429">
        <v>451.94018000000102</v>
      </c>
      <c r="Q448" s="429">
        <v>451.94018000000102</v>
      </c>
      <c r="R448" s="429">
        <v>451.94018000000102</v>
      </c>
      <c r="S448" s="429">
        <f t="shared" si="41"/>
        <v>5435.6446800000076</v>
      </c>
    </row>
    <row r="449" spans="1:19" s="429" customFormat="1">
      <c r="A449" s="429" t="str">
        <f t="shared" si="37"/>
        <v>KU</v>
      </c>
      <c r="B449" s="429" t="str">
        <f t="shared" si="38"/>
        <v>KY</v>
      </c>
      <c r="C449" s="429" t="str">
        <f t="shared" si="39"/>
        <v>317</v>
      </c>
      <c r="D449" s="430" t="s">
        <v>2507</v>
      </c>
      <c r="E449" s="428" t="str">
        <f t="shared" si="40"/>
        <v>ARO</v>
      </c>
      <c r="G449" s="429">
        <v>906.54547000000002</v>
      </c>
      <c r="H449" s="429">
        <v>906.54526999999996</v>
      </c>
      <c r="I449" s="429">
        <v>903.48608000000002</v>
      </c>
      <c r="J449" s="429">
        <v>3802.7905499999902</v>
      </c>
      <c r="K449" s="429">
        <v>1177.0536399999901</v>
      </c>
      <c r="L449" s="429">
        <v>849.63404000000003</v>
      </c>
      <c r="M449" s="429">
        <v>1035.3629000000001</v>
      </c>
      <c r="N449" s="429">
        <v>1035.3629000000001</v>
      </c>
      <c r="O449" s="429">
        <v>1035.3629000000001</v>
      </c>
      <c r="P449" s="429">
        <v>1035.3629000000001</v>
      </c>
      <c r="Q449" s="429">
        <v>1035.3629000000001</v>
      </c>
      <c r="R449" s="429">
        <v>1035.3629000000001</v>
      </c>
      <c r="S449" s="429">
        <f t="shared" ref="S449" si="42">SUM(G449:R449)</f>
        <v>14758.232449999981</v>
      </c>
    </row>
    <row r="450" spans="1:19" s="429" customFormat="1">
      <c r="A450" s="429" t="str">
        <f t="shared" si="37"/>
        <v>KU</v>
      </c>
      <c r="B450" s="429" t="str">
        <f t="shared" si="38"/>
        <v>KY</v>
      </c>
      <c r="C450" s="429" t="str">
        <f t="shared" si="39"/>
        <v>331</v>
      </c>
      <c r="D450" s="430" t="s">
        <v>1743</v>
      </c>
      <c r="E450" s="428" t="str">
        <f t="shared" si="40"/>
        <v/>
      </c>
      <c r="G450" s="429">
        <v>6.1987399999999999</v>
      </c>
      <c r="H450" s="429">
        <v>6.1987399999999999</v>
      </c>
      <c r="I450" s="429">
        <v>6.1987399999999999</v>
      </c>
      <c r="J450" s="429">
        <v>6.1987399999999999</v>
      </c>
      <c r="K450" s="429">
        <v>6.1987399999999999</v>
      </c>
      <c r="L450" s="429">
        <v>6.1987399999999999</v>
      </c>
      <c r="M450" s="429">
        <v>6.1987404491999998</v>
      </c>
      <c r="N450" s="429">
        <v>7.2428698423000002</v>
      </c>
      <c r="O450" s="429">
        <v>8.2869992364999998</v>
      </c>
      <c r="P450" s="429">
        <v>8.2869992364999998</v>
      </c>
      <c r="Q450" s="429">
        <v>8.7003325692000004</v>
      </c>
      <c r="R450" s="429">
        <v>9.1136659027999993</v>
      </c>
      <c r="S450" s="429">
        <f t="shared" si="41"/>
        <v>85.022047236500001</v>
      </c>
    </row>
    <row r="451" spans="1:19" s="429" customFormat="1">
      <c r="A451" s="429" t="str">
        <f t="shared" si="37"/>
        <v>KU</v>
      </c>
      <c r="B451" s="429" t="str">
        <f t="shared" si="38"/>
        <v>KY</v>
      </c>
      <c r="C451" s="429" t="str">
        <f t="shared" si="39"/>
        <v>332</v>
      </c>
      <c r="D451" s="430" t="s">
        <v>1744</v>
      </c>
      <c r="E451" s="428" t="str">
        <f t="shared" si="40"/>
        <v/>
      </c>
      <c r="G451" s="429">
        <v>47.601280000000003</v>
      </c>
      <c r="H451" s="429">
        <v>47.601280000000003</v>
      </c>
      <c r="I451" s="429">
        <v>47.601280000000003</v>
      </c>
      <c r="J451" s="429">
        <v>47.601280000000003</v>
      </c>
      <c r="K451" s="429">
        <v>47.601280000000003</v>
      </c>
      <c r="L451" s="429">
        <v>47.601280000000003</v>
      </c>
      <c r="M451" s="429">
        <v>47.601280850999999</v>
      </c>
      <c r="N451" s="429">
        <v>47.601280850999999</v>
      </c>
      <c r="O451" s="429">
        <v>47.601280850999999</v>
      </c>
      <c r="P451" s="429">
        <v>47.601280850999999</v>
      </c>
      <c r="Q451" s="429">
        <v>47.601280850999999</v>
      </c>
      <c r="R451" s="429">
        <v>47.601280850999999</v>
      </c>
      <c r="S451" s="429">
        <f t="shared" si="41"/>
        <v>571.21536510600004</v>
      </c>
    </row>
    <row r="452" spans="1:19" s="429" customFormat="1">
      <c r="A452" s="429" t="str">
        <f t="shared" si="37"/>
        <v>KU</v>
      </c>
      <c r="B452" s="429" t="str">
        <f t="shared" si="38"/>
        <v>KY</v>
      </c>
      <c r="C452" s="429" t="str">
        <f t="shared" si="39"/>
        <v>333</v>
      </c>
      <c r="D452" s="430" t="s">
        <v>1745</v>
      </c>
      <c r="E452" s="428" t="str">
        <f t="shared" si="40"/>
        <v/>
      </c>
      <c r="G452" s="429">
        <v>45.183689999999999</v>
      </c>
      <c r="H452" s="429">
        <v>45.183689999999999</v>
      </c>
      <c r="I452" s="429">
        <v>45.183689999999999</v>
      </c>
      <c r="J452" s="429">
        <v>45.183689999999999</v>
      </c>
      <c r="K452" s="429">
        <v>45.183689999999999</v>
      </c>
      <c r="L452" s="429">
        <v>45.183689999999999</v>
      </c>
      <c r="M452" s="429">
        <v>45.183685418700001</v>
      </c>
      <c r="N452" s="429">
        <v>45.183685418700001</v>
      </c>
      <c r="O452" s="429">
        <v>45.183685418700001</v>
      </c>
      <c r="P452" s="429">
        <v>45.183685418700001</v>
      </c>
      <c r="Q452" s="429">
        <v>45.183685418700001</v>
      </c>
      <c r="R452" s="429">
        <v>45.183685418700001</v>
      </c>
      <c r="S452" s="429">
        <f t="shared" si="41"/>
        <v>542.20425251220001</v>
      </c>
    </row>
    <row r="453" spans="1:19" s="429" customFormat="1">
      <c r="A453" s="429" t="str">
        <f t="shared" si="37"/>
        <v>KU</v>
      </c>
      <c r="B453" s="429" t="str">
        <f t="shared" si="38"/>
        <v>KY</v>
      </c>
      <c r="C453" s="429" t="str">
        <f t="shared" si="39"/>
        <v>334</v>
      </c>
      <c r="D453" s="430" t="s">
        <v>1746</v>
      </c>
      <c r="E453" s="428" t="str">
        <f t="shared" si="40"/>
        <v/>
      </c>
      <c r="G453" s="429">
        <v>4.3874399999999998</v>
      </c>
      <c r="H453" s="429">
        <v>4.3874399999999998</v>
      </c>
      <c r="I453" s="429">
        <v>4.3874399999999998</v>
      </c>
      <c r="J453" s="429">
        <v>4.3874399999999998</v>
      </c>
      <c r="K453" s="429">
        <v>4.3874399999999998</v>
      </c>
      <c r="L453" s="429">
        <v>4.3874399999999998</v>
      </c>
      <c r="M453" s="429">
        <v>4.3874393770999998</v>
      </c>
      <c r="N453" s="429">
        <v>4.3874393770999998</v>
      </c>
      <c r="O453" s="429">
        <v>4.3874393770999998</v>
      </c>
      <c r="P453" s="429">
        <v>4.3874393770999998</v>
      </c>
      <c r="Q453" s="429">
        <v>4.3874393770999998</v>
      </c>
      <c r="R453" s="429">
        <v>4.3874393770999998</v>
      </c>
      <c r="S453" s="429">
        <f t="shared" si="41"/>
        <v>52.649276262600004</v>
      </c>
    </row>
    <row r="454" spans="1:19" s="429" customFormat="1">
      <c r="A454" s="429" t="str">
        <f t="shared" si="37"/>
        <v>KU</v>
      </c>
      <c r="B454" s="429" t="str">
        <f t="shared" si="38"/>
        <v>KY</v>
      </c>
      <c r="C454" s="429" t="str">
        <f t="shared" si="39"/>
        <v>335</v>
      </c>
      <c r="D454" s="430" t="s">
        <v>1747</v>
      </c>
      <c r="E454" s="428" t="str">
        <f t="shared" si="40"/>
        <v/>
      </c>
      <c r="G454" s="429">
        <v>1.0320400000000001</v>
      </c>
      <c r="H454" s="429">
        <v>1.0320400000000001</v>
      </c>
      <c r="I454" s="429">
        <v>1.0320400000000001</v>
      </c>
      <c r="J454" s="429">
        <v>1.0320400000000001</v>
      </c>
      <c r="K454" s="429">
        <v>1.0320400000000001</v>
      </c>
      <c r="L454" s="429">
        <v>1.0320400000000001</v>
      </c>
      <c r="M454" s="429">
        <v>1.03203909717</v>
      </c>
      <c r="N454" s="429">
        <v>1.03203909717</v>
      </c>
      <c r="O454" s="429">
        <v>1.03203909717</v>
      </c>
      <c r="P454" s="429">
        <v>1.03203909717</v>
      </c>
      <c r="Q454" s="429">
        <v>1.03203909717</v>
      </c>
      <c r="R454" s="429">
        <v>1.03203909717</v>
      </c>
      <c r="S454" s="429">
        <f t="shared" si="41"/>
        <v>12.384474583019998</v>
      </c>
    </row>
    <row r="455" spans="1:19" s="429" customFormat="1">
      <c r="A455" s="429" t="str">
        <f t="shared" si="37"/>
        <v>KU</v>
      </c>
      <c r="B455" s="429" t="str">
        <f t="shared" si="38"/>
        <v>KY</v>
      </c>
      <c r="C455" s="429" t="str">
        <f t="shared" si="39"/>
        <v>336</v>
      </c>
      <c r="D455" s="430" t="s">
        <v>1748</v>
      </c>
      <c r="E455" s="428" t="str">
        <f t="shared" si="40"/>
        <v/>
      </c>
      <c r="G455" s="429">
        <v>0.65076000000000001</v>
      </c>
      <c r="H455" s="429">
        <v>0.65076000000000001</v>
      </c>
      <c r="I455" s="429">
        <v>0.65076000000000001</v>
      </c>
      <c r="J455" s="429">
        <v>0.65076000000000001</v>
      </c>
      <c r="K455" s="429">
        <v>0.65076000000000001</v>
      </c>
      <c r="L455" s="429">
        <v>0.65076000000000001</v>
      </c>
      <c r="M455" s="429">
        <v>0.65076283580000005</v>
      </c>
      <c r="N455" s="429">
        <v>0.65076283580000005</v>
      </c>
      <c r="O455" s="429">
        <v>0.65076283580000005</v>
      </c>
      <c r="P455" s="429">
        <v>0.65076283580000005</v>
      </c>
      <c r="Q455" s="429">
        <v>0.65076283580000005</v>
      </c>
      <c r="R455" s="429">
        <v>0.65076283580000005</v>
      </c>
      <c r="S455" s="429">
        <f t="shared" si="41"/>
        <v>7.809137014800001</v>
      </c>
    </row>
    <row r="456" spans="1:19" s="429" customFormat="1">
      <c r="A456" s="429" t="str">
        <f t="shared" si="37"/>
        <v>KU</v>
      </c>
      <c r="B456" s="429" t="str">
        <f t="shared" si="38"/>
        <v>KY</v>
      </c>
      <c r="C456" s="429" t="str">
        <f t="shared" si="39"/>
        <v>337</v>
      </c>
      <c r="D456" s="430" t="s">
        <v>1749</v>
      </c>
      <c r="E456" s="428" t="str">
        <f t="shared" si="40"/>
        <v>ARO</v>
      </c>
      <c r="G456" s="429">
        <v>1.49068</v>
      </c>
      <c r="H456" s="429">
        <v>1.49068</v>
      </c>
      <c r="I456" s="429">
        <v>1.49068</v>
      </c>
      <c r="J456" s="429">
        <v>1.49068</v>
      </c>
      <c r="K456" s="429">
        <v>1.49068</v>
      </c>
      <c r="L456" s="429">
        <v>1.49068</v>
      </c>
      <c r="M456" s="429">
        <v>1.49068</v>
      </c>
      <c r="N456" s="429">
        <v>1.49068</v>
      </c>
      <c r="O456" s="429">
        <v>1.49068</v>
      </c>
      <c r="P456" s="429">
        <v>1.49068</v>
      </c>
      <c r="Q456" s="429">
        <v>1.49068</v>
      </c>
      <c r="R456" s="429">
        <v>1.49068</v>
      </c>
      <c r="S456" s="429">
        <f t="shared" si="41"/>
        <v>17.888159999999999</v>
      </c>
    </row>
    <row r="457" spans="1:19" s="429" customFormat="1">
      <c r="A457" s="429" t="str">
        <f t="shared" si="37"/>
        <v>KU</v>
      </c>
      <c r="B457" s="429" t="str">
        <f t="shared" si="38"/>
        <v>KY</v>
      </c>
      <c r="C457" s="429" t="str">
        <f t="shared" si="39"/>
        <v>340</v>
      </c>
      <c r="D457" s="430" t="s">
        <v>2199</v>
      </c>
      <c r="E457" s="428" t="str">
        <f t="shared" si="40"/>
        <v/>
      </c>
      <c r="G457" s="429">
        <v>0.32195000000000001</v>
      </c>
      <c r="H457" s="429">
        <v>0.32195000000000001</v>
      </c>
      <c r="I457" s="429">
        <v>0.32195000000000001</v>
      </c>
      <c r="J457" s="429">
        <v>0.32195000000000001</v>
      </c>
      <c r="K457" s="429">
        <v>0.32195000000000001</v>
      </c>
      <c r="L457" s="429">
        <v>0.32195000000000001</v>
      </c>
      <c r="M457" s="429">
        <v>0.37699140889999999</v>
      </c>
      <c r="N457" s="429">
        <v>0.43203582699999998</v>
      </c>
      <c r="O457" s="429">
        <v>0.43203582699999998</v>
      </c>
      <c r="P457" s="429">
        <v>0.43203582699999998</v>
      </c>
      <c r="Q457" s="429">
        <v>0.43203582699999998</v>
      </c>
      <c r="R457" s="429">
        <v>0.43203582699999998</v>
      </c>
      <c r="S457" s="429">
        <f t="shared" si="41"/>
        <v>4.4688705438999996</v>
      </c>
    </row>
    <row r="458" spans="1:19" s="429" customFormat="1">
      <c r="A458" s="429" t="str">
        <f t="shared" si="37"/>
        <v>KU</v>
      </c>
      <c r="B458" s="429" t="str">
        <f t="shared" si="38"/>
        <v>KY</v>
      </c>
      <c r="C458" s="429" t="str">
        <f t="shared" si="39"/>
        <v>341</v>
      </c>
      <c r="D458" s="430" t="s">
        <v>1751</v>
      </c>
      <c r="E458" s="428" t="str">
        <f t="shared" si="40"/>
        <v/>
      </c>
      <c r="G458" s="429">
        <v>116.20596999999999</v>
      </c>
      <c r="H458" s="429">
        <v>116.28854</v>
      </c>
      <c r="I458" s="429">
        <v>116.28854</v>
      </c>
      <c r="J458" s="429">
        <v>116.28854</v>
      </c>
      <c r="K458" s="429">
        <v>116.28854</v>
      </c>
      <c r="L458" s="429">
        <v>116.28854</v>
      </c>
      <c r="M458" s="429">
        <v>116.3192159204</v>
      </c>
      <c r="N458" s="429">
        <v>116.3498827585</v>
      </c>
      <c r="O458" s="429">
        <v>116.3498827585</v>
      </c>
      <c r="P458" s="429">
        <v>116.3902530285</v>
      </c>
      <c r="Q458" s="429">
        <v>116.43062329750001</v>
      </c>
      <c r="R458" s="429">
        <v>116.43062329750001</v>
      </c>
      <c r="S458" s="429">
        <f t="shared" si="41"/>
        <v>1395.9191510609</v>
      </c>
    </row>
    <row r="459" spans="1:19" s="429" customFormat="1">
      <c r="A459" s="429" t="str">
        <f t="shared" si="37"/>
        <v>KU</v>
      </c>
      <c r="B459" s="429" t="str">
        <f t="shared" si="38"/>
        <v>KY</v>
      </c>
      <c r="C459" s="429" t="str">
        <f t="shared" si="39"/>
        <v>341</v>
      </c>
      <c r="D459" s="430" t="s">
        <v>2200</v>
      </c>
      <c r="E459" s="428" t="str">
        <f t="shared" si="40"/>
        <v/>
      </c>
      <c r="G459" s="429">
        <v>121.18415</v>
      </c>
      <c r="H459" s="429">
        <v>121.59256000000001</v>
      </c>
      <c r="I459" s="429">
        <v>121.59256000000001</v>
      </c>
      <c r="J459" s="429">
        <v>121.59395000000001</v>
      </c>
      <c r="K459" s="429">
        <v>121.59533999999999</v>
      </c>
      <c r="L459" s="429">
        <v>122.32781</v>
      </c>
      <c r="M459" s="429">
        <v>123.55270823999901</v>
      </c>
      <c r="N459" s="429">
        <v>124.04513366</v>
      </c>
      <c r="O459" s="429">
        <v>124.09750437</v>
      </c>
      <c r="P459" s="429">
        <v>124.17203207999999</v>
      </c>
      <c r="Q459" s="429">
        <v>124.19418898000001</v>
      </c>
      <c r="R459" s="429">
        <v>124.19418898000001</v>
      </c>
      <c r="S459" s="429">
        <f t="shared" si="41"/>
        <v>1474.1421263099992</v>
      </c>
    </row>
    <row r="460" spans="1:19" s="429" customFormat="1">
      <c r="A460" s="429" t="str">
        <f t="shared" si="37"/>
        <v>KU</v>
      </c>
      <c r="B460" s="429" t="str">
        <f t="shared" si="38"/>
        <v>KY</v>
      </c>
      <c r="C460" s="429" t="str">
        <f t="shared" si="39"/>
        <v>341</v>
      </c>
      <c r="D460" s="430" t="s">
        <v>2201</v>
      </c>
      <c r="E460" s="428" t="str">
        <f t="shared" si="40"/>
        <v/>
      </c>
      <c r="G460" s="429">
        <v>5.1014699999999999</v>
      </c>
      <c r="H460" s="429">
        <v>5.1014699999999999</v>
      </c>
      <c r="I460" s="429">
        <v>5.1014699999999999</v>
      </c>
      <c r="J460" s="429">
        <v>5.1014699999999999</v>
      </c>
      <c r="K460" s="429">
        <v>5.1014699999999999</v>
      </c>
      <c r="L460" s="429">
        <v>5.1014699999999999</v>
      </c>
      <c r="M460" s="429">
        <v>5.1014621416999999</v>
      </c>
      <c r="N460" s="429">
        <v>5.1014621416999999</v>
      </c>
      <c r="O460" s="429">
        <v>5.1014621416999999</v>
      </c>
      <c r="P460" s="429">
        <v>5.1014621416999999</v>
      </c>
      <c r="Q460" s="429">
        <v>5.1014621416999999</v>
      </c>
      <c r="R460" s="429">
        <v>5.1014621416999999</v>
      </c>
      <c r="S460" s="429">
        <f t="shared" si="41"/>
        <v>61.217592850199985</v>
      </c>
    </row>
    <row r="461" spans="1:19" s="429" customFormat="1">
      <c r="A461" s="429" t="str">
        <f t="shared" si="37"/>
        <v>KU</v>
      </c>
      <c r="B461" s="429" t="str">
        <f t="shared" si="38"/>
        <v>KY</v>
      </c>
      <c r="C461" s="429" t="str">
        <f t="shared" si="39"/>
        <v>342</v>
      </c>
      <c r="D461" s="430" t="s">
        <v>1752</v>
      </c>
      <c r="E461" s="428" t="str">
        <f t="shared" si="40"/>
        <v/>
      </c>
      <c r="G461" s="429">
        <v>52.990029999999997</v>
      </c>
      <c r="H461" s="429">
        <v>52.990029999999997</v>
      </c>
      <c r="I461" s="429">
        <v>53.068479999999902</v>
      </c>
      <c r="J461" s="429">
        <v>53.146929999999998</v>
      </c>
      <c r="K461" s="429">
        <v>53.146929999999998</v>
      </c>
      <c r="L461" s="429">
        <v>53.146929999999998</v>
      </c>
      <c r="M461" s="429">
        <v>53.260643593099999</v>
      </c>
      <c r="N461" s="429">
        <v>53.374371704200001</v>
      </c>
      <c r="O461" s="429">
        <v>53.899038370900001</v>
      </c>
      <c r="P461" s="429">
        <v>54.821166654499997</v>
      </c>
      <c r="Q461" s="429">
        <v>55.2186282714</v>
      </c>
      <c r="R461" s="429">
        <v>55.2186282714</v>
      </c>
      <c r="S461" s="429">
        <f t="shared" si="41"/>
        <v>644.2818068654999</v>
      </c>
    </row>
    <row r="462" spans="1:19" s="429" customFormat="1">
      <c r="A462" s="429" t="str">
        <f t="shared" si="37"/>
        <v>KU</v>
      </c>
      <c r="B462" s="429" t="str">
        <f t="shared" si="38"/>
        <v>KY</v>
      </c>
      <c r="C462" s="429" t="str">
        <f t="shared" si="39"/>
        <v>342</v>
      </c>
      <c r="D462" s="430" t="s">
        <v>2202</v>
      </c>
      <c r="E462" s="428" t="str">
        <f t="shared" si="40"/>
        <v/>
      </c>
      <c r="G462" s="429">
        <v>16.325109999999999</v>
      </c>
      <c r="H462" s="429">
        <v>16.325109999999999</v>
      </c>
      <c r="I462" s="429">
        <v>16.325109999999999</v>
      </c>
      <c r="J462" s="429">
        <v>16.325109999999999</v>
      </c>
      <c r="K462" s="429">
        <v>16.325109999999999</v>
      </c>
      <c r="L462" s="429">
        <v>16.325109999999999</v>
      </c>
      <c r="M462" s="429">
        <v>16.325111757999998</v>
      </c>
      <c r="N462" s="429">
        <v>16.325111757999998</v>
      </c>
      <c r="O462" s="429">
        <v>16.325111757999998</v>
      </c>
      <c r="P462" s="429">
        <v>16.325111757999998</v>
      </c>
      <c r="Q462" s="429">
        <v>16.325111757999998</v>
      </c>
      <c r="R462" s="429">
        <v>16.325111757999998</v>
      </c>
      <c r="S462" s="429">
        <f t="shared" si="41"/>
        <v>195.90133054799995</v>
      </c>
    </row>
    <row r="463" spans="1:19" s="429" customFormat="1">
      <c r="A463" s="429" t="str">
        <f t="shared" si="37"/>
        <v>KU</v>
      </c>
      <c r="B463" s="429" t="str">
        <f t="shared" si="38"/>
        <v>KY</v>
      </c>
      <c r="C463" s="429" t="str">
        <f t="shared" si="39"/>
        <v>342</v>
      </c>
      <c r="D463" s="430" t="s">
        <v>2203</v>
      </c>
      <c r="E463" s="428" t="str">
        <f t="shared" si="40"/>
        <v/>
      </c>
      <c r="G463" s="429">
        <v>115.848739999999</v>
      </c>
      <c r="H463" s="429">
        <v>115.848739999999</v>
      </c>
      <c r="I463" s="429">
        <v>115.848739999999</v>
      </c>
      <c r="J463" s="429">
        <v>115.848739999999</v>
      </c>
      <c r="K463" s="429">
        <v>115.848739999999</v>
      </c>
      <c r="L463" s="429">
        <v>115.848739999999</v>
      </c>
      <c r="M463" s="429">
        <v>115.84873200499899</v>
      </c>
      <c r="N463" s="429">
        <v>115.84873200499899</v>
      </c>
      <c r="O463" s="429">
        <v>115.84873200499899</v>
      </c>
      <c r="P463" s="429">
        <v>116.146650448</v>
      </c>
      <c r="Q463" s="429">
        <v>116.444568881</v>
      </c>
      <c r="R463" s="429">
        <v>116.444568881</v>
      </c>
      <c r="S463" s="429">
        <f t="shared" si="41"/>
        <v>1391.6744242249906</v>
      </c>
    </row>
    <row r="464" spans="1:19" s="429" customFormat="1">
      <c r="A464" s="429" t="str">
        <f t="shared" si="37"/>
        <v>KU</v>
      </c>
      <c r="B464" s="429" t="str">
        <f t="shared" si="38"/>
        <v>KY</v>
      </c>
      <c r="C464" s="429" t="str">
        <f t="shared" si="39"/>
        <v>343</v>
      </c>
      <c r="D464" s="430" t="s">
        <v>1753</v>
      </c>
      <c r="E464" s="428" t="str">
        <f t="shared" si="40"/>
        <v/>
      </c>
      <c r="G464" s="429">
        <v>1590.94063999999</v>
      </c>
      <c r="H464" s="429">
        <v>1589.1513399999999</v>
      </c>
      <c r="I464" s="429">
        <v>1586.8296399999999</v>
      </c>
      <c r="J464" s="429">
        <v>1587.1679099999999</v>
      </c>
      <c r="K464" s="429">
        <v>1587.4269999999999</v>
      </c>
      <c r="L464" s="429">
        <v>1587.45794999999</v>
      </c>
      <c r="M464" s="429">
        <v>1588.0666811635001</v>
      </c>
      <c r="N464" s="429">
        <v>1588.8682683091999</v>
      </c>
      <c r="O464" s="429">
        <v>1589.0921156004999</v>
      </c>
      <c r="P464" s="429">
        <v>1589.6013982244999</v>
      </c>
      <c r="Q464" s="429">
        <v>1607.1342891055999</v>
      </c>
      <c r="R464" s="429">
        <v>1630.19553085759</v>
      </c>
      <c r="S464" s="429">
        <f t="shared" si="41"/>
        <v>19121.932763260869</v>
      </c>
    </row>
    <row r="465" spans="1:19" s="429" customFormat="1">
      <c r="A465" s="429" t="str">
        <f t="shared" si="37"/>
        <v>KU</v>
      </c>
      <c r="B465" s="429" t="str">
        <f t="shared" si="38"/>
        <v>KY</v>
      </c>
      <c r="C465" s="429" t="str">
        <f t="shared" si="39"/>
        <v>343</v>
      </c>
      <c r="D465" s="430" t="s">
        <v>2204</v>
      </c>
      <c r="E465" s="428" t="str">
        <f t="shared" si="40"/>
        <v/>
      </c>
      <c r="G465" s="429">
        <v>774.51508999999999</v>
      </c>
      <c r="H465" s="429">
        <v>776.09825000000001</v>
      </c>
      <c r="I465" s="429">
        <v>763.39679000000001</v>
      </c>
      <c r="J465" s="429">
        <v>763.41791000000001</v>
      </c>
      <c r="K465" s="429">
        <v>763.41671999999903</v>
      </c>
      <c r="L465" s="429">
        <v>763.41309999999999</v>
      </c>
      <c r="M465" s="429">
        <v>764.75527182999997</v>
      </c>
      <c r="N465" s="429">
        <v>766.09884133000003</v>
      </c>
      <c r="O465" s="429">
        <v>766.16546111100001</v>
      </c>
      <c r="P465" s="429">
        <v>772.14508173800004</v>
      </c>
      <c r="Q465" s="429">
        <v>778.058082485</v>
      </c>
      <c r="R465" s="429">
        <v>778.56823212400002</v>
      </c>
      <c r="S465" s="429">
        <f t="shared" si="41"/>
        <v>9230.0488306179996</v>
      </c>
    </row>
    <row r="466" spans="1:19" s="429" customFormat="1">
      <c r="A466" s="429" t="str">
        <f t="shared" si="37"/>
        <v>KU</v>
      </c>
      <c r="B466" s="429" t="str">
        <f t="shared" si="38"/>
        <v>KY</v>
      </c>
      <c r="C466" s="429" t="str">
        <f t="shared" si="39"/>
        <v>344</v>
      </c>
      <c r="D466" s="430" t="s">
        <v>1754</v>
      </c>
      <c r="E466" s="428" t="str">
        <f t="shared" si="40"/>
        <v/>
      </c>
      <c r="G466" s="429">
        <v>199.17322999999999</v>
      </c>
      <c r="H466" s="429">
        <v>199.17322999999999</v>
      </c>
      <c r="I466" s="429">
        <v>199.19525999999999</v>
      </c>
      <c r="J466" s="429">
        <v>199.21728999999999</v>
      </c>
      <c r="K466" s="429">
        <v>199.21728999999999</v>
      </c>
      <c r="L466" s="429">
        <v>199.21728999999999</v>
      </c>
      <c r="M466" s="429">
        <v>199.21730502029999</v>
      </c>
      <c r="N466" s="429">
        <v>199.21730502029999</v>
      </c>
      <c r="O466" s="429">
        <v>199.4980776047</v>
      </c>
      <c r="P466" s="429">
        <v>200.49794752259999</v>
      </c>
      <c r="Q466" s="429">
        <v>201.21704484290001</v>
      </c>
      <c r="R466" s="429">
        <v>201.56748234290001</v>
      </c>
      <c r="S466" s="429">
        <f t="shared" si="41"/>
        <v>2396.4087523537</v>
      </c>
    </row>
    <row r="467" spans="1:19" s="429" customFormat="1">
      <c r="A467" s="429" t="str">
        <f t="shared" si="37"/>
        <v>KU</v>
      </c>
      <c r="B467" s="429" t="str">
        <f t="shared" si="38"/>
        <v>KY</v>
      </c>
      <c r="C467" s="429" t="str">
        <f t="shared" si="39"/>
        <v>344</v>
      </c>
      <c r="D467" s="430" t="s">
        <v>2205</v>
      </c>
      <c r="E467" s="428" t="str">
        <f t="shared" si="40"/>
        <v/>
      </c>
      <c r="G467" s="429">
        <v>140.14671999999999</v>
      </c>
      <c r="H467" s="429">
        <v>140.1499</v>
      </c>
      <c r="I467" s="429">
        <v>140.15069</v>
      </c>
      <c r="J467" s="429">
        <v>140.15069</v>
      </c>
      <c r="K467" s="429">
        <v>140.15069</v>
      </c>
      <c r="L467" s="429">
        <v>140.15069</v>
      </c>
      <c r="M467" s="429">
        <v>140.15068509299999</v>
      </c>
      <c r="N467" s="429">
        <v>140.15068509299999</v>
      </c>
      <c r="O467" s="429">
        <v>140.15068509299999</v>
      </c>
      <c r="P467" s="429">
        <v>140.15068509299999</v>
      </c>
      <c r="Q467" s="429">
        <v>140.15068509299999</v>
      </c>
      <c r="R467" s="429">
        <v>140.15068509299999</v>
      </c>
      <c r="S467" s="429">
        <f t="shared" si="41"/>
        <v>1681.8034905579998</v>
      </c>
    </row>
    <row r="468" spans="1:19" s="429" customFormat="1">
      <c r="A468" s="429" t="str">
        <f t="shared" si="37"/>
        <v>KU</v>
      </c>
      <c r="B468" s="429" t="str">
        <f t="shared" si="38"/>
        <v>KY</v>
      </c>
      <c r="C468" s="429" t="str">
        <f t="shared" si="39"/>
        <v>344</v>
      </c>
      <c r="D468" s="430" t="s">
        <v>2206</v>
      </c>
      <c r="E468" s="428" t="str">
        <f t="shared" si="40"/>
        <v/>
      </c>
      <c r="G468" s="429">
        <v>50.20543</v>
      </c>
      <c r="H468" s="429">
        <v>50.20543</v>
      </c>
      <c r="I468" s="429">
        <v>50.20543</v>
      </c>
      <c r="J468" s="429">
        <v>50.20543</v>
      </c>
      <c r="K468" s="429">
        <v>50.20543</v>
      </c>
      <c r="L468" s="429">
        <v>50.20543</v>
      </c>
      <c r="M468" s="429">
        <v>50.205432538700002</v>
      </c>
      <c r="N468" s="429">
        <v>50.205432538700002</v>
      </c>
      <c r="O468" s="429">
        <v>50.205432538700002</v>
      </c>
      <c r="P468" s="429">
        <v>50.205432538700002</v>
      </c>
      <c r="Q468" s="429">
        <v>50.205432538700002</v>
      </c>
      <c r="R468" s="429">
        <v>50.205432538700002</v>
      </c>
      <c r="S468" s="429">
        <f t="shared" si="41"/>
        <v>602.46517523220007</v>
      </c>
    </row>
    <row r="469" spans="1:19" s="429" customFormat="1">
      <c r="A469" s="429" t="str">
        <f t="shared" si="37"/>
        <v>KU</v>
      </c>
      <c r="B469" s="429" t="str">
        <f t="shared" si="38"/>
        <v>KY</v>
      </c>
      <c r="C469" s="429" t="str">
        <f t="shared" si="39"/>
        <v>345</v>
      </c>
      <c r="D469" s="430" t="s">
        <v>1755</v>
      </c>
      <c r="E469" s="428" t="str">
        <f t="shared" si="40"/>
        <v/>
      </c>
      <c r="G469" s="429">
        <v>193.75436999999999</v>
      </c>
      <c r="H469" s="429">
        <v>193.76372000000001</v>
      </c>
      <c r="I469" s="429">
        <v>193.76549</v>
      </c>
      <c r="J469" s="429">
        <v>193.76469</v>
      </c>
      <c r="K469" s="429">
        <v>193.76499000000001</v>
      </c>
      <c r="L469" s="429">
        <v>193.76498000000001</v>
      </c>
      <c r="M469" s="429">
        <v>193.76466275140001</v>
      </c>
      <c r="N469" s="429">
        <v>193.76466275140001</v>
      </c>
      <c r="O469" s="429">
        <v>193.76466275140001</v>
      </c>
      <c r="P469" s="429">
        <v>193.76466275140001</v>
      </c>
      <c r="Q469" s="429">
        <v>193.76466275140001</v>
      </c>
      <c r="R469" s="429">
        <v>193.76466275140001</v>
      </c>
      <c r="S469" s="429">
        <f t="shared" si="41"/>
        <v>2325.1662165084003</v>
      </c>
    </row>
    <row r="470" spans="1:19" s="429" customFormat="1">
      <c r="A470" s="429" t="str">
        <f t="shared" si="37"/>
        <v>KU</v>
      </c>
      <c r="B470" s="429" t="str">
        <f t="shared" si="38"/>
        <v>KY</v>
      </c>
      <c r="C470" s="429" t="str">
        <f t="shared" si="39"/>
        <v>345</v>
      </c>
      <c r="D470" s="430" t="s">
        <v>2207</v>
      </c>
      <c r="E470" s="428" t="str">
        <f t="shared" si="40"/>
        <v/>
      </c>
      <c r="G470" s="429">
        <v>64.820340000000002</v>
      </c>
      <c r="H470" s="429">
        <v>65.081999999999994</v>
      </c>
      <c r="I470" s="429">
        <v>65.082059999999998</v>
      </c>
      <c r="J470" s="429">
        <v>65.082369999999997</v>
      </c>
      <c r="K470" s="429">
        <v>65.082719999999995</v>
      </c>
      <c r="L470" s="429">
        <v>65.082229999999996</v>
      </c>
      <c r="M470" s="429">
        <v>65.081711760999994</v>
      </c>
      <c r="N470" s="429">
        <v>65.081711760999994</v>
      </c>
      <c r="O470" s="429">
        <v>65.081711760999994</v>
      </c>
      <c r="P470" s="429">
        <v>65.116043712999996</v>
      </c>
      <c r="Q470" s="429">
        <v>65.150375666000002</v>
      </c>
      <c r="R470" s="429">
        <v>65.150375666000002</v>
      </c>
      <c r="S470" s="429">
        <f t="shared" si="41"/>
        <v>780.89365032799992</v>
      </c>
    </row>
    <row r="471" spans="1:19" s="429" customFormat="1">
      <c r="A471" s="429" t="str">
        <f t="shared" si="37"/>
        <v>KU</v>
      </c>
      <c r="B471" s="429" t="str">
        <f t="shared" si="38"/>
        <v>KY</v>
      </c>
      <c r="C471" s="429" t="str">
        <f t="shared" si="39"/>
        <v>345</v>
      </c>
      <c r="D471" s="430" t="s">
        <v>2208</v>
      </c>
      <c r="E471" s="428" t="str">
        <f t="shared" si="40"/>
        <v/>
      </c>
      <c r="G471" s="429">
        <v>1.6185400000000001</v>
      </c>
      <c r="H471" s="429">
        <v>1.6185400000000001</v>
      </c>
      <c r="I471" s="429">
        <v>1.6185400000000001</v>
      </c>
      <c r="J471" s="429">
        <v>1.6185400000000001</v>
      </c>
      <c r="K471" s="429">
        <v>1.6185400000000001</v>
      </c>
      <c r="L471" s="429">
        <v>1.6185400000000001</v>
      </c>
      <c r="M471" s="429">
        <v>1.618539983</v>
      </c>
      <c r="N471" s="429">
        <v>1.618539983</v>
      </c>
      <c r="O471" s="429">
        <v>1.618539983</v>
      </c>
      <c r="P471" s="429">
        <v>1.618539983</v>
      </c>
      <c r="Q471" s="429">
        <v>1.618539983</v>
      </c>
      <c r="R471" s="429">
        <v>1.618539983</v>
      </c>
      <c r="S471" s="429">
        <f t="shared" si="41"/>
        <v>19.422479898000002</v>
      </c>
    </row>
    <row r="472" spans="1:19" s="429" customFormat="1">
      <c r="A472" s="429" t="str">
        <f t="shared" si="37"/>
        <v>KU</v>
      </c>
      <c r="B472" s="429" t="str">
        <f t="shared" si="38"/>
        <v>KY</v>
      </c>
      <c r="C472" s="429" t="str">
        <f t="shared" si="39"/>
        <v>346</v>
      </c>
      <c r="D472" s="430" t="s">
        <v>1756</v>
      </c>
      <c r="E472" s="428" t="str">
        <f t="shared" si="40"/>
        <v/>
      </c>
      <c r="G472" s="429">
        <v>20.39067</v>
      </c>
      <c r="H472" s="429">
        <v>20.44322</v>
      </c>
      <c r="I472" s="429">
        <v>20.495749999999902</v>
      </c>
      <c r="J472" s="429">
        <v>20.495749999999902</v>
      </c>
      <c r="K472" s="429">
        <v>20.495749999999902</v>
      </c>
      <c r="L472" s="429">
        <v>20.495749999999902</v>
      </c>
      <c r="M472" s="429">
        <v>20.495737892954001</v>
      </c>
      <c r="N472" s="429">
        <v>20.495737892954001</v>
      </c>
      <c r="O472" s="429">
        <v>20.495737892954001</v>
      </c>
      <c r="P472" s="429">
        <v>20.495737892954001</v>
      </c>
      <c r="Q472" s="429">
        <v>20.546918024454001</v>
      </c>
      <c r="R472" s="429">
        <v>20.598098154953998</v>
      </c>
      <c r="S472" s="429">
        <f t="shared" si="41"/>
        <v>245.94485775122357</v>
      </c>
    </row>
    <row r="473" spans="1:19" s="429" customFormat="1">
      <c r="A473" s="429" t="str">
        <f t="shared" si="37"/>
        <v>KU</v>
      </c>
      <c r="B473" s="429" t="str">
        <f t="shared" si="38"/>
        <v>KY</v>
      </c>
      <c r="C473" s="429" t="str">
        <f t="shared" si="39"/>
        <v>346</v>
      </c>
      <c r="D473" s="430" t="s">
        <v>2209</v>
      </c>
      <c r="E473" s="428" t="str">
        <f t="shared" si="40"/>
        <v/>
      </c>
      <c r="G473" s="429">
        <v>8.4650800000000004</v>
      </c>
      <c r="H473" s="429">
        <v>8.4650800000000004</v>
      </c>
      <c r="I473" s="429">
        <v>8.4650800000000004</v>
      </c>
      <c r="J473" s="429">
        <v>8.4650800000000004</v>
      </c>
      <c r="K473" s="429">
        <v>8.4650800000000004</v>
      </c>
      <c r="L473" s="429">
        <v>8.4650800000000004</v>
      </c>
      <c r="M473" s="429">
        <v>8.4650753250000008</v>
      </c>
      <c r="N473" s="429">
        <v>8.4650753250000008</v>
      </c>
      <c r="O473" s="429">
        <v>8.4920503104999998</v>
      </c>
      <c r="P473" s="429">
        <v>8.5190252970000007</v>
      </c>
      <c r="Q473" s="429">
        <v>9.1707128830000002</v>
      </c>
      <c r="R473" s="429">
        <v>10.043055969999999</v>
      </c>
      <c r="S473" s="429">
        <f t="shared" si="41"/>
        <v>103.9454751105</v>
      </c>
    </row>
    <row r="474" spans="1:19" s="429" customFormat="1">
      <c r="A474" s="429" t="str">
        <f t="shared" si="37"/>
        <v>KU</v>
      </c>
      <c r="B474" s="429" t="str">
        <f t="shared" si="38"/>
        <v>KY</v>
      </c>
      <c r="C474" s="429" t="str">
        <f t="shared" si="39"/>
        <v>346</v>
      </c>
      <c r="D474" s="430" t="s">
        <v>2210</v>
      </c>
      <c r="E474" s="428" t="str">
        <f t="shared" si="40"/>
        <v/>
      </c>
      <c r="G474" s="429">
        <v>1.5044200000000001</v>
      </c>
      <c r="H474" s="429">
        <v>1.5044200000000001</v>
      </c>
      <c r="I474" s="429">
        <v>1.5044200000000001</v>
      </c>
      <c r="J474" s="429">
        <v>1.5044200000000001</v>
      </c>
      <c r="K474" s="429">
        <v>1.5044200000000001</v>
      </c>
      <c r="L474" s="429">
        <v>1.5044200000000001</v>
      </c>
      <c r="M474" s="429">
        <v>1.5044230750000001</v>
      </c>
      <c r="N474" s="429">
        <v>1.5044230750000001</v>
      </c>
      <c r="O474" s="429">
        <v>1.5044230750000001</v>
      </c>
      <c r="P474" s="429">
        <v>1.5044230750000001</v>
      </c>
      <c r="Q474" s="429">
        <v>1.5044230750000001</v>
      </c>
      <c r="R474" s="429">
        <v>1.5044230750000001</v>
      </c>
      <c r="S474" s="429">
        <f t="shared" si="41"/>
        <v>18.053058450000002</v>
      </c>
    </row>
    <row r="475" spans="1:19" s="429" customFormat="1">
      <c r="A475" s="429" t="str">
        <f t="shared" si="37"/>
        <v>KU</v>
      </c>
      <c r="B475" s="429" t="str">
        <f t="shared" si="38"/>
        <v>KY</v>
      </c>
      <c r="C475" s="429" t="str">
        <f t="shared" si="39"/>
        <v>347</v>
      </c>
      <c r="D475" s="430" t="s">
        <v>2211</v>
      </c>
      <c r="E475" s="428" t="str">
        <f t="shared" si="40"/>
        <v>ARO</v>
      </c>
      <c r="G475" s="429">
        <v>1.6791199999999999</v>
      </c>
      <c r="H475" s="429">
        <v>1.6791199999999999</v>
      </c>
      <c r="I475" s="429">
        <v>1.6791199999999999</v>
      </c>
      <c r="J475" s="429">
        <v>1.6791199999999999</v>
      </c>
      <c r="K475" s="429">
        <v>1.6791199999999999</v>
      </c>
      <c r="L475" s="429">
        <v>1.6791199999999999</v>
      </c>
      <c r="M475" s="429">
        <v>1.6791199999999999</v>
      </c>
      <c r="N475" s="429">
        <v>1.6791199999999999</v>
      </c>
      <c r="O475" s="429">
        <v>1.6791199999999999</v>
      </c>
      <c r="P475" s="429">
        <v>1.6791199999999999</v>
      </c>
      <c r="Q475" s="429">
        <v>1.6791199999999999</v>
      </c>
      <c r="R475" s="429">
        <v>1.6791199999999999</v>
      </c>
      <c r="S475" s="429">
        <f t="shared" si="41"/>
        <v>20.149439999999998</v>
      </c>
    </row>
    <row r="476" spans="1:19" s="429" customFormat="1">
      <c r="A476" s="429" t="str">
        <f t="shared" si="37"/>
        <v>KU</v>
      </c>
      <c r="B476" s="429" t="str">
        <f t="shared" si="38"/>
        <v>KY</v>
      </c>
      <c r="C476" s="429" t="str">
        <f t="shared" si="39"/>
        <v>350</v>
      </c>
      <c r="D476" s="430" t="s">
        <v>1757</v>
      </c>
      <c r="E476" s="428" t="str">
        <f t="shared" si="40"/>
        <v/>
      </c>
      <c r="G476" s="429">
        <v>19.572109999999999</v>
      </c>
      <c r="H476" s="429">
        <v>19.572109999999999</v>
      </c>
      <c r="I476" s="429">
        <v>19.572109999999999</v>
      </c>
      <c r="J476" s="429">
        <v>19.572109999999999</v>
      </c>
      <c r="K476" s="429">
        <v>19.572109999999999</v>
      </c>
      <c r="L476" s="429">
        <v>19.572109999999999</v>
      </c>
      <c r="M476" s="429">
        <v>19.620440769999998</v>
      </c>
      <c r="N476" s="429">
        <v>19.66876895</v>
      </c>
      <c r="O476" s="429">
        <v>19.66876895</v>
      </c>
      <c r="P476" s="429">
        <v>19.66876895</v>
      </c>
      <c r="Q476" s="429">
        <v>19.66876895</v>
      </c>
      <c r="R476" s="429">
        <v>19.668768979999999</v>
      </c>
      <c r="S476" s="429">
        <f t="shared" si="41"/>
        <v>235.39694555000003</v>
      </c>
    </row>
    <row r="477" spans="1:19" s="429" customFormat="1">
      <c r="A477" s="429" t="str">
        <f t="shared" si="37"/>
        <v>KU</v>
      </c>
      <c r="B477" s="429" t="str">
        <f t="shared" si="38"/>
        <v>TN</v>
      </c>
      <c r="C477" s="429" t="str">
        <f t="shared" si="39"/>
        <v>350</v>
      </c>
      <c r="D477" s="430" t="s">
        <v>1758</v>
      </c>
      <c r="E477" s="428" t="str">
        <f t="shared" si="40"/>
        <v/>
      </c>
      <c r="G477" s="429">
        <v>3.1E-4</v>
      </c>
      <c r="H477" s="429">
        <v>3.1E-4</v>
      </c>
      <c r="I477" s="429">
        <v>3.1E-4</v>
      </c>
      <c r="J477" s="429">
        <v>3.1E-4</v>
      </c>
      <c r="K477" s="429">
        <v>3.1E-4</v>
      </c>
      <c r="L477" s="429">
        <v>3.1E-4</v>
      </c>
      <c r="M477" s="429">
        <v>3.1499650000000001E-4</v>
      </c>
      <c r="N477" s="429">
        <v>3.1499650000000001E-4</v>
      </c>
      <c r="O477" s="429">
        <v>3.1499650000000001E-4</v>
      </c>
      <c r="P477" s="429">
        <v>3.1499650000000001E-4</v>
      </c>
      <c r="Q477" s="429">
        <v>3.1499650000000001E-4</v>
      </c>
      <c r="R477" s="429">
        <v>3.1499650000000001E-4</v>
      </c>
      <c r="S477" s="429">
        <f t="shared" si="41"/>
        <v>3.7499789999999992E-3</v>
      </c>
    </row>
    <row r="478" spans="1:19" s="429" customFormat="1">
      <c r="A478" s="429" t="str">
        <f t="shared" si="37"/>
        <v>KU</v>
      </c>
      <c r="B478" s="429" t="str">
        <f t="shared" si="38"/>
        <v>VA</v>
      </c>
      <c r="C478" s="429" t="str">
        <f t="shared" si="39"/>
        <v>350</v>
      </c>
      <c r="D478" s="430" t="s">
        <v>1759</v>
      </c>
      <c r="E478" s="428" t="str">
        <f t="shared" si="40"/>
        <v/>
      </c>
      <c r="G478" s="429">
        <v>1.5906199999999999</v>
      </c>
      <c r="H478" s="429">
        <v>1.5906199999999999</v>
      </c>
      <c r="I478" s="429">
        <v>1.5906199999999999</v>
      </c>
      <c r="J478" s="429">
        <v>1.5906199999999999</v>
      </c>
      <c r="K478" s="429">
        <v>1.5906199999999999</v>
      </c>
      <c r="L478" s="429">
        <v>1.5906199999999999</v>
      </c>
      <c r="M478" s="429">
        <v>1.5906241800000001</v>
      </c>
      <c r="N478" s="429">
        <v>1.5906241800000001</v>
      </c>
      <c r="O478" s="429">
        <v>1.5906241800000001</v>
      </c>
      <c r="P478" s="429">
        <v>1.5906241800000001</v>
      </c>
      <c r="Q478" s="429">
        <v>1.5906241800000001</v>
      </c>
      <c r="R478" s="429">
        <v>1.5906241800000001</v>
      </c>
      <c r="S478" s="429">
        <f t="shared" si="41"/>
        <v>19.087465080000001</v>
      </c>
    </row>
    <row r="479" spans="1:19" s="429" customFormat="1">
      <c r="A479" s="429" t="str">
        <f t="shared" si="37"/>
        <v>KU</v>
      </c>
      <c r="B479" s="429" t="str">
        <f t="shared" si="38"/>
        <v>KY</v>
      </c>
      <c r="C479" s="429" t="str">
        <f t="shared" si="39"/>
        <v>352</v>
      </c>
      <c r="D479" s="430" t="s">
        <v>1760</v>
      </c>
      <c r="E479" s="428" t="str">
        <f t="shared" si="40"/>
        <v/>
      </c>
      <c r="G479" s="429">
        <v>1.86385</v>
      </c>
      <c r="H479" s="429">
        <v>1.85945</v>
      </c>
      <c r="I479" s="429">
        <v>1.85504</v>
      </c>
      <c r="J479" s="429">
        <v>1.85504</v>
      </c>
      <c r="K479" s="429">
        <v>1.85504</v>
      </c>
      <c r="L479" s="429">
        <v>1.85504</v>
      </c>
      <c r="M479" s="429">
        <v>1.85503707479999</v>
      </c>
      <c r="N479" s="429">
        <v>1.85503707479999</v>
      </c>
      <c r="O479" s="429">
        <v>1.85503707479999</v>
      </c>
      <c r="P479" s="429">
        <v>1.85503707479999</v>
      </c>
      <c r="Q479" s="429">
        <v>1.85503707479999</v>
      </c>
      <c r="R479" s="429">
        <v>1.85503707479999</v>
      </c>
      <c r="S479" s="429">
        <f t="shared" si="41"/>
        <v>22.273682448799946</v>
      </c>
    </row>
    <row r="480" spans="1:19" s="429" customFormat="1">
      <c r="A480" s="429" t="str">
        <f t="shared" si="37"/>
        <v>KU</v>
      </c>
      <c r="B480" s="429" t="str">
        <f t="shared" si="38"/>
        <v>KY</v>
      </c>
      <c r="C480" s="429" t="str">
        <f t="shared" si="39"/>
        <v>352</v>
      </c>
      <c r="D480" s="430" t="s">
        <v>1761</v>
      </c>
      <c r="E480" s="428" t="str">
        <f t="shared" si="40"/>
        <v/>
      </c>
      <c r="G480" s="429">
        <v>36.555109999999999</v>
      </c>
      <c r="H480" s="429">
        <v>36.560960000000001</v>
      </c>
      <c r="I480" s="429">
        <v>36.566699999999997</v>
      </c>
      <c r="J480" s="429">
        <v>36.566189999999999</v>
      </c>
      <c r="K480" s="429">
        <v>36.647120000000001</v>
      </c>
      <c r="L480" s="429">
        <v>36.72831</v>
      </c>
      <c r="M480" s="429">
        <v>36.728058271999998</v>
      </c>
      <c r="N480" s="429">
        <v>36.728058271999998</v>
      </c>
      <c r="O480" s="429">
        <v>36.728058271999998</v>
      </c>
      <c r="P480" s="429">
        <v>36.728058271999998</v>
      </c>
      <c r="Q480" s="429">
        <v>36.728058271999998</v>
      </c>
      <c r="R480" s="429">
        <v>36.728058271999998</v>
      </c>
      <c r="S480" s="429">
        <f t="shared" si="41"/>
        <v>439.992739632</v>
      </c>
    </row>
    <row r="481" spans="1:19" s="429" customFormat="1">
      <c r="A481" s="429" t="str">
        <f t="shared" si="37"/>
        <v>KU</v>
      </c>
      <c r="B481" s="429" t="str">
        <f t="shared" si="38"/>
        <v>VA</v>
      </c>
      <c r="C481" s="429" t="str">
        <f t="shared" si="39"/>
        <v>352</v>
      </c>
      <c r="D481" s="430" t="s">
        <v>1762</v>
      </c>
      <c r="E481" s="428" t="str">
        <f t="shared" si="40"/>
        <v/>
      </c>
      <c r="G481" s="429">
        <v>2.41142999999999</v>
      </c>
      <c r="H481" s="429">
        <v>2.41142999999999</v>
      </c>
      <c r="I481" s="429">
        <v>2.41142999999999</v>
      </c>
      <c r="J481" s="429">
        <v>2.41142999999999</v>
      </c>
      <c r="K481" s="429">
        <v>2.41142999999999</v>
      </c>
      <c r="L481" s="429">
        <v>2.41142999999999</v>
      </c>
      <c r="M481" s="429">
        <v>2.4114251169999998</v>
      </c>
      <c r="N481" s="429">
        <v>2.4114251169999998</v>
      </c>
      <c r="O481" s="429">
        <v>2.4114251169999998</v>
      </c>
      <c r="P481" s="429">
        <v>2.4114251169999998</v>
      </c>
      <c r="Q481" s="429">
        <v>2.4114251169999998</v>
      </c>
      <c r="R481" s="429">
        <v>2.4114251169999998</v>
      </c>
      <c r="S481" s="429">
        <f t="shared" si="41"/>
        <v>28.937130701999941</v>
      </c>
    </row>
    <row r="482" spans="1:19" s="429" customFormat="1">
      <c r="A482" s="429" t="str">
        <f t="shared" si="37"/>
        <v>KU</v>
      </c>
      <c r="B482" s="429" t="str">
        <f t="shared" si="38"/>
        <v>KY</v>
      </c>
      <c r="C482" s="429" t="str">
        <f t="shared" si="39"/>
        <v>353</v>
      </c>
      <c r="D482" s="430" t="s">
        <v>1763</v>
      </c>
      <c r="E482" s="428" t="str">
        <f t="shared" si="40"/>
        <v/>
      </c>
      <c r="G482" s="429">
        <v>415.51409999999998</v>
      </c>
      <c r="H482" s="429">
        <v>415.47622999999999</v>
      </c>
      <c r="I482" s="429">
        <v>415.40688</v>
      </c>
      <c r="J482" s="429">
        <v>415.11065000000002</v>
      </c>
      <c r="K482" s="429">
        <v>419.28903000000003</v>
      </c>
      <c r="L482" s="429">
        <v>424.56765999999999</v>
      </c>
      <c r="M482" s="429">
        <v>458.448936599999</v>
      </c>
      <c r="N482" s="429">
        <v>494.01230762</v>
      </c>
      <c r="O482" s="429">
        <v>499.37970571</v>
      </c>
      <c r="P482" s="429">
        <v>502.68311043</v>
      </c>
      <c r="Q482" s="429">
        <v>503.08169290000001</v>
      </c>
      <c r="R482" s="429">
        <v>509.17852954</v>
      </c>
      <c r="S482" s="429">
        <f t="shared" si="41"/>
        <v>5472.1488327999996</v>
      </c>
    </row>
    <row r="483" spans="1:19" s="429" customFormat="1">
      <c r="A483" s="429" t="str">
        <f t="shared" si="37"/>
        <v>KU</v>
      </c>
      <c r="B483" s="429" t="str">
        <f t="shared" si="38"/>
        <v>VA</v>
      </c>
      <c r="C483" s="429" t="str">
        <f t="shared" si="39"/>
        <v>353</v>
      </c>
      <c r="D483" s="430" t="s">
        <v>1765</v>
      </c>
      <c r="E483" s="428" t="str">
        <f t="shared" si="40"/>
        <v/>
      </c>
      <c r="G483" s="429">
        <v>36.14884</v>
      </c>
      <c r="H483" s="429">
        <v>36.149059999999999</v>
      </c>
      <c r="I483" s="429">
        <v>36.15408</v>
      </c>
      <c r="J483" s="429">
        <v>36.178959999999996</v>
      </c>
      <c r="K483" s="429">
        <v>36.274979999999999</v>
      </c>
      <c r="L483" s="429">
        <v>36.343499999999999</v>
      </c>
      <c r="M483" s="429">
        <v>36.340880595100003</v>
      </c>
      <c r="N483" s="429">
        <v>36.340880595100003</v>
      </c>
      <c r="O483" s="429">
        <v>36.340880595100003</v>
      </c>
      <c r="P483" s="429">
        <v>36.340880595100003</v>
      </c>
      <c r="Q483" s="429">
        <v>36.340880595100003</v>
      </c>
      <c r="R483" s="429">
        <v>36.340880595100003</v>
      </c>
      <c r="S483" s="429">
        <f t="shared" si="41"/>
        <v>435.29470357059995</v>
      </c>
    </row>
    <row r="484" spans="1:19" s="429" customFormat="1">
      <c r="A484" s="429" t="str">
        <f t="shared" si="37"/>
        <v>KU</v>
      </c>
      <c r="B484" s="429" t="str">
        <f t="shared" si="38"/>
        <v>KY</v>
      </c>
      <c r="C484" s="429" t="str">
        <f t="shared" si="39"/>
        <v>354</v>
      </c>
      <c r="D484" s="430" t="s">
        <v>1766</v>
      </c>
      <c r="E484" s="428" t="str">
        <f t="shared" si="40"/>
        <v/>
      </c>
      <c r="G484" s="429">
        <v>99.783259999999999</v>
      </c>
      <c r="H484" s="429">
        <v>99.783259999999999</v>
      </c>
      <c r="I484" s="429">
        <v>99.783259999999999</v>
      </c>
      <c r="J484" s="429">
        <v>99.783259999999999</v>
      </c>
      <c r="K484" s="429">
        <v>99.783259999999999</v>
      </c>
      <c r="L484" s="429">
        <v>99.783259999999999</v>
      </c>
      <c r="M484" s="429">
        <v>99.783251426999996</v>
      </c>
      <c r="N484" s="429">
        <v>99.783251426999996</v>
      </c>
      <c r="O484" s="429">
        <v>99.783251426999996</v>
      </c>
      <c r="P484" s="429">
        <v>99.783251426999996</v>
      </c>
      <c r="Q484" s="429">
        <v>99.783251426999996</v>
      </c>
      <c r="R484" s="429">
        <v>99.783251426999996</v>
      </c>
      <c r="S484" s="429">
        <f t="shared" si="41"/>
        <v>1197.3990685620001</v>
      </c>
    </row>
    <row r="485" spans="1:19" s="429" customFormat="1">
      <c r="A485" s="429" t="str">
        <f t="shared" si="37"/>
        <v>KU</v>
      </c>
      <c r="B485" s="429" t="str">
        <f t="shared" si="38"/>
        <v>VA</v>
      </c>
      <c r="C485" s="429" t="str">
        <f t="shared" si="39"/>
        <v>354</v>
      </c>
      <c r="D485" s="430" t="s">
        <v>1767</v>
      </c>
      <c r="E485" s="428" t="str">
        <f t="shared" si="40"/>
        <v/>
      </c>
      <c r="G485" s="429">
        <v>10.11336</v>
      </c>
      <c r="H485" s="429">
        <v>10.11336</v>
      </c>
      <c r="I485" s="429">
        <v>10.11336</v>
      </c>
      <c r="J485" s="429">
        <v>10.11336</v>
      </c>
      <c r="K485" s="429">
        <v>10.11336</v>
      </c>
      <c r="L485" s="429">
        <v>10.11336</v>
      </c>
      <c r="M485" s="429">
        <v>10.113356164000001</v>
      </c>
      <c r="N485" s="429">
        <v>10.113356164000001</v>
      </c>
      <c r="O485" s="429">
        <v>10.113356164000001</v>
      </c>
      <c r="P485" s="429">
        <v>10.113356164000001</v>
      </c>
      <c r="Q485" s="429">
        <v>10.113356164000001</v>
      </c>
      <c r="R485" s="429">
        <v>10.113356164000001</v>
      </c>
      <c r="S485" s="429">
        <f t="shared" si="41"/>
        <v>121.36029698399997</v>
      </c>
    </row>
    <row r="486" spans="1:19" s="429" customFormat="1">
      <c r="A486" s="429" t="str">
        <f t="shared" si="37"/>
        <v>KU</v>
      </c>
      <c r="B486" s="429" t="str">
        <f t="shared" si="38"/>
        <v>KY</v>
      </c>
      <c r="C486" s="429" t="str">
        <f t="shared" si="39"/>
        <v>355</v>
      </c>
      <c r="D486" s="430" t="s">
        <v>1768</v>
      </c>
      <c r="E486" s="428" t="str">
        <f t="shared" si="40"/>
        <v/>
      </c>
      <c r="G486" s="429">
        <v>717.65433999999902</v>
      </c>
      <c r="H486" s="429">
        <v>719.82395999999903</v>
      </c>
      <c r="I486" s="429">
        <v>726.06425999999999</v>
      </c>
      <c r="J486" s="429">
        <v>732.70827999999995</v>
      </c>
      <c r="K486" s="429">
        <v>739.18537000000003</v>
      </c>
      <c r="L486" s="429">
        <v>749.16824999999994</v>
      </c>
      <c r="M486" s="429">
        <v>781.60230121999996</v>
      </c>
      <c r="N486" s="429">
        <v>820.97611267000002</v>
      </c>
      <c r="O486" s="429">
        <v>846.97673190999899</v>
      </c>
      <c r="P486" s="429">
        <v>865.18516199999999</v>
      </c>
      <c r="Q486" s="429">
        <v>875.40199639000002</v>
      </c>
      <c r="R486" s="429">
        <v>904.57667944000002</v>
      </c>
      <c r="S486" s="429">
        <f t="shared" si="41"/>
        <v>9479.3234436299972</v>
      </c>
    </row>
    <row r="487" spans="1:19" s="429" customFormat="1">
      <c r="A487" s="429" t="str">
        <f t="shared" si="37"/>
        <v>KU</v>
      </c>
      <c r="B487" s="429" t="str">
        <f t="shared" si="38"/>
        <v>TN</v>
      </c>
      <c r="C487" s="429" t="str">
        <f t="shared" si="39"/>
        <v>355</v>
      </c>
      <c r="D487" s="430" t="s">
        <v>1769</v>
      </c>
      <c r="E487" s="428" t="str">
        <f t="shared" si="40"/>
        <v/>
      </c>
      <c r="G487" s="429">
        <v>0.30759999999999998</v>
      </c>
      <c r="H487" s="429">
        <v>0.30759999999999998</v>
      </c>
      <c r="I487" s="429">
        <v>0.31098999999999999</v>
      </c>
      <c r="J487" s="429">
        <v>0.31436999999999998</v>
      </c>
      <c r="K487" s="429">
        <v>0.31436999999999998</v>
      </c>
      <c r="L487" s="429">
        <v>0.31436999999999998</v>
      </c>
      <c r="M487" s="429">
        <v>0.31436831912000002</v>
      </c>
      <c r="N487" s="429">
        <v>0.31436831912000002</v>
      </c>
      <c r="O487" s="429">
        <v>0.31436831912000002</v>
      </c>
      <c r="P487" s="429">
        <v>0.31436831912000002</v>
      </c>
      <c r="Q487" s="429">
        <v>0.31436831912000002</v>
      </c>
      <c r="R487" s="429">
        <v>0.31436831912000002</v>
      </c>
      <c r="S487" s="429">
        <f t="shared" si="41"/>
        <v>3.7555099147200011</v>
      </c>
    </row>
    <row r="488" spans="1:19" s="429" customFormat="1">
      <c r="A488" s="429" t="str">
        <f t="shared" si="37"/>
        <v>KU</v>
      </c>
      <c r="B488" s="429" t="str">
        <f t="shared" si="38"/>
        <v>VA</v>
      </c>
      <c r="C488" s="429" t="str">
        <f t="shared" si="39"/>
        <v>355</v>
      </c>
      <c r="D488" s="430" t="s">
        <v>1770</v>
      </c>
      <c r="E488" s="428" t="str">
        <f t="shared" si="40"/>
        <v/>
      </c>
      <c r="G488" s="429">
        <v>31.486910000000002</v>
      </c>
      <c r="H488" s="429">
        <v>30.700509999999898</v>
      </c>
      <c r="I488" s="429">
        <v>31.054970000000001</v>
      </c>
      <c r="J488" s="429">
        <v>31.1219</v>
      </c>
      <c r="K488" s="429">
        <v>31.13401</v>
      </c>
      <c r="L488" s="429">
        <v>31.146129999999999</v>
      </c>
      <c r="M488" s="429">
        <v>31.154873473999999</v>
      </c>
      <c r="N488" s="429">
        <v>31.511055087999999</v>
      </c>
      <c r="O488" s="429">
        <v>33.105760988999997</v>
      </c>
      <c r="P488" s="429">
        <v>34.570070766000001</v>
      </c>
      <c r="Q488" s="429">
        <v>34.787376758000001</v>
      </c>
      <c r="R488" s="429">
        <v>34.787647366999998</v>
      </c>
      <c r="S488" s="429">
        <f t="shared" si="41"/>
        <v>386.56121444199988</v>
      </c>
    </row>
    <row r="489" spans="1:19" s="429" customFormat="1">
      <c r="A489" s="429" t="str">
        <f t="shared" si="37"/>
        <v>KU</v>
      </c>
      <c r="B489" s="429" t="str">
        <f t="shared" si="38"/>
        <v>KY</v>
      </c>
      <c r="C489" s="429" t="str">
        <f t="shared" si="39"/>
        <v>356</v>
      </c>
      <c r="D489" s="430" t="s">
        <v>1771</v>
      </c>
      <c r="E489" s="428" t="str">
        <f t="shared" si="40"/>
        <v/>
      </c>
      <c r="G489" s="429">
        <v>360.07393000000002</v>
      </c>
      <c r="H489" s="429">
        <v>358.94847999999899</v>
      </c>
      <c r="I489" s="429">
        <v>357.75146999999998</v>
      </c>
      <c r="J489" s="429">
        <v>358.57589000000002</v>
      </c>
      <c r="K489" s="429">
        <v>359.85176999999999</v>
      </c>
      <c r="L489" s="429">
        <v>360.60615000000001</v>
      </c>
      <c r="M489" s="429">
        <v>360.96503407</v>
      </c>
      <c r="N489" s="429">
        <v>361.247537219999</v>
      </c>
      <c r="O489" s="429">
        <v>361.64733445000002</v>
      </c>
      <c r="P489" s="429">
        <v>361.76462844000002</v>
      </c>
      <c r="Q489" s="429">
        <v>361.76462844000002</v>
      </c>
      <c r="R489" s="429">
        <v>361.76462844000002</v>
      </c>
      <c r="S489" s="429">
        <f t="shared" si="41"/>
        <v>4324.9614810599978</v>
      </c>
    </row>
    <row r="490" spans="1:19" s="429" customFormat="1">
      <c r="A490" s="429" t="str">
        <f t="shared" si="37"/>
        <v>KU</v>
      </c>
      <c r="B490" s="429" t="str">
        <f t="shared" si="38"/>
        <v>TN</v>
      </c>
      <c r="C490" s="429" t="str">
        <f t="shared" si="39"/>
        <v>356</v>
      </c>
      <c r="D490" s="430" t="s">
        <v>1772</v>
      </c>
      <c r="E490" s="428" t="str">
        <f t="shared" si="40"/>
        <v/>
      </c>
      <c r="G490" s="429">
        <v>0.16522999999999999</v>
      </c>
      <c r="H490" s="429">
        <v>0.16522999999999999</v>
      </c>
      <c r="I490" s="429">
        <v>0.16800999999999999</v>
      </c>
      <c r="J490" s="429">
        <v>0.17079</v>
      </c>
      <c r="K490" s="429">
        <v>0.17079</v>
      </c>
      <c r="L490" s="429">
        <v>0.17079</v>
      </c>
      <c r="M490" s="429">
        <v>0.17079664850000001</v>
      </c>
      <c r="N490" s="429">
        <v>0.17079664850000001</v>
      </c>
      <c r="O490" s="429">
        <v>0.17079664850000001</v>
      </c>
      <c r="P490" s="429">
        <v>0.17079664850000001</v>
      </c>
      <c r="Q490" s="429">
        <v>0.17079664850000001</v>
      </c>
      <c r="R490" s="429">
        <v>0.17079664850000001</v>
      </c>
      <c r="S490" s="429">
        <f t="shared" si="41"/>
        <v>2.0356198910000005</v>
      </c>
    </row>
    <row r="491" spans="1:19" s="429" customFormat="1">
      <c r="A491" s="429" t="str">
        <f t="shared" si="37"/>
        <v>KU</v>
      </c>
      <c r="B491" s="429" t="str">
        <f t="shared" si="38"/>
        <v>VA</v>
      </c>
      <c r="C491" s="429" t="str">
        <f t="shared" si="39"/>
        <v>356</v>
      </c>
      <c r="D491" s="430" t="s">
        <v>1773</v>
      </c>
      <c r="E491" s="428" t="str">
        <f t="shared" si="40"/>
        <v/>
      </c>
      <c r="G491" s="429">
        <v>38.898099999999999</v>
      </c>
      <c r="H491" s="429">
        <v>39.691310000000001</v>
      </c>
      <c r="I491" s="429">
        <v>39.547719999999998</v>
      </c>
      <c r="J491" s="429">
        <v>39.564869999999999</v>
      </c>
      <c r="K491" s="429">
        <v>39.569339999999997</v>
      </c>
      <c r="L491" s="429">
        <v>39.573799999999999</v>
      </c>
      <c r="M491" s="429">
        <v>39.573791696999997</v>
      </c>
      <c r="N491" s="429">
        <v>39.573791696999997</v>
      </c>
      <c r="O491" s="429">
        <v>39.573791696999997</v>
      </c>
      <c r="P491" s="429">
        <v>39.573791696999997</v>
      </c>
      <c r="Q491" s="429">
        <v>39.573791696999997</v>
      </c>
      <c r="R491" s="429">
        <v>39.573791696999997</v>
      </c>
      <c r="S491" s="429">
        <f t="shared" si="41"/>
        <v>474.28789018199996</v>
      </c>
    </row>
    <row r="492" spans="1:19" s="429" customFormat="1">
      <c r="A492" s="429" t="str">
        <f t="shared" si="37"/>
        <v>KU</v>
      </c>
      <c r="B492" s="429" t="str">
        <f t="shared" si="38"/>
        <v>KY</v>
      </c>
      <c r="C492" s="429" t="str">
        <f t="shared" si="39"/>
        <v>357</v>
      </c>
      <c r="D492" s="430" t="s">
        <v>1774</v>
      </c>
      <c r="E492" s="428" t="str">
        <f t="shared" si="40"/>
        <v/>
      </c>
      <c r="G492" s="429">
        <v>0.63573999999999997</v>
      </c>
      <c r="H492" s="429">
        <v>0.63573999999999997</v>
      </c>
      <c r="I492" s="429">
        <v>0.63573999999999997</v>
      </c>
      <c r="J492" s="429">
        <v>0.63573999999999997</v>
      </c>
      <c r="K492" s="429">
        <v>0.63573999999999997</v>
      </c>
      <c r="L492" s="429">
        <v>0.63573999999999997</v>
      </c>
      <c r="M492" s="429">
        <v>0.63574370169999905</v>
      </c>
      <c r="N492" s="429">
        <v>0.63574370169999905</v>
      </c>
      <c r="O492" s="429">
        <v>0.63574370169999905</v>
      </c>
      <c r="P492" s="429">
        <v>0.63574370169999905</v>
      </c>
      <c r="Q492" s="429">
        <v>0.63574370169999905</v>
      </c>
      <c r="R492" s="429">
        <v>0.63574370169999905</v>
      </c>
      <c r="S492" s="429">
        <f t="shared" si="41"/>
        <v>7.6289022101999953</v>
      </c>
    </row>
    <row r="493" spans="1:19" s="429" customFormat="1">
      <c r="A493" s="429" t="str">
        <f t="shared" si="37"/>
        <v>KU</v>
      </c>
      <c r="B493" s="429" t="str">
        <f t="shared" si="38"/>
        <v>KY</v>
      </c>
      <c r="C493" s="429" t="str">
        <f t="shared" si="39"/>
        <v>358</v>
      </c>
      <c r="D493" s="430" t="s">
        <v>1775</v>
      </c>
      <c r="E493" s="428" t="str">
        <f t="shared" si="40"/>
        <v/>
      </c>
      <c r="G493" s="429">
        <v>0.80110999999999999</v>
      </c>
      <c r="H493" s="429">
        <v>0.80110999999999999</v>
      </c>
      <c r="I493" s="429">
        <v>0.80125999999999997</v>
      </c>
      <c r="J493" s="429">
        <v>0.80142000000000002</v>
      </c>
      <c r="K493" s="429">
        <v>0.80142000000000002</v>
      </c>
      <c r="L493" s="429">
        <v>0.80142000000000002</v>
      </c>
      <c r="M493" s="429">
        <v>0.80141540580000004</v>
      </c>
      <c r="N493" s="429">
        <v>0.80141540580000004</v>
      </c>
      <c r="O493" s="429">
        <v>0.80141540580000004</v>
      </c>
      <c r="P493" s="429">
        <v>0.80141540580000004</v>
      </c>
      <c r="Q493" s="429">
        <v>0.80141540580000004</v>
      </c>
      <c r="R493" s="429">
        <v>0.80141540580000004</v>
      </c>
      <c r="S493" s="429">
        <f t="shared" si="41"/>
        <v>9.6162324348000023</v>
      </c>
    </row>
    <row r="494" spans="1:19" s="429" customFormat="1">
      <c r="A494" s="429" t="str">
        <f t="shared" si="37"/>
        <v>KU</v>
      </c>
      <c r="B494" s="429" t="str">
        <f t="shared" si="38"/>
        <v>KY</v>
      </c>
      <c r="C494" s="429" t="str">
        <f t="shared" si="39"/>
        <v>359</v>
      </c>
      <c r="D494" s="430" t="s">
        <v>1776</v>
      </c>
      <c r="E494" s="428" t="str">
        <f t="shared" si="40"/>
        <v>ARO</v>
      </c>
      <c r="G494" s="429">
        <v>1.5926399999999901</v>
      </c>
      <c r="H494" s="429">
        <v>1.5926399999999901</v>
      </c>
      <c r="I494" s="429">
        <v>1.5926499999999999</v>
      </c>
      <c r="J494" s="429">
        <v>1.5926399999999901</v>
      </c>
      <c r="K494" s="429">
        <v>6.2831000000000001</v>
      </c>
      <c r="L494" s="429">
        <v>1.57534</v>
      </c>
      <c r="M494" s="429">
        <v>1.5926399999999901</v>
      </c>
      <c r="N494" s="429">
        <v>1.5926399999999901</v>
      </c>
      <c r="O494" s="429">
        <v>1.5926399999999901</v>
      </c>
      <c r="P494" s="429">
        <v>1.5926399999999901</v>
      </c>
      <c r="Q494" s="429">
        <v>1.5926399999999901</v>
      </c>
      <c r="R494" s="429">
        <v>1.5926399999999901</v>
      </c>
      <c r="S494" s="429">
        <f t="shared" si="41"/>
        <v>23.784849999999906</v>
      </c>
    </row>
    <row r="495" spans="1:19" s="429" customFormat="1">
      <c r="A495" s="429" t="str">
        <f t="shared" si="37"/>
        <v>KU</v>
      </c>
      <c r="B495" s="429" t="str">
        <f t="shared" si="38"/>
        <v>KY</v>
      </c>
      <c r="C495" s="429" t="str">
        <f t="shared" si="39"/>
        <v>360</v>
      </c>
      <c r="D495" s="430" t="s">
        <v>1778</v>
      </c>
      <c r="E495" s="428" t="str">
        <f t="shared" si="40"/>
        <v/>
      </c>
      <c r="G495" s="429">
        <v>1.10683</v>
      </c>
      <c r="H495" s="429">
        <v>1.10683</v>
      </c>
      <c r="I495" s="429">
        <v>1.10683</v>
      </c>
      <c r="J495" s="429">
        <v>1.10683</v>
      </c>
      <c r="K495" s="429">
        <v>1.10683</v>
      </c>
      <c r="L495" s="429">
        <v>1.10683</v>
      </c>
      <c r="M495" s="429">
        <v>1.1068267039999999</v>
      </c>
      <c r="N495" s="429">
        <v>1.1068267039999999</v>
      </c>
      <c r="O495" s="429">
        <v>1.1068267039999999</v>
      </c>
      <c r="P495" s="429">
        <v>1.1068267039999999</v>
      </c>
      <c r="Q495" s="429">
        <v>1.1068267039999999</v>
      </c>
      <c r="R495" s="429">
        <v>1.1068267039999999</v>
      </c>
      <c r="S495" s="429">
        <f t="shared" si="41"/>
        <v>13.281940223999998</v>
      </c>
    </row>
    <row r="496" spans="1:19" s="429" customFormat="1">
      <c r="A496" s="429" t="str">
        <f t="shared" ref="A496:A548" si="43">MID($D496,4,2)</f>
        <v>KU</v>
      </c>
      <c r="B496" s="429" t="str">
        <f t="shared" ref="B496:B548" si="44">IF(MID($D496,12,2)="- ","KY",MID($D496,12,2))</f>
        <v>TN</v>
      </c>
      <c r="C496" s="429" t="str">
        <f t="shared" ref="C496:C548" si="45">MID($D496,8,3)</f>
        <v>360</v>
      </c>
      <c r="D496" s="430" t="s">
        <v>1779</v>
      </c>
      <c r="E496" s="428" t="str">
        <f t="shared" si="40"/>
        <v/>
      </c>
      <c r="G496" s="429">
        <v>1.4E-3</v>
      </c>
      <c r="H496" s="429">
        <v>1.4E-3</v>
      </c>
      <c r="I496" s="429">
        <v>1.4E-3</v>
      </c>
      <c r="J496" s="429">
        <v>1.4E-3</v>
      </c>
      <c r="K496" s="429">
        <v>1.4E-3</v>
      </c>
      <c r="L496" s="429">
        <v>1.4E-3</v>
      </c>
      <c r="M496" s="429">
        <v>1.4012853329999999E-3</v>
      </c>
      <c r="N496" s="429">
        <v>1.4012853329999999E-3</v>
      </c>
      <c r="O496" s="429">
        <v>1.4012853329999999E-3</v>
      </c>
      <c r="P496" s="429">
        <v>1.4012853329999999E-3</v>
      </c>
      <c r="Q496" s="429">
        <v>1.4012853329999999E-3</v>
      </c>
      <c r="R496" s="429">
        <v>1.4012853329999999E-3</v>
      </c>
      <c r="S496" s="429">
        <f t="shared" ref="S496:S566" si="46">SUM(G496:R496)</f>
        <v>1.6807711997999998E-2</v>
      </c>
    </row>
    <row r="497" spans="1:19" s="429" customFormat="1">
      <c r="A497" s="429" t="str">
        <f t="shared" si="43"/>
        <v>KU</v>
      </c>
      <c r="B497" s="429" t="str">
        <f t="shared" si="44"/>
        <v>VA</v>
      </c>
      <c r="C497" s="429" t="str">
        <f t="shared" si="45"/>
        <v>360</v>
      </c>
      <c r="D497" s="430" t="s">
        <v>1780</v>
      </c>
      <c r="E497" s="428" t="str">
        <f t="shared" si="40"/>
        <v/>
      </c>
      <c r="G497" s="429">
        <v>4.8529999999999997E-2</v>
      </c>
      <c r="H497" s="429">
        <v>4.8529999999999997E-2</v>
      </c>
      <c r="I497" s="429">
        <v>4.8529999999999997E-2</v>
      </c>
      <c r="J497" s="429">
        <v>4.8529999999999997E-2</v>
      </c>
      <c r="K497" s="429">
        <v>4.8529999999999997E-2</v>
      </c>
      <c r="L497" s="429">
        <v>4.8529999999999997E-2</v>
      </c>
      <c r="M497" s="429">
        <v>4.8534309329999997E-2</v>
      </c>
      <c r="N497" s="429">
        <v>4.8534309329999997E-2</v>
      </c>
      <c r="O497" s="429">
        <v>4.8534309329999997E-2</v>
      </c>
      <c r="P497" s="429">
        <v>4.8534309329999997E-2</v>
      </c>
      <c r="Q497" s="429">
        <v>4.8534309329999997E-2</v>
      </c>
      <c r="R497" s="429">
        <v>4.8534309329999997E-2</v>
      </c>
      <c r="S497" s="429">
        <f t="shared" si="46"/>
        <v>0.58238585598000014</v>
      </c>
    </row>
    <row r="498" spans="1:19" s="429" customFormat="1">
      <c r="A498" s="429" t="str">
        <f t="shared" si="43"/>
        <v>KU</v>
      </c>
      <c r="B498" s="429" t="str">
        <f t="shared" si="44"/>
        <v>KY</v>
      </c>
      <c r="C498" s="429" t="str">
        <f t="shared" si="45"/>
        <v>361</v>
      </c>
      <c r="D498" s="430" t="s">
        <v>1781</v>
      </c>
      <c r="E498" s="428" t="str">
        <f t="shared" si="40"/>
        <v/>
      </c>
      <c r="G498" s="429">
        <v>24.841849999999901</v>
      </c>
      <c r="H498" s="429">
        <v>25.0168</v>
      </c>
      <c r="I498" s="429">
        <v>25.44614</v>
      </c>
      <c r="J498" s="429">
        <v>25.05585</v>
      </c>
      <c r="K498" s="429">
        <v>24.357119999999998</v>
      </c>
      <c r="L498" s="429">
        <v>24.34967</v>
      </c>
      <c r="M498" s="429">
        <v>25.273241161999898</v>
      </c>
      <c r="N498" s="429">
        <v>26.957953786000001</v>
      </c>
      <c r="O498" s="429">
        <v>28.568393486000002</v>
      </c>
      <c r="P498" s="429">
        <v>30.530135376</v>
      </c>
      <c r="Q498" s="429">
        <v>32.754130498999999</v>
      </c>
      <c r="R498" s="429">
        <v>35.041667263000001</v>
      </c>
      <c r="S498" s="429">
        <f t="shared" si="46"/>
        <v>328.19295157199974</v>
      </c>
    </row>
    <row r="499" spans="1:19" s="429" customFormat="1">
      <c r="A499" s="429" t="str">
        <f t="shared" si="43"/>
        <v>KU</v>
      </c>
      <c r="B499" s="429" t="str">
        <f t="shared" si="44"/>
        <v>TN</v>
      </c>
      <c r="C499" s="429" t="str">
        <f t="shared" si="45"/>
        <v>361</v>
      </c>
      <c r="D499" s="430" t="s">
        <v>1782</v>
      </c>
      <c r="E499" s="428" t="str">
        <f t="shared" si="40"/>
        <v/>
      </c>
      <c r="G499" s="429">
        <v>4.5599999999999998E-3</v>
      </c>
      <c r="H499" s="429">
        <v>4.5599999999999998E-3</v>
      </c>
      <c r="I499" s="429">
        <v>4.5599999999999998E-3</v>
      </c>
      <c r="J499" s="429">
        <v>4.5599999999999998E-3</v>
      </c>
      <c r="K499" s="429">
        <v>4.5599999999999998E-3</v>
      </c>
      <c r="L499" s="429">
        <v>4.5599999999999998E-3</v>
      </c>
      <c r="M499" s="429">
        <v>4.5600245839999996E-3</v>
      </c>
      <c r="N499" s="429">
        <v>4.5600245839999996E-3</v>
      </c>
      <c r="O499" s="429">
        <v>4.5600245839999996E-3</v>
      </c>
      <c r="P499" s="429">
        <v>4.5600245839999996E-3</v>
      </c>
      <c r="Q499" s="429">
        <v>4.5600245839999996E-3</v>
      </c>
      <c r="R499" s="429">
        <v>4.5600245839999996E-3</v>
      </c>
      <c r="S499" s="429">
        <f t="shared" si="46"/>
        <v>5.4720147503999984E-2</v>
      </c>
    </row>
    <row r="500" spans="1:19" s="429" customFormat="1">
      <c r="A500" s="429" t="str">
        <f t="shared" si="43"/>
        <v>KU</v>
      </c>
      <c r="B500" s="429" t="str">
        <f t="shared" si="44"/>
        <v>VA</v>
      </c>
      <c r="C500" s="429" t="str">
        <f t="shared" si="45"/>
        <v>361</v>
      </c>
      <c r="D500" s="430" t="s">
        <v>1783</v>
      </c>
      <c r="E500" s="428" t="str">
        <f t="shared" si="40"/>
        <v/>
      </c>
      <c r="G500" s="429">
        <v>1.02159</v>
      </c>
      <c r="H500" s="429">
        <v>1.02159</v>
      </c>
      <c r="I500" s="429">
        <v>1.02159</v>
      </c>
      <c r="J500" s="429">
        <v>1.02159</v>
      </c>
      <c r="K500" s="429">
        <v>1.0402499999999999</v>
      </c>
      <c r="L500" s="429">
        <v>1.05891</v>
      </c>
      <c r="M500" s="429">
        <v>1.0714562804000001</v>
      </c>
      <c r="N500" s="429">
        <v>1.0839979471000001</v>
      </c>
      <c r="O500" s="429">
        <v>1.1198312803999999</v>
      </c>
      <c r="P500" s="429">
        <v>1.1692364888</v>
      </c>
      <c r="Q500" s="429">
        <v>1.1828083638</v>
      </c>
      <c r="R500" s="429">
        <v>1.2855666462999999</v>
      </c>
      <c r="S500" s="429">
        <f t="shared" si="46"/>
        <v>13.098417006799998</v>
      </c>
    </row>
    <row r="501" spans="1:19" s="429" customFormat="1">
      <c r="A501" s="429" t="str">
        <f t="shared" si="43"/>
        <v>KU</v>
      </c>
      <c r="B501" s="429" t="str">
        <f t="shared" si="44"/>
        <v>KY</v>
      </c>
      <c r="C501" s="429" t="str">
        <f t="shared" si="45"/>
        <v>362</v>
      </c>
      <c r="D501" s="430" t="s">
        <v>1784</v>
      </c>
      <c r="E501" s="428" t="str">
        <f t="shared" si="40"/>
        <v/>
      </c>
      <c r="G501" s="429">
        <v>362.19949000000003</v>
      </c>
      <c r="H501" s="429">
        <v>362.46836000000002</v>
      </c>
      <c r="I501" s="429">
        <v>362.47723999999999</v>
      </c>
      <c r="J501" s="429">
        <v>364.42642999999998</v>
      </c>
      <c r="K501" s="429">
        <v>366.85518000000002</v>
      </c>
      <c r="L501" s="429">
        <v>368.29669999999999</v>
      </c>
      <c r="M501" s="429">
        <v>377.756392959999</v>
      </c>
      <c r="N501" s="429">
        <v>386.96215949999998</v>
      </c>
      <c r="O501" s="429">
        <v>387.95360312000003</v>
      </c>
      <c r="P501" s="429">
        <v>392.21969221000001</v>
      </c>
      <c r="Q501" s="429">
        <v>396.78518007999998</v>
      </c>
      <c r="R501" s="429">
        <v>419.924761689999</v>
      </c>
      <c r="S501" s="429">
        <f t="shared" si="46"/>
        <v>4548.3251895599988</v>
      </c>
    </row>
    <row r="502" spans="1:19" s="429" customFormat="1">
      <c r="A502" s="429" t="str">
        <f t="shared" si="43"/>
        <v>KU</v>
      </c>
      <c r="B502" s="429" t="str">
        <f t="shared" si="44"/>
        <v>TN</v>
      </c>
      <c r="C502" s="429" t="str">
        <f t="shared" si="45"/>
        <v>362</v>
      </c>
      <c r="D502" s="430" t="s">
        <v>1785</v>
      </c>
      <c r="E502" s="428" t="str">
        <f t="shared" si="40"/>
        <v/>
      </c>
      <c r="G502" s="429">
        <v>0.12762999999999999</v>
      </c>
      <c r="H502" s="429">
        <v>0.12762999999999999</v>
      </c>
      <c r="I502" s="429">
        <v>0.12762999999999999</v>
      </c>
      <c r="J502" s="429">
        <v>0.12762999999999999</v>
      </c>
      <c r="K502" s="429">
        <v>0.12762999999999999</v>
      </c>
      <c r="L502" s="429">
        <v>0.12762999999999999</v>
      </c>
      <c r="M502" s="429">
        <v>0.12762961956300001</v>
      </c>
      <c r="N502" s="429">
        <v>0.12762961956300001</v>
      </c>
      <c r="O502" s="429">
        <v>0.12762961956300001</v>
      </c>
      <c r="P502" s="429">
        <v>0.12762961956300001</v>
      </c>
      <c r="Q502" s="429">
        <v>0.12762961956300001</v>
      </c>
      <c r="R502" s="429">
        <v>0.12762961956300001</v>
      </c>
      <c r="S502" s="429">
        <f t="shared" si="46"/>
        <v>1.5315577173779999</v>
      </c>
    </row>
    <row r="503" spans="1:19" s="429" customFormat="1">
      <c r="A503" s="429" t="str">
        <f t="shared" si="43"/>
        <v>KU</v>
      </c>
      <c r="B503" s="429" t="str">
        <f t="shared" si="44"/>
        <v>VA</v>
      </c>
      <c r="C503" s="429" t="str">
        <f t="shared" si="45"/>
        <v>362</v>
      </c>
      <c r="D503" s="430" t="s">
        <v>1786</v>
      </c>
      <c r="E503" s="428" t="str">
        <f t="shared" si="40"/>
        <v/>
      </c>
      <c r="G503" s="429">
        <v>15.99034</v>
      </c>
      <c r="H503" s="429">
        <v>15.98601</v>
      </c>
      <c r="I503" s="429">
        <v>15.98601</v>
      </c>
      <c r="J503" s="429">
        <v>15.98601</v>
      </c>
      <c r="K503" s="429">
        <v>16.013529999999999</v>
      </c>
      <c r="L503" s="429">
        <v>16.143550000000001</v>
      </c>
      <c r="M503" s="429">
        <v>16.246084267699999</v>
      </c>
      <c r="N503" s="429">
        <v>16.246084267699999</v>
      </c>
      <c r="O503" s="429">
        <v>16.246084267699999</v>
      </c>
      <c r="P503" s="429">
        <v>16.246084267699999</v>
      </c>
      <c r="Q503" s="429">
        <v>16.246084267699999</v>
      </c>
      <c r="R503" s="429">
        <v>16.246084267699999</v>
      </c>
      <c r="S503" s="429">
        <f t="shared" si="46"/>
        <v>193.58195560619993</v>
      </c>
    </row>
    <row r="504" spans="1:19" s="429" customFormat="1">
      <c r="A504" s="429" t="str">
        <f t="shared" si="43"/>
        <v>KU</v>
      </c>
      <c r="B504" s="429" t="str">
        <f t="shared" si="44"/>
        <v>KY</v>
      </c>
      <c r="C504" s="429" t="str">
        <f t="shared" si="45"/>
        <v>364</v>
      </c>
      <c r="D504" s="430" t="s">
        <v>2212</v>
      </c>
      <c r="E504" s="428" t="str">
        <f t="shared" si="40"/>
        <v>ECR</v>
      </c>
      <c r="G504" s="429">
        <v>5.9029999999999999E-2</v>
      </c>
      <c r="H504" s="429">
        <v>5.9029999999999999E-2</v>
      </c>
      <c r="I504" s="429">
        <v>5.9029999999999999E-2</v>
      </c>
      <c r="J504" s="429">
        <v>5.9029999999999999E-2</v>
      </c>
      <c r="K504" s="429">
        <v>5.9029999999999999E-2</v>
      </c>
      <c r="L504" s="429">
        <v>5.9029999999999999E-2</v>
      </c>
      <c r="M504" s="429">
        <v>5.9031920000000002E-2</v>
      </c>
      <c r="N504" s="429">
        <v>5.9031920000000002E-2</v>
      </c>
      <c r="O504" s="429">
        <v>5.9031920000000002E-2</v>
      </c>
      <c r="P504" s="429">
        <v>5.9031920000000002E-2</v>
      </c>
      <c r="Q504" s="429">
        <v>5.9031920000000002E-2</v>
      </c>
      <c r="R504" s="429">
        <v>5.9031920000000002E-2</v>
      </c>
      <c r="S504" s="429">
        <f t="shared" si="46"/>
        <v>0.70837152000000014</v>
      </c>
    </row>
    <row r="505" spans="1:19" s="429" customFormat="1">
      <c r="A505" s="429" t="str">
        <f t="shared" si="43"/>
        <v>KU</v>
      </c>
      <c r="B505" s="429" t="str">
        <f t="shared" si="44"/>
        <v>KY</v>
      </c>
      <c r="C505" s="429" t="str">
        <f t="shared" si="45"/>
        <v>364</v>
      </c>
      <c r="D505" s="430" t="s">
        <v>1787</v>
      </c>
      <c r="E505" s="428" t="str">
        <f t="shared" si="40"/>
        <v/>
      </c>
      <c r="G505" s="429">
        <v>802.69862999999998</v>
      </c>
      <c r="H505" s="429">
        <v>810.31536000000006</v>
      </c>
      <c r="I505" s="429">
        <v>816.39558999999997</v>
      </c>
      <c r="J505" s="429">
        <v>818.71813999999995</v>
      </c>
      <c r="K505" s="429">
        <v>822.80141000000003</v>
      </c>
      <c r="L505" s="429">
        <v>825.18389000000002</v>
      </c>
      <c r="M505" s="429">
        <v>826.582171490375</v>
      </c>
      <c r="N505" s="429">
        <v>828.71488184074701</v>
      </c>
      <c r="O505" s="429">
        <v>830.95191239074597</v>
      </c>
      <c r="P505" s="429">
        <v>832.632286360747</v>
      </c>
      <c r="Q505" s="429">
        <v>833.98783430074695</v>
      </c>
      <c r="R505" s="429">
        <v>842.88833476074706</v>
      </c>
      <c r="S505" s="429">
        <f t="shared" si="46"/>
        <v>9891.8704411441104</v>
      </c>
    </row>
    <row r="506" spans="1:19" s="429" customFormat="1">
      <c r="A506" s="429" t="str">
        <f t="shared" si="43"/>
        <v>KU</v>
      </c>
      <c r="B506" s="429" t="str">
        <f t="shared" si="44"/>
        <v>TN</v>
      </c>
      <c r="C506" s="429" t="str">
        <f t="shared" si="45"/>
        <v>364</v>
      </c>
      <c r="D506" s="430" t="s">
        <v>1788</v>
      </c>
      <c r="E506" s="428" t="str">
        <f t="shared" si="40"/>
        <v/>
      </c>
      <c r="G506" s="429">
        <v>0.10632</v>
      </c>
      <c r="H506" s="429">
        <v>0.10632</v>
      </c>
      <c r="I506" s="429">
        <v>0.10632</v>
      </c>
      <c r="J506" s="429">
        <v>0.10632</v>
      </c>
      <c r="K506" s="429">
        <v>0.10632</v>
      </c>
      <c r="L506" s="429">
        <v>0.10632</v>
      </c>
      <c r="M506" s="429">
        <v>0.106322871</v>
      </c>
      <c r="N506" s="429">
        <v>0.106322871</v>
      </c>
      <c r="O506" s="429">
        <v>0.106322871</v>
      </c>
      <c r="P506" s="429">
        <v>0.106322871</v>
      </c>
      <c r="Q506" s="429">
        <v>0.106322871</v>
      </c>
      <c r="R506" s="429">
        <v>0.106322871</v>
      </c>
      <c r="S506" s="429">
        <f t="shared" si="46"/>
        <v>1.2758572259999998</v>
      </c>
    </row>
    <row r="507" spans="1:19" s="429" customFormat="1">
      <c r="A507" s="429" t="str">
        <f t="shared" si="43"/>
        <v>KU</v>
      </c>
      <c r="B507" s="429" t="str">
        <f t="shared" si="44"/>
        <v>VA</v>
      </c>
      <c r="C507" s="429" t="str">
        <f t="shared" si="45"/>
        <v>364</v>
      </c>
      <c r="D507" s="430" t="s">
        <v>1789</v>
      </c>
      <c r="E507" s="428" t="str">
        <f t="shared" si="40"/>
        <v/>
      </c>
      <c r="G507" s="429">
        <v>64.630790000000005</v>
      </c>
      <c r="H507" s="429">
        <v>65.086690000000004</v>
      </c>
      <c r="I507" s="429">
        <v>65.429040000000001</v>
      </c>
      <c r="J507" s="429">
        <v>65.555089999999893</v>
      </c>
      <c r="K507" s="429">
        <v>65.831519999999998</v>
      </c>
      <c r="L507" s="429">
        <v>65.987570000000005</v>
      </c>
      <c r="M507" s="429">
        <v>66.050356066999996</v>
      </c>
      <c r="N507" s="429">
        <v>66.093506414000004</v>
      </c>
      <c r="O507" s="429">
        <v>66.109367132999907</v>
      </c>
      <c r="P507" s="429">
        <v>66.104122953000001</v>
      </c>
      <c r="Q507" s="429">
        <v>66.098878772999996</v>
      </c>
      <c r="R507" s="429">
        <v>66.888815266999998</v>
      </c>
      <c r="S507" s="429">
        <f t="shared" si="46"/>
        <v>789.86574660699989</v>
      </c>
    </row>
    <row r="508" spans="1:19" s="429" customFormat="1">
      <c r="A508" s="429" t="str">
        <f t="shared" si="43"/>
        <v>KU</v>
      </c>
      <c r="B508" s="429" t="str">
        <f t="shared" si="44"/>
        <v>KY</v>
      </c>
      <c r="C508" s="429" t="str">
        <f t="shared" si="45"/>
        <v>365</v>
      </c>
      <c r="D508" s="430" t="s">
        <v>2213</v>
      </c>
      <c r="E508" s="428" t="str">
        <f t="shared" si="40"/>
        <v>ECR</v>
      </c>
      <c r="G508" s="429">
        <v>4.8579999999999998E-2</v>
      </c>
      <c r="H508" s="429">
        <v>4.8579999999999998E-2</v>
      </c>
      <c r="I508" s="429">
        <v>4.8579999999999998E-2</v>
      </c>
      <c r="J508" s="429">
        <v>4.8579999999999998E-2</v>
      </c>
      <c r="K508" s="429">
        <v>4.8579999999999998E-2</v>
      </c>
      <c r="L508" s="429">
        <v>4.8579999999999998E-2</v>
      </c>
      <c r="M508" s="429">
        <v>4.8575452249999998E-2</v>
      </c>
      <c r="N508" s="429">
        <v>4.8575452249999998E-2</v>
      </c>
      <c r="O508" s="429">
        <v>4.8575452249999998E-2</v>
      </c>
      <c r="P508" s="429">
        <v>4.8575452249999998E-2</v>
      </c>
      <c r="Q508" s="429">
        <v>4.8575452249999998E-2</v>
      </c>
      <c r="R508" s="429">
        <v>4.8575452249999998E-2</v>
      </c>
      <c r="S508" s="429">
        <f t="shared" si="46"/>
        <v>0.58293271349999998</v>
      </c>
    </row>
    <row r="509" spans="1:19" s="429" customFormat="1">
      <c r="A509" s="429" t="str">
        <f t="shared" si="43"/>
        <v>KU</v>
      </c>
      <c r="B509" s="429" t="str">
        <f t="shared" si="44"/>
        <v>KY</v>
      </c>
      <c r="C509" s="429" t="str">
        <f t="shared" si="45"/>
        <v>365</v>
      </c>
      <c r="D509" s="430" t="s">
        <v>1790</v>
      </c>
      <c r="E509" s="428" t="str">
        <f t="shared" si="40"/>
        <v/>
      </c>
      <c r="G509" s="429">
        <v>709.94012999999995</v>
      </c>
      <c r="H509" s="429">
        <v>716.05084999999997</v>
      </c>
      <c r="I509" s="429">
        <v>721.22680000000003</v>
      </c>
      <c r="J509" s="429">
        <v>725.37237000000005</v>
      </c>
      <c r="K509" s="429">
        <v>729.25202999999999</v>
      </c>
      <c r="L509" s="429">
        <v>730.02454999999998</v>
      </c>
      <c r="M509" s="429">
        <v>737.06141997999998</v>
      </c>
      <c r="N509" s="429">
        <v>749.29620958999999</v>
      </c>
      <c r="O509" s="429">
        <v>758.34621758000003</v>
      </c>
      <c r="P509" s="429">
        <v>764.63164995</v>
      </c>
      <c r="Q509" s="429">
        <v>768.97965004000002</v>
      </c>
      <c r="R509" s="429">
        <v>777.87550162000002</v>
      </c>
      <c r="S509" s="429">
        <f t="shared" si="46"/>
        <v>8888.0573787599988</v>
      </c>
    </row>
    <row r="510" spans="1:19" s="429" customFormat="1">
      <c r="A510" s="429" t="str">
        <f t="shared" si="43"/>
        <v>KU</v>
      </c>
      <c r="B510" s="429" t="str">
        <f t="shared" si="44"/>
        <v>TN</v>
      </c>
      <c r="C510" s="429" t="str">
        <f t="shared" si="45"/>
        <v>365</v>
      </c>
      <c r="D510" s="430" t="s">
        <v>1791</v>
      </c>
      <c r="E510" s="428" t="str">
        <f t="shared" si="40"/>
        <v/>
      </c>
      <c r="G510" s="429">
        <v>9.6250000000000002E-2</v>
      </c>
      <c r="H510" s="429">
        <v>9.6250000000000002E-2</v>
      </c>
      <c r="I510" s="429">
        <v>9.6250000000000002E-2</v>
      </c>
      <c r="J510" s="429">
        <v>9.6250000000000002E-2</v>
      </c>
      <c r="K510" s="429">
        <v>9.6250000000000002E-2</v>
      </c>
      <c r="L510" s="429">
        <v>9.6250000000000002E-2</v>
      </c>
      <c r="M510" s="429">
        <v>9.6254294500000004E-2</v>
      </c>
      <c r="N510" s="429">
        <v>9.6254294500000004E-2</v>
      </c>
      <c r="O510" s="429">
        <v>9.6254294500000004E-2</v>
      </c>
      <c r="P510" s="429">
        <v>9.6254294500000004E-2</v>
      </c>
      <c r="Q510" s="429">
        <v>9.6254294500000004E-2</v>
      </c>
      <c r="R510" s="429">
        <v>9.6254294500000004E-2</v>
      </c>
      <c r="S510" s="429">
        <f t="shared" si="46"/>
        <v>1.1550257670000001</v>
      </c>
    </row>
    <row r="511" spans="1:19" s="429" customFormat="1">
      <c r="A511" s="429" t="str">
        <f t="shared" si="43"/>
        <v>KU</v>
      </c>
      <c r="B511" s="429" t="str">
        <f t="shared" si="44"/>
        <v>VA</v>
      </c>
      <c r="C511" s="429" t="str">
        <f t="shared" si="45"/>
        <v>365</v>
      </c>
      <c r="D511" s="430" t="s">
        <v>1792</v>
      </c>
      <c r="E511" s="428" t="str">
        <f t="shared" si="40"/>
        <v/>
      </c>
      <c r="G511" s="429">
        <v>52.757919999999999</v>
      </c>
      <c r="H511" s="429">
        <v>53.478740000000002</v>
      </c>
      <c r="I511" s="429">
        <v>54.020780000000002</v>
      </c>
      <c r="J511" s="429">
        <v>54.424869999999999</v>
      </c>
      <c r="K511" s="429">
        <v>54.950400000000002</v>
      </c>
      <c r="L511" s="429">
        <v>55.082619999999999</v>
      </c>
      <c r="M511" s="429">
        <v>55.419833783000001</v>
      </c>
      <c r="N511" s="429">
        <v>56.074789603999903</v>
      </c>
      <c r="O511" s="429">
        <v>56.596217718999903</v>
      </c>
      <c r="P511" s="429">
        <v>57.062251115000002</v>
      </c>
      <c r="Q511" s="429">
        <v>57.406267166999903</v>
      </c>
      <c r="R511" s="429">
        <v>57.547817870000003</v>
      </c>
      <c r="S511" s="429">
        <f t="shared" si="46"/>
        <v>664.82250725799975</v>
      </c>
    </row>
    <row r="512" spans="1:19" s="429" customFormat="1">
      <c r="A512" s="429" t="str">
        <f t="shared" si="43"/>
        <v>KU</v>
      </c>
      <c r="B512" s="429" t="str">
        <f t="shared" si="44"/>
        <v>KY</v>
      </c>
      <c r="C512" s="429" t="str">
        <f t="shared" si="45"/>
        <v>366</v>
      </c>
      <c r="D512" s="430" t="s">
        <v>2214</v>
      </c>
      <c r="E512" s="428" t="str">
        <f t="shared" ref="E512:E566" si="47">IF(ISTEXT(MID($D512,SEARCH("FUTURE USE",$D512),3)),"FUTURE USE",IF(ISTEXT(MID($D512,SEARCH("ECR",$D512),3)),"ECR",IF(ISTEXT(MID($D512,SEARCH("ARO",$D512),3)),"ARO",IF(ISTEXT(MID($D512,SEARCH("DSM",$D512),3)),"DSM",""))))</f>
        <v>ECR</v>
      </c>
      <c r="G512" s="429">
        <v>0.3306</v>
      </c>
      <c r="H512" s="429">
        <v>0.3306</v>
      </c>
      <c r="I512" s="429">
        <v>0.3306</v>
      </c>
      <c r="J512" s="429">
        <v>0.3306</v>
      </c>
      <c r="K512" s="429">
        <v>0.3306</v>
      </c>
      <c r="L512" s="429">
        <v>0.3306</v>
      </c>
      <c r="M512" s="429">
        <v>0.33060487199999999</v>
      </c>
      <c r="N512" s="429">
        <v>0.33060487199999999</v>
      </c>
      <c r="O512" s="429">
        <v>0.33060487199999999</v>
      </c>
      <c r="P512" s="429">
        <v>0.33060487199999999</v>
      </c>
      <c r="Q512" s="429">
        <v>0.33060487199999999</v>
      </c>
      <c r="R512" s="429">
        <v>0.33060487199999999</v>
      </c>
      <c r="S512" s="429">
        <f t="shared" si="46"/>
        <v>3.9672292319999993</v>
      </c>
    </row>
    <row r="513" spans="1:19" s="429" customFormat="1">
      <c r="A513" s="429" t="str">
        <f t="shared" si="43"/>
        <v>KU</v>
      </c>
      <c r="B513" s="429" t="str">
        <f t="shared" si="44"/>
        <v>KY</v>
      </c>
      <c r="C513" s="429" t="str">
        <f t="shared" si="45"/>
        <v>366</v>
      </c>
      <c r="D513" s="430" t="s">
        <v>1793</v>
      </c>
      <c r="E513" s="428" t="str">
        <f t="shared" si="47"/>
        <v/>
      </c>
      <c r="G513" s="429">
        <v>4.2903900000000004</v>
      </c>
      <c r="H513" s="429">
        <v>4.2903900000000004</v>
      </c>
      <c r="I513" s="429">
        <v>4.29033</v>
      </c>
      <c r="J513" s="429">
        <v>4.2902699999999996</v>
      </c>
      <c r="K513" s="429">
        <v>4.2902699999999996</v>
      </c>
      <c r="L513" s="429">
        <v>4.2902699999999996</v>
      </c>
      <c r="M513" s="429">
        <v>4.2902668049999999</v>
      </c>
      <c r="N513" s="429">
        <v>4.2902668049999999</v>
      </c>
      <c r="O513" s="429">
        <v>4.2902668049999999</v>
      </c>
      <c r="P513" s="429">
        <v>4.2902668049999999</v>
      </c>
      <c r="Q513" s="429">
        <v>4.2902668049999999</v>
      </c>
      <c r="R513" s="429">
        <v>4.2902668049999999</v>
      </c>
      <c r="S513" s="429">
        <f t="shared" si="46"/>
        <v>51.48352083000001</v>
      </c>
    </row>
    <row r="514" spans="1:19" s="429" customFormat="1">
      <c r="A514" s="429" t="str">
        <f t="shared" si="43"/>
        <v>KU</v>
      </c>
      <c r="B514" s="429" t="str">
        <f t="shared" si="44"/>
        <v>KY</v>
      </c>
      <c r="C514" s="429" t="str">
        <f t="shared" si="45"/>
        <v>367</v>
      </c>
      <c r="D514" s="430" t="s">
        <v>2215</v>
      </c>
      <c r="E514" s="428" t="str">
        <f t="shared" si="47"/>
        <v>ECR</v>
      </c>
      <c r="G514" s="429">
        <v>2.6853799999999999</v>
      </c>
      <c r="H514" s="429">
        <v>2.6853799999999999</v>
      </c>
      <c r="I514" s="429">
        <v>2.6853799999999999</v>
      </c>
      <c r="J514" s="429">
        <v>2.6853799999999999</v>
      </c>
      <c r="K514" s="429">
        <v>2.6853799999999999</v>
      </c>
      <c r="L514" s="429">
        <v>2.6853799999999999</v>
      </c>
      <c r="M514" s="429">
        <v>2.6853836241</v>
      </c>
      <c r="N514" s="429">
        <v>2.6853836241</v>
      </c>
      <c r="O514" s="429">
        <v>2.6853836241</v>
      </c>
      <c r="P514" s="429">
        <v>2.6853836241</v>
      </c>
      <c r="Q514" s="429">
        <v>2.6853836241</v>
      </c>
      <c r="R514" s="429">
        <v>2.6853836241</v>
      </c>
      <c r="S514" s="429">
        <f t="shared" si="46"/>
        <v>32.224581744599988</v>
      </c>
    </row>
    <row r="515" spans="1:19" s="429" customFormat="1">
      <c r="A515" s="429" t="str">
        <f t="shared" si="43"/>
        <v>KU</v>
      </c>
      <c r="B515" s="429" t="str">
        <f t="shared" si="44"/>
        <v>KY</v>
      </c>
      <c r="C515" s="429" t="str">
        <f t="shared" si="45"/>
        <v>367</v>
      </c>
      <c r="D515" s="430" t="s">
        <v>1794</v>
      </c>
      <c r="E515" s="428" t="str">
        <f t="shared" si="47"/>
        <v/>
      </c>
      <c r="G515" s="429">
        <v>382.25583</v>
      </c>
      <c r="H515" s="429">
        <v>384.26177999999999</v>
      </c>
      <c r="I515" s="429">
        <v>385.18743999999998</v>
      </c>
      <c r="J515" s="429">
        <v>387.12898000000001</v>
      </c>
      <c r="K515" s="429">
        <v>389.69914999999997</v>
      </c>
      <c r="L515" s="429">
        <v>390.45650000000001</v>
      </c>
      <c r="M515" s="429">
        <v>393.06361052</v>
      </c>
      <c r="N515" s="429">
        <v>397.51380291999999</v>
      </c>
      <c r="O515" s="429">
        <v>400.79748695000001</v>
      </c>
      <c r="P515" s="429">
        <v>403.47592797999999</v>
      </c>
      <c r="Q515" s="429">
        <v>406.02543344999998</v>
      </c>
      <c r="R515" s="429">
        <v>408.26739968999999</v>
      </c>
      <c r="S515" s="429">
        <f t="shared" si="46"/>
        <v>4728.1333415099998</v>
      </c>
    </row>
    <row r="516" spans="1:19" s="429" customFormat="1">
      <c r="A516" s="429" t="str">
        <f t="shared" si="43"/>
        <v>KU</v>
      </c>
      <c r="B516" s="429" t="str">
        <f t="shared" si="44"/>
        <v>VA</v>
      </c>
      <c r="C516" s="429" t="str">
        <f t="shared" si="45"/>
        <v>367</v>
      </c>
      <c r="D516" s="430" t="s">
        <v>1795</v>
      </c>
      <c r="E516" s="428" t="str">
        <f t="shared" si="47"/>
        <v/>
      </c>
      <c r="G516" s="429">
        <v>9.5246200000000005</v>
      </c>
      <c r="H516" s="429">
        <v>9.1957299999999993</v>
      </c>
      <c r="I516" s="429">
        <v>8.8566199999999995</v>
      </c>
      <c r="J516" s="429">
        <v>8.8923199999999998</v>
      </c>
      <c r="K516" s="429">
        <v>8.9390800000000006</v>
      </c>
      <c r="L516" s="429">
        <v>8.9488299999999992</v>
      </c>
      <c r="M516" s="429">
        <v>9.0275010097999999</v>
      </c>
      <c r="N516" s="429">
        <v>9.1903729239</v>
      </c>
      <c r="O516" s="429">
        <v>9.3088764612000006</v>
      </c>
      <c r="P516" s="429">
        <v>9.3808881337999992</v>
      </c>
      <c r="Q516" s="429">
        <v>9.4500156797999999</v>
      </c>
      <c r="R516" s="429">
        <v>9.4917358138999894</v>
      </c>
      <c r="S516" s="429">
        <f t="shared" si="46"/>
        <v>110.20659002239999</v>
      </c>
    </row>
    <row r="517" spans="1:19" s="429" customFormat="1">
      <c r="A517" s="429" t="str">
        <f t="shared" si="43"/>
        <v>KU</v>
      </c>
      <c r="B517" s="429" t="str">
        <f t="shared" si="44"/>
        <v>KY</v>
      </c>
      <c r="C517" s="429" t="str">
        <f t="shared" si="45"/>
        <v>368</v>
      </c>
      <c r="D517" s="430" t="s">
        <v>1796</v>
      </c>
      <c r="E517" s="428" t="str">
        <f t="shared" si="47"/>
        <v/>
      </c>
      <c r="G517" s="429">
        <v>451.41892000000001</v>
      </c>
      <c r="H517" s="429">
        <v>451.71913999999998</v>
      </c>
      <c r="I517" s="429">
        <v>452.17225999999999</v>
      </c>
      <c r="J517" s="429">
        <v>452.67403000000002</v>
      </c>
      <c r="K517" s="429">
        <v>453.34681</v>
      </c>
      <c r="L517" s="429">
        <v>453.83654000000001</v>
      </c>
      <c r="M517" s="429">
        <v>455.05278822999998</v>
      </c>
      <c r="N517" s="429">
        <v>456.85900172999999</v>
      </c>
      <c r="O517" s="429">
        <v>458.20177391999999</v>
      </c>
      <c r="P517" s="429">
        <v>459.72462557</v>
      </c>
      <c r="Q517" s="429">
        <v>461.27057160999999</v>
      </c>
      <c r="R517" s="429">
        <v>462.58959396999899</v>
      </c>
      <c r="S517" s="429">
        <f t="shared" si="46"/>
        <v>5468.8660550299992</v>
      </c>
    </row>
    <row r="518" spans="1:19" s="429" customFormat="1">
      <c r="A518" s="429" t="str">
        <f t="shared" si="43"/>
        <v>KU</v>
      </c>
      <c r="B518" s="429" t="str">
        <f t="shared" si="44"/>
        <v>TN</v>
      </c>
      <c r="C518" s="429" t="str">
        <f t="shared" si="45"/>
        <v>368</v>
      </c>
      <c r="D518" s="430" t="s">
        <v>1797</v>
      </c>
      <c r="E518" s="428" t="str">
        <f t="shared" si="47"/>
        <v/>
      </c>
      <c r="G518" s="429">
        <v>4.6499999999999996E-3</v>
      </c>
      <c r="H518" s="429">
        <v>4.6499999999999996E-3</v>
      </c>
      <c r="I518" s="429">
        <v>4.6499999999999996E-3</v>
      </c>
      <c r="J518" s="429">
        <v>4.6499999999999996E-3</v>
      </c>
      <c r="K518" s="429">
        <v>4.6499999999999996E-3</v>
      </c>
      <c r="L518" s="429">
        <v>4.6499999999999996E-3</v>
      </c>
      <c r="M518" s="429">
        <v>4.6514343330000003E-3</v>
      </c>
      <c r="N518" s="429">
        <v>4.6514343330000003E-3</v>
      </c>
      <c r="O518" s="429">
        <v>4.6514343330000003E-3</v>
      </c>
      <c r="P518" s="429">
        <v>4.6514343330000003E-3</v>
      </c>
      <c r="Q518" s="429">
        <v>4.6514343330000003E-3</v>
      </c>
      <c r="R518" s="429">
        <v>4.6514343330000003E-3</v>
      </c>
      <c r="S518" s="429">
        <f t="shared" si="46"/>
        <v>5.5808605997999992E-2</v>
      </c>
    </row>
    <row r="519" spans="1:19" s="429" customFormat="1">
      <c r="A519" s="429" t="str">
        <f t="shared" si="43"/>
        <v>KU</v>
      </c>
      <c r="B519" s="429" t="str">
        <f t="shared" si="44"/>
        <v>VA</v>
      </c>
      <c r="C519" s="429" t="str">
        <f t="shared" si="45"/>
        <v>368</v>
      </c>
      <c r="D519" s="430" t="s">
        <v>1798</v>
      </c>
      <c r="E519" s="428" t="str">
        <f t="shared" si="47"/>
        <v/>
      </c>
      <c r="G519" s="429">
        <v>16.598610000000001</v>
      </c>
      <c r="H519" s="429">
        <v>16.598659999999999</v>
      </c>
      <c r="I519" s="429">
        <v>16.594950000000001</v>
      </c>
      <c r="J519" s="429">
        <v>16.54702</v>
      </c>
      <c r="K519" s="429">
        <v>16.503019999999999</v>
      </c>
      <c r="L519" s="429">
        <v>16.503259999999901</v>
      </c>
      <c r="M519" s="429">
        <v>16.504874399999999</v>
      </c>
      <c r="N519" s="429">
        <v>16.543142873099999</v>
      </c>
      <c r="O519" s="429">
        <v>16.581549829099998</v>
      </c>
      <c r="P519" s="429">
        <v>16.585982205699999</v>
      </c>
      <c r="Q519" s="429">
        <v>16.590884932000002</v>
      </c>
      <c r="R519" s="429">
        <v>16.594846949200001</v>
      </c>
      <c r="S519" s="429">
        <f t="shared" si="46"/>
        <v>198.7468011890999</v>
      </c>
    </row>
    <row r="520" spans="1:19" s="429" customFormat="1">
      <c r="A520" s="429" t="str">
        <f t="shared" si="43"/>
        <v>KU</v>
      </c>
      <c r="B520" s="429" t="str">
        <f t="shared" si="44"/>
        <v>KY</v>
      </c>
      <c r="C520" s="429" t="str">
        <f t="shared" si="45"/>
        <v>369</v>
      </c>
      <c r="D520" s="430" t="s">
        <v>1799</v>
      </c>
      <c r="E520" s="428" t="str">
        <f t="shared" si="47"/>
        <v/>
      </c>
      <c r="G520" s="429">
        <v>147.43473</v>
      </c>
      <c r="H520" s="429">
        <v>147.48176999999899</v>
      </c>
      <c r="I520" s="429">
        <v>147.49369999999999</v>
      </c>
      <c r="J520" s="429">
        <v>147.52108999999999</v>
      </c>
      <c r="K520" s="429">
        <v>147.56634</v>
      </c>
      <c r="L520" s="429">
        <v>147.58392000000001</v>
      </c>
      <c r="M520" s="429">
        <v>147.58366337000001</v>
      </c>
      <c r="N520" s="429">
        <v>147.58366337000001</v>
      </c>
      <c r="O520" s="429">
        <v>147.58366337000001</v>
      </c>
      <c r="P520" s="429">
        <v>147.58366337000001</v>
      </c>
      <c r="Q520" s="429">
        <v>147.58366337000001</v>
      </c>
      <c r="R520" s="429">
        <v>147.58366337000001</v>
      </c>
      <c r="S520" s="429">
        <f t="shared" si="46"/>
        <v>1770.5835302199994</v>
      </c>
    </row>
    <row r="521" spans="1:19" s="429" customFormat="1">
      <c r="A521" s="429" t="str">
        <f t="shared" si="43"/>
        <v>KU</v>
      </c>
      <c r="B521" s="429" t="str">
        <f t="shared" si="44"/>
        <v>TN</v>
      </c>
      <c r="C521" s="429" t="str">
        <f t="shared" si="45"/>
        <v>369</v>
      </c>
      <c r="D521" s="430" t="s">
        <v>1800</v>
      </c>
      <c r="E521" s="428" t="str">
        <f t="shared" si="47"/>
        <v/>
      </c>
      <c r="G521" s="429">
        <v>3.5E-4</v>
      </c>
      <c r="H521" s="429">
        <v>3.5E-4</v>
      </c>
      <c r="I521" s="429">
        <v>3.5E-4</v>
      </c>
      <c r="J521" s="429">
        <v>3.5E-4</v>
      </c>
      <c r="K521" s="429">
        <v>3.5E-4</v>
      </c>
      <c r="L521" s="429">
        <v>3.5E-4</v>
      </c>
      <c r="M521" s="429">
        <v>3.4585883300000003E-4</v>
      </c>
      <c r="N521" s="429">
        <v>3.4585883300000003E-4</v>
      </c>
      <c r="O521" s="429">
        <v>3.4585883300000003E-4</v>
      </c>
      <c r="P521" s="429">
        <v>3.4585883300000003E-4</v>
      </c>
      <c r="Q521" s="429">
        <v>3.4585883300000003E-4</v>
      </c>
      <c r="R521" s="429">
        <v>3.4585883300000003E-4</v>
      </c>
      <c r="S521" s="429">
        <f t="shared" si="46"/>
        <v>4.1751529979999992E-3</v>
      </c>
    </row>
    <row r="522" spans="1:19" s="429" customFormat="1">
      <c r="A522" s="429" t="str">
        <f t="shared" si="43"/>
        <v>KU</v>
      </c>
      <c r="B522" s="429" t="str">
        <f t="shared" si="44"/>
        <v>VA</v>
      </c>
      <c r="C522" s="429" t="str">
        <f t="shared" si="45"/>
        <v>369</v>
      </c>
      <c r="D522" s="430" t="s">
        <v>1801</v>
      </c>
      <c r="E522" s="428" t="str">
        <f t="shared" si="47"/>
        <v/>
      </c>
      <c r="G522" s="429">
        <v>7.9502499999999996</v>
      </c>
      <c r="H522" s="429">
        <v>7.9502499999999996</v>
      </c>
      <c r="I522" s="429">
        <v>7.9502499999999996</v>
      </c>
      <c r="J522" s="429">
        <v>7.9502499999999996</v>
      </c>
      <c r="K522" s="429">
        <v>7.9502499999999996</v>
      </c>
      <c r="L522" s="429">
        <v>7.9502499999999996</v>
      </c>
      <c r="M522" s="429">
        <v>7.9502537289999999</v>
      </c>
      <c r="N522" s="429">
        <v>7.9502537289999999</v>
      </c>
      <c r="O522" s="429">
        <v>7.9502537289999999</v>
      </c>
      <c r="P522" s="429">
        <v>7.9502537289999999</v>
      </c>
      <c r="Q522" s="429">
        <v>7.9502537289999999</v>
      </c>
      <c r="R522" s="429">
        <v>7.9502537289999999</v>
      </c>
      <c r="S522" s="429">
        <f t="shared" si="46"/>
        <v>95.403022373999974</v>
      </c>
    </row>
    <row r="523" spans="1:19" s="429" customFormat="1">
      <c r="A523" s="429" t="str">
        <f t="shared" si="43"/>
        <v>KU</v>
      </c>
      <c r="B523" s="429" t="str">
        <f t="shared" si="44"/>
        <v>KY</v>
      </c>
      <c r="C523" s="429" t="str">
        <f t="shared" si="45"/>
        <v>370</v>
      </c>
      <c r="D523" s="430" t="s">
        <v>1802</v>
      </c>
      <c r="E523" s="428" t="str">
        <f t="shared" si="47"/>
        <v/>
      </c>
      <c r="G523" s="429">
        <v>222.64948999999999</v>
      </c>
      <c r="H523" s="429">
        <v>222.96611999999999</v>
      </c>
      <c r="I523" s="429">
        <v>223.54230000000001</v>
      </c>
      <c r="J523" s="429">
        <v>224.02368000000001</v>
      </c>
      <c r="K523" s="429">
        <v>224.24976000000001</v>
      </c>
      <c r="L523" s="429">
        <v>224.38666999999899</v>
      </c>
      <c r="M523" s="429">
        <v>224.56832220999999</v>
      </c>
      <c r="N523" s="429">
        <v>224.93784241</v>
      </c>
      <c r="O523" s="429">
        <v>225.28240690999999</v>
      </c>
      <c r="P523" s="429">
        <v>228.02419648399999</v>
      </c>
      <c r="Q523" s="429">
        <v>230.76646435699999</v>
      </c>
      <c r="R523" s="429">
        <v>231.079549257</v>
      </c>
      <c r="S523" s="429">
        <f t="shared" si="46"/>
        <v>2706.4768016279991</v>
      </c>
    </row>
    <row r="524" spans="1:19" s="429" customFormat="1">
      <c r="A524" s="429" t="str">
        <f t="shared" si="43"/>
        <v>KU</v>
      </c>
      <c r="B524" s="429" t="str">
        <f t="shared" si="44"/>
        <v>KY</v>
      </c>
      <c r="C524" s="429" t="str">
        <f t="shared" si="45"/>
        <v>370</v>
      </c>
      <c r="D524" s="430" t="s">
        <v>2508</v>
      </c>
      <c r="E524" s="428" t="str">
        <f t="shared" si="47"/>
        <v>DSM</v>
      </c>
      <c r="G524" s="429">
        <v>6.6764799999999997</v>
      </c>
      <c r="H524" s="429">
        <v>6.68262</v>
      </c>
      <c r="I524" s="429">
        <v>7.1429299999999998</v>
      </c>
      <c r="J524" s="429">
        <v>7.5971099999999998</v>
      </c>
      <c r="K524" s="429">
        <v>7.5981899999999998</v>
      </c>
      <c r="L524" s="429">
        <v>7.5994799999999998</v>
      </c>
      <c r="M524" s="429">
        <v>7.5996959669999997</v>
      </c>
      <c r="N524" s="429">
        <v>7.5996959669999997</v>
      </c>
      <c r="O524" s="429">
        <v>7.5996959669999997</v>
      </c>
      <c r="P524" s="429">
        <v>7.5996959669999997</v>
      </c>
      <c r="Q524" s="429">
        <v>7.5996959669999997</v>
      </c>
      <c r="R524" s="429">
        <v>7.5996959669999997</v>
      </c>
      <c r="S524" s="429">
        <f t="shared" ref="S524" si="48">SUM(G524:R524)</f>
        <v>88.894985802000008</v>
      </c>
    </row>
    <row r="525" spans="1:19" s="429" customFormat="1">
      <c r="A525" s="429" t="str">
        <f t="shared" si="43"/>
        <v>KU</v>
      </c>
      <c r="B525" s="429" t="str">
        <f t="shared" si="44"/>
        <v>TN</v>
      </c>
      <c r="C525" s="429" t="str">
        <f t="shared" si="45"/>
        <v>370</v>
      </c>
      <c r="D525" s="430" t="s">
        <v>1803</v>
      </c>
      <c r="E525" s="428" t="str">
        <f t="shared" si="47"/>
        <v/>
      </c>
      <c r="G525" s="429">
        <v>1.482E-2</v>
      </c>
      <c r="H525" s="429">
        <v>1.482E-2</v>
      </c>
      <c r="I525" s="429">
        <v>1.482E-2</v>
      </c>
      <c r="J525" s="429">
        <v>1.482E-2</v>
      </c>
      <c r="K525" s="429">
        <v>1.482E-2</v>
      </c>
      <c r="L525" s="429">
        <v>1.482E-2</v>
      </c>
      <c r="M525" s="429">
        <v>1.481678575E-2</v>
      </c>
      <c r="N525" s="429">
        <v>1.481678575E-2</v>
      </c>
      <c r="O525" s="429">
        <v>1.481678575E-2</v>
      </c>
      <c r="P525" s="429">
        <v>1.481678575E-2</v>
      </c>
      <c r="Q525" s="429">
        <v>1.481678575E-2</v>
      </c>
      <c r="R525" s="429">
        <v>1.481678575E-2</v>
      </c>
      <c r="S525" s="429">
        <f t="shared" si="46"/>
        <v>0.17782071450000003</v>
      </c>
    </row>
    <row r="526" spans="1:19" s="429" customFormat="1">
      <c r="A526" s="429" t="str">
        <f t="shared" si="43"/>
        <v>KU</v>
      </c>
      <c r="B526" s="429" t="str">
        <f t="shared" si="44"/>
        <v>VA</v>
      </c>
      <c r="C526" s="429" t="str">
        <f t="shared" si="45"/>
        <v>370</v>
      </c>
      <c r="D526" s="430" t="s">
        <v>1804</v>
      </c>
      <c r="E526" s="428" t="str">
        <f t="shared" si="47"/>
        <v/>
      </c>
      <c r="G526" s="429">
        <v>11.96979</v>
      </c>
      <c r="H526" s="429">
        <v>12.1281</v>
      </c>
      <c r="I526" s="429">
        <v>11.79612</v>
      </c>
      <c r="J526" s="429">
        <v>11.423400000000001</v>
      </c>
      <c r="K526" s="429">
        <v>11.54311</v>
      </c>
      <c r="L526" s="429">
        <v>11.611560000000001</v>
      </c>
      <c r="M526" s="429">
        <v>11.611564217</v>
      </c>
      <c r="N526" s="429">
        <v>11.611564217</v>
      </c>
      <c r="O526" s="429">
        <v>11.611564217</v>
      </c>
      <c r="P526" s="429">
        <v>11.611564217</v>
      </c>
      <c r="Q526" s="429">
        <v>11.611564217</v>
      </c>
      <c r="R526" s="429">
        <v>11.611564217</v>
      </c>
      <c r="S526" s="429">
        <f t="shared" si="46"/>
        <v>140.14146530199997</v>
      </c>
    </row>
    <row r="527" spans="1:19" s="429" customFormat="1">
      <c r="A527" s="429" t="str">
        <f t="shared" si="43"/>
        <v>KU</v>
      </c>
      <c r="B527" s="429" t="str">
        <f t="shared" si="44"/>
        <v>KY</v>
      </c>
      <c r="C527" s="429" t="str">
        <f t="shared" si="45"/>
        <v>371</v>
      </c>
      <c r="D527" s="430" t="s">
        <v>1805</v>
      </c>
      <c r="E527" s="428" t="str">
        <f t="shared" si="47"/>
        <v/>
      </c>
      <c r="G527" s="429">
        <v>2.7299999999999998E-3</v>
      </c>
      <c r="H527" s="429">
        <v>2.7299999999999998E-3</v>
      </c>
      <c r="I527" s="429">
        <v>2.7299999999999998E-3</v>
      </c>
      <c r="J527" s="429">
        <v>2.7299999999999998E-3</v>
      </c>
      <c r="K527" s="429">
        <v>3.2000000000000002E-3</v>
      </c>
      <c r="L527" s="429">
        <v>3.6800000000000001E-3</v>
      </c>
      <c r="M527" s="429">
        <v>3.6823340000000002E-3</v>
      </c>
      <c r="N527" s="429">
        <v>3.6823340000000002E-3</v>
      </c>
      <c r="O527" s="429">
        <v>3.6823340000000002E-3</v>
      </c>
      <c r="P527" s="429">
        <v>3.6823340000000002E-3</v>
      </c>
      <c r="Q527" s="429">
        <v>3.6823340000000002E-3</v>
      </c>
      <c r="R527" s="429">
        <v>3.6823340000000002E-3</v>
      </c>
      <c r="S527" s="429">
        <f t="shared" si="46"/>
        <v>3.9894004000000004E-2</v>
      </c>
    </row>
    <row r="528" spans="1:19" s="429" customFormat="1">
      <c r="A528" s="429" t="str">
        <f t="shared" si="43"/>
        <v>KU</v>
      </c>
      <c r="B528" s="429" t="str">
        <f t="shared" si="44"/>
        <v>KY</v>
      </c>
      <c r="C528" s="429" t="str">
        <f t="shared" si="45"/>
        <v>371</v>
      </c>
      <c r="D528" s="430" t="s">
        <v>2674</v>
      </c>
      <c r="E528" s="428" t="str">
        <f t="shared" si="47"/>
        <v/>
      </c>
      <c r="G528" s="429">
        <v>0</v>
      </c>
      <c r="H528" s="429">
        <v>0</v>
      </c>
      <c r="I528" s="429">
        <v>0</v>
      </c>
      <c r="J528" s="429">
        <v>0</v>
      </c>
      <c r="K528" s="429">
        <v>0</v>
      </c>
      <c r="L528" s="429">
        <v>0</v>
      </c>
      <c r="M528" s="429">
        <v>0.2957681667</v>
      </c>
      <c r="N528" s="429">
        <v>0.6215155</v>
      </c>
      <c r="O528" s="429">
        <v>0.6814738333</v>
      </c>
      <c r="P528" s="429">
        <v>0.74143216670000001</v>
      </c>
      <c r="Q528" s="429">
        <v>0.80139050000000001</v>
      </c>
      <c r="R528" s="429">
        <v>1.001022375</v>
      </c>
      <c r="S528" s="429">
        <f t="shared" ref="S528" si="49">SUM(G528:R528)</f>
        <v>4.1426025417000005</v>
      </c>
    </row>
    <row r="529" spans="1:20" s="429" customFormat="1">
      <c r="A529" s="429" t="str">
        <f t="shared" si="43"/>
        <v>KU</v>
      </c>
      <c r="B529" s="429" t="str">
        <f t="shared" si="44"/>
        <v>KY</v>
      </c>
      <c r="C529" s="429" t="str">
        <f t="shared" si="45"/>
        <v>373</v>
      </c>
      <c r="D529" s="430" t="s">
        <v>1806</v>
      </c>
      <c r="E529" s="428" t="str">
        <f t="shared" si="47"/>
        <v/>
      </c>
      <c r="G529" s="429">
        <v>392.16296999999997</v>
      </c>
      <c r="H529" s="429">
        <v>394.57344999999998</v>
      </c>
      <c r="I529" s="429">
        <v>395.46406999999999</v>
      </c>
      <c r="J529" s="429">
        <v>397.03217999999998</v>
      </c>
      <c r="K529" s="429">
        <v>399.585659999999</v>
      </c>
      <c r="L529" s="429">
        <v>400.34447999999998</v>
      </c>
      <c r="M529" s="429">
        <v>401.62507747000001</v>
      </c>
      <c r="N529" s="429">
        <v>404.373986809999</v>
      </c>
      <c r="O529" s="429">
        <v>406.55124088000002</v>
      </c>
      <c r="P529" s="429">
        <v>408.49058451000002</v>
      </c>
      <c r="Q529" s="429">
        <v>410.401788229999</v>
      </c>
      <c r="R529" s="429">
        <v>412.21324253</v>
      </c>
      <c r="S529" s="429">
        <f t="shared" si="46"/>
        <v>4822.8187304299972</v>
      </c>
    </row>
    <row r="530" spans="1:20" s="429" customFormat="1">
      <c r="A530" s="429" t="str">
        <f t="shared" si="43"/>
        <v>KU</v>
      </c>
      <c r="B530" s="429" t="str">
        <f t="shared" si="44"/>
        <v>VA</v>
      </c>
      <c r="C530" s="429" t="str">
        <f t="shared" si="45"/>
        <v>373</v>
      </c>
      <c r="D530" s="430" t="s">
        <v>1807</v>
      </c>
      <c r="E530" s="428" t="str">
        <f t="shared" si="47"/>
        <v/>
      </c>
      <c r="G530" s="429">
        <v>12.257540000000001</v>
      </c>
      <c r="H530" s="429">
        <v>12.29354</v>
      </c>
      <c r="I530" s="429">
        <v>12.301270000000001</v>
      </c>
      <c r="J530" s="429">
        <v>12.328279999999999</v>
      </c>
      <c r="K530" s="429">
        <v>12.32846</v>
      </c>
      <c r="L530" s="429">
        <v>12.28964</v>
      </c>
      <c r="M530" s="429">
        <v>12.295775812999899</v>
      </c>
      <c r="N530" s="429">
        <v>12.4472442305999</v>
      </c>
      <c r="O530" s="429">
        <v>12.611202901199899</v>
      </c>
      <c r="P530" s="429">
        <v>12.653683297200001</v>
      </c>
      <c r="Q530" s="429">
        <v>12.694321385</v>
      </c>
      <c r="R530" s="429">
        <v>12.7349147358</v>
      </c>
      <c r="S530" s="429">
        <f t="shared" si="46"/>
        <v>149.23587236279971</v>
      </c>
    </row>
    <row r="531" spans="1:20" s="429" customFormat="1">
      <c r="A531" s="429" t="str">
        <f t="shared" si="43"/>
        <v>KU</v>
      </c>
      <c r="B531" s="429" t="str">
        <f t="shared" si="44"/>
        <v>KY</v>
      </c>
      <c r="C531" s="429" t="str">
        <f t="shared" si="45"/>
        <v>374</v>
      </c>
      <c r="D531" s="430" t="s">
        <v>1808</v>
      </c>
      <c r="E531" s="428" t="str">
        <f t="shared" si="47"/>
        <v>ARO</v>
      </c>
      <c r="G531" s="429">
        <v>0.86819999999999997</v>
      </c>
      <c r="H531" s="429">
        <v>0.86819999999999997</v>
      </c>
      <c r="I531" s="429">
        <v>0.86819999999999997</v>
      </c>
      <c r="J531" s="429">
        <v>0.86818999999999902</v>
      </c>
      <c r="K531" s="429">
        <v>-8.9720599999999902</v>
      </c>
      <c r="L531" s="429">
        <v>10.0548</v>
      </c>
      <c r="M531" s="429">
        <v>0.86819000000000002</v>
      </c>
      <c r="N531" s="429">
        <v>0.86819000000000002</v>
      </c>
      <c r="O531" s="429">
        <v>0.86819000000000002</v>
      </c>
      <c r="P531" s="429">
        <v>0.86819000000000002</v>
      </c>
      <c r="Q531" s="429">
        <v>0.86819000000000002</v>
      </c>
      <c r="R531" s="429">
        <v>0.86819000000000002</v>
      </c>
      <c r="S531" s="429">
        <f t="shared" si="46"/>
        <v>9.7646700000000095</v>
      </c>
    </row>
    <row r="532" spans="1:20" s="429" customFormat="1">
      <c r="A532" s="429" t="str">
        <f t="shared" si="43"/>
        <v>KU</v>
      </c>
      <c r="B532" s="429" t="str">
        <f t="shared" si="44"/>
        <v>KY</v>
      </c>
      <c r="C532" s="429" t="str">
        <f t="shared" si="45"/>
        <v>390</v>
      </c>
      <c r="D532" s="430" t="s">
        <v>1811</v>
      </c>
      <c r="E532" s="428" t="str">
        <f t="shared" si="47"/>
        <v/>
      </c>
      <c r="G532" s="429">
        <v>5.1224099999999897</v>
      </c>
      <c r="H532" s="429">
        <v>5.1330600000000004</v>
      </c>
      <c r="I532" s="429">
        <v>5.4794999999999998</v>
      </c>
      <c r="J532" s="429">
        <v>5.8193999999999999</v>
      </c>
      <c r="K532" s="429">
        <v>5.8240299999999996</v>
      </c>
      <c r="L532" s="429">
        <v>5.8087799999999996</v>
      </c>
      <c r="M532" s="429">
        <v>5.792441055576</v>
      </c>
      <c r="N532" s="429">
        <v>5.8542547678760002</v>
      </c>
      <c r="O532" s="429">
        <v>5.9166522675759996</v>
      </c>
      <c r="P532" s="429">
        <v>5.9166522675759996</v>
      </c>
      <c r="Q532" s="429">
        <v>5.9166522675759996</v>
      </c>
      <c r="R532" s="429">
        <v>5.9166522675759996</v>
      </c>
      <c r="S532" s="429">
        <f t="shared" si="46"/>
        <v>68.500484893755981</v>
      </c>
    </row>
    <row r="533" spans="1:20" s="429" customFormat="1">
      <c r="A533" s="429" t="str">
        <f t="shared" si="43"/>
        <v>KU</v>
      </c>
      <c r="B533" s="429" t="str">
        <f t="shared" si="44"/>
        <v>KY</v>
      </c>
      <c r="C533" s="429" t="str">
        <f t="shared" si="45"/>
        <v>390</v>
      </c>
      <c r="D533" s="430" t="s">
        <v>1812</v>
      </c>
      <c r="E533" s="428" t="str">
        <f t="shared" si="47"/>
        <v/>
      </c>
      <c r="G533" s="429">
        <v>120.34556000000001</v>
      </c>
      <c r="H533" s="429">
        <v>121.17747</v>
      </c>
      <c r="I533" s="429">
        <v>122.90018000000001</v>
      </c>
      <c r="J533" s="429">
        <v>124.50291999999899</v>
      </c>
      <c r="K533" s="429">
        <v>124.99073</v>
      </c>
      <c r="L533" s="429">
        <v>125.13205000000001</v>
      </c>
      <c r="M533" s="429">
        <v>125.5685950995</v>
      </c>
      <c r="N533" s="429">
        <v>126.349322151499</v>
      </c>
      <c r="O533" s="429">
        <v>126.8869618235</v>
      </c>
      <c r="P533" s="429">
        <v>127.9444024535</v>
      </c>
      <c r="Q533" s="429">
        <v>129.9102759635</v>
      </c>
      <c r="R533" s="429">
        <v>131.72037185350001</v>
      </c>
      <c r="S533" s="429">
        <f t="shared" si="46"/>
        <v>1507.4288393449981</v>
      </c>
    </row>
    <row r="534" spans="1:20" s="429" customFormat="1">
      <c r="A534" s="429" t="str">
        <f t="shared" si="43"/>
        <v>KU</v>
      </c>
      <c r="B534" s="429" t="str">
        <f t="shared" si="44"/>
        <v>VA</v>
      </c>
      <c r="C534" s="429" t="str">
        <f t="shared" si="45"/>
        <v>390</v>
      </c>
      <c r="D534" s="430" t="s">
        <v>1813</v>
      </c>
      <c r="E534" s="428" t="str">
        <f t="shared" si="47"/>
        <v/>
      </c>
      <c r="G534" s="429">
        <v>2.1619599999999899</v>
      </c>
      <c r="H534" s="429">
        <v>2.1546699999999999</v>
      </c>
      <c r="I534" s="429">
        <v>2.1651199999999999</v>
      </c>
      <c r="J534" s="429">
        <v>2.1828599999999998</v>
      </c>
      <c r="K534" s="429">
        <v>2.1828599999999998</v>
      </c>
      <c r="L534" s="429">
        <v>2.1918199999999999</v>
      </c>
      <c r="M534" s="429">
        <v>2.2007860653370002</v>
      </c>
      <c r="N534" s="429">
        <v>2.2006272436369998</v>
      </c>
      <c r="O534" s="429">
        <v>2.200468423037</v>
      </c>
      <c r="P534" s="429">
        <v>2.200468423037</v>
      </c>
      <c r="Q534" s="429">
        <v>2.2407333410370001</v>
      </c>
      <c r="R534" s="429">
        <v>2.2941614376369999</v>
      </c>
      <c r="S534" s="429">
        <f t="shared" si="46"/>
        <v>26.376534933721992</v>
      </c>
    </row>
    <row r="535" spans="1:20" s="429" customFormat="1">
      <c r="A535" s="429" t="str">
        <f t="shared" si="43"/>
        <v>KU</v>
      </c>
      <c r="B535" s="429" t="str">
        <f t="shared" si="44"/>
        <v>KY</v>
      </c>
      <c r="C535" s="429" t="str">
        <f t="shared" si="45"/>
        <v>391</v>
      </c>
      <c r="D535" s="430" t="s">
        <v>1814</v>
      </c>
      <c r="E535" s="428" t="str">
        <f t="shared" si="47"/>
        <v/>
      </c>
      <c r="G535" s="429">
        <v>105.95296999999999</v>
      </c>
      <c r="H535" s="429">
        <v>115.80643999999999</v>
      </c>
      <c r="I535" s="429">
        <v>115.37768</v>
      </c>
      <c r="J535" s="429">
        <v>115.51138</v>
      </c>
      <c r="K535" s="429">
        <v>115.51369</v>
      </c>
      <c r="L535" s="429">
        <v>116.3262</v>
      </c>
      <c r="M535" s="429">
        <v>118.5863749</v>
      </c>
      <c r="N535" s="429">
        <v>119.06910259999999</v>
      </c>
      <c r="O535" s="429">
        <v>118.10417870000001</v>
      </c>
      <c r="P535" s="429">
        <v>117.87128389999999</v>
      </c>
      <c r="Q535" s="429">
        <v>124.1181244</v>
      </c>
      <c r="R535" s="429">
        <v>130.48452180000001</v>
      </c>
      <c r="S535" s="429">
        <f t="shared" si="46"/>
        <v>1412.7219462999999</v>
      </c>
    </row>
    <row r="536" spans="1:20" s="429" customFormat="1">
      <c r="A536" s="429" t="str">
        <f t="shared" si="43"/>
        <v>KU</v>
      </c>
      <c r="B536" s="429" t="str">
        <f t="shared" si="44"/>
        <v>KY</v>
      </c>
      <c r="C536" s="429" t="str">
        <f t="shared" si="45"/>
        <v>391</v>
      </c>
      <c r="D536" s="430" t="s">
        <v>1815</v>
      </c>
      <c r="E536" s="428" t="str">
        <f t="shared" si="47"/>
        <v/>
      </c>
      <c r="G536" s="429">
        <v>282.04878000000002</v>
      </c>
      <c r="H536" s="429">
        <v>299.11712</v>
      </c>
      <c r="I536" s="429">
        <v>297.83463</v>
      </c>
      <c r="J536" s="429">
        <v>295.07535999999999</v>
      </c>
      <c r="K536" s="429">
        <v>289.57396999999997</v>
      </c>
      <c r="L536" s="429">
        <v>286.85104000000001</v>
      </c>
      <c r="M536" s="429">
        <v>286.49954894000001</v>
      </c>
      <c r="N536" s="429">
        <v>287.81380529</v>
      </c>
      <c r="O536" s="429">
        <v>295.60360752999998</v>
      </c>
      <c r="P536" s="429">
        <v>304.13007883</v>
      </c>
      <c r="Q536" s="429">
        <v>308.12813390999997</v>
      </c>
      <c r="R536" s="429">
        <v>314.24011865</v>
      </c>
      <c r="S536" s="429">
        <f t="shared" si="46"/>
        <v>3546.9161931500003</v>
      </c>
    </row>
    <row r="537" spans="1:20" s="429" customFormat="1">
      <c r="A537" s="429" t="str">
        <f t="shared" si="43"/>
        <v>KU</v>
      </c>
      <c r="B537" s="429" t="str">
        <f t="shared" si="44"/>
        <v>KY</v>
      </c>
      <c r="C537" s="429" t="str">
        <f t="shared" si="45"/>
        <v>392</v>
      </c>
      <c r="D537" s="430" t="s">
        <v>1817</v>
      </c>
      <c r="E537" s="428" t="str">
        <f t="shared" si="47"/>
        <v>ECR</v>
      </c>
      <c r="G537" s="429">
        <v>0.34420999999999902</v>
      </c>
      <c r="H537" s="429">
        <v>0.1721</v>
      </c>
      <c r="I537" s="429">
        <v>0</v>
      </c>
      <c r="J537" s="429">
        <v>0</v>
      </c>
      <c r="K537" s="429">
        <v>0</v>
      </c>
      <c r="L537" s="429">
        <v>0</v>
      </c>
      <c r="M537" s="429">
        <v>3.1854604500000001E-2</v>
      </c>
      <c r="N537" s="429">
        <v>3.1854604500000001E-2</v>
      </c>
      <c r="O537" s="429">
        <v>3.1854604500000001E-2</v>
      </c>
      <c r="P537" s="429">
        <v>3.1854604500000001E-2</v>
      </c>
      <c r="Q537" s="429">
        <v>3.1854604500000001E-2</v>
      </c>
      <c r="R537" s="429">
        <v>3.1854604500000001E-2</v>
      </c>
      <c r="S537" s="429">
        <f t="shared" si="46"/>
        <v>0.70743762699999901</v>
      </c>
    </row>
    <row r="538" spans="1:20" s="429" customFormat="1">
      <c r="A538" s="429" t="str">
        <f t="shared" si="43"/>
        <v>KU</v>
      </c>
      <c r="B538" s="429" t="str">
        <f t="shared" si="44"/>
        <v>KY</v>
      </c>
      <c r="C538" s="429" t="str">
        <f t="shared" si="45"/>
        <v>392</v>
      </c>
      <c r="D538" s="430" t="s">
        <v>1818</v>
      </c>
      <c r="E538" s="428" t="str">
        <f t="shared" si="47"/>
        <v/>
      </c>
      <c r="G538" s="429">
        <v>17.759119999999999</v>
      </c>
      <c r="H538" s="429">
        <v>17.710539999999899</v>
      </c>
      <c r="I538" s="429">
        <v>17.66197</v>
      </c>
      <c r="J538" s="429">
        <v>17.66197</v>
      </c>
      <c r="K538" s="429">
        <v>17.85981</v>
      </c>
      <c r="L538" s="429">
        <v>18.074439999999999</v>
      </c>
      <c r="M538" s="429">
        <v>18.192337765999898</v>
      </c>
      <c r="N538" s="429">
        <v>18.293452858999999</v>
      </c>
      <c r="O538" s="429">
        <v>18.293452858999999</v>
      </c>
      <c r="P538" s="429">
        <v>18.293452858999999</v>
      </c>
      <c r="Q538" s="429">
        <v>18.293452858999999</v>
      </c>
      <c r="R538" s="429">
        <v>18.293452858999999</v>
      </c>
      <c r="S538" s="429">
        <f t="shared" si="46"/>
        <v>216.38745206099981</v>
      </c>
      <c r="T538" s="430"/>
    </row>
    <row r="539" spans="1:20" s="429" customFormat="1">
      <c r="A539" s="429" t="str">
        <f t="shared" si="43"/>
        <v>KU</v>
      </c>
      <c r="B539" s="429" t="str">
        <f t="shared" si="44"/>
        <v>VA</v>
      </c>
      <c r="C539" s="429" t="str">
        <f t="shared" si="45"/>
        <v>392</v>
      </c>
      <c r="D539" s="430" t="s">
        <v>2510</v>
      </c>
      <c r="E539" s="428" t="str">
        <f t="shared" si="47"/>
        <v/>
      </c>
      <c r="G539" s="429">
        <v>0</v>
      </c>
      <c r="H539" s="429">
        <v>1.227E-2</v>
      </c>
      <c r="I539" s="429">
        <v>2.4539999999999999E-2</v>
      </c>
      <c r="J539" s="429">
        <v>2.4539999999999999E-2</v>
      </c>
      <c r="K539" s="429">
        <v>2.4539999999999999E-2</v>
      </c>
      <c r="L539" s="429">
        <v>2.4539999999999999E-2</v>
      </c>
      <c r="M539" s="429">
        <v>2.453700667E-2</v>
      </c>
      <c r="N539" s="429">
        <v>2.453700667E-2</v>
      </c>
      <c r="O539" s="429">
        <v>2.453700667E-2</v>
      </c>
      <c r="P539" s="429">
        <v>2.453700667E-2</v>
      </c>
      <c r="Q539" s="429">
        <v>2.453700667E-2</v>
      </c>
      <c r="R539" s="429">
        <v>2.453700667E-2</v>
      </c>
      <c r="S539" s="429">
        <f t="shared" ref="S539" si="50">SUM(G539:R539)</f>
        <v>0.25765204001999997</v>
      </c>
    </row>
    <row r="540" spans="1:20" s="429" customFormat="1">
      <c r="A540" s="429" t="str">
        <f t="shared" si="43"/>
        <v>KU</v>
      </c>
      <c r="B540" s="429" t="str">
        <f t="shared" si="44"/>
        <v>KY</v>
      </c>
      <c r="C540" s="429" t="str">
        <f t="shared" si="45"/>
        <v>393</v>
      </c>
      <c r="D540" s="430" t="s">
        <v>1819</v>
      </c>
      <c r="E540" s="428" t="str">
        <f t="shared" si="47"/>
        <v/>
      </c>
      <c r="G540" s="429">
        <v>3.3236300000000001</v>
      </c>
      <c r="H540" s="429">
        <v>3.4701599999999999</v>
      </c>
      <c r="I540" s="429">
        <v>3.6166900000000002</v>
      </c>
      <c r="J540" s="429">
        <v>3.6166900000000002</v>
      </c>
      <c r="K540" s="429">
        <v>3.4701599999999999</v>
      </c>
      <c r="L540" s="429">
        <v>3.3236300000000001</v>
      </c>
      <c r="M540" s="429">
        <v>3.32363009</v>
      </c>
      <c r="N540" s="429">
        <v>3.32363009</v>
      </c>
      <c r="O540" s="429">
        <v>3.3110746170000001</v>
      </c>
      <c r="P540" s="429">
        <v>3.3921373930000001</v>
      </c>
      <c r="Q540" s="429">
        <v>3.4857556430000001</v>
      </c>
      <c r="R540" s="429">
        <v>3.4857556430000001</v>
      </c>
      <c r="S540" s="429">
        <f t="shared" si="46"/>
        <v>41.142943475999999</v>
      </c>
    </row>
    <row r="541" spans="1:20" s="429" customFormat="1">
      <c r="A541" s="429" t="str">
        <f t="shared" si="43"/>
        <v>KU</v>
      </c>
      <c r="B541" s="429" t="str">
        <f t="shared" si="44"/>
        <v>VA</v>
      </c>
      <c r="C541" s="429" t="str">
        <f t="shared" si="45"/>
        <v>393</v>
      </c>
      <c r="D541" s="430" t="s">
        <v>1820</v>
      </c>
      <c r="E541" s="428" t="str">
        <f t="shared" si="47"/>
        <v/>
      </c>
      <c r="G541" s="429">
        <v>1.66E-2</v>
      </c>
      <c r="H541" s="429">
        <v>1.66E-2</v>
      </c>
      <c r="I541" s="429">
        <v>1.66E-2</v>
      </c>
      <c r="J541" s="429">
        <v>1.66E-2</v>
      </c>
      <c r="K541" s="429">
        <v>1.66E-2</v>
      </c>
      <c r="L541" s="429">
        <v>1.66E-2</v>
      </c>
      <c r="M541" s="429">
        <v>1.6596139999999999E-2</v>
      </c>
      <c r="N541" s="429">
        <v>1.6596139999999999E-2</v>
      </c>
      <c r="O541" s="429">
        <v>9.9050783330000003E-3</v>
      </c>
      <c r="P541" s="429">
        <v>3.214016667E-3</v>
      </c>
      <c r="Q541" s="429">
        <v>3.214016667E-3</v>
      </c>
      <c r="R541" s="429">
        <v>3.214016667E-3</v>
      </c>
      <c r="S541" s="429">
        <f t="shared" si="46"/>
        <v>0.152339408334</v>
      </c>
    </row>
    <row r="542" spans="1:20" s="429" customFormat="1">
      <c r="A542" s="429" t="str">
        <f t="shared" si="43"/>
        <v>KU</v>
      </c>
      <c r="B542" s="429" t="str">
        <f t="shared" si="44"/>
        <v>KY</v>
      </c>
      <c r="C542" s="429" t="str">
        <f t="shared" si="45"/>
        <v>394</v>
      </c>
      <c r="D542" s="430" t="s">
        <v>1821</v>
      </c>
      <c r="E542" s="428" t="str">
        <f t="shared" si="47"/>
        <v/>
      </c>
      <c r="G542" s="429">
        <v>42.968940000000003</v>
      </c>
      <c r="H542" s="429">
        <v>43.000109999999999</v>
      </c>
      <c r="I542" s="429">
        <v>43.078879999999998</v>
      </c>
      <c r="J542" s="429">
        <v>43.197369999999999</v>
      </c>
      <c r="K542" s="429">
        <v>43.380379999999903</v>
      </c>
      <c r="L542" s="429">
        <v>44.109549999999999</v>
      </c>
      <c r="M542" s="429">
        <v>45.2149632</v>
      </c>
      <c r="N542" s="429">
        <v>46.196323810000003</v>
      </c>
      <c r="O542" s="429">
        <v>46.896818019999998</v>
      </c>
      <c r="P542" s="429">
        <v>48.057088890000003</v>
      </c>
      <c r="Q542" s="429">
        <v>49.019185239999999</v>
      </c>
      <c r="R542" s="429">
        <v>49.253824340000001</v>
      </c>
      <c r="S542" s="429">
        <f t="shared" si="46"/>
        <v>544.37343350000003</v>
      </c>
    </row>
    <row r="543" spans="1:20" s="429" customFormat="1">
      <c r="A543" s="429" t="str">
        <f t="shared" si="43"/>
        <v>KU</v>
      </c>
      <c r="B543" s="429" t="str">
        <f t="shared" si="44"/>
        <v>VA</v>
      </c>
      <c r="C543" s="429" t="str">
        <f t="shared" si="45"/>
        <v>394</v>
      </c>
      <c r="D543" s="430" t="s">
        <v>1822</v>
      </c>
      <c r="E543" s="428" t="str">
        <f t="shared" si="47"/>
        <v/>
      </c>
      <c r="G543" s="429">
        <v>1.5980099999999999</v>
      </c>
      <c r="H543" s="429">
        <v>1.5980099999999999</v>
      </c>
      <c r="I543" s="429">
        <v>1.5980099999999999</v>
      </c>
      <c r="J543" s="429">
        <v>1.5980099999999999</v>
      </c>
      <c r="K543" s="429">
        <v>1.5980099999999999</v>
      </c>
      <c r="L543" s="429">
        <v>1.5980099999999999</v>
      </c>
      <c r="M543" s="429">
        <v>1.686175985</v>
      </c>
      <c r="N543" s="429">
        <v>1.8377782090000001</v>
      </c>
      <c r="O543" s="429">
        <v>1.900719834</v>
      </c>
      <c r="P543" s="429">
        <v>1.995726136</v>
      </c>
      <c r="Q543" s="429">
        <v>2.10118998199999</v>
      </c>
      <c r="R543" s="429">
        <v>2.1112264980000002</v>
      </c>
      <c r="S543" s="429">
        <f t="shared" si="46"/>
        <v>21.22087664399999</v>
      </c>
    </row>
    <row r="544" spans="1:20" s="429" customFormat="1">
      <c r="A544" s="429" t="str">
        <f t="shared" si="43"/>
        <v>KU</v>
      </c>
      <c r="B544" s="429" t="str">
        <f t="shared" si="44"/>
        <v>KY</v>
      </c>
      <c r="C544" s="429" t="str">
        <f t="shared" si="45"/>
        <v>396</v>
      </c>
      <c r="D544" s="430" t="s">
        <v>1823</v>
      </c>
      <c r="E544" s="428" t="str">
        <f t="shared" si="47"/>
        <v/>
      </c>
      <c r="G544" s="429">
        <v>6.56447</v>
      </c>
      <c r="H544" s="429">
        <v>4.7496499999999999</v>
      </c>
      <c r="I544" s="429">
        <v>2.9348399999999999</v>
      </c>
      <c r="J544" s="429">
        <v>2.9348399999999999</v>
      </c>
      <c r="K544" s="429">
        <v>2.9348399999999999</v>
      </c>
      <c r="L544" s="429">
        <v>2.9348399999999999</v>
      </c>
      <c r="M544" s="429">
        <v>2.9348431099999899</v>
      </c>
      <c r="N544" s="429">
        <v>2.9348431099999899</v>
      </c>
      <c r="O544" s="429">
        <v>2.9348431099999899</v>
      </c>
      <c r="P544" s="429">
        <v>2.9348431099999899</v>
      </c>
      <c r="Q544" s="429">
        <v>2.9348431099999899</v>
      </c>
      <c r="R544" s="429">
        <v>2.9348431099999899</v>
      </c>
      <c r="S544" s="429">
        <f t="shared" si="46"/>
        <v>40.662538659999932</v>
      </c>
    </row>
    <row r="545" spans="1:22" s="429" customFormat="1">
      <c r="A545" s="429" t="str">
        <f t="shared" si="43"/>
        <v>KU</v>
      </c>
      <c r="B545" s="429" t="str">
        <f t="shared" si="44"/>
        <v>KY</v>
      </c>
      <c r="C545" s="429" t="str">
        <f t="shared" si="45"/>
        <v>396</v>
      </c>
      <c r="D545" s="430" t="s">
        <v>2511</v>
      </c>
      <c r="E545" s="428" t="str">
        <f t="shared" si="47"/>
        <v/>
      </c>
      <c r="G545" s="429">
        <v>8.3879699999999993</v>
      </c>
      <c r="H545" s="429">
        <v>10.975949999999999</v>
      </c>
      <c r="I545" s="429">
        <v>13.563929999999999</v>
      </c>
      <c r="J545" s="429">
        <v>13.563929999999999</v>
      </c>
      <c r="K545" s="429">
        <v>13.6606399999999</v>
      </c>
      <c r="L545" s="429">
        <v>14.047779999999999</v>
      </c>
      <c r="M545" s="429">
        <v>14.77847351</v>
      </c>
      <c r="N545" s="429">
        <v>15.2187488</v>
      </c>
      <c r="O545" s="429">
        <v>15.2187488</v>
      </c>
      <c r="P545" s="429">
        <v>15.2187488</v>
      </c>
      <c r="Q545" s="429">
        <v>15.2187488</v>
      </c>
      <c r="R545" s="429">
        <v>15.2187488</v>
      </c>
      <c r="S545" s="429">
        <f t="shared" ref="S545" si="51">SUM(G545:R545)</f>
        <v>165.07241750999992</v>
      </c>
    </row>
    <row r="546" spans="1:22" s="429" customFormat="1">
      <c r="A546" s="429" t="str">
        <f t="shared" si="43"/>
        <v>KU</v>
      </c>
      <c r="B546" s="429" t="str">
        <f t="shared" si="44"/>
        <v>VA</v>
      </c>
      <c r="C546" s="429" t="str">
        <f t="shared" si="45"/>
        <v>396</v>
      </c>
      <c r="D546" s="430" t="s">
        <v>2512</v>
      </c>
      <c r="E546" s="428" t="str">
        <f t="shared" si="47"/>
        <v/>
      </c>
      <c r="G546" s="429">
        <v>1.3290599999999999</v>
      </c>
      <c r="H546" s="429">
        <v>1.3290599999999999</v>
      </c>
      <c r="I546" s="429">
        <v>1.3290599999999999</v>
      </c>
      <c r="J546" s="429">
        <v>1.3290599999999999</v>
      </c>
      <c r="K546" s="429">
        <v>1.3290599999999999</v>
      </c>
      <c r="L546" s="429">
        <v>1.3290599999999999</v>
      </c>
      <c r="M546" s="429">
        <v>1.329055433</v>
      </c>
      <c r="N546" s="429">
        <v>1.329055433</v>
      </c>
      <c r="O546" s="429">
        <v>1.329055433</v>
      </c>
      <c r="P546" s="429">
        <v>1.329055433</v>
      </c>
      <c r="Q546" s="429">
        <v>1.329055433</v>
      </c>
      <c r="R546" s="429">
        <v>1.329055433</v>
      </c>
      <c r="S546" s="429">
        <f t="shared" si="46"/>
        <v>15.948692598000003</v>
      </c>
    </row>
    <row r="547" spans="1:22" s="429" customFormat="1">
      <c r="A547" s="429" t="str">
        <f t="shared" si="43"/>
        <v>KU</v>
      </c>
      <c r="B547" s="429" t="str">
        <f t="shared" si="44"/>
        <v>KY</v>
      </c>
      <c r="C547" s="429" t="str">
        <f t="shared" si="45"/>
        <v>397</v>
      </c>
      <c r="D547" s="430" t="s">
        <v>1825</v>
      </c>
      <c r="E547" s="428" t="str">
        <f t="shared" si="47"/>
        <v>DSM</v>
      </c>
      <c r="G547" s="429">
        <v>89.0321</v>
      </c>
      <c r="H547" s="429">
        <v>89.079789999999903</v>
      </c>
      <c r="I547" s="429">
        <v>89.092939999999999</v>
      </c>
      <c r="J547" s="429">
        <v>89.104129999999998</v>
      </c>
      <c r="K547" s="429">
        <v>89.117599999999996</v>
      </c>
      <c r="L547" s="429">
        <v>89.153850000000006</v>
      </c>
      <c r="M547" s="429">
        <v>89.214886820000004</v>
      </c>
      <c r="N547" s="429">
        <v>89.269477089999995</v>
      </c>
      <c r="O547" s="429">
        <v>89.936467980000003</v>
      </c>
      <c r="P547" s="429">
        <v>90.606068609999994</v>
      </c>
      <c r="Q547" s="429">
        <v>90.661801940000004</v>
      </c>
      <c r="R547" s="429">
        <v>90.971017750000001</v>
      </c>
      <c r="S547" s="429">
        <f t="shared" si="46"/>
        <v>1075.2401301899999</v>
      </c>
    </row>
    <row r="548" spans="1:22" s="429" customFormat="1">
      <c r="A548" s="429" t="str">
        <f t="shared" si="43"/>
        <v>KU</v>
      </c>
      <c r="B548" s="429" t="str">
        <f t="shared" si="44"/>
        <v>KY</v>
      </c>
      <c r="C548" s="429" t="str">
        <f t="shared" si="45"/>
        <v>397</v>
      </c>
      <c r="D548" s="430" t="s">
        <v>1826</v>
      </c>
      <c r="E548" s="428" t="str">
        <f t="shared" si="47"/>
        <v/>
      </c>
      <c r="G548" s="429">
        <v>310.06205</v>
      </c>
      <c r="H548" s="429">
        <v>329.43826000000001</v>
      </c>
      <c r="I548" s="429">
        <v>329.44375000000002</v>
      </c>
      <c r="J548" s="429">
        <v>329.07988</v>
      </c>
      <c r="K548" s="429">
        <v>328.71222999999998</v>
      </c>
      <c r="L548" s="429">
        <v>329.39622000000003</v>
      </c>
      <c r="M548" s="429">
        <v>330.3300509</v>
      </c>
      <c r="N548" s="429">
        <v>330.87480490000002</v>
      </c>
      <c r="O548" s="429">
        <v>331.16903639999998</v>
      </c>
      <c r="P548" s="429">
        <v>332.22512790000002</v>
      </c>
      <c r="Q548" s="429">
        <v>336.83331090000001</v>
      </c>
      <c r="R548" s="429">
        <v>343.3801684</v>
      </c>
      <c r="S548" s="429">
        <f t="shared" si="46"/>
        <v>3960.9448894000006</v>
      </c>
    </row>
    <row r="549" spans="1:22" s="429" customFormat="1">
      <c r="D549" s="430" t="s">
        <v>1827</v>
      </c>
      <c r="E549" s="428" t="str">
        <f t="shared" si="47"/>
        <v/>
      </c>
      <c r="G549" s="429">
        <v>5.8953699999999998</v>
      </c>
      <c r="H549" s="429">
        <v>5.8953699999999998</v>
      </c>
      <c r="I549" s="429">
        <v>5.8953699999999998</v>
      </c>
      <c r="J549" s="429">
        <v>5.8953699999999998</v>
      </c>
      <c r="K549" s="429">
        <v>5.8953699999999998</v>
      </c>
      <c r="L549" s="429">
        <v>5.8953699999999998</v>
      </c>
      <c r="M549" s="429">
        <v>5.8953665099999997</v>
      </c>
      <c r="N549" s="429">
        <v>5.8953665099999997</v>
      </c>
      <c r="O549" s="429">
        <v>5.8953665099999997</v>
      </c>
      <c r="P549" s="429">
        <v>5.8953665099999997</v>
      </c>
      <c r="Q549" s="429">
        <v>5.8953665099999997</v>
      </c>
      <c r="R549" s="429">
        <v>5.8953665099999997</v>
      </c>
      <c r="S549" s="429">
        <f t="shared" si="46"/>
        <v>70.744419060000013</v>
      </c>
      <c r="T549" s="430"/>
    </row>
    <row r="550" spans="1:22" s="429" customFormat="1">
      <c r="D550" s="430"/>
      <c r="E550" s="428"/>
    </row>
    <row r="551" spans="1:22" s="429" customFormat="1">
      <c r="D551" s="430" t="s">
        <v>1829</v>
      </c>
      <c r="E551" s="428" t="str">
        <f t="shared" si="47"/>
        <v/>
      </c>
      <c r="G551" s="429">
        <f>SUM(G432:G550)</f>
        <v>24058.94128999997</v>
      </c>
      <c r="H551" s="429">
        <f t="shared" ref="H551:R551" si="52">SUM(H432:H550)</f>
        <v>24159.28564999998</v>
      </c>
      <c r="I551" s="429">
        <f t="shared" si="52"/>
        <v>24152.031569999981</v>
      </c>
      <c r="J551" s="429">
        <f t="shared" si="52"/>
        <v>27072.067589999984</v>
      </c>
      <c r="K551" s="429">
        <f t="shared" si="52"/>
        <v>24470.829359999992</v>
      </c>
      <c r="L551" s="429">
        <f t="shared" si="52"/>
        <v>24200.871729999999</v>
      </c>
      <c r="M551" s="429">
        <f t="shared" si="52"/>
        <v>24526.247785291289</v>
      </c>
      <c r="N551" s="429">
        <f t="shared" si="52"/>
        <v>24724.399236009034</v>
      </c>
      <c r="O551" s="429">
        <f t="shared" si="52"/>
        <v>24856.596856121374</v>
      </c>
      <c r="P551" s="429">
        <f t="shared" si="52"/>
        <v>25011.154017818812</v>
      </c>
      <c r="Q551" s="429">
        <f t="shared" si="52"/>
        <v>25190.098547731901</v>
      </c>
      <c r="R551" s="429">
        <f t="shared" si="52"/>
        <v>25419.142738793205</v>
      </c>
      <c r="S551" s="723">
        <f>SUM(G551:R551)</f>
        <v>297841.66637176549</v>
      </c>
      <c r="U551" s="723"/>
      <c r="V551" s="723"/>
    </row>
    <row r="552" spans="1:22" s="429" customFormat="1">
      <c r="D552" s="724" t="s">
        <v>1833</v>
      </c>
      <c r="E552" s="428" t="str">
        <f t="shared" si="47"/>
        <v/>
      </c>
      <c r="S552" s="723">
        <f>SUM(S432:S550)</f>
        <v>297841.66637176549</v>
      </c>
    </row>
    <row r="553" spans="1:22" s="429" customFormat="1">
      <c r="A553" s="429" t="str">
        <f t="shared" ref="A553:A564" si="53">MID($D553,4,2)</f>
        <v>KU</v>
      </c>
      <c r="B553" s="429" t="str">
        <f t="shared" ref="B553:B564" si="54">IF(MID($D553,12,2)="- ","KY",MID($D553,12,2))</f>
        <v>KY</v>
      </c>
      <c r="C553" s="429" t="str">
        <f t="shared" ref="C553:C564" si="55">MID($D553,8,3)</f>
        <v>340</v>
      </c>
      <c r="D553" s="430" t="s">
        <v>2199</v>
      </c>
      <c r="E553" s="428" t="str">
        <f t="shared" si="47"/>
        <v/>
      </c>
      <c r="G553" s="429">
        <v>-0.32195000000000001</v>
      </c>
      <c r="H553" s="429">
        <v>-0.32195000000000001</v>
      </c>
      <c r="I553" s="429">
        <v>-0.32195000000000001</v>
      </c>
      <c r="J553" s="429">
        <v>-0.32195000000000001</v>
      </c>
      <c r="K553" s="429">
        <v>-0.32195000000000001</v>
      </c>
      <c r="L553" s="429">
        <v>-0.32195000000000001</v>
      </c>
      <c r="M553" s="429">
        <v>-0.37699140889999999</v>
      </c>
      <c r="N553" s="429">
        <v>-0.43203582699999998</v>
      </c>
      <c r="O553" s="429">
        <v>-0.43203582699999998</v>
      </c>
      <c r="P553" s="429">
        <v>-0.43203582699999998</v>
      </c>
      <c r="Q553" s="429">
        <v>-0.43203582699999998</v>
      </c>
      <c r="R553" s="429">
        <v>-0.43203582699999998</v>
      </c>
      <c r="S553" s="429">
        <f t="shared" si="46"/>
        <v>-4.4688705438999996</v>
      </c>
    </row>
    <row r="554" spans="1:22" s="429" customFormat="1">
      <c r="A554" s="429" t="str">
        <f t="shared" si="53"/>
        <v>KU</v>
      </c>
      <c r="B554" s="429" t="str">
        <f t="shared" si="54"/>
        <v>KY</v>
      </c>
      <c r="C554" s="429" t="str">
        <f t="shared" si="55"/>
        <v>342</v>
      </c>
      <c r="D554" s="430" t="s">
        <v>2203</v>
      </c>
      <c r="E554" s="428" t="str">
        <f t="shared" si="47"/>
        <v/>
      </c>
      <c r="G554" s="429">
        <v>-115.848739999999</v>
      </c>
      <c r="H554" s="429">
        <v>-115.848739999999</v>
      </c>
      <c r="I554" s="429">
        <v>-115.848739999999</v>
      </c>
      <c r="J554" s="429">
        <v>-115.848739999999</v>
      </c>
      <c r="K554" s="429">
        <v>-115.848739999999</v>
      </c>
      <c r="L554" s="429">
        <v>-115.848739999999</v>
      </c>
      <c r="M554" s="429">
        <v>-115.84873200499899</v>
      </c>
      <c r="N554" s="429">
        <v>-115.84873200499899</v>
      </c>
      <c r="O554" s="429">
        <v>-115.84873200499899</v>
      </c>
      <c r="P554" s="429">
        <v>-116.146650448</v>
      </c>
      <c r="Q554" s="429">
        <v>-116.444568881</v>
      </c>
      <c r="R554" s="429">
        <v>-116.444568881</v>
      </c>
      <c r="S554" s="429">
        <f t="shared" si="46"/>
        <v>-1391.6744242249906</v>
      </c>
    </row>
    <row r="555" spans="1:22" s="429" customFormat="1">
      <c r="A555" s="429" t="str">
        <f t="shared" si="53"/>
        <v>KU</v>
      </c>
      <c r="B555" s="429" t="str">
        <f t="shared" si="54"/>
        <v>KY</v>
      </c>
      <c r="C555" s="429" t="str">
        <f t="shared" si="55"/>
        <v>392</v>
      </c>
      <c r="D555" s="430" t="s">
        <v>1818</v>
      </c>
      <c r="E555" s="428" t="str">
        <f t="shared" si="47"/>
        <v/>
      </c>
      <c r="G555" s="429">
        <v>-17.759119999999999</v>
      </c>
      <c r="H555" s="429">
        <v>-17.710539999999899</v>
      </c>
      <c r="I555" s="429">
        <v>-17.66197</v>
      </c>
      <c r="J555" s="429">
        <v>-17.66197</v>
      </c>
      <c r="K555" s="429">
        <v>-17.85981</v>
      </c>
      <c r="L555" s="429">
        <v>-18.074439999999999</v>
      </c>
      <c r="M555" s="429">
        <v>-18.192337765999898</v>
      </c>
      <c r="N555" s="429">
        <v>-18.293452858999999</v>
      </c>
      <c r="O555" s="429">
        <v>-18.293452858999999</v>
      </c>
      <c r="P555" s="429">
        <v>-18.293452858999999</v>
      </c>
      <c r="Q555" s="429">
        <v>-18.293452858999999</v>
      </c>
      <c r="R555" s="429">
        <v>-18.293452858999999</v>
      </c>
      <c r="S555" s="429">
        <f>SUM(G555:R555)</f>
        <v>-216.38745206099981</v>
      </c>
    </row>
    <row r="556" spans="1:22" s="429" customFormat="1">
      <c r="A556" s="429" t="str">
        <f t="shared" si="53"/>
        <v>KU</v>
      </c>
      <c r="B556" s="429" t="str">
        <f t="shared" si="54"/>
        <v>VA</v>
      </c>
      <c r="C556" s="429" t="str">
        <f t="shared" si="55"/>
        <v>392</v>
      </c>
      <c r="D556" s="430" t="s">
        <v>2510</v>
      </c>
      <c r="E556" s="428" t="str">
        <f t="shared" si="47"/>
        <v/>
      </c>
      <c r="G556" s="429">
        <v>0</v>
      </c>
      <c r="H556" s="429">
        <v>-1.227E-2</v>
      </c>
      <c r="I556" s="429">
        <v>-2.4539999999999999E-2</v>
      </c>
      <c r="J556" s="429">
        <v>-2.4539999999999999E-2</v>
      </c>
      <c r="K556" s="429">
        <v>-2.4539999999999999E-2</v>
      </c>
      <c r="L556" s="429">
        <v>-2.4539999999999999E-2</v>
      </c>
      <c r="M556" s="429">
        <v>-2.453700667E-2</v>
      </c>
      <c r="N556" s="429">
        <v>-2.453700667E-2</v>
      </c>
      <c r="O556" s="429">
        <v>-2.453700667E-2</v>
      </c>
      <c r="P556" s="429">
        <v>-2.453700667E-2</v>
      </c>
      <c r="Q556" s="429">
        <v>-2.453700667E-2</v>
      </c>
      <c r="R556" s="429">
        <v>-2.453700667E-2</v>
      </c>
      <c r="S556" s="429">
        <f t="shared" si="46"/>
        <v>-0.25765204001999997</v>
      </c>
    </row>
    <row r="557" spans="1:22" s="429" customFormat="1">
      <c r="A557" s="429" t="str">
        <f t="shared" si="53"/>
        <v>KU</v>
      </c>
      <c r="B557" s="429" t="str">
        <f t="shared" si="54"/>
        <v>KY</v>
      </c>
      <c r="C557" s="429" t="str">
        <f t="shared" si="55"/>
        <v>396</v>
      </c>
      <c r="D557" s="430" t="s">
        <v>2511</v>
      </c>
      <c r="E557" s="428"/>
      <c r="G557" s="429">
        <v>-8.3879699999999993</v>
      </c>
      <c r="H557" s="429">
        <v>-10.975949999999999</v>
      </c>
      <c r="I557" s="429">
        <v>-13.563929999999999</v>
      </c>
      <c r="J557" s="429">
        <v>-13.563929999999999</v>
      </c>
      <c r="K557" s="429">
        <v>-13.6606399999999</v>
      </c>
      <c r="L557" s="429">
        <v>-14.047779999999999</v>
      </c>
      <c r="M557" s="429">
        <v>-14.77847351</v>
      </c>
      <c r="N557" s="429">
        <v>-15.2187488</v>
      </c>
      <c r="O557" s="429">
        <v>-15.2187488</v>
      </c>
      <c r="P557" s="429">
        <v>-15.2187488</v>
      </c>
      <c r="Q557" s="429">
        <v>-15.2187488</v>
      </c>
      <c r="R557" s="429">
        <v>-15.2187488</v>
      </c>
      <c r="S557" s="429">
        <f t="shared" si="46"/>
        <v>-165.07241750999992</v>
      </c>
    </row>
    <row r="558" spans="1:22" s="429" customFormat="1">
      <c r="A558" s="429" t="str">
        <f t="shared" si="53"/>
        <v>KU</v>
      </c>
      <c r="B558" s="429" t="str">
        <f t="shared" si="54"/>
        <v>VA</v>
      </c>
      <c r="C558" s="429" t="str">
        <f t="shared" si="55"/>
        <v>396</v>
      </c>
      <c r="D558" s="430" t="s">
        <v>2512</v>
      </c>
      <c r="E558" s="428"/>
      <c r="G558" s="429">
        <v>-1.3290599999999999</v>
      </c>
      <c r="H558" s="429">
        <v>-1.3290599999999999</v>
      </c>
      <c r="I558" s="429">
        <v>-1.3290599999999999</v>
      </c>
      <c r="J558" s="429">
        <v>-1.3290599999999999</v>
      </c>
      <c r="K558" s="429">
        <v>-1.3290599999999999</v>
      </c>
      <c r="L558" s="429">
        <v>-1.3290599999999999</v>
      </c>
      <c r="M558" s="429">
        <v>-1.329055433</v>
      </c>
      <c r="N558" s="429">
        <v>-1.329055433</v>
      </c>
      <c r="O558" s="429">
        <v>-1.329055433</v>
      </c>
      <c r="P558" s="429">
        <v>-1.329055433</v>
      </c>
      <c r="Q558" s="429">
        <v>-1.329055433</v>
      </c>
      <c r="R558" s="429">
        <v>-1.329055433</v>
      </c>
      <c r="S558" s="429">
        <f t="shared" si="46"/>
        <v>-15.948692598000003</v>
      </c>
    </row>
    <row r="559" spans="1:22" s="429" customFormat="1">
      <c r="A559" s="429" t="str">
        <f t="shared" si="53"/>
        <v>KU</v>
      </c>
      <c r="B559" s="429" t="str">
        <f t="shared" si="54"/>
        <v>KY</v>
      </c>
      <c r="C559" s="429" t="str">
        <f t="shared" si="55"/>
        <v>317</v>
      </c>
      <c r="D559" s="430" t="s">
        <v>1741</v>
      </c>
      <c r="E559" s="428" t="str">
        <f t="shared" si="47"/>
        <v>ARO</v>
      </c>
      <c r="G559" s="429">
        <v>-456.42653000000001</v>
      </c>
      <c r="H559" s="429">
        <v>-456.42655999999999</v>
      </c>
      <c r="I559" s="429">
        <v>-454.15208999999999</v>
      </c>
      <c r="J559" s="429">
        <v>-451.94018</v>
      </c>
      <c r="K559" s="429">
        <v>-451.94020999999998</v>
      </c>
      <c r="L559" s="429">
        <v>-453.11802999999998</v>
      </c>
      <c r="M559" s="429">
        <v>-451.94018000000102</v>
      </c>
      <c r="N559" s="429">
        <v>-451.94018000000102</v>
      </c>
      <c r="O559" s="429">
        <v>-451.94018000000102</v>
      </c>
      <c r="P559" s="429">
        <v>-451.94018000000102</v>
      </c>
      <c r="Q559" s="429">
        <v>-451.94018000000102</v>
      </c>
      <c r="R559" s="429">
        <v>-451.94018000000102</v>
      </c>
      <c r="S559" s="429">
        <f t="shared" si="46"/>
        <v>-5435.6446800000076</v>
      </c>
    </row>
    <row r="560" spans="1:22" s="429" customFormat="1">
      <c r="A560" s="429" t="str">
        <f t="shared" si="53"/>
        <v>KU</v>
      </c>
      <c r="B560" s="429" t="str">
        <f t="shared" si="54"/>
        <v>KY</v>
      </c>
      <c r="C560" s="429" t="str">
        <f t="shared" si="55"/>
        <v>317</v>
      </c>
      <c r="D560" s="430" t="s">
        <v>2507</v>
      </c>
      <c r="E560" s="428" t="str">
        <f t="shared" si="47"/>
        <v>ARO</v>
      </c>
      <c r="G560" s="429">
        <v>-906.54547000000002</v>
      </c>
      <c r="H560" s="429">
        <v>-906.54526999999996</v>
      </c>
      <c r="I560" s="429">
        <v>-903.48608000000002</v>
      </c>
      <c r="J560" s="429">
        <v>-3802.7905499999902</v>
      </c>
      <c r="K560" s="429">
        <v>-1177.0536399999901</v>
      </c>
      <c r="L560" s="429">
        <v>-849.63404000000003</v>
      </c>
      <c r="M560" s="429">
        <v>-1035.3629000000001</v>
      </c>
      <c r="N560" s="429">
        <v>-1035.3629000000001</v>
      </c>
      <c r="O560" s="429">
        <v>-1035.3629000000001</v>
      </c>
      <c r="P560" s="429">
        <v>-1035.3629000000001</v>
      </c>
      <c r="Q560" s="429">
        <v>-1035.3629000000001</v>
      </c>
      <c r="R560" s="429">
        <v>-1035.3629000000001</v>
      </c>
      <c r="S560" s="429">
        <f t="shared" ref="S560:S562" si="56">SUM(G560:R560)</f>
        <v>-14758.232449999981</v>
      </c>
      <c r="T560" s="430"/>
    </row>
    <row r="561" spans="1:20" s="429" customFormat="1">
      <c r="A561" s="429" t="str">
        <f t="shared" si="53"/>
        <v>KU</v>
      </c>
      <c r="B561" s="429" t="str">
        <f t="shared" si="54"/>
        <v>KY</v>
      </c>
      <c r="C561" s="429" t="str">
        <f t="shared" si="55"/>
        <v>337</v>
      </c>
      <c r="D561" s="430" t="s">
        <v>1749</v>
      </c>
      <c r="E561" s="428" t="str">
        <f t="shared" si="47"/>
        <v>ARO</v>
      </c>
      <c r="G561" s="429">
        <v>-1.49068</v>
      </c>
      <c r="H561" s="429">
        <v>-1.49068</v>
      </c>
      <c r="I561" s="429">
        <v>-1.49068</v>
      </c>
      <c r="J561" s="429">
        <v>-1.49068</v>
      </c>
      <c r="K561" s="429">
        <v>-1.49068</v>
      </c>
      <c r="L561" s="429">
        <v>-1.49068</v>
      </c>
      <c r="M561" s="429">
        <v>-1.49068</v>
      </c>
      <c r="N561" s="429">
        <v>-1.49068</v>
      </c>
      <c r="O561" s="429">
        <v>-1.49068</v>
      </c>
      <c r="P561" s="429">
        <v>-1.49068</v>
      </c>
      <c r="Q561" s="429">
        <v>-1.49068</v>
      </c>
      <c r="R561" s="429">
        <v>-1.49068</v>
      </c>
      <c r="S561" s="429">
        <f t="shared" si="56"/>
        <v>-17.888159999999999</v>
      </c>
    </row>
    <row r="562" spans="1:20">
      <c r="A562" s="429" t="str">
        <f t="shared" si="53"/>
        <v>KU</v>
      </c>
      <c r="B562" s="429" t="str">
        <f t="shared" si="54"/>
        <v>KY</v>
      </c>
      <c r="C562" s="429" t="str">
        <f t="shared" si="55"/>
        <v>347</v>
      </c>
      <c r="D562" s="430" t="s">
        <v>2211</v>
      </c>
      <c r="E562" s="428" t="str">
        <f t="shared" si="47"/>
        <v>ARO</v>
      </c>
      <c r="F562" s="429"/>
      <c r="G562" s="429">
        <v>-1.6791199999999999</v>
      </c>
      <c r="H562" s="429">
        <v>-1.6791199999999999</v>
      </c>
      <c r="I562" s="429">
        <v>-1.6791199999999999</v>
      </c>
      <c r="J562" s="429">
        <v>-1.6791199999999999</v>
      </c>
      <c r="K562" s="429">
        <v>-1.6791199999999999</v>
      </c>
      <c r="L562" s="429">
        <v>-1.6791199999999999</v>
      </c>
      <c r="M562" s="429">
        <v>-1.6791199999999999</v>
      </c>
      <c r="N562" s="429">
        <v>-1.6791199999999999</v>
      </c>
      <c r="O562" s="429">
        <v>-1.6791199999999999</v>
      </c>
      <c r="P562" s="429">
        <v>-1.6791199999999999</v>
      </c>
      <c r="Q562" s="429">
        <v>-1.6791199999999999</v>
      </c>
      <c r="R562" s="429">
        <v>-1.6791199999999999</v>
      </c>
      <c r="S562" s="429">
        <f t="shared" si="56"/>
        <v>-20.149439999999998</v>
      </c>
    </row>
    <row r="563" spans="1:20">
      <c r="A563" s="429" t="str">
        <f t="shared" si="53"/>
        <v>KU</v>
      </c>
      <c r="B563" s="429" t="str">
        <f t="shared" si="54"/>
        <v>KY</v>
      </c>
      <c r="C563" s="429" t="str">
        <f t="shared" si="55"/>
        <v>359</v>
      </c>
      <c r="D563" s="430" t="s">
        <v>1776</v>
      </c>
      <c r="E563" s="428" t="str">
        <f t="shared" si="47"/>
        <v>ARO</v>
      </c>
      <c r="F563" s="429"/>
      <c r="G563" s="429">
        <v>-1.5926399999999901</v>
      </c>
      <c r="H563" s="429">
        <v>-1.5926399999999901</v>
      </c>
      <c r="I563" s="429">
        <v>-1.5926499999999999</v>
      </c>
      <c r="J563" s="429">
        <v>-1.5926399999999901</v>
      </c>
      <c r="K563" s="429">
        <v>-6.2831000000000001</v>
      </c>
      <c r="L563" s="429">
        <v>-1.57534</v>
      </c>
      <c r="M563" s="429">
        <v>-1.5926399999999901</v>
      </c>
      <c r="N563" s="429">
        <v>-1.5926399999999901</v>
      </c>
      <c r="O563" s="429">
        <v>-1.5926399999999901</v>
      </c>
      <c r="P563" s="429">
        <v>-1.5926399999999901</v>
      </c>
      <c r="Q563" s="429">
        <v>-1.5926399999999901</v>
      </c>
      <c r="R563" s="429">
        <v>-1.5926399999999901</v>
      </c>
      <c r="S563" s="429">
        <f t="shared" si="46"/>
        <v>-23.784849999999906</v>
      </c>
    </row>
    <row r="564" spans="1:20">
      <c r="A564" s="429" t="str">
        <f t="shared" si="53"/>
        <v>KU</v>
      </c>
      <c r="B564" s="429" t="str">
        <f t="shared" si="54"/>
        <v>KY</v>
      </c>
      <c r="C564" s="429" t="str">
        <f t="shared" si="55"/>
        <v>374</v>
      </c>
      <c r="D564" s="430" t="s">
        <v>1808</v>
      </c>
      <c r="E564" s="428" t="str">
        <f t="shared" si="47"/>
        <v>ARO</v>
      </c>
      <c r="F564" s="429">
        <f>-F550</f>
        <v>0</v>
      </c>
      <c r="G564" s="429">
        <v>-0.86819999999999997</v>
      </c>
      <c r="H564" s="429">
        <v>-0.86819999999999997</v>
      </c>
      <c r="I564" s="429">
        <v>-0.86819999999999997</v>
      </c>
      <c r="J564" s="429">
        <v>-0.86818999999999902</v>
      </c>
      <c r="K564" s="429">
        <v>8.9720599999999902</v>
      </c>
      <c r="L564" s="429">
        <v>-10.0548</v>
      </c>
      <c r="M564" s="429">
        <v>-0.86819000000000002</v>
      </c>
      <c r="N564" s="429">
        <v>-0.86819000000000002</v>
      </c>
      <c r="O564" s="429">
        <v>-0.86819000000000002</v>
      </c>
      <c r="P564" s="429">
        <v>-0.86819000000000002</v>
      </c>
      <c r="Q564" s="429">
        <v>-0.86819000000000002</v>
      </c>
      <c r="R564" s="429">
        <v>-0.86819000000000002</v>
      </c>
      <c r="S564" s="723">
        <f t="shared" si="46"/>
        <v>-9.7646700000000095</v>
      </c>
    </row>
    <row r="565" spans="1:20">
      <c r="D565" s="430" t="s">
        <v>1834</v>
      </c>
      <c r="E565" s="428" t="str">
        <f t="shared" si="47"/>
        <v/>
      </c>
      <c r="F565" s="429">
        <f t="shared" ref="F565:R565" si="57">SUM(F551:F564)</f>
        <v>0</v>
      </c>
      <c r="G565" s="429">
        <f t="shared" si="57"/>
        <v>22546.691809999971</v>
      </c>
      <c r="H565" s="429">
        <f t="shared" si="57"/>
        <v>22644.484669999983</v>
      </c>
      <c r="I565" s="429">
        <f t="shared" si="57"/>
        <v>22640.012559999985</v>
      </c>
      <c r="J565" s="429">
        <f t="shared" si="57"/>
        <v>22662.956039999994</v>
      </c>
      <c r="K565" s="429">
        <f t="shared" si="57"/>
        <v>22692.309930000003</v>
      </c>
      <c r="L565" s="429">
        <f t="shared" si="57"/>
        <v>22733.673209999997</v>
      </c>
      <c r="M565" s="429">
        <f t="shared" si="57"/>
        <v>22882.763948161719</v>
      </c>
      <c r="N565" s="429">
        <f t="shared" si="57"/>
        <v>23080.318964078357</v>
      </c>
      <c r="O565" s="429">
        <f t="shared" si="57"/>
        <v>23212.516584190696</v>
      </c>
      <c r="P565" s="429">
        <f t="shared" si="57"/>
        <v>23366.775827445133</v>
      </c>
      <c r="Q565" s="429">
        <f t="shared" si="57"/>
        <v>23545.422438925223</v>
      </c>
      <c r="R565" s="429">
        <f t="shared" si="57"/>
        <v>23774.466629986528</v>
      </c>
      <c r="S565" s="723">
        <f t="shared" si="46"/>
        <v>275782.39261278755</v>
      </c>
    </row>
    <row r="566" spans="1:20">
      <c r="D566" s="430"/>
      <c r="E566" s="428" t="str">
        <f t="shared" si="47"/>
        <v/>
      </c>
      <c r="F566" s="429"/>
      <c r="G566" s="429">
        <v>22546.69181</v>
      </c>
      <c r="H566" s="429">
        <v>22644.484670000002</v>
      </c>
      <c r="I566" s="429">
        <v>22640.012559999999</v>
      </c>
      <c r="J566" s="429">
        <v>22662.956040000001</v>
      </c>
      <c r="K566" s="429">
        <v>22692.309929999989</v>
      </c>
      <c r="L566" s="429">
        <v>22733.673209999899</v>
      </c>
      <c r="M566" s="429">
        <v>22882.76394816169</v>
      </c>
      <c r="N566" s="429">
        <v>23080.318964078291</v>
      </c>
      <c r="O566" s="429">
        <v>23212.516584190587</v>
      </c>
      <c r="P566" s="429">
        <v>23366.77582744509</v>
      </c>
      <c r="Q566" s="429">
        <v>23545.422438925201</v>
      </c>
      <c r="R566" s="429">
        <v>23774.466629986502</v>
      </c>
      <c r="S566" s="723">
        <f t="shared" si="46"/>
        <v>275782.39261278725</v>
      </c>
      <c r="T566" s="236"/>
    </row>
    <row r="569" spans="1:20">
      <c r="D569" s="403" t="s">
        <v>1835</v>
      </c>
      <c r="E569" s="403"/>
    </row>
    <row r="570" spans="1:20" s="429" customFormat="1">
      <c r="A570" s="429" t="str">
        <f t="shared" ref="A570:A583" si="58">MID($D570,4,2)</f>
        <v>KU</v>
      </c>
      <c r="B570" s="429" t="str">
        <f t="shared" ref="B570:B583" si="59">IF(MID($D570,12,2)="- ","KY",MID($D570,12,2))</f>
        <v>KY</v>
      </c>
      <c r="C570" s="429" t="str">
        <f t="shared" ref="C570:C583" si="60">MID($D570,8,3)</f>
        <v>311</v>
      </c>
      <c r="D570" s="430" t="s">
        <v>1732</v>
      </c>
      <c r="E570" s="428" t="str">
        <f t="shared" ref="E570:E583" si="61">IF(ISTEXT(MID($D570,SEARCH("FUTURE USE",$D570),3)),"FUTURE USE",IF(ISTEXT(MID($D570,SEARCH("ECR",$D570),3)),"ECR",IF(ISTEXT(MID($D570,SEARCH("ARO",$D570),3)),"ARO",IF(ISTEXT(MID($D570,SEARCH("DSM",$D570),3)),"DSM",""))))</f>
        <v/>
      </c>
      <c r="F570" s="429">
        <v>0</v>
      </c>
      <c r="G570" s="429">
        <v>-36.901040000000002</v>
      </c>
      <c r="H570" s="429">
        <v>0</v>
      </c>
      <c r="I570" s="429">
        <v>0</v>
      </c>
      <c r="J570" s="429">
        <v>0</v>
      </c>
      <c r="K570" s="429">
        <v>2103.1994399999999</v>
      </c>
      <c r="L570" s="429">
        <v>0</v>
      </c>
      <c r="M570" s="429">
        <v>0</v>
      </c>
      <c r="N570" s="429">
        <v>0</v>
      </c>
      <c r="O570" s="429">
        <v>0</v>
      </c>
      <c r="P570" s="429">
        <v>0</v>
      </c>
      <c r="Q570" s="429">
        <v>0</v>
      </c>
      <c r="R570" s="429">
        <v>0</v>
      </c>
      <c r="S570" s="429">
        <f t="shared" ref="S570:S583" si="62">SUM(G570:R570)</f>
        <v>2066.2983999999997</v>
      </c>
    </row>
    <row r="571" spans="1:20" s="429" customFormat="1">
      <c r="A571" s="429" t="str">
        <f t="shared" si="58"/>
        <v>KU</v>
      </c>
      <c r="B571" s="429" t="str">
        <f t="shared" si="59"/>
        <v>KY</v>
      </c>
      <c r="C571" s="429" t="str">
        <f t="shared" si="60"/>
        <v>312</v>
      </c>
      <c r="D571" s="430" t="s">
        <v>1733</v>
      </c>
      <c r="E571" s="428" t="str">
        <f t="shared" si="61"/>
        <v/>
      </c>
      <c r="F571" s="429">
        <v>0</v>
      </c>
      <c r="G571" s="429">
        <v>48.089129999999997</v>
      </c>
      <c r="H571" s="429">
        <v>0</v>
      </c>
      <c r="I571" s="429">
        <v>0</v>
      </c>
      <c r="J571" s="429">
        <v>0</v>
      </c>
      <c r="K571" s="429">
        <v>-743.02664000000004</v>
      </c>
      <c r="L571" s="429">
        <v>0</v>
      </c>
      <c r="M571" s="429">
        <v>0</v>
      </c>
      <c r="N571" s="429">
        <v>0</v>
      </c>
      <c r="O571" s="429">
        <v>0</v>
      </c>
      <c r="P571" s="429">
        <v>0</v>
      </c>
      <c r="Q571" s="429">
        <v>0</v>
      </c>
      <c r="R571" s="429">
        <v>0</v>
      </c>
      <c r="S571" s="429">
        <f t="shared" si="62"/>
        <v>-694.93751000000009</v>
      </c>
    </row>
    <row r="572" spans="1:20" s="429" customFormat="1">
      <c r="A572" s="429" t="str">
        <f t="shared" si="58"/>
        <v>KU</v>
      </c>
      <c r="B572" s="429" t="str">
        <f t="shared" si="59"/>
        <v>KY</v>
      </c>
      <c r="C572" s="429" t="str">
        <f t="shared" si="60"/>
        <v>312</v>
      </c>
      <c r="D572" s="430" t="s">
        <v>1734</v>
      </c>
      <c r="E572" s="428" t="str">
        <f t="shared" si="61"/>
        <v>ECR</v>
      </c>
      <c r="F572" s="429">
        <v>0</v>
      </c>
      <c r="G572" s="429">
        <v>-11.188090000000001</v>
      </c>
      <c r="H572" s="429">
        <v>0</v>
      </c>
      <c r="I572" s="429">
        <v>0</v>
      </c>
      <c r="J572" s="429">
        <v>0</v>
      </c>
      <c r="K572" s="429">
        <v>0</v>
      </c>
      <c r="L572" s="429">
        <v>0</v>
      </c>
      <c r="M572" s="429">
        <v>0</v>
      </c>
      <c r="N572" s="429">
        <v>0</v>
      </c>
      <c r="O572" s="429">
        <v>0</v>
      </c>
      <c r="P572" s="429">
        <v>0</v>
      </c>
      <c r="Q572" s="429">
        <v>0</v>
      </c>
      <c r="R572" s="429">
        <v>0</v>
      </c>
      <c r="S572" s="429">
        <f t="shared" si="62"/>
        <v>-11.188090000000001</v>
      </c>
    </row>
    <row r="573" spans="1:20" s="429" customFormat="1">
      <c r="A573" s="429" t="str">
        <f t="shared" si="58"/>
        <v>KU</v>
      </c>
      <c r="B573" s="429" t="str">
        <f t="shared" si="59"/>
        <v>KY</v>
      </c>
      <c r="C573" s="429" t="str">
        <f t="shared" si="60"/>
        <v>314</v>
      </c>
      <c r="D573" s="430" t="s">
        <v>1737</v>
      </c>
      <c r="E573" s="428" t="str">
        <f t="shared" si="61"/>
        <v/>
      </c>
      <c r="F573" s="429">
        <v>0</v>
      </c>
      <c r="G573" s="429">
        <v>0</v>
      </c>
      <c r="H573" s="429">
        <v>0</v>
      </c>
      <c r="I573" s="429">
        <v>0</v>
      </c>
      <c r="J573" s="429">
        <v>0</v>
      </c>
      <c r="K573" s="429">
        <v>-164.48625999999999</v>
      </c>
      <c r="L573" s="429">
        <v>0</v>
      </c>
      <c r="M573" s="429">
        <v>0</v>
      </c>
      <c r="N573" s="429">
        <v>0</v>
      </c>
      <c r="O573" s="429">
        <v>0</v>
      </c>
      <c r="P573" s="429">
        <v>0</v>
      </c>
      <c r="Q573" s="429">
        <v>0</v>
      </c>
      <c r="R573" s="429">
        <v>0</v>
      </c>
      <c r="S573" s="429">
        <f t="shared" si="62"/>
        <v>-164.48625999999999</v>
      </c>
    </row>
    <row r="574" spans="1:20" s="429" customFormat="1">
      <c r="A574" s="429" t="str">
        <f t="shared" si="58"/>
        <v>KU</v>
      </c>
      <c r="B574" s="429" t="str">
        <f t="shared" si="59"/>
        <v>KY</v>
      </c>
      <c r="C574" s="429" t="str">
        <f t="shared" si="60"/>
        <v>315</v>
      </c>
      <c r="D574" s="430" t="s">
        <v>1738</v>
      </c>
      <c r="E574" s="428" t="str">
        <f t="shared" si="61"/>
        <v/>
      </c>
      <c r="F574" s="429">
        <v>0</v>
      </c>
      <c r="G574" s="429">
        <v>0</v>
      </c>
      <c r="H574" s="429">
        <v>0</v>
      </c>
      <c r="I574" s="429">
        <v>0</v>
      </c>
      <c r="J574" s="429">
        <v>0</v>
      </c>
      <c r="K574" s="429">
        <v>-670.41705999999999</v>
      </c>
      <c r="L574" s="429">
        <v>0</v>
      </c>
      <c r="M574" s="429">
        <v>0</v>
      </c>
      <c r="N574" s="429">
        <v>0</v>
      </c>
      <c r="O574" s="429">
        <v>0</v>
      </c>
      <c r="P574" s="429">
        <v>0</v>
      </c>
      <c r="Q574" s="429">
        <v>0</v>
      </c>
      <c r="R574" s="429">
        <v>0</v>
      </c>
      <c r="S574" s="429">
        <f t="shared" si="62"/>
        <v>-670.41705999999999</v>
      </c>
    </row>
    <row r="575" spans="1:20" s="429" customFormat="1">
      <c r="A575" s="429" t="str">
        <f t="shared" si="58"/>
        <v>KU</v>
      </c>
      <c r="B575" s="429" t="str">
        <f t="shared" si="59"/>
        <v>KY</v>
      </c>
      <c r="C575" s="429" t="str">
        <f t="shared" si="60"/>
        <v>316</v>
      </c>
      <c r="D575" s="430" t="s">
        <v>1740</v>
      </c>
      <c r="E575" s="428" t="str">
        <f t="shared" si="61"/>
        <v/>
      </c>
      <c r="F575" s="429">
        <v>0</v>
      </c>
      <c r="G575" s="429">
        <v>0</v>
      </c>
      <c r="H575" s="429">
        <v>0</v>
      </c>
      <c r="I575" s="429">
        <v>0</v>
      </c>
      <c r="J575" s="429">
        <v>0</v>
      </c>
      <c r="K575" s="429">
        <v>-525.26948000000004</v>
      </c>
      <c r="L575" s="429">
        <v>0</v>
      </c>
      <c r="M575" s="429">
        <v>0</v>
      </c>
      <c r="N575" s="429">
        <v>0</v>
      </c>
      <c r="O575" s="429">
        <v>0</v>
      </c>
      <c r="P575" s="429">
        <v>0</v>
      </c>
      <c r="Q575" s="429">
        <v>0</v>
      </c>
      <c r="R575" s="429">
        <v>0</v>
      </c>
      <c r="S575" s="429">
        <f t="shared" si="62"/>
        <v>-525.26948000000004</v>
      </c>
    </row>
    <row r="576" spans="1:20" s="429" customFormat="1">
      <c r="A576" s="429" t="str">
        <f t="shared" si="58"/>
        <v>KU</v>
      </c>
      <c r="B576" s="429" t="str">
        <f t="shared" si="59"/>
        <v>KY</v>
      </c>
      <c r="C576" s="429" t="str">
        <f t="shared" si="60"/>
        <v>317</v>
      </c>
      <c r="D576" s="430" t="s">
        <v>1741</v>
      </c>
      <c r="E576" s="428" t="str">
        <f t="shared" si="61"/>
        <v>ARO</v>
      </c>
      <c r="F576" s="429">
        <v>0</v>
      </c>
      <c r="G576" s="429">
        <v>0</v>
      </c>
      <c r="H576" s="429">
        <v>0</v>
      </c>
      <c r="I576" s="429">
        <v>-2236.4876599999998</v>
      </c>
      <c r="J576" s="429">
        <v>0</v>
      </c>
      <c r="K576" s="429">
        <v>0</v>
      </c>
      <c r="L576" s="429">
        <v>108.18955</v>
      </c>
      <c r="M576" s="429">
        <v>0</v>
      </c>
      <c r="N576" s="429">
        <v>0</v>
      </c>
      <c r="O576" s="429">
        <v>0</v>
      </c>
      <c r="P576" s="429">
        <v>0</v>
      </c>
      <c r="Q576" s="429">
        <v>0</v>
      </c>
      <c r="R576" s="429">
        <v>0</v>
      </c>
      <c r="S576" s="429">
        <f t="shared" si="62"/>
        <v>-2128.2981099999997</v>
      </c>
    </row>
    <row r="577" spans="1:19" s="429" customFormat="1">
      <c r="A577" s="429" t="str">
        <f t="shared" si="58"/>
        <v>KU</v>
      </c>
      <c r="B577" s="429" t="str">
        <f t="shared" si="59"/>
        <v>KY</v>
      </c>
      <c r="C577" s="429" t="str">
        <f t="shared" si="60"/>
        <v>317</v>
      </c>
      <c r="D577" s="430" t="s">
        <v>2507</v>
      </c>
      <c r="E577" s="428" t="str">
        <f t="shared" si="61"/>
        <v>ARO</v>
      </c>
      <c r="F577" s="429">
        <v>0</v>
      </c>
      <c r="G577" s="429">
        <v>0</v>
      </c>
      <c r="H577" s="429">
        <v>0</v>
      </c>
      <c r="I577" s="429">
        <v>-2467.7075299999901</v>
      </c>
      <c r="J577" s="429">
        <v>8435.0625199999995</v>
      </c>
      <c r="K577" s="429">
        <v>0</v>
      </c>
      <c r="L577" s="429">
        <v>-8463.8898499999996</v>
      </c>
      <c r="M577" s="429">
        <v>0</v>
      </c>
      <c r="N577" s="429">
        <v>0</v>
      </c>
      <c r="O577" s="429">
        <v>0</v>
      </c>
      <c r="P577" s="429">
        <v>0</v>
      </c>
      <c r="Q577" s="429">
        <v>0</v>
      </c>
      <c r="R577" s="429">
        <v>0</v>
      </c>
      <c r="S577" s="429">
        <f t="shared" si="62"/>
        <v>-2496.5348599999907</v>
      </c>
    </row>
    <row r="578" spans="1:19" s="429" customFormat="1">
      <c r="A578" s="429" t="str">
        <f t="shared" si="58"/>
        <v>KU</v>
      </c>
      <c r="B578" s="429" t="str">
        <f t="shared" si="59"/>
        <v>KY</v>
      </c>
      <c r="C578" s="429" t="str">
        <f t="shared" si="60"/>
        <v>361</v>
      </c>
      <c r="D578" s="430" t="s">
        <v>1781</v>
      </c>
      <c r="E578" s="428" t="str">
        <f t="shared" si="61"/>
        <v/>
      </c>
      <c r="F578" s="429">
        <v>0</v>
      </c>
      <c r="G578" s="429">
        <v>0</v>
      </c>
      <c r="H578" s="429">
        <v>0</v>
      </c>
      <c r="I578" s="429">
        <v>0</v>
      </c>
      <c r="J578" s="429">
        <v>0.86021000000000003</v>
      </c>
      <c r="K578" s="429">
        <v>0</v>
      </c>
      <c r="L578" s="429">
        <v>0</v>
      </c>
      <c r="M578" s="429">
        <v>0</v>
      </c>
      <c r="N578" s="429">
        <v>0</v>
      </c>
      <c r="O578" s="429">
        <v>0</v>
      </c>
      <c r="P578" s="429">
        <v>0</v>
      </c>
      <c r="Q578" s="429">
        <v>0</v>
      </c>
      <c r="R578" s="429">
        <v>0</v>
      </c>
      <c r="S578" s="429">
        <f t="shared" si="62"/>
        <v>0.86021000000000003</v>
      </c>
    </row>
    <row r="579" spans="1:19" s="429" customFormat="1">
      <c r="A579" s="429" t="str">
        <f t="shared" si="58"/>
        <v>KU</v>
      </c>
      <c r="B579" s="429" t="str">
        <f t="shared" si="59"/>
        <v>KY</v>
      </c>
      <c r="C579" s="429" t="str">
        <f t="shared" si="60"/>
        <v>390</v>
      </c>
      <c r="D579" s="430" t="s">
        <v>1812</v>
      </c>
      <c r="E579" s="428" t="str">
        <f t="shared" si="61"/>
        <v/>
      </c>
      <c r="F579" s="429">
        <v>0</v>
      </c>
      <c r="G579" s="429">
        <v>0</v>
      </c>
      <c r="H579" s="429">
        <v>0</v>
      </c>
      <c r="I579" s="429">
        <v>0</v>
      </c>
      <c r="J579" s="429">
        <v>-0.86021000000000003</v>
      </c>
      <c r="K579" s="429">
        <v>0</v>
      </c>
      <c r="L579" s="429">
        <v>0</v>
      </c>
      <c r="M579" s="429">
        <v>0</v>
      </c>
      <c r="N579" s="429">
        <v>0</v>
      </c>
      <c r="O579" s="429">
        <v>0</v>
      </c>
      <c r="P579" s="429">
        <v>0</v>
      </c>
      <c r="Q579" s="429">
        <v>0</v>
      </c>
      <c r="R579" s="429">
        <v>0</v>
      </c>
      <c r="S579" s="429">
        <f t="shared" si="62"/>
        <v>-0.86021000000000003</v>
      </c>
    </row>
    <row r="580" spans="1:19" s="429" customFormat="1">
      <c r="A580" s="429" t="str">
        <f t="shared" si="58"/>
        <v>KU</v>
      </c>
      <c r="B580" s="429" t="str">
        <f t="shared" si="59"/>
        <v>KY</v>
      </c>
      <c r="C580" s="429" t="str">
        <f t="shared" si="60"/>
        <v>396</v>
      </c>
      <c r="D580" s="430" t="s">
        <v>1823</v>
      </c>
      <c r="E580" s="428" t="str">
        <f t="shared" si="61"/>
        <v/>
      </c>
      <c r="F580" s="429">
        <v>0</v>
      </c>
      <c r="G580" s="429">
        <v>-1781.51567</v>
      </c>
      <c r="H580" s="429">
        <v>0</v>
      </c>
      <c r="I580" s="429">
        <v>0</v>
      </c>
      <c r="J580" s="429">
        <v>0</v>
      </c>
      <c r="K580" s="429">
        <v>0</v>
      </c>
      <c r="L580" s="429">
        <v>0</v>
      </c>
      <c r="M580" s="429">
        <v>0</v>
      </c>
      <c r="N580" s="429">
        <v>0</v>
      </c>
      <c r="O580" s="429">
        <v>0</v>
      </c>
      <c r="P580" s="429">
        <v>0</v>
      </c>
      <c r="Q580" s="429">
        <v>0</v>
      </c>
      <c r="R580" s="429">
        <v>0</v>
      </c>
      <c r="S580" s="429">
        <f t="shared" si="62"/>
        <v>-1781.51567</v>
      </c>
    </row>
    <row r="581" spans="1:19" s="429" customFormat="1">
      <c r="A581" s="429" t="str">
        <f t="shared" si="58"/>
        <v>KU</v>
      </c>
      <c r="B581" s="429" t="str">
        <f t="shared" si="59"/>
        <v>KY</v>
      </c>
      <c r="C581" s="429" t="str">
        <f t="shared" si="60"/>
        <v>396</v>
      </c>
      <c r="D581" s="430" t="s">
        <v>2511</v>
      </c>
      <c r="E581" s="428" t="str">
        <f t="shared" si="61"/>
        <v/>
      </c>
      <c r="F581" s="429">
        <v>0</v>
      </c>
      <c r="G581" s="429">
        <v>1781.51567</v>
      </c>
      <c r="H581" s="429">
        <v>0</v>
      </c>
      <c r="I581" s="429">
        <v>0</v>
      </c>
      <c r="J581" s="429">
        <v>0</v>
      </c>
      <c r="K581" s="429">
        <v>0</v>
      </c>
      <c r="L581" s="429">
        <v>0</v>
      </c>
      <c r="M581" s="429">
        <v>0</v>
      </c>
      <c r="N581" s="429">
        <v>0</v>
      </c>
      <c r="O581" s="429">
        <v>0</v>
      </c>
      <c r="P581" s="429">
        <v>0</v>
      </c>
      <c r="Q581" s="429">
        <v>0</v>
      </c>
      <c r="R581" s="429">
        <v>0</v>
      </c>
      <c r="S581" s="429">
        <f t="shared" si="62"/>
        <v>1781.51567</v>
      </c>
    </row>
    <row r="582" spans="1:19" s="429" customFormat="1">
      <c r="A582" s="429" t="str">
        <f t="shared" si="58"/>
        <v>KU</v>
      </c>
      <c r="B582" s="429" t="str">
        <f t="shared" si="59"/>
        <v>VA</v>
      </c>
      <c r="C582" s="429" t="str">
        <f t="shared" si="60"/>
        <v>396</v>
      </c>
      <c r="D582" s="430" t="s">
        <v>1824</v>
      </c>
      <c r="E582" s="428" t="str">
        <f t="shared" si="61"/>
        <v/>
      </c>
      <c r="F582" s="429">
        <v>0</v>
      </c>
      <c r="G582" s="429">
        <v>-282.27726000000001</v>
      </c>
      <c r="H582" s="429">
        <v>0</v>
      </c>
      <c r="I582" s="429">
        <v>0</v>
      </c>
      <c r="J582" s="429">
        <v>0</v>
      </c>
      <c r="K582" s="429">
        <v>0</v>
      </c>
      <c r="L582" s="429">
        <v>0</v>
      </c>
      <c r="M582" s="429">
        <v>0</v>
      </c>
      <c r="N582" s="429">
        <v>0</v>
      </c>
      <c r="O582" s="429">
        <v>0</v>
      </c>
      <c r="P582" s="429">
        <v>0</v>
      </c>
      <c r="Q582" s="429">
        <v>0</v>
      </c>
      <c r="R582" s="429">
        <v>0</v>
      </c>
      <c r="S582" s="429">
        <f t="shared" si="62"/>
        <v>-282.27726000000001</v>
      </c>
    </row>
    <row r="583" spans="1:19" s="429" customFormat="1">
      <c r="A583" s="429" t="str">
        <f t="shared" si="58"/>
        <v>KU</v>
      </c>
      <c r="B583" s="429" t="str">
        <f t="shared" si="59"/>
        <v>VA</v>
      </c>
      <c r="C583" s="429" t="str">
        <f t="shared" si="60"/>
        <v>396</v>
      </c>
      <c r="D583" s="430" t="s">
        <v>2512</v>
      </c>
      <c r="E583" s="428" t="str">
        <f t="shared" si="61"/>
        <v/>
      </c>
      <c r="F583" s="429">
        <v>0</v>
      </c>
      <c r="G583" s="429">
        <v>282.27726000000001</v>
      </c>
      <c r="H583" s="429">
        <v>0</v>
      </c>
      <c r="I583" s="429">
        <v>0</v>
      </c>
      <c r="J583" s="429">
        <v>0</v>
      </c>
      <c r="K583" s="429">
        <v>0</v>
      </c>
      <c r="L583" s="429">
        <v>0</v>
      </c>
      <c r="M583" s="429">
        <v>0</v>
      </c>
      <c r="N583" s="429">
        <v>0</v>
      </c>
      <c r="O583" s="429">
        <v>0</v>
      </c>
      <c r="P583" s="429">
        <v>0</v>
      </c>
      <c r="Q583" s="429">
        <v>0</v>
      </c>
      <c r="R583" s="429">
        <v>0</v>
      </c>
      <c r="S583" s="429">
        <f t="shared" si="62"/>
        <v>282.27726000000001</v>
      </c>
    </row>
    <row r="584" spans="1:19" s="429" customFormat="1">
      <c r="D584" s="430"/>
      <c r="E584" s="428"/>
    </row>
    <row r="585" spans="1:19" s="429" customFormat="1">
      <c r="D585" s="430"/>
      <c r="E585" s="428"/>
    </row>
    <row r="586" spans="1:19" s="429" customFormat="1">
      <c r="D586" s="430"/>
      <c r="E586" s="428"/>
    </row>
    <row r="587" spans="1:19" s="429" customFormat="1">
      <c r="D587" s="430"/>
      <c r="E587" s="428"/>
    </row>
    <row r="588" spans="1:19" s="429" customFormat="1">
      <c r="D588" s="430"/>
      <c r="E588" s="428"/>
    </row>
    <row r="590" spans="1:19">
      <c r="A590" s="429"/>
      <c r="B590" s="429"/>
      <c r="C590" s="429"/>
      <c r="D590" s="721" t="s">
        <v>2513</v>
      </c>
      <c r="E590" s="428" t="str">
        <f t="shared" ref="E590:E656" si="63">IF(ISTEXT(MID($D590,SEARCH("FUTURE USE",$D590),3)),"FUTURE USE",IF(ISTEXT(MID($D590,SEARCH("ECR",$D590),3)),"ECR",IF(ISTEXT(MID($D590,SEARCH("ARO",$D590),3)),"ARO",IF(ISTEXT(MID($D590,SEARCH("DSM",$D590),3)),"DSM",""))))</f>
        <v/>
      </c>
      <c r="F590" s="429"/>
      <c r="G590" s="429"/>
      <c r="H590" s="429"/>
      <c r="I590" s="429"/>
      <c r="J590" s="429"/>
      <c r="K590" s="429"/>
      <c r="L590" s="429"/>
      <c r="M590" s="429"/>
      <c r="N590" s="429"/>
      <c r="O590" s="429"/>
      <c r="P590" s="429"/>
      <c r="Q590" s="429"/>
      <c r="R590" s="429"/>
      <c r="S590" s="429"/>
    </row>
    <row r="591" spans="1:19">
      <c r="A591" s="429" t="str">
        <f t="shared" ref="A591:A620" si="64">MID($D591,4,2)</f>
        <v>KU</v>
      </c>
      <c r="B591" s="429" t="str">
        <f t="shared" ref="B591:B620" si="65">IF(MID($D591,12,2)="- ","KY",MID($D591,12,2))</f>
        <v>KY</v>
      </c>
      <c r="C591" s="429" t="str">
        <f t="shared" ref="C591:C620" si="66">MID($D591,8,3)</f>
        <v>311</v>
      </c>
      <c r="D591" s="430" t="s">
        <v>2194</v>
      </c>
      <c r="E591" s="428" t="str">
        <f t="shared" si="63"/>
        <v>ECR</v>
      </c>
      <c r="F591" s="429">
        <v>0</v>
      </c>
      <c r="G591" s="429">
        <v>39.993479999999998</v>
      </c>
      <c r="H591" s="429">
        <v>39.993479999999998</v>
      </c>
      <c r="I591" s="429">
        <v>39.993479999999998</v>
      </c>
      <c r="J591" s="429">
        <v>39.993479999999998</v>
      </c>
      <c r="K591" s="429">
        <v>39.993479999999998</v>
      </c>
      <c r="L591" s="429">
        <v>39.993479999999998</v>
      </c>
      <c r="M591" s="429">
        <v>39.993479999999998</v>
      </c>
      <c r="N591" s="429">
        <v>39.993479999999998</v>
      </c>
      <c r="O591" s="429">
        <v>39.993479999999998</v>
      </c>
      <c r="P591" s="429">
        <v>39.993479999999998</v>
      </c>
      <c r="Q591" s="429">
        <v>39.993479999999998</v>
      </c>
      <c r="R591" s="429">
        <v>39.993479999999998</v>
      </c>
      <c r="S591" s="429"/>
    </row>
    <row r="592" spans="1:19">
      <c r="A592" s="429" t="str">
        <f t="shared" si="64"/>
        <v>KU</v>
      </c>
      <c r="B592" s="429" t="str">
        <f t="shared" si="65"/>
        <v>KY</v>
      </c>
      <c r="C592" s="429" t="str">
        <f t="shared" si="66"/>
        <v>311</v>
      </c>
      <c r="D592" s="430" t="s">
        <v>1732</v>
      </c>
      <c r="E592" s="428" t="str">
        <f t="shared" si="63"/>
        <v/>
      </c>
      <c r="F592" s="429">
        <v>1707.91653</v>
      </c>
      <c r="G592" s="429">
        <v>1668.10751</v>
      </c>
      <c r="H592" s="429">
        <v>1668.10751</v>
      </c>
      <c r="I592" s="429">
        <v>1668.10751</v>
      </c>
      <c r="J592" s="429">
        <v>1668.10751</v>
      </c>
      <c r="K592" s="429">
        <v>1668.10751</v>
      </c>
      <c r="L592" s="429">
        <v>1668.10751</v>
      </c>
      <c r="M592" s="429">
        <v>1668.10751</v>
      </c>
      <c r="N592" s="429">
        <v>1668.10751</v>
      </c>
      <c r="O592" s="429">
        <v>1668.10751</v>
      </c>
      <c r="P592" s="429">
        <v>1668.10751</v>
      </c>
      <c r="Q592" s="429">
        <v>1668.10751</v>
      </c>
      <c r="R592" s="429">
        <v>1668.10751</v>
      </c>
      <c r="S592" s="429"/>
    </row>
    <row r="593" spans="1:19">
      <c r="A593" s="429" t="str">
        <f t="shared" si="64"/>
        <v>KU</v>
      </c>
      <c r="B593" s="429" t="str">
        <f t="shared" si="65"/>
        <v>KY</v>
      </c>
      <c r="C593" s="429" t="str">
        <f t="shared" si="66"/>
        <v>312</v>
      </c>
      <c r="D593" s="430" t="s">
        <v>1733</v>
      </c>
      <c r="E593" s="428" t="str">
        <f t="shared" si="63"/>
        <v/>
      </c>
      <c r="F593" s="429">
        <v>20466.40207</v>
      </c>
      <c r="G593" s="429">
        <v>17820.666300000001</v>
      </c>
      <c r="H593" s="429">
        <v>17819.859229999998</v>
      </c>
      <c r="I593" s="429">
        <v>17819.859229999998</v>
      </c>
      <c r="J593" s="429">
        <v>17819.859229999998</v>
      </c>
      <c r="K593" s="429">
        <v>17819.859229999998</v>
      </c>
      <c r="L593" s="429">
        <v>17814.356110000001</v>
      </c>
      <c r="M593" s="429">
        <v>17814.356110000001</v>
      </c>
      <c r="N593" s="429">
        <v>17814.356110000001</v>
      </c>
      <c r="O593" s="429">
        <v>17814.356110000001</v>
      </c>
      <c r="P593" s="429">
        <v>17814.356110000001</v>
      </c>
      <c r="Q593" s="429">
        <v>17814.356110000001</v>
      </c>
      <c r="R593" s="429">
        <v>17814.356110000001</v>
      </c>
      <c r="S593" s="429"/>
    </row>
    <row r="594" spans="1:19">
      <c r="A594" s="429" t="str">
        <f t="shared" si="64"/>
        <v>KU</v>
      </c>
      <c r="B594" s="429" t="str">
        <f t="shared" si="65"/>
        <v>KY</v>
      </c>
      <c r="C594" s="429" t="str">
        <f t="shared" si="66"/>
        <v>312</v>
      </c>
      <c r="D594" s="430" t="s">
        <v>1734</v>
      </c>
      <c r="E594" s="428" t="str">
        <f t="shared" si="63"/>
        <v>ECR</v>
      </c>
      <c r="F594" s="429">
        <v>0</v>
      </c>
      <c r="G594" s="429">
        <v>54.588720000000002</v>
      </c>
      <c r="H594" s="429">
        <v>54.588720000000002</v>
      </c>
      <c r="I594" s="429">
        <v>54.588720000000002</v>
      </c>
      <c r="J594" s="429">
        <v>54.588720000000002</v>
      </c>
      <c r="K594" s="429">
        <v>54.588720000000002</v>
      </c>
      <c r="L594" s="429">
        <v>54.588720000000002</v>
      </c>
      <c r="M594" s="429">
        <v>54.588720000000002</v>
      </c>
      <c r="N594" s="429">
        <v>54.588720000000002</v>
      </c>
      <c r="O594" s="429">
        <v>54.588720000000002</v>
      </c>
      <c r="P594" s="429">
        <v>54.588720000000002</v>
      </c>
      <c r="Q594" s="429">
        <v>54.588720000000002</v>
      </c>
      <c r="R594" s="429">
        <v>54.588720000000002</v>
      </c>
      <c r="S594" s="429"/>
    </row>
    <row r="595" spans="1:19">
      <c r="A595" s="429" t="str">
        <f t="shared" si="64"/>
        <v>KU</v>
      </c>
      <c r="B595" s="429" t="str">
        <f t="shared" si="65"/>
        <v>KY</v>
      </c>
      <c r="C595" s="429" t="str">
        <f t="shared" si="66"/>
        <v>312</v>
      </c>
      <c r="D595" s="430" t="s">
        <v>1735</v>
      </c>
      <c r="E595" s="428" t="str">
        <f t="shared" si="63"/>
        <v>ECR</v>
      </c>
      <c r="F595" s="429">
        <v>0</v>
      </c>
      <c r="G595" s="429">
        <v>2589.31324</v>
      </c>
      <c r="H595" s="429">
        <v>2589.31324</v>
      </c>
      <c r="I595" s="429">
        <v>2589.31324</v>
      </c>
      <c r="J595" s="429">
        <v>2589.31324</v>
      </c>
      <c r="K595" s="429">
        <v>2589.31324</v>
      </c>
      <c r="L595" s="429">
        <v>2589.31324</v>
      </c>
      <c r="M595" s="429">
        <v>2589.31324</v>
      </c>
      <c r="N595" s="429">
        <v>2589.31324</v>
      </c>
      <c r="O595" s="429">
        <v>2589.31324</v>
      </c>
      <c r="P595" s="429">
        <v>2589.31324</v>
      </c>
      <c r="Q595" s="429">
        <v>2589.31324</v>
      </c>
      <c r="R595" s="429">
        <v>2589.31324</v>
      </c>
      <c r="S595" s="429"/>
    </row>
    <row r="596" spans="1:19">
      <c r="A596" s="429" t="str">
        <f t="shared" si="64"/>
        <v>KU</v>
      </c>
      <c r="B596" s="429" t="str">
        <f t="shared" si="65"/>
        <v>KY</v>
      </c>
      <c r="C596" s="429" t="str">
        <f t="shared" si="66"/>
        <v>314</v>
      </c>
      <c r="D596" s="430" t="s">
        <v>1737</v>
      </c>
      <c r="E596" s="428" t="str">
        <f t="shared" si="63"/>
        <v/>
      </c>
      <c r="F596" s="429">
        <v>1245.2610999999999</v>
      </c>
      <c r="G596" s="429">
        <v>1245.2610999999999</v>
      </c>
      <c r="H596" s="429">
        <v>1245.2610999999999</v>
      </c>
      <c r="I596" s="429">
        <v>1245.2610999999999</v>
      </c>
      <c r="J596" s="429">
        <v>1245.2610999999999</v>
      </c>
      <c r="K596" s="429">
        <v>1245.2610999999999</v>
      </c>
      <c r="L596" s="429">
        <v>1245.2610999999999</v>
      </c>
      <c r="M596" s="429">
        <v>1245.2610999999999</v>
      </c>
      <c r="N596" s="429">
        <v>1245.2610999999999</v>
      </c>
      <c r="O596" s="429">
        <v>1245.2610999999999</v>
      </c>
      <c r="P596" s="429">
        <v>1245.2610999999999</v>
      </c>
      <c r="Q596" s="429">
        <v>1245.2610999999999</v>
      </c>
      <c r="R596" s="429">
        <v>1245.2610999999999</v>
      </c>
      <c r="S596" s="429"/>
    </row>
    <row r="597" spans="1:19">
      <c r="A597" s="429" t="str">
        <f t="shared" si="64"/>
        <v>KU</v>
      </c>
      <c r="B597" s="429" t="str">
        <f t="shared" si="65"/>
        <v>KY</v>
      </c>
      <c r="C597" s="429" t="str">
        <f t="shared" si="66"/>
        <v>315</v>
      </c>
      <c r="D597" s="430" t="s">
        <v>1738</v>
      </c>
      <c r="E597" s="428" t="str">
        <f t="shared" si="63"/>
        <v/>
      </c>
      <c r="F597" s="429">
        <v>1085.1875700000001</v>
      </c>
      <c r="G597" s="429">
        <v>1021.18362</v>
      </c>
      <c r="H597" s="429">
        <v>1021.18362</v>
      </c>
      <c r="I597" s="429">
        <v>1021.18362</v>
      </c>
      <c r="J597" s="429">
        <v>1021.18362</v>
      </c>
      <c r="K597" s="429">
        <v>1021.18362</v>
      </c>
      <c r="L597" s="429">
        <v>1021.18362</v>
      </c>
      <c r="M597" s="429">
        <v>1021.18362</v>
      </c>
      <c r="N597" s="429">
        <v>1021.18362</v>
      </c>
      <c r="O597" s="429">
        <v>1021.18362</v>
      </c>
      <c r="P597" s="429">
        <v>1021.18362</v>
      </c>
      <c r="Q597" s="429">
        <v>1021.18362</v>
      </c>
      <c r="R597" s="429">
        <v>1021.18362</v>
      </c>
      <c r="S597" s="429"/>
    </row>
    <row r="598" spans="1:19">
      <c r="A598" s="429" t="str">
        <f t="shared" si="64"/>
        <v>KU</v>
      </c>
      <c r="B598" s="429" t="str">
        <f t="shared" si="65"/>
        <v>KY</v>
      </c>
      <c r="C598" s="429" t="str">
        <f t="shared" si="66"/>
        <v>315</v>
      </c>
      <c r="D598" s="430" t="s">
        <v>1739</v>
      </c>
      <c r="E598" s="428" t="str">
        <f t="shared" si="63"/>
        <v>ECR</v>
      </c>
      <c r="F598" s="429">
        <v>0</v>
      </c>
      <c r="G598" s="429">
        <v>64.003950000000003</v>
      </c>
      <c r="H598" s="429">
        <v>64.003950000000003</v>
      </c>
      <c r="I598" s="429">
        <v>64.003950000000003</v>
      </c>
      <c r="J598" s="429">
        <v>64.003950000000003</v>
      </c>
      <c r="K598" s="429">
        <v>64.003950000000003</v>
      </c>
      <c r="L598" s="429">
        <v>64.003950000000003</v>
      </c>
      <c r="M598" s="429">
        <v>64.003950000000003</v>
      </c>
      <c r="N598" s="429">
        <v>64.003950000000003</v>
      </c>
      <c r="O598" s="429">
        <v>64.003950000000003</v>
      </c>
      <c r="P598" s="429">
        <v>64.003950000000003</v>
      </c>
      <c r="Q598" s="429">
        <v>64.003950000000003</v>
      </c>
      <c r="R598" s="429">
        <v>64.003950000000003</v>
      </c>
      <c r="S598" s="429"/>
    </row>
    <row r="599" spans="1:19">
      <c r="A599" s="429" t="str">
        <f t="shared" si="64"/>
        <v>KU</v>
      </c>
      <c r="B599" s="429" t="str">
        <f t="shared" si="65"/>
        <v>KY</v>
      </c>
      <c r="C599" s="429" t="str">
        <f t="shared" si="66"/>
        <v>316</v>
      </c>
      <c r="D599" s="430" t="s">
        <v>1740</v>
      </c>
      <c r="E599" s="428" t="str">
        <f t="shared" si="63"/>
        <v/>
      </c>
      <c r="F599" s="429">
        <v>83.661209999999997</v>
      </c>
      <c r="G599" s="429">
        <v>83.661209999999997</v>
      </c>
      <c r="H599" s="429">
        <v>83.497619999999998</v>
      </c>
      <c r="I599" s="429">
        <v>83.497619999999998</v>
      </c>
      <c r="J599" s="429">
        <v>83.497619999999998</v>
      </c>
      <c r="K599" s="429">
        <v>83.497619999999998</v>
      </c>
      <c r="L599" s="429">
        <v>83.497619999999998</v>
      </c>
      <c r="M599" s="429">
        <v>83.497619999999998</v>
      </c>
      <c r="N599" s="429">
        <v>83.497619999999998</v>
      </c>
      <c r="O599" s="429">
        <v>83.497619999999998</v>
      </c>
      <c r="P599" s="429">
        <v>83.497619999999998</v>
      </c>
      <c r="Q599" s="429">
        <v>83.497619999999998</v>
      </c>
      <c r="R599" s="429">
        <v>83.497619999999998</v>
      </c>
      <c r="S599" s="429"/>
    </row>
    <row r="600" spans="1:19">
      <c r="A600" s="429" t="str">
        <f t="shared" si="64"/>
        <v>KU</v>
      </c>
      <c r="B600" s="429" t="str">
        <f t="shared" si="65"/>
        <v>KY</v>
      </c>
      <c r="C600" s="429" t="str">
        <f t="shared" si="66"/>
        <v>332</v>
      </c>
      <c r="D600" s="430" t="s">
        <v>1744</v>
      </c>
      <c r="E600" s="428" t="str">
        <f t="shared" si="63"/>
        <v/>
      </c>
      <c r="F600" s="429">
        <v>42.95232</v>
      </c>
      <c r="G600" s="429">
        <v>42.95232</v>
      </c>
      <c r="H600" s="429">
        <v>42.95232</v>
      </c>
      <c r="I600" s="429">
        <v>42.95232</v>
      </c>
      <c r="J600" s="429">
        <v>42.95232</v>
      </c>
      <c r="K600" s="429">
        <v>42.95232</v>
      </c>
      <c r="L600" s="429">
        <v>42.95232</v>
      </c>
      <c r="M600" s="429">
        <v>42.95232</v>
      </c>
      <c r="N600" s="429">
        <v>42.95232</v>
      </c>
      <c r="O600" s="429">
        <v>42.95232</v>
      </c>
      <c r="P600" s="429">
        <v>42.95232</v>
      </c>
      <c r="Q600" s="429">
        <v>42.95232</v>
      </c>
      <c r="R600" s="429">
        <v>42.95232</v>
      </c>
      <c r="S600" s="429"/>
    </row>
    <row r="601" spans="1:19">
      <c r="A601" s="429" t="str">
        <f t="shared" si="64"/>
        <v>KU</v>
      </c>
      <c r="B601" s="429" t="str">
        <f t="shared" si="65"/>
        <v>KY</v>
      </c>
      <c r="C601" s="429" t="str">
        <f t="shared" si="66"/>
        <v>333</v>
      </c>
      <c r="D601" s="430" t="s">
        <v>1745</v>
      </c>
      <c r="E601" s="428" t="str">
        <f t="shared" si="63"/>
        <v/>
      </c>
      <c r="F601" s="429">
        <v>58.5</v>
      </c>
      <c r="G601" s="429">
        <v>58.5</v>
      </c>
      <c r="H601" s="429">
        <v>58.5</v>
      </c>
      <c r="I601" s="429">
        <v>58.5</v>
      </c>
      <c r="J601" s="429">
        <v>58.5</v>
      </c>
      <c r="K601" s="429">
        <v>58.5</v>
      </c>
      <c r="L601" s="429">
        <v>58.5</v>
      </c>
      <c r="M601" s="429">
        <v>58.5</v>
      </c>
      <c r="N601" s="429">
        <v>58.5</v>
      </c>
      <c r="O601" s="429">
        <v>58.5</v>
      </c>
      <c r="P601" s="429">
        <v>58.5</v>
      </c>
      <c r="Q601" s="429">
        <v>58.5</v>
      </c>
      <c r="R601" s="429">
        <v>58.5</v>
      </c>
      <c r="S601" s="429"/>
    </row>
    <row r="602" spans="1:19">
      <c r="A602" s="429" t="str">
        <f t="shared" si="64"/>
        <v>KU</v>
      </c>
      <c r="B602" s="429" t="str">
        <f t="shared" si="65"/>
        <v>KY</v>
      </c>
      <c r="C602" s="429" t="str">
        <f t="shared" si="66"/>
        <v>334</v>
      </c>
      <c r="D602" s="430" t="s">
        <v>1746</v>
      </c>
      <c r="E602" s="428" t="str">
        <f t="shared" si="63"/>
        <v/>
      </c>
      <c r="F602" s="429">
        <v>3.8844400000000001</v>
      </c>
      <c r="G602" s="429">
        <v>3.8844400000000001</v>
      </c>
      <c r="H602" s="429">
        <v>3.8844400000000001</v>
      </c>
      <c r="I602" s="429">
        <v>3.8844400000000001</v>
      </c>
      <c r="J602" s="429">
        <v>3.8844400000000001</v>
      </c>
      <c r="K602" s="429">
        <v>3.8844400000000001</v>
      </c>
      <c r="L602" s="429">
        <v>3.8844400000000001</v>
      </c>
      <c r="M602" s="429">
        <v>3.8844400000000001</v>
      </c>
      <c r="N602" s="429">
        <v>3.8844400000000001</v>
      </c>
      <c r="O602" s="429">
        <v>3.8844400000000001</v>
      </c>
      <c r="P602" s="429">
        <v>3.8844400000000001</v>
      </c>
      <c r="Q602" s="429">
        <v>3.8844400000000001</v>
      </c>
      <c r="R602" s="429">
        <v>3.8844400000000001</v>
      </c>
      <c r="S602" s="429"/>
    </row>
    <row r="603" spans="1:19">
      <c r="A603" s="429" t="str">
        <f t="shared" si="64"/>
        <v>KU</v>
      </c>
      <c r="B603" s="429" t="str">
        <f t="shared" si="65"/>
        <v>KY</v>
      </c>
      <c r="C603" s="429" t="str">
        <f t="shared" si="66"/>
        <v>341</v>
      </c>
      <c r="D603" s="430" t="s">
        <v>1751</v>
      </c>
      <c r="E603" s="428" t="str">
        <f t="shared" si="63"/>
        <v/>
      </c>
      <c r="F603" s="429">
        <v>557.31254999999999</v>
      </c>
      <c r="G603" s="429">
        <v>557.31254999999999</v>
      </c>
      <c r="H603" s="429">
        <v>557.31254999999999</v>
      </c>
      <c r="I603" s="429">
        <v>557.31254999999999</v>
      </c>
      <c r="J603" s="429">
        <v>557.31254999999999</v>
      </c>
      <c r="K603" s="429">
        <v>557.31254999999999</v>
      </c>
      <c r="L603" s="429">
        <v>557.31254999999999</v>
      </c>
      <c r="M603" s="429">
        <v>557.31254999999999</v>
      </c>
      <c r="N603" s="429">
        <v>557.31254999999999</v>
      </c>
      <c r="O603" s="429">
        <v>557.31254999999999</v>
      </c>
      <c r="P603" s="429">
        <v>557.31254999999999</v>
      </c>
      <c r="Q603" s="429">
        <v>557.31254999999999</v>
      </c>
      <c r="R603" s="429">
        <v>557.31254999999999</v>
      </c>
      <c r="S603" s="429"/>
    </row>
    <row r="604" spans="1:19">
      <c r="A604" s="429" t="str">
        <f t="shared" si="64"/>
        <v>KU</v>
      </c>
      <c r="B604" s="429" t="str">
        <f t="shared" si="65"/>
        <v>KY</v>
      </c>
      <c r="C604" s="429" t="str">
        <f t="shared" si="66"/>
        <v>342</v>
      </c>
      <c r="D604" s="430" t="s">
        <v>1752</v>
      </c>
      <c r="E604" s="428" t="str">
        <f t="shared" si="63"/>
        <v/>
      </c>
      <c r="F604" s="429">
        <v>121.09593</v>
      </c>
      <c r="G604" s="429">
        <v>121.09593</v>
      </c>
      <c r="H604" s="429">
        <v>121.09593</v>
      </c>
      <c r="I604" s="429">
        <v>121.09593</v>
      </c>
      <c r="J604" s="429">
        <v>121.09593</v>
      </c>
      <c r="K604" s="429">
        <v>121.09593</v>
      </c>
      <c r="L604" s="429">
        <v>121.09593</v>
      </c>
      <c r="M604" s="429">
        <v>121.09593</v>
      </c>
      <c r="N604" s="429">
        <v>121.09593</v>
      </c>
      <c r="O604" s="429">
        <v>121.09593</v>
      </c>
      <c r="P604" s="429">
        <v>121.09593</v>
      </c>
      <c r="Q604" s="429">
        <v>121.09593</v>
      </c>
      <c r="R604" s="429">
        <v>121.09593</v>
      </c>
      <c r="S604" s="429"/>
    </row>
    <row r="605" spans="1:19">
      <c r="A605" s="429" t="str">
        <f t="shared" si="64"/>
        <v>KU</v>
      </c>
      <c r="B605" s="429" t="str">
        <f t="shared" si="65"/>
        <v>KY</v>
      </c>
      <c r="C605" s="429" t="str">
        <f t="shared" si="66"/>
        <v>343</v>
      </c>
      <c r="D605" s="430" t="s">
        <v>1753</v>
      </c>
      <c r="E605" s="428" t="str">
        <f t="shared" si="63"/>
        <v/>
      </c>
      <c r="F605" s="429">
        <v>3196.3693800000001</v>
      </c>
      <c r="G605" s="429">
        <v>3196.3693800000001</v>
      </c>
      <c r="H605" s="429">
        <v>3196.3693800000001</v>
      </c>
      <c r="I605" s="429">
        <v>3196.3693800000001</v>
      </c>
      <c r="J605" s="429">
        <v>3196.3693800000001</v>
      </c>
      <c r="K605" s="429">
        <v>3196.3693800000001</v>
      </c>
      <c r="L605" s="429">
        <v>3196.3693800000001</v>
      </c>
      <c r="M605" s="429">
        <v>3196.3693800000001</v>
      </c>
      <c r="N605" s="429">
        <v>3196.3693800000001</v>
      </c>
      <c r="O605" s="429">
        <v>3196.3693800000001</v>
      </c>
      <c r="P605" s="429">
        <v>3196.3693800000001</v>
      </c>
      <c r="Q605" s="429">
        <v>3196.3693800000001</v>
      </c>
      <c r="R605" s="429">
        <v>3196.3693800000001</v>
      </c>
      <c r="S605" s="429"/>
    </row>
    <row r="606" spans="1:19">
      <c r="A606" s="429" t="str">
        <f t="shared" si="64"/>
        <v>KU</v>
      </c>
      <c r="B606" s="429" t="str">
        <f t="shared" si="65"/>
        <v>KY</v>
      </c>
      <c r="C606" s="429" t="str">
        <f t="shared" si="66"/>
        <v>344</v>
      </c>
      <c r="D606" s="430" t="s">
        <v>1754</v>
      </c>
      <c r="E606" s="428" t="str">
        <f t="shared" si="63"/>
        <v/>
      </c>
      <c r="F606" s="429">
        <v>715.27536999999995</v>
      </c>
      <c r="G606" s="429">
        <v>715.27536999999995</v>
      </c>
      <c r="H606" s="429">
        <v>715.27536999999995</v>
      </c>
      <c r="I606" s="429">
        <v>715.27536999999995</v>
      </c>
      <c r="J606" s="429">
        <v>715.27536999999995</v>
      </c>
      <c r="K606" s="429">
        <v>715.27536999999995</v>
      </c>
      <c r="L606" s="429">
        <v>715.27536999999995</v>
      </c>
      <c r="M606" s="429">
        <v>715.27536999999995</v>
      </c>
      <c r="N606" s="429">
        <v>715.27536999999995</v>
      </c>
      <c r="O606" s="429">
        <v>715.27536999999995</v>
      </c>
      <c r="P606" s="429">
        <v>715.27536999999995</v>
      </c>
      <c r="Q606" s="429">
        <v>715.27536999999995</v>
      </c>
      <c r="R606" s="429">
        <v>715.27536999999995</v>
      </c>
      <c r="S606" s="429"/>
    </row>
    <row r="607" spans="1:19">
      <c r="A607" s="429" t="str">
        <f t="shared" si="64"/>
        <v>KU</v>
      </c>
      <c r="B607" s="429" t="str">
        <f t="shared" si="65"/>
        <v>KY</v>
      </c>
      <c r="C607" s="429" t="str">
        <f t="shared" si="66"/>
        <v>345</v>
      </c>
      <c r="D607" s="430" t="s">
        <v>1755</v>
      </c>
      <c r="E607" s="428" t="str">
        <f t="shared" si="63"/>
        <v/>
      </c>
      <c r="F607" s="429">
        <v>355.58681000000001</v>
      </c>
      <c r="G607" s="429">
        <v>358.09240999999997</v>
      </c>
      <c r="H607" s="429">
        <v>358.09240999999997</v>
      </c>
      <c r="I607" s="429">
        <v>358.09240999999997</v>
      </c>
      <c r="J607" s="429">
        <v>358.09240999999997</v>
      </c>
      <c r="K607" s="429">
        <v>358.09240999999997</v>
      </c>
      <c r="L607" s="429">
        <v>358.09240999999997</v>
      </c>
      <c r="M607" s="429">
        <v>358.09240999999997</v>
      </c>
      <c r="N607" s="429">
        <v>358.09240999999997</v>
      </c>
      <c r="O607" s="429">
        <v>358.09240999999997</v>
      </c>
      <c r="P607" s="429">
        <v>358.09240999999997</v>
      </c>
      <c r="Q607" s="429">
        <v>358.09240999999997</v>
      </c>
      <c r="R607" s="429">
        <v>358.09240999999997</v>
      </c>
      <c r="S607" s="429"/>
    </row>
    <row r="608" spans="1:19">
      <c r="A608" s="429" t="str">
        <f t="shared" si="64"/>
        <v>KU</v>
      </c>
      <c r="B608" s="429" t="str">
        <f t="shared" si="65"/>
        <v>KY</v>
      </c>
      <c r="C608" s="429" t="str">
        <f t="shared" si="66"/>
        <v>346</v>
      </c>
      <c r="D608" s="430" t="s">
        <v>1756</v>
      </c>
      <c r="E608" s="428" t="str">
        <f t="shared" si="63"/>
        <v/>
      </c>
      <c r="F608" s="429">
        <v>34.127940000000002</v>
      </c>
      <c r="G608" s="429">
        <v>34.127940000000002</v>
      </c>
      <c r="H608" s="429">
        <v>34.127940000000002</v>
      </c>
      <c r="I608" s="429">
        <v>34.127940000000002</v>
      </c>
      <c r="J608" s="429">
        <v>34.127940000000002</v>
      </c>
      <c r="K608" s="429">
        <v>34.127940000000002</v>
      </c>
      <c r="L608" s="429">
        <v>34.127940000000002</v>
      </c>
      <c r="M608" s="429">
        <v>34.127940000000002</v>
      </c>
      <c r="N608" s="429">
        <v>34.127940000000002</v>
      </c>
      <c r="O608" s="429">
        <v>34.127940000000002</v>
      </c>
      <c r="P608" s="429">
        <v>34.127940000000002</v>
      </c>
      <c r="Q608" s="429">
        <v>34.127940000000002</v>
      </c>
      <c r="R608" s="429">
        <v>34.127940000000002</v>
      </c>
      <c r="S608" s="429"/>
    </row>
    <row r="609" spans="1:19">
      <c r="A609" s="429" t="str">
        <f t="shared" si="64"/>
        <v>KU</v>
      </c>
      <c r="B609" s="429" t="str">
        <f t="shared" si="65"/>
        <v>KY</v>
      </c>
      <c r="C609" s="429" t="str">
        <f t="shared" si="66"/>
        <v>350</v>
      </c>
      <c r="D609" s="430" t="s">
        <v>1757</v>
      </c>
      <c r="E609" s="428" t="str">
        <f t="shared" si="63"/>
        <v/>
      </c>
      <c r="F609" s="429">
        <v>5.8478599999999998</v>
      </c>
      <c r="G609" s="429">
        <v>5.8478599999999998</v>
      </c>
      <c r="H609" s="429">
        <v>5.8478599999999998</v>
      </c>
      <c r="I609" s="429">
        <v>5.8478599999999998</v>
      </c>
      <c r="J609" s="429">
        <v>5.8478599999999998</v>
      </c>
      <c r="K609" s="429">
        <v>5.8478599999999998</v>
      </c>
      <c r="L609" s="429">
        <v>5.8478599999999998</v>
      </c>
      <c r="M609" s="429">
        <v>5.8478599999999998</v>
      </c>
      <c r="N609" s="429">
        <v>5.8478599999999998</v>
      </c>
      <c r="O609" s="429">
        <v>5.8478599999999998</v>
      </c>
      <c r="P609" s="429">
        <v>5.8478599999999998</v>
      </c>
      <c r="Q609" s="429">
        <v>5.8478599999999998</v>
      </c>
      <c r="R609" s="429">
        <v>5.8478599999999998</v>
      </c>
      <c r="S609" s="429"/>
    </row>
    <row r="610" spans="1:19">
      <c r="A610" s="429" t="str">
        <f t="shared" si="64"/>
        <v>KU</v>
      </c>
      <c r="B610" s="429" t="str">
        <f t="shared" si="65"/>
        <v>KY</v>
      </c>
      <c r="C610" s="429" t="str">
        <f t="shared" si="66"/>
        <v>352</v>
      </c>
      <c r="D610" s="430" t="s">
        <v>1761</v>
      </c>
      <c r="E610" s="428" t="str">
        <f t="shared" si="63"/>
        <v/>
      </c>
      <c r="F610" s="429">
        <v>38.295990000000003</v>
      </c>
      <c r="G610" s="429">
        <v>38.295990000000003</v>
      </c>
      <c r="H610" s="429">
        <v>38.295990000000003</v>
      </c>
      <c r="I610" s="429">
        <v>38.295990000000003</v>
      </c>
      <c r="J610" s="429">
        <v>38.295990000000003</v>
      </c>
      <c r="K610" s="429">
        <v>38.295990000000003</v>
      </c>
      <c r="L610" s="429">
        <v>38.295990000000003</v>
      </c>
      <c r="M610" s="429">
        <v>38.295990000000003</v>
      </c>
      <c r="N610" s="429">
        <v>38.295990000000003</v>
      </c>
      <c r="O610" s="429">
        <v>38.295990000000003</v>
      </c>
      <c r="P610" s="429">
        <v>38.295990000000003</v>
      </c>
      <c r="Q610" s="429">
        <v>38.295990000000003</v>
      </c>
      <c r="R610" s="429">
        <v>38.295990000000003</v>
      </c>
      <c r="S610" s="429"/>
    </row>
    <row r="611" spans="1:19">
      <c r="A611" s="429" t="str">
        <f t="shared" si="64"/>
        <v>KU</v>
      </c>
      <c r="B611" s="429" t="str">
        <f t="shared" si="65"/>
        <v>VA</v>
      </c>
      <c r="C611" s="429" t="str">
        <f t="shared" si="66"/>
        <v>352</v>
      </c>
      <c r="D611" s="430" t="s">
        <v>1762</v>
      </c>
      <c r="E611" s="428" t="str">
        <f t="shared" si="63"/>
        <v/>
      </c>
      <c r="F611" s="429">
        <v>3.0000000000000001E-3</v>
      </c>
      <c r="G611" s="429">
        <v>3.0000000000000001E-3</v>
      </c>
      <c r="H611" s="429">
        <v>3.0000000000000001E-3</v>
      </c>
      <c r="I611" s="429">
        <v>3.0000000000000001E-3</v>
      </c>
      <c r="J611" s="429">
        <v>3.0000000000000001E-3</v>
      </c>
      <c r="K611" s="429">
        <v>3.0000000000000001E-3</v>
      </c>
      <c r="L611" s="429">
        <v>3.0000000000000001E-3</v>
      </c>
      <c r="M611" s="429">
        <v>3.0000000000000001E-3</v>
      </c>
      <c r="N611" s="429">
        <v>3.0000000000000001E-3</v>
      </c>
      <c r="O611" s="429">
        <v>3.0000000000000001E-3</v>
      </c>
      <c r="P611" s="429">
        <v>3.0000000000000001E-3</v>
      </c>
      <c r="Q611" s="429">
        <v>3.0000000000000001E-3</v>
      </c>
      <c r="R611" s="429">
        <v>3.0000000000000001E-3</v>
      </c>
      <c r="S611" s="429"/>
    </row>
    <row r="612" spans="1:19">
      <c r="A612" s="429" t="str">
        <f t="shared" si="64"/>
        <v>KU</v>
      </c>
      <c r="B612" s="429" t="str">
        <f t="shared" si="65"/>
        <v>KY</v>
      </c>
      <c r="C612" s="429" t="str">
        <f t="shared" si="66"/>
        <v>353</v>
      </c>
      <c r="D612" s="430" t="s">
        <v>1763</v>
      </c>
      <c r="E612" s="428" t="str">
        <f t="shared" si="63"/>
        <v/>
      </c>
      <c r="F612" s="429">
        <v>482.85462000000001</v>
      </c>
      <c r="G612" s="429">
        <v>482.85462000000001</v>
      </c>
      <c r="H612" s="429">
        <v>482.83251999999999</v>
      </c>
      <c r="I612" s="429">
        <v>482.82652000000002</v>
      </c>
      <c r="J612" s="429">
        <v>482.82652000000002</v>
      </c>
      <c r="K612" s="429">
        <v>482.69191999999998</v>
      </c>
      <c r="L612" s="429">
        <v>482.69191999999998</v>
      </c>
      <c r="M612" s="429">
        <v>482.69191999999998</v>
      </c>
      <c r="N612" s="429">
        <v>482.69191999999998</v>
      </c>
      <c r="O612" s="429">
        <v>482.69191999999998</v>
      </c>
      <c r="P612" s="429">
        <v>482.69191999999998</v>
      </c>
      <c r="Q612" s="429">
        <v>482.69191999999998</v>
      </c>
      <c r="R612" s="429">
        <v>482.69191999999998</v>
      </c>
      <c r="S612" s="429"/>
    </row>
    <row r="613" spans="1:19">
      <c r="A613" s="429" t="str">
        <f t="shared" si="64"/>
        <v>KU</v>
      </c>
      <c r="B613" s="429" t="str">
        <f t="shared" si="65"/>
        <v>VA</v>
      </c>
      <c r="C613" s="429" t="str">
        <f t="shared" si="66"/>
        <v>353</v>
      </c>
      <c r="D613" s="430" t="s">
        <v>1765</v>
      </c>
      <c r="E613" s="428" t="str">
        <f t="shared" si="63"/>
        <v/>
      </c>
      <c r="F613" s="429">
        <v>1.571</v>
      </c>
      <c r="G613" s="429">
        <v>1.571</v>
      </c>
      <c r="H613" s="429">
        <v>1.571</v>
      </c>
      <c r="I613" s="429">
        <v>1.571</v>
      </c>
      <c r="J613" s="429">
        <v>1.571</v>
      </c>
      <c r="K613" s="429">
        <v>1.571</v>
      </c>
      <c r="L613" s="429">
        <v>1.571</v>
      </c>
      <c r="M613" s="429">
        <v>1.571</v>
      </c>
      <c r="N613" s="429">
        <v>1.571</v>
      </c>
      <c r="O613" s="429">
        <v>1.571</v>
      </c>
      <c r="P613" s="429">
        <v>1.571</v>
      </c>
      <c r="Q613" s="429">
        <v>1.571</v>
      </c>
      <c r="R613" s="429">
        <v>1.571</v>
      </c>
      <c r="S613" s="429"/>
    </row>
    <row r="614" spans="1:19">
      <c r="A614" s="429" t="str">
        <f t="shared" si="64"/>
        <v>KU</v>
      </c>
      <c r="B614" s="429" t="str">
        <f t="shared" si="65"/>
        <v>KY</v>
      </c>
      <c r="C614" s="429" t="str">
        <f t="shared" si="66"/>
        <v>354</v>
      </c>
      <c r="D614" s="430" t="s">
        <v>1766</v>
      </c>
      <c r="E614" s="428" t="str">
        <f t="shared" si="63"/>
        <v/>
      </c>
      <c r="F614" s="429">
        <v>120.31005999999999</v>
      </c>
      <c r="G614" s="429">
        <v>120.31005999999999</v>
      </c>
      <c r="H614" s="429">
        <v>120.31005999999999</v>
      </c>
      <c r="I614" s="429">
        <v>120.31005999999999</v>
      </c>
      <c r="J614" s="429">
        <v>120.31005999999999</v>
      </c>
      <c r="K614" s="429">
        <v>120.31005999999999</v>
      </c>
      <c r="L614" s="429">
        <v>120.31005999999999</v>
      </c>
      <c r="M614" s="429">
        <v>120.31005999999999</v>
      </c>
      <c r="N614" s="429">
        <v>120.31005999999999</v>
      </c>
      <c r="O614" s="429">
        <v>120.31005999999999</v>
      </c>
      <c r="P614" s="429">
        <v>120.31005999999999</v>
      </c>
      <c r="Q614" s="429">
        <v>120.31005999999999</v>
      </c>
      <c r="R614" s="429">
        <v>120.31005999999999</v>
      </c>
      <c r="S614" s="429"/>
    </row>
    <row r="615" spans="1:19">
      <c r="A615" s="429" t="str">
        <f t="shared" si="64"/>
        <v>KU</v>
      </c>
      <c r="B615" s="429" t="str">
        <f t="shared" si="65"/>
        <v>KY</v>
      </c>
      <c r="C615" s="429" t="str">
        <f t="shared" si="66"/>
        <v>355</v>
      </c>
      <c r="D615" s="430" t="s">
        <v>1768</v>
      </c>
      <c r="E615" s="428" t="str">
        <f t="shared" si="63"/>
        <v/>
      </c>
      <c r="F615" s="429">
        <v>579.93462999999997</v>
      </c>
      <c r="G615" s="429">
        <v>579.93462999999997</v>
      </c>
      <c r="H615" s="429">
        <v>579.84288000000004</v>
      </c>
      <c r="I615" s="429">
        <v>579.84288000000004</v>
      </c>
      <c r="J615" s="429">
        <v>579.84288000000004</v>
      </c>
      <c r="K615" s="429">
        <v>579.74188000000004</v>
      </c>
      <c r="L615" s="429">
        <v>579.74188000000004</v>
      </c>
      <c r="M615" s="429">
        <v>579.74188000000004</v>
      </c>
      <c r="N615" s="429">
        <v>579.74188000000004</v>
      </c>
      <c r="O615" s="429">
        <v>579.74188000000004</v>
      </c>
      <c r="P615" s="429">
        <v>579.74188000000004</v>
      </c>
      <c r="Q615" s="429">
        <v>579.74188000000004</v>
      </c>
      <c r="R615" s="429">
        <v>579.74188000000004</v>
      </c>
      <c r="S615" s="429"/>
    </row>
    <row r="616" spans="1:19">
      <c r="A616" s="429" t="str">
        <f t="shared" si="64"/>
        <v>KU</v>
      </c>
      <c r="B616" s="429" t="str">
        <f t="shared" si="65"/>
        <v>VA</v>
      </c>
      <c r="C616" s="429" t="str">
        <f t="shared" si="66"/>
        <v>355</v>
      </c>
      <c r="D616" s="430" t="s">
        <v>1770</v>
      </c>
      <c r="E616" s="428" t="str">
        <f t="shared" si="63"/>
        <v/>
      </c>
      <c r="F616" s="429">
        <v>0.64976999999999996</v>
      </c>
      <c r="G616" s="429">
        <v>0.64976999999999996</v>
      </c>
      <c r="H616" s="429">
        <v>0.64976999999999996</v>
      </c>
      <c r="I616" s="429">
        <v>0.64976999999999996</v>
      </c>
      <c r="J616" s="429">
        <v>0.64976999999999996</v>
      </c>
      <c r="K616" s="429">
        <v>0.64976999999999996</v>
      </c>
      <c r="L616" s="429">
        <v>0.64976999999999996</v>
      </c>
      <c r="M616" s="429">
        <v>0.64976999999999996</v>
      </c>
      <c r="N616" s="429">
        <v>0.64976999999999996</v>
      </c>
      <c r="O616" s="429">
        <v>0.64976999999999996</v>
      </c>
      <c r="P616" s="429">
        <v>0.64976999999999996</v>
      </c>
      <c r="Q616" s="429">
        <v>0.64976999999999996</v>
      </c>
      <c r="R616" s="429">
        <v>0.64976999999999996</v>
      </c>
      <c r="S616" s="429"/>
    </row>
    <row r="617" spans="1:19">
      <c r="A617" s="429" t="str">
        <f t="shared" si="64"/>
        <v>KU</v>
      </c>
      <c r="B617" s="429" t="str">
        <f t="shared" si="65"/>
        <v>KY</v>
      </c>
      <c r="C617" s="429" t="str">
        <f t="shared" si="66"/>
        <v>356</v>
      </c>
      <c r="D617" s="430" t="s">
        <v>1771</v>
      </c>
      <c r="E617" s="428" t="str">
        <f t="shared" si="63"/>
        <v/>
      </c>
      <c r="F617" s="429">
        <v>191.20135999999999</v>
      </c>
      <c r="G617" s="429">
        <v>191.20135999999999</v>
      </c>
      <c r="H617" s="429">
        <v>191.20135999999999</v>
      </c>
      <c r="I617" s="429">
        <v>191.19893999999999</v>
      </c>
      <c r="J617" s="429">
        <v>191.19893999999999</v>
      </c>
      <c r="K617" s="429">
        <v>191.09273999999999</v>
      </c>
      <c r="L617" s="429">
        <v>191.09273999999999</v>
      </c>
      <c r="M617" s="429">
        <v>191.09273999999999</v>
      </c>
      <c r="N617" s="429">
        <v>191.09273999999999</v>
      </c>
      <c r="O617" s="429">
        <v>191.09273999999999</v>
      </c>
      <c r="P617" s="429">
        <v>191.09273999999999</v>
      </c>
      <c r="Q617" s="429">
        <v>191.09273999999999</v>
      </c>
      <c r="R617" s="429">
        <v>191.09273999999999</v>
      </c>
      <c r="S617" s="429"/>
    </row>
    <row r="618" spans="1:19">
      <c r="A618" s="429" t="str">
        <f t="shared" si="64"/>
        <v>KU</v>
      </c>
      <c r="B618" s="429" t="str">
        <f t="shared" si="65"/>
        <v>VA</v>
      </c>
      <c r="C618" s="429" t="str">
        <f t="shared" si="66"/>
        <v>356</v>
      </c>
      <c r="D618" s="430" t="s">
        <v>1773</v>
      </c>
      <c r="E618" s="428" t="str">
        <f t="shared" si="63"/>
        <v/>
      </c>
      <c r="F618" s="429">
        <v>2.0646100000000001</v>
      </c>
      <c r="G618" s="429">
        <v>2.0646100000000001</v>
      </c>
      <c r="H618" s="429">
        <v>2.0646100000000001</v>
      </c>
      <c r="I618" s="429">
        <v>2.0646100000000001</v>
      </c>
      <c r="J618" s="429">
        <v>2.0646100000000001</v>
      </c>
      <c r="K618" s="429">
        <v>2.0646100000000001</v>
      </c>
      <c r="L618" s="429">
        <v>2.0646100000000001</v>
      </c>
      <c r="M618" s="429">
        <v>2.0646100000000001</v>
      </c>
      <c r="N618" s="429">
        <v>2.0646100000000001</v>
      </c>
      <c r="O618" s="429">
        <v>2.0646100000000001</v>
      </c>
      <c r="P618" s="429">
        <v>2.0646100000000001</v>
      </c>
      <c r="Q618" s="429">
        <v>2.0646100000000001</v>
      </c>
      <c r="R618" s="429">
        <v>2.0646100000000001</v>
      </c>
      <c r="S618" s="429"/>
    </row>
    <row r="619" spans="1:19">
      <c r="A619" s="429" t="str">
        <f t="shared" si="64"/>
        <v>KU</v>
      </c>
      <c r="B619" s="429" t="str">
        <f t="shared" si="65"/>
        <v>KY</v>
      </c>
      <c r="C619" s="429" t="str">
        <f t="shared" si="66"/>
        <v>357</v>
      </c>
      <c r="D619" s="430" t="s">
        <v>1774</v>
      </c>
      <c r="E619" s="428" t="str">
        <f t="shared" si="63"/>
        <v/>
      </c>
      <c r="F619" s="429">
        <v>1.1220000000000001</v>
      </c>
      <c r="G619" s="429">
        <v>1.1220000000000001</v>
      </c>
      <c r="H619" s="429">
        <v>1.1220000000000001</v>
      </c>
      <c r="I619" s="429">
        <v>1.1220000000000001</v>
      </c>
      <c r="J619" s="429">
        <v>1.1220000000000001</v>
      </c>
      <c r="K619" s="429">
        <v>1.1220000000000001</v>
      </c>
      <c r="L619" s="429">
        <v>1.1220000000000001</v>
      </c>
      <c r="M619" s="429">
        <v>1.1220000000000001</v>
      </c>
      <c r="N619" s="429">
        <v>1.1220000000000001</v>
      </c>
      <c r="O619" s="429">
        <v>1.1220000000000001</v>
      </c>
      <c r="P619" s="429">
        <v>1.1220000000000001</v>
      </c>
      <c r="Q619" s="429">
        <v>1.1220000000000001</v>
      </c>
      <c r="R619" s="429">
        <v>1.1220000000000001</v>
      </c>
      <c r="S619" s="429"/>
    </row>
    <row r="620" spans="1:19">
      <c r="A620" s="429" t="str">
        <f t="shared" si="64"/>
        <v>KU</v>
      </c>
      <c r="B620" s="429" t="str">
        <f t="shared" si="65"/>
        <v>KY</v>
      </c>
      <c r="C620" s="429" t="str">
        <f t="shared" si="66"/>
        <v>358</v>
      </c>
      <c r="D620" s="430" t="s">
        <v>1775</v>
      </c>
      <c r="E620" s="428" t="str">
        <f t="shared" si="63"/>
        <v/>
      </c>
      <c r="F620" s="429">
        <v>1.1279999999999999</v>
      </c>
      <c r="G620" s="429">
        <v>1.1279999999999999</v>
      </c>
      <c r="H620" s="429">
        <v>1.1279999999999999</v>
      </c>
      <c r="I620" s="429">
        <v>1.1279999999999999</v>
      </c>
      <c r="J620" s="429">
        <v>1.1279999999999999</v>
      </c>
      <c r="K620" s="429">
        <v>1.1279999999999999</v>
      </c>
      <c r="L620" s="429">
        <v>1.1279999999999999</v>
      </c>
      <c r="M620" s="429">
        <v>1.1279999999999999</v>
      </c>
      <c r="N620" s="429">
        <v>1.1279999999999999</v>
      </c>
      <c r="O620" s="429">
        <v>1.1279999999999999</v>
      </c>
      <c r="P620" s="429">
        <v>1.1279999999999999</v>
      </c>
      <c r="Q620" s="429">
        <v>1.1279999999999999</v>
      </c>
      <c r="R620" s="429">
        <v>1.1279999999999999</v>
      </c>
      <c r="S620" s="429"/>
    </row>
    <row r="621" spans="1:19">
      <c r="A621" s="429"/>
      <c r="B621" s="429"/>
      <c r="C621" s="429"/>
      <c r="D621" s="430"/>
      <c r="E621" s="428" t="str">
        <f t="shared" si="63"/>
        <v/>
      </c>
      <c r="F621" s="429"/>
      <c r="G621" s="429"/>
      <c r="H621" s="429"/>
      <c r="I621" s="429"/>
      <c r="J621" s="429"/>
      <c r="K621" s="429"/>
      <c r="L621" s="429"/>
      <c r="M621" s="429"/>
      <c r="N621" s="429"/>
      <c r="O621" s="429"/>
      <c r="P621" s="429"/>
      <c r="Q621" s="429"/>
      <c r="R621" s="723">
        <f>SUM(R591:R620)</f>
        <v>31092.434519999999</v>
      </c>
      <c r="S621" s="429"/>
    </row>
    <row r="622" spans="1:19">
      <c r="A622" s="429"/>
      <c r="B622" s="429"/>
      <c r="C622" s="429"/>
      <c r="D622" s="721" t="s">
        <v>2514</v>
      </c>
      <c r="E622" s="428" t="str">
        <f t="shared" si="63"/>
        <v/>
      </c>
      <c r="F622" s="429"/>
      <c r="G622" s="429"/>
      <c r="H622" s="429"/>
      <c r="I622" s="429"/>
      <c r="J622" s="429"/>
      <c r="K622" s="429"/>
      <c r="L622" s="429"/>
      <c r="M622" s="429"/>
      <c r="N622" s="429"/>
      <c r="O622" s="429"/>
      <c r="P622" s="429"/>
      <c r="Q622" s="429"/>
      <c r="R622" s="429"/>
      <c r="S622" s="429"/>
    </row>
    <row r="623" spans="1:19">
      <c r="A623" s="429" t="str">
        <f t="shared" ref="A623:A626" si="67">MID($D623,4,2)</f>
        <v>KU</v>
      </c>
      <c r="B623" s="429" t="str">
        <f t="shared" ref="B623:B626" si="68">IF(MID($D623,12,2)="- ","KY",MID($D623,12,2))</f>
        <v>KY</v>
      </c>
      <c r="C623" s="429" t="str">
        <f t="shared" ref="C623:C626" si="69">MID($D623,8,3)</f>
        <v>312</v>
      </c>
      <c r="D623" s="430" t="s">
        <v>1733</v>
      </c>
      <c r="E623" s="428" t="str">
        <f t="shared" si="63"/>
        <v/>
      </c>
      <c r="F623" s="429">
        <v>32.250583333333303</v>
      </c>
      <c r="G623" s="429">
        <v>32.246416666666697</v>
      </c>
      <c r="H623" s="429">
        <v>32.227083333333297</v>
      </c>
      <c r="I623" s="429">
        <v>32.227083333333297</v>
      </c>
      <c r="J623" s="429">
        <v>32.227083333333297</v>
      </c>
      <c r="K623" s="429">
        <v>32.227083333333297</v>
      </c>
      <c r="L623" s="429">
        <v>32.226750000000003</v>
      </c>
      <c r="M623" s="429">
        <v>32.226750000000003</v>
      </c>
      <c r="N623" s="429">
        <v>32.226750000000003</v>
      </c>
      <c r="O623" s="429">
        <v>32.226750000000003</v>
      </c>
      <c r="P623" s="429">
        <v>32.226750000000003</v>
      </c>
      <c r="Q623" s="429">
        <v>32.226750000000003</v>
      </c>
      <c r="R623" s="429">
        <v>32.226750000000003</v>
      </c>
      <c r="S623" s="429">
        <f t="shared" ref="S623:S638" si="70">SUM(G623:R623)</f>
        <v>386.74199999999985</v>
      </c>
    </row>
    <row r="624" spans="1:19">
      <c r="A624" s="429" t="str">
        <f t="shared" si="67"/>
        <v>KU</v>
      </c>
      <c r="B624" s="429" t="str">
        <f t="shared" si="68"/>
        <v>KY</v>
      </c>
      <c r="C624" s="429" t="str">
        <f t="shared" si="69"/>
        <v>334</v>
      </c>
      <c r="D624" s="430" t="s">
        <v>1746</v>
      </c>
      <c r="E624" s="428" t="str">
        <f t="shared" si="63"/>
        <v/>
      </c>
      <c r="F624" s="429">
        <v>2.0833333333333298E-3</v>
      </c>
      <c r="G624" s="429">
        <v>2.0833333333333298E-3</v>
      </c>
      <c r="H624" s="429">
        <v>2.0833333333333298E-3</v>
      </c>
      <c r="I624" s="429">
        <v>2.0833333333333298E-3</v>
      </c>
      <c r="J624" s="429">
        <v>2.0833333333333298E-3</v>
      </c>
      <c r="K624" s="429">
        <v>2.0833333333333298E-3</v>
      </c>
      <c r="L624" s="429">
        <v>2.0833333333333298E-3</v>
      </c>
      <c r="M624" s="429">
        <v>2.0833333333333298E-3</v>
      </c>
      <c r="N624" s="429">
        <v>2.0833333333333298E-3</v>
      </c>
      <c r="O624" s="429">
        <v>2.0833333333333298E-3</v>
      </c>
      <c r="P624" s="429">
        <v>2.0833333333333298E-3</v>
      </c>
      <c r="Q624" s="429">
        <v>2.0833333333333298E-3</v>
      </c>
      <c r="R624" s="429">
        <v>2.0833333333333298E-3</v>
      </c>
      <c r="S624" s="429">
        <f t="shared" si="70"/>
        <v>2.4999999999999956E-2</v>
      </c>
    </row>
    <row r="625" spans="1:19">
      <c r="A625" s="429" t="str">
        <f t="shared" si="67"/>
        <v>KU</v>
      </c>
      <c r="B625" s="429" t="str">
        <f t="shared" si="68"/>
        <v>KY</v>
      </c>
      <c r="C625" s="429" t="str">
        <f t="shared" si="69"/>
        <v>342</v>
      </c>
      <c r="D625" s="430" t="s">
        <v>1752</v>
      </c>
      <c r="E625" s="428" t="str">
        <f t="shared" si="63"/>
        <v/>
      </c>
      <c r="F625" s="429">
        <v>7.8333333333333293E-3</v>
      </c>
      <c r="G625" s="429">
        <v>7.8333333333333293E-3</v>
      </c>
      <c r="H625" s="429">
        <v>7.8333333333333293E-3</v>
      </c>
      <c r="I625" s="429">
        <v>7.8333333333333293E-3</v>
      </c>
      <c r="J625" s="429">
        <v>7.8333333333333293E-3</v>
      </c>
      <c r="K625" s="429">
        <v>7.8333333333333293E-3</v>
      </c>
      <c r="L625" s="429">
        <v>7.8333333333333293E-3</v>
      </c>
      <c r="M625" s="429">
        <v>7.8333333333333293E-3</v>
      </c>
      <c r="N625" s="429">
        <v>7.8333333333333293E-3</v>
      </c>
      <c r="O625" s="429">
        <v>7.8333333333333293E-3</v>
      </c>
      <c r="P625" s="429">
        <v>7.8333333333333293E-3</v>
      </c>
      <c r="Q625" s="429">
        <v>7.8333333333333293E-3</v>
      </c>
      <c r="R625" s="429">
        <v>7.8333333333333293E-3</v>
      </c>
      <c r="S625" s="429">
        <f t="shared" si="70"/>
        <v>9.3999999999999959E-2</v>
      </c>
    </row>
    <row r="626" spans="1:19">
      <c r="A626" s="429" t="str">
        <f t="shared" si="67"/>
        <v>KU</v>
      </c>
      <c r="B626" s="429" t="str">
        <f t="shared" si="68"/>
        <v>KY</v>
      </c>
      <c r="C626" s="429" t="str">
        <f t="shared" si="69"/>
        <v>353</v>
      </c>
      <c r="D626" s="430" t="s">
        <v>1763</v>
      </c>
      <c r="E626" s="428" t="str">
        <f t="shared" si="63"/>
        <v/>
      </c>
      <c r="F626" s="429">
        <v>5.3206666666666704</v>
      </c>
      <c r="G626" s="429">
        <v>5.3205833333333299</v>
      </c>
      <c r="H626" s="429">
        <v>5.3152499999999998</v>
      </c>
      <c r="I626" s="429">
        <v>5.2986666666666702</v>
      </c>
      <c r="J626" s="429">
        <v>5.2711666666666703</v>
      </c>
      <c r="K626" s="429">
        <v>5.2708333333333304</v>
      </c>
      <c r="L626" s="429">
        <v>5.2703333333333298</v>
      </c>
      <c r="M626" s="429">
        <v>5.2703333333333298</v>
      </c>
      <c r="N626" s="429">
        <v>5.2703333333333298</v>
      </c>
      <c r="O626" s="429">
        <v>5.2703333333333298</v>
      </c>
      <c r="P626" s="429">
        <v>5.2703333333333298</v>
      </c>
      <c r="Q626" s="429">
        <v>5.2703333333333298</v>
      </c>
      <c r="R626" s="429">
        <v>5.2703333333333298</v>
      </c>
      <c r="S626" s="429">
        <f t="shared" si="70"/>
        <v>63.368833333333299</v>
      </c>
    </row>
    <row r="627" spans="1:19">
      <c r="A627" s="429"/>
      <c r="B627" s="429"/>
      <c r="C627" s="429"/>
      <c r="D627" s="430" t="s">
        <v>1829</v>
      </c>
      <c r="E627" s="428" t="str">
        <f t="shared" si="63"/>
        <v/>
      </c>
      <c r="F627" s="429">
        <f t="shared" ref="F627:R627" si="71">SUM(F623:F626)</f>
        <v>37.581166666666633</v>
      </c>
      <c r="G627" s="429">
        <f t="shared" si="71"/>
        <v>37.576916666666691</v>
      </c>
      <c r="H627" s="429">
        <f t="shared" si="71"/>
        <v>37.552249999999958</v>
      </c>
      <c r="I627" s="429">
        <f t="shared" si="71"/>
        <v>37.535666666666629</v>
      </c>
      <c r="J627" s="429">
        <f t="shared" si="71"/>
        <v>37.508166666666632</v>
      </c>
      <c r="K627" s="429">
        <f t="shared" si="71"/>
        <v>37.507833333333288</v>
      </c>
      <c r="L627" s="429">
        <f t="shared" si="71"/>
        <v>37.506999999999991</v>
      </c>
      <c r="M627" s="429">
        <f t="shared" si="71"/>
        <v>37.506999999999991</v>
      </c>
      <c r="N627" s="429">
        <f t="shared" si="71"/>
        <v>37.506999999999991</v>
      </c>
      <c r="O627" s="429">
        <f t="shared" si="71"/>
        <v>37.506999999999991</v>
      </c>
      <c r="P627" s="429">
        <f t="shared" si="71"/>
        <v>37.506999999999991</v>
      </c>
      <c r="Q627" s="429">
        <f t="shared" si="71"/>
        <v>37.506999999999991</v>
      </c>
      <c r="R627" s="429">
        <f t="shared" si="71"/>
        <v>37.506999999999991</v>
      </c>
      <c r="S627" s="429">
        <f t="shared" si="70"/>
        <v>450.2298333333332</v>
      </c>
    </row>
    <row r="628" spans="1:19">
      <c r="A628" s="429"/>
      <c r="B628" s="429"/>
      <c r="C628" s="429"/>
      <c r="D628" s="430"/>
      <c r="E628" s="428" t="str">
        <f t="shared" si="63"/>
        <v/>
      </c>
      <c r="F628" s="429"/>
      <c r="G628" s="429"/>
      <c r="H628" s="429"/>
      <c r="I628" s="429"/>
      <c r="J628" s="429"/>
      <c r="K628" s="429"/>
      <c r="L628" s="429"/>
      <c r="M628" s="429"/>
      <c r="N628" s="429"/>
      <c r="O628" s="429"/>
      <c r="P628" s="429"/>
      <c r="Q628" s="429"/>
      <c r="R628" s="429"/>
      <c r="S628" s="429">
        <f t="shared" si="70"/>
        <v>0</v>
      </c>
    </row>
    <row r="629" spans="1:19">
      <c r="A629" s="429"/>
      <c r="B629" s="429"/>
      <c r="C629" s="429"/>
      <c r="D629" s="721" t="s">
        <v>2515</v>
      </c>
      <c r="E629" s="428" t="str">
        <f t="shared" si="63"/>
        <v/>
      </c>
      <c r="F629" s="429"/>
      <c r="G629" s="429"/>
      <c r="H629" s="429"/>
      <c r="I629" s="429"/>
      <c r="J629" s="429"/>
      <c r="K629" s="429"/>
      <c r="L629" s="429"/>
      <c r="M629" s="429"/>
      <c r="N629" s="429"/>
      <c r="O629" s="429"/>
      <c r="P629" s="429"/>
      <c r="Q629" s="429"/>
      <c r="R629" s="429"/>
      <c r="S629" s="429">
        <f t="shared" si="70"/>
        <v>0</v>
      </c>
    </row>
    <row r="630" spans="1:19">
      <c r="A630" s="429" t="str">
        <f t="shared" ref="A630:A637" si="72">MID($D630,4,2)</f>
        <v>KU</v>
      </c>
      <c r="B630" s="429" t="str">
        <f t="shared" ref="B630:B637" si="73">IF(MID($D630,12,2)="- ","KY",MID($D630,12,2))</f>
        <v>KY</v>
      </c>
      <c r="C630" s="429" t="str">
        <f t="shared" ref="C630:C637" si="74">MID($D630,8,3)</f>
        <v>311</v>
      </c>
      <c r="D630" s="430" t="s">
        <v>2194</v>
      </c>
      <c r="E630" s="428" t="str">
        <f t="shared" si="63"/>
        <v>ECR</v>
      </c>
      <c r="F630" s="429">
        <v>0</v>
      </c>
      <c r="G630" s="429">
        <v>0.06</v>
      </c>
      <c r="H630" s="429">
        <v>0.06</v>
      </c>
      <c r="I630" s="429">
        <v>0.06</v>
      </c>
      <c r="J630" s="429">
        <v>0.06</v>
      </c>
      <c r="K630" s="429">
        <v>0.06</v>
      </c>
      <c r="L630" s="429">
        <v>0.06</v>
      </c>
      <c r="M630" s="429">
        <v>0.06</v>
      </c>
      <c r="N630" s="429">
        <v>0.06</v>
      </c>
      <c r="O630" s="429">
        <v>0.06</v>
      </c>
      <c r="P630" s="429">
        <v>0.06</v>
      </c>
      <c r="Q630" s="429">
        <v>0.06</v>
      </c>
      <c r="R630" s="429">
        <v>0.06</v>
      </c>
      <c r="S630" s="429">
        <f t="shared" si="70"/>
        <v>0.7200000000000002</v>
      </c>
    </row>
    <row r="631" spans="1:19">
      <c r="A631" s="429" t="str">
        <f t="shared" si="72"/>
        <v>KU</v>
      </c>
      <c r="B631" s="429" t="str">
        <f t="shared" si="73"/>
        <v>KY</v>
      </c>
      <c r="C631" s="429" t="str">
        <f t="shared" si="74"/>
        <v>312</v>
      </c>
      <c r="D631" s="430" t="s">
        <v>1733</v>
      </c>
      <c r="E631" s="428" t="str">
        <f t="shared" si="63"/>
        <v/>
      </c>
      <c r="F631" s="429">
        <v>57.539833333333299</v>
      </c>
      <c r="G631" s="429">
        <v>51.928333333333299</v>
      </c>
      <c r="H631" s="429">
        <v>51.926499999999997</v>
      </c>
      <c r="I631" s="429">
        <v>51.926499999999997</v>
      </c>
      <c r="J631" s="429">
        <v>51.926499999999997</v>
      </c>
      <c r="K631" s="429">
        <v>51.926499999999997</v>
      </c>
      <c r="L631" s="429">
        <v>51.9151666666667</v>
      </c>
      <c r="M631" s="429">
        <v>51.9151666666667</v>
      </c>
      <c r="N631" s="429">
        <v>51.9151666666667</v>
      </c>
      <c r="O631" s="429">
        <v>51.9151666666667</v>
      </c>
      <c r="P631" s="429">
        <v>51.9151666666667</v>
      </c>
      <c r="Q631" s="429">
        <v>51.9151666666667</v>
      </c>
      <c r="R631" s="429">
        <v>51.9151666666667</v>
      </c>
      <c r="S631" s="429">
        <f t="shared" si="70"/>
        <v>623.04050000000018</v>
      </c>
    </row>
    <row r="632" spans="1:19">
      <c r="A632" s="429" t="str">
        <f t="shared" si="72"/>
        <v>KU</v>
      </c>
      <c r="B632" s="429" t="str">
        <f t="shared" si="73"/>
        <v>KY</v>
      </c>
      <c r="C632" s="429" t="str">
        <f t="shared" si="74"/>
        <v>312</v>
      </c>
      <c r="D632" s="430" t="s">
        <v>1734</v>
      </c>
      <c r="E632" s="428" t="str">
        <f t="shared" si="63"/>
        <v>ECR</v>
      </c>
      <c r="F632" s="429">
        <v>0</v>
      </c>
      <c r="G632" s="429">
        <v>0.118333333333333</v>
      </c>
      <c r="H632" s="429">
        <v>0.118333333333333</v>
      </c>
      <c r="I632" s="429">
        <v>0.118333333333333</v>
      </c>
      <c r="J632" s="429">
        <v>0.118333333333333</v>
      </c>
      <c r="K632" s="429">
        <v>0.118333333333333</v>
      </c>
      <c r="L632" s="429">
        <v>0.118333333333333</v>
      </c>
      <c r="M632" s="429">
        <v>0.118333333333333</v>
      </c>
      <c r="N632" s="429">
        <v>0.118333333333333</v>
      </c>
      <c r="O632" s="429">
        <v>0.118333333333333</v>
      </c>
      <c r="P632" s="429">
        <v>0.118333333333333</v>
      </c>
      <c r="Q632" s="429">
        <v>0.118333333333333</v>
      </c>
      <c r="R632" s="429">
        <v>0.118333333333333</v>
      </c>
      <c r="S632" s="429">
        <f t="shared" si="70"/>
        <v>1.4199999999999957</v>
      </c>
    </row>
    <row r="633" spans="1:19">
      <c r="A633" s="429" t="str">
        <f t="shared" si="72"/>
        <v>KU</v>
      </c>
      <c r="B633" s="429" t="str">
        <f t="shared" si="73"/>
        <v>KY</v>
      </c>
      <c r="C633" s="429" t="str">
        <f t="shared" si="74"/>
        <v>312</v>
      </c>
      <c r="D633" s="430" t="s">
        <v>1735</v>
      </c>
      <c r="E633" s="428"/>
      <c r="F633" s="429">
        <v>0</v>
      </c>
      <c r="G633" s="429">
        <v>5.3594999999999997</v>
      </c>
      <c r="H633" s="429">
        <v>5.3594999999999997</v>
      </c>
      <c r="I633" s="429">
        <v>5.3594999999999997</v>
      </c>
      <c r="J633" s="429">
        <v>5.3594999999999997</v>
      </c>
      <c r="K633" s="429">
        <v>5.3594999999999997</v>
      </c>
      <c r="L633" s="429">
        <v>5.3594999999999997</v>
      </c>
      <c r="M633" s="429">
        <v>5.3594999999999997</v>
      </c>
      <c r="N633" s="429">
        <v>5.3594999999999997</v>
      </c>
      <c r="O633" s="429">
        <v>5.3594999999999997</v>
      </c>
      <c r="P633" s="429">
        <v>5.3594999999999997</v>
      </c>
      <c r="Q633" s="429">
        <v>5.3594999999999997</v>
      </c>
      <c r="R633" s="429">
        <v>5.3594999999999997</v>
      </c>
      <c r="S633" s="429">
        <f t="shared" si="70"/>
        <v>64.313999999999979</v>
      </c>
    </row>
    <row r="634" spans="1:19">
      <c r="A634" s="429" t="str">
        <f t="shared" si="72"/>
        <v>KU</v>
      </c>
      <c r="B634" s="429" t="str">
        <f t="shared" si="73"/>
        <v>KY</v>
      </c>
      <c r="C634" s="429" t="str">
        <f t="shared" si="74"/>
        <v>315</v>
      </c>
      <c r="D634" s="430" t="s">
        <v>1739</v>
      </c>
      <c r="E634" s="428"/>
      <c r="F634" s="429">
        <v>0</v>
      </c>
      <c r="G634" s="429">
        <v>6.7916666666666695E-2</v>
      </c>
      <c r="H634" s="429">
        <v>6.7916666666666695E-2</v>
      </c>
      <c r="I634" s="429">
        <v>6.7916666666666695E-2</v>
      </c>
      <c r="J634" s="429">
        <v>6.7916666666666695E-2</v>
      </c>
      <c r="K634" s="429">
        <v>6.7916666666666695E-2</v>
      </c>
      <c r="L634" s="429">
        <v>6.7916666666666695E-2</v>
      </c>
      <c r="M634" s="429">
        <v>6.7916666666666695E-2</v>
      </c>
      <c r="N634" s="429">
        <v>6.7916666666666695E-2</v>
      </c>
      <c r="O634" s="429">
        <v>6.7916666666666695E-2</v>
      </c>
      <c r="P634" s="429">
        <v>6.7916666666666695E-2</v>
      </c>
      <c r="Q634" s="429">
        <v>6.7916666666666695E-2</v>
      </c>
      <c r="R634" s="429">
        <v>6.7916666666666695E-2</v>
      </c>
      <c r="S634" s="429">
        <f t="shared" si="70"/>
        <v>0.8150000000000005</v>
      </c>
    </row>
    <row r="635" spans="1:19">
      <c r="A635" s="429" t="str">
        <f t="shared" si="72"/>
        <v>KU</v>
      </c>
      <c r="B635" s="429" t="str">
        <f t="shared" si="73"/>
        <v>KY</v>
      </c>
      <c r="C635" s="429" t="str">
        <f t="shared" si="74"/>
        <v>334</v>
      </c>
      <c r="D635" s="430" t="s">
        <v>1746</v>
      </c>
      <c r="E635" s="428"/>
      <c r="F635" s="429">
        <v>0.26774999999999999</v>
      </c>
      <c r="G635" s="429">
        <v>0.26774999999999999</v>
      </c>
      <c r="H635" s="429">
        <v>0.26774999999999999</v>
      </c>
      <c r="I635" s="429">
        <v>0.26774999999999999</v>
      </c>
      <c r="J635" s="429">
        <v>0.26774999999999999</v>
      </c>
      <c r="K635" s="429">
        <v>0.26774999999999999</v>
      </c>
      <c r="L635" s="429">
        <v>0.26774999999999999</v>
      </c>
      <c r="M635" s="429">
        <v>0.26774999999999999</v>
      </c>
      <c r="N635" s="429">
        <v>0.26774999999999999</v>
      </c>
      <c r="O635" s="429">
        <v>0.26774999999999999</v>
      </c>
      <c r="P635" s="429">
        <v>0.26774999999999999</v>
      </c>
      <c r="Q635" s="429">
        <v>0.26774999999999999</v>
      </c>
      <c r="R635" s="429">
        <v>0.26774999999999999</v>
      </c>
      <c r="S635" s="429">
        <f t="shared" si="70"/>
        <v>3.2129999999999996</v>
      </c>
    </row>
    <row r="636" spans="1:19">
      <c r="A636" s="429" t="str">
        <f t="shared" si="72"/>
        <v>KU</v>
      </c>
      <c r="B636" s="429" t="str">
        <f t="shared" si="73"/>
        <v>KY</v>
      </c>
      <c r="C636" s="429" t="str">
        <f t="shared" si="74"/>
        <v>342</v>
      </c>
      <c r="D636" s="430" t="s">
        <v>1752</v>
      </c>
      <c r="E636" s="428"/>
      <c r="F636" s="429">
        <v>15.3480833333333</v>
      </c>
      <c r="G636" s="429">
        <v>15.355499999999999</v>
      </c>
      <c r="H636" s="429">
        <v>15.355499999999999</v>
      </c>
      <c r="I636" s="429">
        <v>15.355499999999999</v>
      </c>
      <c r="J636" s="429">
        <v>15.355499999999999</v>
      </c>
      <c r="K636" s="429">
        <v>15.355499999999999</v>
      </c>
      <c r="L636" s="429">
        <v>15.355499999999999</v>
      </c>
      <c r="M636" s="429">
        <v>15.355499999999999</v>
      </c>
      <c r="N636" s="429">
        <v>15.355499999999999</v>
      </c>
      <c r="O636" s="429">
        <v>15.355499999999999</v>
      </c>
      <c r="P636" s="429">
        <v>15.355499999999999</v>
      </c>
      <c r="Q636" s="429">
        <v>15.355499999999999</v>
      </c>
      <c r="R636" s="429">
        <v>15.355499999999999</v>
      </c>
      <c r="S636" s="429">
        <f t="shared" si="70"/>
        <v>184.26600000000005</v>
      </c>
    </row>
    <row r="637" spans="1:19">
      <c r="A637" s="429" t="str">
        <f t="shared" si="72"/>
        <v>KU</v>
      </c>
      <c r="B637" s="429" t="str">
        <f t="shared" si="73"/>
        <v>KY</v>
      </c>
      <c r="C637" s="429" t="str">
        <f t="shared" si="74"/>
        <v>353</v>
      </c>
      <c r="D637" s="430" t="s">
        <v>1763</v>
      </c>
      <c r="E637" s="428" t="str">
        <f t="shared" si="63"/>
        <v/>
      </c>
      <c r="F637" s="429">
        <v>2.6718333333333302</v>
      </c>
      <c r="G637" s="429">
        <v>2.6718333333333302</v>
      </c>
      <c r="H637" s="429">
        <v>2.67166666666667</v>
      </c>
      <c r="I637" s="429">
        <v>2.6715833333333299</v>
      </c>
      <c r="J637" s="429">
        <v>2.6715833333333299</v>
      </c>
      <c r="K637" s="429">
        <v>2.6709999999999998</v>
      </c>
      <c r="L637" s="429">
        <v>2.6709999999999998</v>
      </c>
      <c r="M637" s="429">
        <v>2.6709999999999998</v>
      </c>
      <c r="N637" s="429">
        <v>2.6709999999999998</v>
      </c>
      <c r="O637" s="429">
        <v>2.6709999999999998</v>
      </c>
      <c r="P637" s="429">
        <v>2.6709999999999998</v>
      </c>
      <c r="Q637" s="429">
        <v>2.6709999999999998</v>
      </c>
      <c r="R637" s="429">
        <v>2.6709999999999998</v>
      </c>
      <c r="S637" s="429">
        <f t="shared" si="70"/>
        <v>32.054666666666655</v>
      </c>
    </row>
    <row r="638" spans="1:19">
      <c r="A638" s="429"/>
      <c r="B638" s="429"/>
      <c r="C638" s="429"/>
      <c r="D638" s="430" t="s">
        <v>1829</v>
      </c>
      <c r="E638" s="428" t="str">
        <f t="shared" si="63"/>
        <v/>
      </c>
      <c r="F638" s="429">
        <f t="shared" ref="F638:R638" si="75">SUM(F630:F637)</f>
        <v>75.82749999999993</v>
      </c>
      <c r="G638" s="429">
        <f t="shared" si="75"/>
        <v>75.829166666666623</v>
      </c>
      <c r="H638" s="429">
        <f t="shared" si="75"/>
        <v>75.827166666666656</v>
      </c>
      <c r="I638" s="429">
        <f t="shared" si="75"/>
        <v>75.82708333333332</v>
      </c>
      <c r="J638" s="429">
        <f t="shared" si="75"/>
        <v>75.82708333333332</v>
      </c>
      <c r="K638" s="429">
        <f t="shared" si="75"/>
        <v>75.826499999999996</v>
      </c>
      <c r="L638" s="429">
        <f t="shared" si="75"/>
        <v>75.815166666666713</v>
      </c>
      <c r="M638" s="429">
        <f t="shared" si="75"/>
        <v>75.815166666666713</v>
      </c>
      <c r="N638" s="429">
        <f t="shared" si="75"/>
        <v>75.815166666666713</v>
      </c>
      <c r="O638" s="429">
        <f t="shared" si="75"/>
        <v>75.815166666666713</v>
      </c>
      <c r="P638" s="429">
        <f t="shared" si="75"/>
        <v>75.815166666666713</v>
      </c>
      <c r="Q638" s="429">
        <f t="shared" si="75"/>
        <v>75.815166666666713</v>
      </c>
      <c r="R638" s="429">
        <f t="shared" si="75"/>
        <v>75.815166666666713</v>
      </c>
      <c r="S638" s="429">
        <f t="shared" si="70"/>
        <v>909.84316666666712</v>
      </c>
    </row>
    <row r="639" spans="1:19">
      <c r="A639" s="429"/>
      <c r="B639" s="429"/>
      <c r="C639" s="429"/>
      <c r="D639" s="430"/>
      <c r="E639" s="428" t="str">
        <f t="shared" si="63"/>
        <v/>
      </c>
      <c r="F639" s="429"/>
      <c r="G639" s="429"/>
      <c r="H639" s="429"/>
      <c r="I639" s="429"/>
      <c r="J639" s="429"/>
      <c r="K639" s="429"/>
      <c r="L639" s="429"/>
      <c r="M639" s="429"/>
      <c r="N639" s="429"/>
      <c r="O639" s="429"/>
      <c r="P639" s="429"/>
      <c r="Q639" s="429"/>
      <c r="R639" s="429"/>
      <c r="S639" s="429"/>
    </row>
    <row r="640" spans="1:19">
      <c r="A640" s="429"/>
      <c r="B640" s="429"/>
      <c r="C640" s="429"/>
      <c r="D640" s="721" t="s">
        <v>2516</v>
      </c>
      <c r="E640" s="428" t="str">
        <f t="shared" si="63"/>
        <v/>
      </c>
      <c r="F640" s="429"/>
      <c r="G640" s="429"/>
      <c r="H640" s="429"/>
      <c r="I640" s="429"/>
      <c r="J640" s="429"/>
      <c r="K640" s="429"/>
      <c r="L640" s="429"/>
      <c r="M640" s="429"/>
      <c r="N640" s="429"/>
      <c r="O640" s="429"/>
      <c r="P640" s="429"/>
      <c r="Q640" s="429"/>
      <c r="R640" s="429"/>
      <c r="S640" s="429"/>
    </row>
    <row r="641" spans="1:19">
      <c r="A641" s="429" t="str">
        <f t="shared" ref="A641:A644" si="76">MID($D641,4,2)</f>
        <v>KU</v>
      </c>
      <c r="B641" s="429" t="str">
        <f t="shared" ref="B641:B644" si="77">IF(MID($D641,12,2)="- ","KY",MID($D641,12,2))</f>
        <v>KY</v>
      </c>
      <c r="C641" s="429" t="str">
        <f t="shared" ref="C641:C644" si="78">MID($D641,8,3)</f>
        <v>312</v>
      </c>
      <c r="D641" s="430" t="s">
        <v>1733</v>
      </c>
      <c r="E641" s="428" t="str">
        <f t="shared" si="63"/>
        <v/>
      </c>
      <c r="F641" s="429">
        <v>17311.206963333301</v>
      </c>
      <c r="G641" s="429">
        <v>17341.464940000002</v>
      </c>
      <c r="H641" s="429">
        <v>17364.236653333301</v>
      </c>
      <c r="I641" s="429">
        <v>17396.463736666701</v>
      </c>
      <c r="J641" s="429">
        <v>17428.69082</v>
      </c>
      <c r="K641" s="429">
        <v>17460.917903333298</v>
      </c>
      <c r="L641" s="429">
        <v>17492.962653333401</v>
      </c>
      <c r="M641" s="429">
        <v>17525.189403333399</v>
      </c>
      <c r="N641" s="429">
        <v>17557.416153333401</v>
      </c>
      <c r="O641" s="429">
        <v>17589.642903333399</v>
      </c>
      <c r="P641" s="429">
        <v>17621.8696533334</v>
      </c>
      <c r="Q641" s="429">
        <v>17654.096403333398</v>
      </c>
      <c r="R641" s="429">
        <v>17686.3231533334</v>
      </c>
      <c r="S641" s="429"/>
    </row>
    <row r="642" spans="1:19">
      <c r="A642" s="429" t="str">
        <f t="shared" si="76"/>
        <v>KU</v>
      </c>
      <c r="B642" s="429" t="str">
        <f t="shared" si="77"/>
        <v>KY</v>
      </c>
      <c r="C642" s="429" t="str">
        <f t="shared" si="78"/>
        <v>334</v>
      </c>
      <c r="D642" s="430" t="s">
        <v>1746</v>
      </c>
      <c r="E642" s="428" t="str">
        <f t="shared" si="63"/>
        <v/>
      </c>
      <c r="F642" s="429">
        <v>3.3685000000000098</v>
      </c>
      <c r="G642" s="429">
        <v>3.3705833333333399</v>
      </c>
      <c r="H642" s="429">
        <v>3.37266666666667</v>
      </c>
      <c r="I642" s="429">
        <v>3.3747500000000099</v>
      </c>
      <c r="J642" s="429">
        <v>3.37683333333334</v>
      </c>
      <c r="K642" s="429">
        <v>3.3789166666666701</v>
      </c>
      <c r="L642" s="429">
        <v>3.38100000000001</v>
      </c>
      <c r="M642" s="429">
        <v>3.3830833333333401</v>
      </c>
      <c r="N642" s="429">
        <v>3.3851666666666702</v>
      </c>
      <c r="O642" s="429">
        <v>3.3872500000000101</v>
      </c>
      <c r="P642" s="429">
        <v>3.3893333333333402</v>
      </c>
      <c r="Q642" s="429">
        <v>3.3914166666666699</v>
      </c>
      <c r="R642" s="429">
        <v>3.3935000000000102</v>
      </c>
      <c r="S642" s="429"/>
    </row>
    <row r="643" spans="1:19">
      <c r="A643" s="429" t="str">
        <f t="shared" si="76"/>
        <v>KU</v>
      </c>
      <c r="B643" s="429" t="str">
        <f t="shared" si="77"/>
        <v>KY</v>
      </c>
      <c r="C643" s="429" t="str">
        <f t="shared" si="78"/>
        <v>342</v>
      </c>
      <c r="D643" s="430" t="s">
        <v>1752</v>
      </c>
      <c r="E643" s="428" t="str">
        <f t="shared" si="63"/>
        <v/>
      </c>
      <c r="F643" s="429">
        <v>1.6698233333333301</v>
      </c>
      <c r="G643" s="429">
        <v>1.6776566666666699</v>
      </c>
      <c r="H643" s="429">
        <v>1.6854899999999999</v>
      </c>
      <c r="I643" s="429">
        <v>1.69332333333333</v>
      </c>
      <c r="J643" s="429">
        <v>1.70115666666667</v>
      </c>
      <c r="K643" s="429">
        <v>1.70899</v>
      </c>
      <c r="L643" s="429">
        <v>1.71682333333333</v>
      </c>
      <c r="M643" s="429">
        <v>1.7246566666666701</v>
      </c>
      <c r="N643" s="429">
        <v>1.7324900000000001</v>
      </c>
      <c r="O643" s="429">
        <v>1.7403233333333299</v>
      </c>
      <c r="P643" s="429">
        <v>1.7481566666666699</v>
      </c>
      <c r="Q643" s="429">
        <v>1.7559899999999999</v>
      </c>
      <c r="R643" s="429">
        <v>1.76382333333333</v>
      </c>
      <c r="S643" s="429"/>
    </row>
    <row r="644" spans="1:19">
      <c r="A644" s="429" t="str">
        <f t="shared" si="76"/>
        <v>KU</v>
      </c>
      <c r="B644" s="429" t="str">
        <f t="shared" si="77"/>
        <v>KY</v>
      </c>
      <c r="C644" s="429" t="str">
        <f t="shared" si="78"/>
        <v>353</v>
      </c>
      <c r="D644" s="430" t="s">
        <v>1763</v>
      </c>
      <c r="E644" s="428" t="str">
        <f t="shared" si="63"/>
        <v/>
      </c>
      <c r="F644" s="429">
        <v>2614.4272366666701</v>
      </c>
      <c r="G644" s="429">
        <v>2619.70982</v>
      </c>
      <c r="H644" s="429">
        <v>2622.1655000000001</v>
      </c>
      <c r="I644" s="429">
        <v>2618.6492266666701</v>
      </c>
      <c r="J644" s="429">
        <v>2609.2175533333302</v>
      </c>
      <c r="K644" s="429">
        <v>2614.3015166666701</v>
      </c>
      <c r="L644" s="429">
        <v>2619.3316799999998</v>
      </c>
      <c r="M644" s="429">
        <v>2624.60201333333</v>
      </c>
      <c r="N644" s="429">
        <v>2629.8723466666702</v>
      </c>
      <c r="O644" s="429">
        <v>2635.1426799999999</v>
      </c>
      <c r="P644" s="429">
        <v>2640.4130133333301</v>
      </c>
      <c r="Q644" s="429">
        <v>2645.6833466666699</v>
      </c>
      <c r="R644" s="429">
        <v>2650.9536800000001</v>
      </c>
      <c r="S644" s="429"/>
    </row>
    <row r="645" spans="1:19">
      <c r="A645" s="429"/>
      <c r="B645" s="429"/>
      <c r="C645" s="429"/>
      <c r="D645" s="430" t="s">
        <v>1829</v>
      </c>
      <c r="E645" s="428" t="str">
        <f t="shared" si="63"/>
        <v/>
      </c>
      <c r="F645" s="429">
        <f t="shared" ref="F645:R645" si="79">SUM(F641:F644)</f>
        <v>19930.672523333305</v>
      </c>
      <c r="G645" s="429">
        <f t="shared" si="79"/>
        <v>19966.223000000002</v>
      </c>
      <c r="H645" s="429">
        <f t="shared" si="79"/>
        <v>19991.460309999966</v>
      </c>
      <c r="I645" s="429">
        <f t="shared" si="79"/>
        <v>20020.181036666705</v>
      </c>
      <c r="J645" s="429">
        <f t="shared" si="79"/>
        <v>20042.98636333333</v>
      </c>
      <c r="K645" s="429">
        <f t="shared" si="79"/>
        <v>20080.307326666636</v>
      </c>
      <c r="L645" s="429">
        <f t="shared" si="79"/>
        <v>20117.392156666734</v>
      </c>
      <c r="M645" s="429">
        <f t="shared" si="79"/>
        <v>20154.899156666728</v>
      </c>
      <c r="N645" s="429">
        <f t="shared" si="79"/>
        <v>20192.406156666737</v>
      </c>
      <c r="O645" s="429">
        <f t="shared" si="79"/>
        <v>20229.913156666731</v>
      </c>
      <c r="P645" s="429">
        <f t="shared" si="79"/>
        <v>20267.420156666733</v>
      </c>
      <c r="Q645" s="429">
        <f t="shared" si="79"/>
        <v>20304.927156666734</v>
      </c>
      <c r="R645" s="429">
        <f t="shared" si="79"/>
        <v>20342.434156666732</v>
      </c>
      <c r="S645" s="429"/>
    </row>
    <row r="646" spans="1:19">
      <c r="A646" s="429"/>
      <c r="B646" s="429"/>
      <c r="C646" s="429"/>
      <c r="D646" s="430"/>
      <c r="E646" s="428" t="str">
        <f t="shared" si="63"/>
        <v/>
      </c>
      <c r="F646" s="429"/>
      <c r="G646" s="429"/>
      <c r="H646" s="429"/>
      <c r="I646" s="429"/>
      <c r="J646" s="429"/>
      <c r="K646" s="429"/>
      <c r="L646" s="429"/>
      <c r="M646" s="429"/>
      <c r="N646" s="429"/>
      <c r="O646" s="429"/>
      <c r="P646" s="429"/>
      <c r="Q646" s="429"/>
      <c r="R646" s="429"/>
      <c r="S646" s="429"/>
    </row>
    <row r="647" spans="1:19">
      <c r="A647" s="429"/>
      <c r="B647" s="429"/>
      <c r="C647" s="429"/>
      <c r="D647" s="721" t="s">
        <v>2517</v>
      </c>
      <c r="E647" s="428" t="str">
        <f t="shared" si="63"/>
        <v/>
      </c>
      <c r="F647" s="429"/>
      <c r="G647" s="429"/>
      <c r="H647" s="429"/>
      <c r="I647" s="429"/>
      <c r="J647" s="429"/>
      <c r="K647" s="429"/>
      <c r="L647" s="429"/>
      <c r="M647" s="429"/>
      <c r="N647" s="429"/>
      <c r="O647" s="429"/>
      <c r="P647" s="429"/>
      <c r="Q647" s="429"/>
      <c r="R647" s="429"/>
      <c r="S647" s="429"/>
    </row>
    <row r="648" spans="1:19">
      <c r="A648" s="429" t="str">
        <f t="shared" ref="A648:A655" si="80">MID($D648,4,2)</f>
        <v>KU</v>
      </c>
      <c r="B648" s="429" t="str">
        <f t="shared" ref="B648:B655" si="81">IF(MID($D648,12,2)="- ","KY",MID($D648,12,2))</f>
        <v>KY</v>
      </c>
      <c r="C648" s="429" t="str">
        <f t="shared" ref="C648:C655" si="82">MID($D648,8,3)</f>
        <v>311</v>
      </c>
      <c r="D648" s="430" t="s">
        <v>2194</v>
      </c>
      <c r="E648" s="428" t="str">
        <f t="shared" si="63"/>
        <v>ECR</v>
      </c>
      <c r="F648" s="429">
        <v>0</v>
      </c>
      <c r="G648" s="429">
        <v>0.61775000000000002</v>
      </c>
      <c r="H648" s="429">
        <v>0.67774999999999996</v>
      </c>
      <c r="I648" s="429">
        <v>0.73775000000000002</v>
      </c>
      <c r="J648" s="429">
        <v>0.79774999999999996</v>
      </c>
      <c r="K648" s="429">
        <v>0.85775000000000001</v>
      </c>
      <c r="L648" s="429">
        <v>0.91774999999999995</v>
      </c>
      <c r="M648" s="429">
        <v>0.97775000000000001</v>
      </c>
      <c r="N648" s="429">
        <v>1.03775</v>
      </c>
      <c r="O648" s="429">
        <v>1.09775</v>
      </c>
      <c r="P648" s="429">
        <v>1.1577500000000001</v>
      </c>
      <c r="Q648" s="429">
        <v>1.2177500000000001</v>
      </c>
      <c r="R648" s="429">
        <v>1.2777499999999999</v>
      </c>
      <c r="S648" s="429"/>
    </row>
    <row r="649" spans="1:19">
      <c r="A649" s="429" t="str">
        <f t="shared" si="80"/>
        <v>KU</v>
      </c>
      <c r="B649" s="429" t="str">
        <f t="shared" si="81"/>
        <v>KY</v>
      </c>
      <c r="C649" s="429" t="str">
        <f t="shared" si="82"/>
        <v>312</v>
      </c>
      <c r="D649" s="430" t="s">
        <v>1733</v>
      </c>
      <c r="E649" s="428" t="str">
        <f t="shared" si="63"/>
        <v/>
      </c>
      <c r="F649" s="429">
        <v>6153.3930966666703</v>
      </c>
      <c r="G649" s="429">
        <v>6079.3658699999996</v>
      </c>
      <c r="H649" s="429">
        <v>6130.3217100000002</v>
      </c>
      <c r="I649" s="429">
        <v>6182.2482099999997</v>
      </c>
      <c r="J649" s="429">
        <v>6234.1747100000002</v>
      </c>
      <c r="K649" s="429">
        <v>6286.1012099999998</v>
      </c>
      <c r="L649" s="429">
        <v>6332.5132566666698</v>
      </c>
      <c r="M649" s="429">
        <v>6384.4284233333401</v>
      </c>
      <c r="N649" s="429">
        <v>6436.3435900000004</v>
      </c>
      <c r="O649" s="429">
        <v>6488.2587566666698</v>
      </c>
      <c r="P649" s="429">
        <v>6540.1739233333401</v>
      </c>
      <c r="Q649" s="429">
        <v>6592.0890900000004</v>
      </c>
      <c r="R649" s="429">
        <v>6644.0042566666698</v>
      </c>
      <c r="S649" s="429"/>
    </row>
    <row r="650" spans="1:19">
      <c r="A650" s="429" t="str">
        <f t="shared" si="80"/>
        <v>KU</v>
      </c>
      <c r="B650" s="429" t="str">
        <f t="shared" si="81"/>
        <v>KY</v>
      </c>
      <c r="C650" s="429" t="str">
        <f t="shared" si="82"/>
        <v>312</v>
      </c>
      <c r="D650" s="430" t="s">
        <v>1734</v>
      </c>
      <c r="E650" s="428" t="str">
        <f t="shared" si="63"/>
        <v>ECR</v>
      </c>
      <c r="F650" s="429">
        <v>0</v>
      </c>
      <c r="G650" s="429">
        <v>2.0893333333333302</v>
      </c>
      <c r="H650" s="429">
        <v>2.20766666666667</v>
      </c>
      <c r="I650" s="429">
        <v>2.3260000000000001</v>
      </c>
      <c r="J650" s="429">
        <v>2.4443333333333301</v>
      </c>
      <c r="K650" s="429">
        <v>2.56266666666667</v>
      </c>
      <c r="L650" s="429">
        <v>2.681</v>
      </c>
      <c r="M650" s="429">
        <v>2.7993333333333301</v>
      </c>
      <c r="N650" s="429">
        <v>2.91766666666667</v>
      </c>
      <c r="O650" s="429">
        <v>3.036</v>
      </c>
      <c r="P650" s="429">
        <v>3.1543333333333301</v>
      </c>
      <c r="Q650" s="429">
        <v>3.2726666666666699</v>
      </c>
      <c r="R650" s="429">
        <v>3.391</v>
      </c>
      <c r="S650" s="429"/>
    </row>
    <row r="651" spans="1:19">
      <c r="A651" s="429" t="str">
        <f t="shared" si="80"/>
        <v>KU</v>
      </c>
      <c r="B651" s="429" t="str">
        <f t="shared" si="81"/>
        <v>KY</v>
      </c>
      <c r="C651" s="429" t="str">
        <f t="shared" si="82"/>
        <v>312</v>
      </c>
      <c r="D651" s="430" t="s">
        <v>1735</v>
      </c>
      <c r="E651" s="428"/>
      <c r="F651" s="429">
        <v>0</v>
      </c>
      <c r="G651" s="429">
        <v>125.735666666667</v>
      </c>
      <c r="H651" s="429">
        <v>131.09516666666701</v>
      </c>
      <c r="I651" s="429">
        <v>136.45466666666701</v>
      </c>
      <c r="J651" s="429">
        <v>141.81416666666701</v>
      </c>
      <c r="K651" s="429">
        <v>147.173666666667</v>
      </c>
      <c r="L651" s="429">
        <v>152.533166666667</v>
      </c>
      <c r="M651" s="429">
        <v>157.892666666667</v>
      </c>
      <c r="N651" s="429">
        <v>163.25216666666699</v>
      </c>
      <c r="O651" s="429">
        <v>168.61166666666699</v>
      </c>
      <c r="P651" s="429">
        <v>173.97116666666699</v>
      </c>
      <c r="Q651" s="429">
        <v>179.33066666666701</v>
      </c>
      <c r="R651" s="429">
        <v>184.69016666666701</v>
      </c>
      <c r="S651" s="429"/>
    </row>
    <row r="652" spans="1:19">
      <c r="A652" s="429" t="str">
        <f t="shared" si="80"/>
        <v>KU</v>
      </c>
      <c r="B652" s="429" t="str">
        <f t="shared" si="81"/>
        <v>KY</v>
      </c>
      <c r="C652" s="429" t="str">
        <f t="shared" si="82"/>
        <v>315</v>
      </c>
      <c r="D652" s="430" t="s">
        <v>1739</v>
      </c>
      <c r="E652" s="428"/>
      <c r="F652" s="429">
        <v>0</v>
      </c>
      <c r="G652" s="429">
        <v>1.2847500000000001</v>
      </c>
      <c r="H652" s="429">
        <v>1.35266666666667</v>
      </c>
      <c r="I652" s="429">
        <v>1.42058333333333</v>
      </c>
      <c r="J652" s="429">
        <v>1.4884999999999999</v>
      </c>
      <c r="K652" s="429">
        <v>1.5564166666666699</v>
      </c>
      <c r="L652" s="429">
        <v>1.6243333333333301</v>
      </c>
      <c r="M652" s="429">
        <v>1.69225</v>
      </c>
      <c r="N652" s="429">
        <v>1.76016666666667</v>
      </c>
      <c r="O652" s="429">
        <v>1.82808333333333</v>
      </c>
      <c r="P652" s="429">
        <v>1.8959999999999999</v>
      </c>
      <c r="Q652" s="429">
        <v>1.9639166666666701</v>
      </c>
      <c r="R652" s="429">
        <v>2.03183333333333</v>
      </c>
      <c r="S652" s="429"/>
    </row>
    <row r="653" spans="1:19">
      <c r="A653" s="429" t="str">
        <f t="shared" si="80"/>
        <v>KU</v>
      </c>
      <c r="B653" s="429" t="str">
        <f t="shared" si="81"/>
        <v>KY</v>
      </c>
      <c r="C653" s="429" t="str">
        <f t="shared" si="82"/>
        <v>334</v>
      </c>
      <c r="D653" s="430" t="s">
        <v>1746</v>
      </c>
      <c r="E653" s="428"/>
      <c r="F653" s="429">
        <v>15.558</v>
      </c>
      <c r="G653" s="429">
        <v>15.825749999999999</v>
      </c>
      <c r="H653" s="429">
        <v>16.093499999999999</v>
      </c>
      <c r="I653" s="429">
        <v>16.361249999999998</v>
      </c>
      <c r="J653" s="429">
        <v>16.629000000000001</v>
      </c>
      <c r="K653" s="429">
        <v>16.896750000000001</v>
      </c>
      <c r="L653" s="429">
        <v>17.1645</v>
      </c>
      <c r="M653" s="429">
        <v>17.43225</v>
      </c>
      <c r="N653" s="429">
        <v>17.7</v>
      </c>
      <c r="O653" s="429">
        <v>17.967749999999999</v>
      </c>
      <c r="P653" s="429">
        <v>18.235499999999998</v>
      </c>
      <c r="Q653" s="429">
        <v>18.503250000000001</v>
      </c>
      <c r="R653" s="429">
        <v>18.771000000000001</v>
      </c>
      <c r="S653" s="429"/>
    </row>
    <row r="654" spans="1:19">
      <c r="A654" s="429" t="str">
        <f t="shared" si="80"/>
        <v>KU</v>
      </c>
      <c r="B654" s="429" t="str">
        <f t="shared" si="81"/>
        <v>KY</v>
      </c>
      <c r="C654" s="429" t="str">
        <f t="shared" si="82"/>
        <v>342</v>
      </c>
      <c r="D654" s="430" t="s">
        <v>1752</v>
      </c>
      <c r="E654" s="428"/>
      <c r="F654" s="429">
        <v>1530.77835</v>
      </c>
      <c r="G654" s="429">
        <v>1546.1338499999999</v>
      </c>
      <c r="H654" s="429">
        <v>1561.4893500000001</v>
      </c>
      <c r="I654" s="429">
        <v>1576.84485</v>
      </c>
      <c r="J654" s="429">
        <v>1592.2003500000001</v>
      </c>
      <c r="K654" s="429">
        <v>1607.55585</v>
      </c>
      <c r="L654" s="429">
        <v>1622.9113500000001</v>
      </c>
      <c r="M654" s="429">
        <v>1638.26685</v>
      </c>
      <c r="N654" s="429">
        <v>1653.6223500000001</v>
      </c>
      <c r="O654" s="429">
        <v>1668.97785</v>
      </c>
      <c r="P654" s="429">
        <v>1684.3333500000001</v>
      </c>
      <c r="Q654" s="429">
        <v>1699.68885</v>
      </c>
      <c r="R654" s="429">
        <v>1715.0443499999999</v>
      </c>
      <c r="S654" s="429"/>
    </row>
    <row r="655" spans="1:19">
      <c r="A655" s="429" t="str">
        <f t="shared" si="80"/>
        <v>KU</v>
      </c>
      <c r="B655" s="429" t="str">
        <f t="shared" si="81"/>
        <v>KY</v>
      </c>
      <c r="C655" s="429" t="str">
        <f t="shared" si="82"/>
        <v>353</v>
      </c>
      <c r="D655" s="430" t="s">
        <v>1763</v>
      </c>
      <c r="E655" s="428" t="str">
        <f t="shared" si="63"/>
        <v/>
      </c>
      <c r="F655" s="429">
        <v>296.81096666666701</v>
      </c>
      <c r="G655" s="429">
        <v>299.4828</v>
      </c>
      <c r="H655" s="429">
        <v>302.04061666666701</v>
      </c>
      <c r="I655" s="429">
        <v>304.70377999999999</v>
      </c>
      <c r="J655" s="429">
        <v>307.37536333333298</v>
      </c>
      <c r="K655" s="429">
        <v>309.704563333333</v>
      </c>
      <c r="L655" s="429">
        <v>312.37556333333299</v>
      </c>
      <c r="M655" s="429">
        <v>315.04656333333298</v>
      </c>
      <c r="N655" s="429">
        <v>317.71756333333298</v>
      </c>
      <c r="O655" s="429">
        <v>320.38856333333302</v>
      </c>
      <c r="P655" s="429">
        <v>323.05956333333302</v>
      </c>
      <c r="Q655" s="429">
        <v>325.73056333333301</v>
      </c>
      <c r="R655" s="429">
        <v>328.401563333333</v>
      </c>
      <c r="S655" s="429"/>
    </row>
    <row r="656" spans="1:19">
      <c r="A656" s="429"/>
      <c r="B656" s="429"/>
      <c r="C656" s="429"/>
      <c r="D656" s="430" t="s">
        <v>1829</v>
      </c>
      <c r="E656" s="428" t="str">
        <f t="shared" si="63"/>
        <v/>
      </c>
      <c r="F656" s="429">
        <f t="shared" ref="F656:R656" si="83">SUM(F648:F655)</f>
        <v>7996.5404133333368</v>
      </c>
      <c r="G656" s="429">
        <f t="shared" si="83"/>
        <v>8070.5357700000004</v>
      </c>
      <c r="H656" s="429">
        <f t="shared" si="83"/>
        <v>8145.2784266666667</v>
      </c>
      <c r="I656" s="429">
        <f t="shared" si="83"/>
        <v>8221.0970900000011</v>
      </c>
      <c r="J656" s="429">
        <f t="shared" si="83"/>
        <v>8296.9241733333329</v>
      </c>
      <c r="K656" s="429">
        <f t="shared" si="83"/>
        <v>8372.4088733333319</v>
      </c>
      <c r="L656" s="429">
        <f t="shared" si="83"/>
        <v>8442.7209200000016</v>
      </c>
      <c r="M656" s="429">
        <f t="shared" si="83"/>
        <v>8518.5360866666742</v>
      </c>
      <c r="N656" s="429">
        <f t="shared" si="83"/>
        <v>8594.3512533333342</v>
      </c>
      <c r="O656" s="429">
        <f t="shared" si="83"/>
        <v>8670.1664200000032</v>
      </c>
      <c r="P656" s="429">
        <f t="shared" si="83"/>
        <v>8745.9815866666722</v>
      </c>
      <c r="Q656" s="429">
        <f t="shared" si="83"/>
        <v>8821.7967533333322</v>
      </c>
      <c r="R656" s="429">
        <f t="shared" si="83"/>
        <v>8897.611920000003</v>
      </c>
      <c r="S656" s="429"/>
    </row>
  </sheetData>
  <pageMargins left="0.75" right="0.75" top="1" bottom="1" header="0.5" footer="0.5"/>
  <pageSetup scale="4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P47"/>
  <sheetViews>
    <sheetView workbookViewId="0">
      <pane xSplit="2" ySplit="3" topLeftCell="C4" activePane="bottomRight" state="frozen"/>
      <selection pane="topRight" activeCell="B1" sqref="B1"/>
      <selection pane="bottomLeft" activeCell="A4" sqref="A4"/>
      <selection pane="bottomRight" activeCell="C4" sqref="C4"/>
    </sheetView>
  </sheetViews>
  <sheetFormatPr defaultColWidth="7.77734375" defaultRowHeight="15"/>
  <cols>
    <col min="1" max="1" width="13.44140625" style="235" customWidth="1"/>
    <col min="2" max="2" width="26.88671875" style="451" customWidth="1"/>
    <col min="3" max="3" width="11" style="459" customWidth="1"/>
    <col min="4" max="4" width="10.44140625" style="452" bestFit="1" customWidth="1"/>
    <col min="5" max="5" width="10.77734375" style="452" bestFit="1" customWidth="1"/>
    <col min="6" max="6" width="10.33203125" style="452" bestFit="1" customWidth="1"/>
    <col min="7" max="7" width="11" style="452" bestFit="1" customWidth="1"/>
    <col min="8" max="16" width="9.33203125" style="452" customWidth="1"/>
    <col min="17" max="16384" width="7.77734375" style="235"/>
  </cols>
  <sheetData>
    <row r="1" spans="1:16" s="401" customFormat="1" ht="18.75">
      <c r="B1" s="432"/>
      <c r="C1" s="454"/>
      <c r="D1" s="453"/>
      <c r="E1" s="453"/>
      <c r="F1" s="453"/>
      <c r="G1" s="453"/>
      <c r="H1" s="453"/>
      <c r="I1" s="453"/>
      <c r="J1" s="453"/>
      <c r="K1" s="453"/>
      <c r="L1" s="453"/>
      <c r="M1" s="453"/>
      <c r="N1" s="453"/>
      <c r="O1" s="453"/>
      <c r="P1" s="453"/>
    </row>
    <row r="2" spans="1:16" s="401" customFormat="1">
      <c r="A2" s="401" t="s">
        <v>2220</v>
      </c>
      <c r="B2" s="402" t="s">
        <v>2183</v>
      </c>
      <c r="C2" s="455" t="s">
        <v>2216</v>
      </c>
      <c r="D2" s="445" t="s">
        <v>2504</v>
      </c>
      <c r="E2" s="445" t="s">
        <v>2473</v>
      </c>
      <c r="F2" s="445" t="s">
        <v>2474</v>
      </c>
      <c r="G2" s="445" t="s">
        <v>2475</v>
      </c>
      <c r="H2" s="445" t="s">
        <v>2476</v>
      </c>
      <c r="I2" s="445" t="s">
        <v>2477</v>
      </c>
      <c r="J2" s="445" t="s">
        <v>2478</v>
      </c>
      <c r="K2" s="445" t="s">
        <v>2400</v>
      </c>
      <c r="L2" s="445" t="s">
        <v>2401</v>
      </c>
      <c r="M2" s="445" t="s">
        <v>2402</v>
      </c>
      <c r="N2" s="445" t="s">
        <v>2403</v>
      </c>
      <c r="O2" s="445" t="s">
        <v>2404</v>
      </c>
      <c r="P2" s="445" t="s">
        <v>2405</v>
      </c>
    </row>
    <row r="3" spans="1:16" s="401" customFormat="1">
      <c r="B3" s="444"/>
      <c r="C3" s="456"/>
      <c r="D3" s="445"/>
      <c r="E3" s="445"/>
      <c r="F3" s="445"/>
      <c r="G3" s="445"/>
      <c r="H3" s="445"/>
      <c r="I3" s="445"/>
      <c r="J3" s="445"/>
      <c r="K3" s="445"/>
      <c r="L3" s="445"/>
      <c r="M3" s="445"/>
      <c r="N3" s="445"/>
      <c r="O3" s="445"/>
      <c r="P3" s="445"/>
    </row>
    <row r="4" spans="1:16">
      <c r="B4" s="446"/>
      <c r="C4" s="457"/>
      <c r="D4" s="447"/>
      <c r="E4" s="447"/>
      <c r="F4" s="447"/>
      <c r="G4" s="447"/>
      <c r="H4" s="447"/>
      <c r="I4" s="447"/>
      <c r="J4" s="447"/>
      <c r="K4" s="447"/>
      <c r="L4" s="447"/>
      <c r="M4" s="447"/>
      <c r="N4" s="447"/>
      <c r="O4" s="447"/>
      <c r="P4" s="447"/>
    </row>
    <row r="5" spans="1:16">
      <c r="B5" s="448" t="s">
        <v>1481</v>
      </c>
      <c r="C5" s="458"/>
      <c r="D5" s="449"/>
      <c r="E5" s="449"/>
      <c r="F5" s="449"/>
      <c r="G5" s="449"/>
      <c r="H5" s="449"/>
      <c r="I5" s="449"/>
      <c r="J5" s="449"/>
      <c r="K5" s="449"/>
      <c r="L5" s="449"/>
      <c r="M5" s="449"/>
      <c r="N5" s="449"/>
      <c r="O5" s="449"/>
      <c r="P5" s="449"/>
    </row>
    <row r="6" spans="1:16">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516" t="s">
        <v>1482</v>
      </c>
      <c r="C6" s="457" t="str">
        <f t="shared" ref="C6:C45" si="1">IF(ISTEXT(MID($B6,SEARCH("FUTURE USE",$B6),3)),"FUTURE USE",IF(ISTEXT(MID($B6,SEARCH("ECR",$B6),3)),"ECR",IF(ISTEXT(MID($B6,SEARCH("ARO",$B6),3)),"ARO",IF(ISTEXT(MID($B6,SEARCH("DSM",$B6),3)),"DSM",IF(ISTEXT(MID($B6,SEARCH("GLT",$B6),3)),"GLT","")))))</f>
        <v/>
      </c>
      <c r="D6" s="517">
        <v>39231.667549999998</v>
      </c>
      <c r="E6" s="517">
        <v>38769.503419999899</v>
      </c>
      <c r="F6" s="517">
        <v>34294.006579999899</v>
      </c>
      <c r="G6" s="517">
        <v>39227.197419999997</v>
      </c>
      <c r="H6" s="517">
        <v>37676.143819999998</v>
      </c>
      <c r="I6" s="517">
        <v>38767.468209999897</v>
      </c>
      <c r="J6" s="517">
        <v>42057.601289999897</v>
      </c>
      <c r="K6" s="517">
        <v>28831.774570000001</v>
      </c>
      <c r="L6" s="517">
        <v>32487.28426</v>
      </c>
      <c r="M6" s="517">
        <v>35526.463210000002</v>
      </c>
      <c r="N6" s="517">
        <v>34959.499080000001</v>
      </c>
      <c r="O6" s="517">
        <v>38324.224269999999</v>
      </c>
      <c r="P6" s="517">
        <v>6976.1981599999999</v>
      </c>
    </row>
    <row r="7" spans="1:16">
      <c r="A7" s="235" t="str">
        <f t="shared" si="0"/>
        <v>DISTRIBUTION</v>
      </c>
      <c r="B7" s="516" t="s">
        <v>1483</v>
      </c>
      <c r="C7" s="457" t="str">
        <f t="shared" si="1"/>
        <v/>
      </c>
      <c r="D7" s="517">
        <v>1261.8007</v>
      </c>
      <c r="E7" s="517">
        <v>1248.2660800000001</v>
      </c>
      <c r="F7" s="517">
        <v>1272.3283300000001</v>
      </c>
      <c r="G7" s="517">
        <v>1477.4338699999901</v>
      </c>
      <c r="H7" s="517">
        <v>985.28201000000001</v>
      </c>
      <c r="I7" s="517">
        <v>944.45998999999995</v>
      </c>
      <c r="J7" s="517">
        <v>1177.60313</v>
      </c>
      <c r="K7" s="517">
        <v>661.45</v>
      </c>
      <c r="L7" s="517">
        <v>830.59630000000004</v>
      </c>
      <c r="M7" s="517">
        <v>892.91886999999997</v>
      </c>
      <c r="N7" s="517">
        <v>933.92498000000001</v>
      </c>
      <c r="O7" s="517">
        <v>969.18271000000004</v>
      </c>
      <c r="P7" s="517">
        <v>2.2737367544323201E-13</v>
      </c>
    </row>
    <row r="8" spans="1:16">
      <c r="A8" s="235" t="str">
        <f t="shared" si="0"/>
        <v>GENERAL</v>
      </c>
      <c r="B8" s="516" t="s">
        <v>1484</v>
      </c>
      <c r="C8" s="457" t="str">
        <f t="shared" si="1"/>
        <v/>
      </c>
      <c r="D8" s="517">
        <v>14572.155579999901</v>
      </c>
      <c r="E8" s="517">
        <v>6490.9542899999897</v>
      </c>
      <c r="F8" s="517">
        <v>6447.7974000000004</v>
      </c>
      <c r="G8" s="517">
        <v>4884.9563900000003</v>
      </c>
      <c r="H8" s="517">
        <v>5433.0735999999997</v>
      </c>
      <c r="I8" s="517">
        <v>6075.6427999999996</v>
      </c>
      <c r="J8" s="517">
        <v>9366.6735800000006</v>
      </c>
      <c r="K8" s="517">
        <v>9563.6066300000002</v>
      </c>
      <c r="L8" s="517">
        <v>12122.61297</v>
      </c>
      <c r="M8" s="517">
        <v>12842.806780000001</v>
      </c>
      <c r="N8" s="517">
        <v>12549.60478</v>
      </c>
      <c r="O8" s="517">
        <v>9567.55818</v>
      </c>
      <c r="P8" s="517">
        <v>7490.5068600000004</v>
      </c>
    </row>
    <row r="9" spans="1:16">
      <c r="A9" s="235" t="str">
        <f t="shared" si="0"/>
        <v>GENERAL</v>
      </c>
      <c r="B9" s="518" t="s">
        <v>1485</v>
      </c>
      <c r="C9" s="457" t="str">
        <f t="shared" si="1"/>
        <v/>
      </c>
      <c r="D9" s="519">
        <v>140.25201999999999</v>
      </c>
      <c r="E9" s="519">
        <v>158.75547</v>
      </c>
      <c r="F9" s="519">
        <v>143.80906999999999</v>
      </c>
      <c r="G9" s="519">
        <v>126.35114</v>
      </c>
      <c r="H9" s="519">
        <v>127.99363</v>
      </c>
      <c r="I9" s="519">
        <v>137.49930000000001</v>
      </c>
      <c r="J9" s="519">
        <v>240.79686000000001</v>
      </c>
      <c r="K9" s="519">
        <v>735.75260000000003</v>
      </c>
      <c r="L9" s="519">
        <v>1143.7734599999999</v>
      </c>
      <c r="M9" s="519">
        <v>1451.45587</v>
      </c>
      <c r="N9" s="519">
        <v>1900.18777</v>
      </c>
      <c r="O9" s="519">
        <v>2014.38861</v>
      </c>
      <c r="P9" s="519">
        <v>2363.1906199999999</v>
      </c>
    </row>
    <row r="10" spans="1:16">
      <c r="A10" s="235" t="str">
        <f t="shared" si="0"/>
        <v>PRODUCTION</v>
      </c>
      <c r="B10" s="516" t="s">
        <v>1486</v>
      </c>
      <c r="C10" s="457" t="str">
        <f t="shared" si="1"/>
        <v/>
      </c>
      <c r="D10" s="517">
        <v>1066.65499</v>
      </c>
      <c r="E10" s="517">
        <v>1052.4309000000001</v>
      </c>
      <c r="F10" s="517">
        <v>1097.56907</v>
      </c>
      <c r="G10" s="517">
        <v>1127.4306200000001</v>
      </c>
      <c r="H10" s="517">
        <v>1178.65966</v>
      </c>
      <c r="I10" s="517">
        <v>1186.0483099999999</v>
      </c>
      <c r="J10" s="517">
        <v>1207.9936600000001</v>
      </c>
      <c r="K10" s="517">
        <v>1213.1980305274201</v>
      </c>
      <c r="L10" s="517">
        <v>216.75023052742199</v>
      </c>
      <c r="M10" s="517">
        <v>291.75023052742199</v>
      </c>
      <c r="N10" s="517">
        <v>541.75023052742199</v>
      </c>
      <c r="O10" s="517">
        <v>216.75023052742199</v>
      </c>
      <c r="P10" s="517">
        <v>216.75023052742199</v>
      </c>
    </row>
    <row r="11" spans="1:16">
      <c r="A11" s="235" t="str">
        <f t="shared" si="0"/>
        <v>INTANGIBLE</v>
      </c>
      <c r="B11" s="516" t="s">
        <v>1487</v>
      </c>
      <c r="C11" s="457" t="str">
        <f t="shared" si="1"/>
        <v/>
      </c>
      <c r="D11" s="517">
        <v>8990.9337499999001</v>
      </c>
      <c r="E11" s="517">
        <v>10487.228209999899</v>
      </c>
      <c r="F11" s="517">
        <v>12015.159890000001</v>
      </c>
      <c r="G11" s="517">
        <v>13695.0068499999</v>
      </c>
      <c r="H11" s="517">
        <v>15125.85938</v>
      </c>
      <c r="I11" s="517">
        <v>15990.5303099999</v>
      </c>
      <c r="J11" s="517">
        <v>17205.26007</v>
      </c>
      <c r="K11" s="517">
        <v>14241.7472599999</v>
      </c>
      <c r="L11" s="517">
        <v>14984.0136099999</v>
      </c>
      <c r="M11" s="517">
        <v>15645.3788299999</v>
      </c>
      <c r="N11" s="517">
        <v>10943.709989999899</v>
      </c>
      <c r="O11" s="517">
        <v>12146.3820499999</v>
      </c>
      <c r="P11" s="517">
        <v>9971.1445099999892</v>
      </c>
    </row>
    <row r="12" spans="1:16">
      <c r="A12" s="235" t="str">
        <f t="shared" si="0"/>
        <v/>
      </c>
      <c r="B12" s="516" t="s">
        <v>1488</v>
      </c>
      <c r="C12" s="457" t="str">
        <f t="shared" si="1"/>
        <v/>
      </c>
      <c r="D12" s="517">
        <v>538.41215</v>
      </c>
      <c r="E12" s="517">
        <v>533.30118000000004</v>
      </c>
      <c r="F12" s="517">
        <v>538.87492999999995</v>
      </c>
      <c r="G12" s="517">
        <v>546.86932000000002</v>
      </c>
      <c r="H12" s="517">
        <v>546.87027</v>
      </c>
      <c r="I12" s="517">
        <v>555.46579999999994</v>
      </c>
      <c r="J12" s="517">
        <v>66.790839999999903</v>
      </c>
      <c r="K12" s="517">
        <v>8.1572799999999006</v>
      </c>
      <c r="L12" s="517">
        <v>20.000539999999901</v>
      </c>
      <c r="M12" s="517">
        <v>20.000539999999901</v>
      </c>
      <c r="N12" s="517">
        <v>20.000539999999901</v>
      </c>
      <c r="O12" s="517">
        <v>20.000539999999901</v>
      </c>
      <c r="P12" s="517">
        <v>20.000539999999901</v>
      </c>
    </row>
    <row r="13" spans="1:16">
      <c r="A13" s="235" t="str">
        <f t="shared" si="0"/>
        <v/>
      </c>
      <c r="B13" s="516" t="s">
        <v>2518</v>
      </c>
      <c r="C13" s="457" t="str">
        <f t="shared" si="1"/>
        <v/>
      </c>
      <c r="D13" s="517">
        <v>0</v>
      </c>
      <c r="E13" s="517">
        <v>0</v>
      </c>
      <c r="F13" s="517">
        <v>0</v>
      </c>
      <c r="G13" s="517">
        <v>0</v>
      </c>
      <c r="H13" s="517">
        <v>0</v>
      </c>
      <c r="I13" s="517">
        <v>0</v>
      </c>
      <c r="J13" s="517">
        <v>493.78140999999999</v>
      </c>
      <c r="K13" s="517">
        <v>5.1064499999999899</v>
      </c>
      <c r="L13" s="517">
        <v>130.00815</v>
      </c>
      <c r="M13" s="517">
        <v>0</v>
      </c>
      <c r="N13" s="517">
        <v>0</v>
      </c>
      <c r="O13" s="517">
        <v>0</v>
      </c>
      <c r="P13" s="517">
        <v>0</v>
      </c>
    </row>
    <row r="14" spans="1:16">
      <c r="A14" s="235" t="str">
        <f t="shared" si="0"/>
        <v>PRODUCTION</v>
      </c>
      <c r="B14" s="516" t="s">
        <v>1489</v>
      </c>
      <c r="C14" s="457" t="str">
        <f t="shared" si="1"/>
        <v/>
      </c>
      <c r="D14" s="517">
        <v>7811.9973600000003</v>
      </c>
      <c r="E14" s="517">
        <v>7916.4883600000003</v>
      </c>
      <c r="F14" s="517">
        <v>7953.2389400000002</v>
      </c>
      <c r="G14" s="517">
        <v>8486.1815000000006</v>
      </c>
      <c r="H14" s="517">
        <v>9230.8918599999997</v>
      </c>
      <c r="I14" s="517">
        <v>10069.183709999999</v>
      </c>
      <c r="J14" s="517">
        <v>9746.5069700000004</v>
      </c>
      <c r="K14" s="517">
        <v>8946.8406756966706</v>
      </c>
      <c r="L14" s="517">
        <v>9705.2420456966702</v>
      </c>
      <c r="M14" s="517">
        <v>12108.706495696601</v>
      </c>
      <c r="N14" s="517">
        <v>14990.4901356966</v>
      </c>
      <c r="O14" s="517">
        <v>7999.3488956966703</v>
      </c>
      <c r="P14" s="517">
        <v>5652.8287056966701</v>
      </c>
    </row>
    <row r="15" spans="1:16">
      <c r="A15" s="235" t="str">
        <f t="shared" si="0"/>
        <v>PRODUCTION</v>
      </c>
      <c r="B15" s="516" t="s">
        <v>1490</v>
      </c>
      <c r="C15" s="457" t="str">
        <f t="shared" si="1"/>
        <v/>
      </c>
      <c r="D15" s="517">
        <v>26551.081919999899</v>
      </c>
      <c r="E15" s="517">
        <v>26451.5720899999</v>
      </c>
      <c r="F15" s="517">
        <v>28469.985980000001</v>
      </c>
      <c r="G15" s="517">
        <v>32133.720069999901</v>
      </c>
      <c r="H15" s="517">
        <v>35193.498539999899</v>
      </c>
      <c r="I15" s="517">
        <v>33138.909029999901</v>
      </c>
      <c r="J15" s="517">
        <v>21185.660159999901</v>
      </c>
      <c r="K15" s="517">
        <v>21674.585419999901</v>
      </c>
      <c r="L15" s="517">
        <v>26782.2141999999</v>
      </c>
      <c r="M15" s="517">
        <v>36816.6603599999</v>
      </c>
      <c r="N15" s="517">
        <v>45721.923009999897</v>
      </c>
      <c r="O15" s="517">
        <v>24594.076329999902</v>
      </c>
      <c r="P15" s="517">
        <v>13345.365729999899</v>
      </c>
    </row>
    <row r="16" spans="1:16">
      <c r="A16" s="235" t="str">
        <f t="shared" si="0"/>
        <v>PRODUCTION</v>
      </c>
      <c r="B16" s="516" t="s">
        <v>1491</v>
      </c>
      <c r="C16" s="457" t="str">
        <f t="shared" si="1"/>
        <v>ECR</v>
      </c>
      <c r="D16" s="517">
        <v>78833.328649999996</v>
      </c>
      <c r="E16" s="517">
        <v>81037.616569999998</v>
      </c>
      <c r="F16" s="517">
        <v>82485.202399999995</v>
      </c>
      <c r="G16" s="517">
        <v>84658.662450000003</v>
      </c>
      <c r="H16" s="517">
        <v>89587.833929999993</v>
      </c>
      <c r="I16" s="517">
        <v>91120.793919999996</v>
      </c>
      <c r="J16" s="517">
        <v>94454.018970000005</v>
      </c>
      <c r="K16" s="517">
        <v>95144.585340000005</v>
      </c>
      <c r="L16" s="517">
        <v>66272.145350000006</v>
      </c>
      <c r="M16" s="517">
        <v>40677.463219999998</v>
      </c>
      <c r="N16" s="517">
        <v>42481.642870000003</v>
      </c>
      <c r="O16" s="517">
        <v>43785.603479999998</v>
      </c>
      <c r="P16" s="517">
        <v>45250.605770000002</v>
      </c>
    </row>
    <row r="17" spans="1:16">
      <c r="A17" s="235" t="str">
        <f t="shared" si="0"/>
        <v>PRODUCTION</v>
      </c>
      <c r="B17" s="516" t="s">
        <v>1492</v>
      </c>
      <c r="C17" s="457" t="str">
        <f t="shared" si="1"/>
        <v>ECR</v>
      </c>
      <c r="D17" s="517">
        <v>6502.89462</v>
      </c>
      <c r="E17" s="517">
        <v>6739.13526</v>
      </c>
      <c r="F17" s="517">
        <v>6828.4733500000002</v>
      </c>
      <c r="G17" s="517">
        <v>6954.7001200000004</v>
      </c>
      <c r="H17" s="517">
        <v>7066.8777799999998</v>
      </c>
      <c r="I17" s="517">
        <v>7215.1706800000002</v>
      </c>
      <c r="J17" s="517">
        <v>3180.7311800000002</v>
      </c>
      <c r="K17" s="517">
        <v>36.946691438262398</v>
      </c>
      <c r="L17" s="517">
        <v>37.792424770409497</v>
      </c>
      <c r="M17" s="517">
        <v>38.940251981497802</v>
      </c>
      <c r="N17" s="517">
        <v>40.055823077727297</v>
      </c>
      <c r="O17" s="517">
        <v>41.077241756613603</v>
      </c>
      <c r="P17" s="517">
        <v>41.987484800279198</v>
      </c>
    </row>
    <row r="18" spans="1:16">
      <c r="A18" s="235" t="str">
        <f t="shared" si="0"/>
        <v>PRODUCTION</v>
      </c>
      <c r="B18" s="516" t="s">
        <v>2219</v>
      </c>
      <c r="C18" s="457" t="str">
        <f t="shared" si="1"/>
        <v>ECR</v>
      </c>
      <c r="D18" s="517">
        <v>61639.171399999999</v>
      </c>
      <c r="E18" s="517">
        <v>71221.319779999903</v>
      </c>
      <c r="F18" s="517">
        <v>81756.932069999995</v>
      </c>
      <c r="G18" s="517">
        <v>89522.842899999901</v>
      </c>
      <c r="H18" s="517">
        <v>100132.369859999</v>
      </c>
      <c r="I18" s="517">
        <v>116871.27222</v>
      </c>
      <c r="J18" s="517">
        <v>122806.7129</v>
      </c>
      <c r="K18" s="517">
        <v>142134.749285592</v>
      </c>
      <c r="L18" s="517">
        <v>152576.965936964</v>
      </c>
      <c r="M18" s="517">
        <v>165515.656567884</v>
      </c>
      <c r="N18" s="517">
        <v>181119.58596985499</v>
      </c>
      <c r="O18" s="517">
        <v>188676.65465581999</v>
      </c>
      <c r="P18" s="517">
        <v>205039.590190218</v>
      </c>
    </row>
    <row r="19" spans="1:16">
      <c r="A19" s="235" t="str">
        <f t="shared" si="0"/>
        <v>TRANSMISSION</v>
      </c>
      <c r="B19" s="516" t="s">
        <v>1494</v>
      </c>
      <c r="C19" s="457" t="str">
        <f t="shared" si="1"/>
        <v/>
      </c>
      <c r="D19" s="517">
        <v>73962.182829999903</v>
      </c>
      <c r="E19" s="517">
        <v>78771.257279999903</v>
      </c>
      <c r="F19" s="517">
        <v>86666.141900000002</v>
      </c>
      <c r="G19" s="517">
        <v>90582.021439999997</v>
      </c>
      <c r="H19" s="517">
        <v>98525.043590000001</v>
      </c>
      <c r="I19" s="517">
        <v>97067.429069999998</v>
      </c>
      <c r="J19" s="517">
        <v>100469.04519999999</v>
      </c>
      <c r="K19" s="517">
        <v>45312.134549999901</v>
      </c>
      <c r="L19" s="517">
        <v>43195.269819999899</v>
      </c>
      <c r="M19" s="517">
        <v>38247.836989999902</v>
      </c>
      <c r="N19" s="517">
        <v>42132.662579999902</v>
      </c>
      <c r="O19" s="517">
        <v>44319.404529999898</v>
      </c>
      <c r="P19" s="517">
        <v>24353.2000899999</v>
      </c>
    </row>
    <row r="20" spans="1:16">
      <c r="A20" s="235" t="str">
        <f t="shared" si="0"/>
        <v>TRANSMISSION</v>
      </c>
      <c r="B20" s="516" t="s">
        <v>1495</v>
      </c>
      <c r="C20" s="457" t="str">
        <f t="shared" si="1"/>
        <v/>
      </c>
      <c r="D20" s="517">
        <v>65.406400000000005</v>
      </c>
      <c r="E20" s="517">
        <v>58.206180000000003</v>
      </c>
      <c r="F20" s="517">
        <v>65.187340000000006</v>
      </c>
      <c r="G20" s="517">
        <v>75.701139999999995</v>
      </c>
      <c r="H20" s="517">
        <v>45.303849999999997</v>
      </c>
      <c r="I20" s="517">
        <v>199.06341</v>
      </c>
      <c r="J20" s="517">
        <v>210.99773999999999</v>
      </c>
      <c r="K20" s="517">
        <v>373.25342999999998</v>
      </c>
      <c r="L20" s="517">
        <v>876.83073999999999</v>
      </c>
      <c r="M20" s="517">
        <v>228.91461000000001</v>
      </c>
      <c r="N20" s="517">
        <v>311.62347999999997</v>
      </c>
      <c r="O20" s="517">
        <v>376.24732</v>
      </c>
      <c r="P20" s="517">
        <v>580.55106999999998</v>
      </c>
    </row>
    <row r="21" spans="1:16">
      <c r="B21" s="446"/>
      <c r="C21" s="457"/>
      <c r="D21" s="450"/>
      <c r="E21" s="450"/>
      <c r="F21" s="450"/>
      <c r="G21" s="450"/>
      <c r="H21" s="450"/>
      <c r="I21" s="450"/>
      <c r="J21" s="450"/>
      <c r="K21" s="450"/>
      <c r="L21" s="450"/>
      <c r="M21" s="450"/>
      <c r="N21" s="450"/>
      <c r="O21" s="450"/>
      <c r="P21" s="450"/>
    </row>
    <row r="22" spans="1:16">
      <c r="B22" s="446"/>
      <c r="C22" s="457"/>
      <c r="D22" s="450"/>
      <c r="E22" s="450"/>
      <c r="F22" s="450"/>
      <c r="G22" s="450"/>
      <c r="H22" s="450"/>
      <c r="I22" s="450"/>
      <c r="J22" s="450"/>
      <c r="K22" s="450"/>
      <c r="L22" s="450"/>
      <c r="M22" s="450"/>
      <c r="N22" s="450"/>
      <c r="O22" s="450"/>
      <c r="P22" s="450"/>
    </row>
    <row r="23" spans="1:16">
      <c r="A23" s="235" t="str">
        <f t="shared" si="0"/>
        <v/>
      </c>
      <c r="B23" s="446"/>
      <c r="C23" s="457" t="str">
        <f t="shared" si="1"/>
        <v/>
      </c>
      <c r="D23" s="450"/>
      <c r="E23" s="450"/>
      <c r="F23" s="450"/>
      <c r="G23" s="450"/>
      <c r="H23" s="450"/>
      <c r="I23" s="450"/>
      <c r="J23" s="450"/>
      <c r="K23" s="450"/>
      <c r="L23" s="450"/>
      <c r="M23" s="450"/>
      <c r="N23" s="450"/>
      <c r="O23" s="450"/>
      <c r="P23" s="450"/>
    </row>
    <row r="24" spans="1:16">
      <c r="A24" s="235" t="str">
        <f t="shared" si="0"/>
        <v/>
      </c>
      <c r="B24" s="448" t="s">
        <v>1497</v>
      </c>
      <c r="C24" s="458" t="str">
        <f t="shared" si="1"/>
        <v/>
      </c>
      <c r="D24" s="450">
        <v>0</v>
      </c>
      <c r="E24" s="450">
        <v>0</v>
      </c>
      <c r="F24" s="450">
        <v>0</v>
      </c>
      <c r="G24" s="450">
        <v>0</v>
      </c>
      <c r="H24" s="450">
        <v>0</v>
      </c>
      <c r="I24" s="450">
        <v>0</v>
      </c>
      <c r="J24" s="450">
        <v>0</v>
      </c>
      <c r="K24" s="450">
        <v>0</v>
      </c>
      <c r="L24" s="450">
        <v>0</v>
      </c>
      <c r="M24" s="450">
        <v>0</v>
      </c>
      <c r="N24" s="450">
        <v>0</v>
      </c>
      <c r="O24" s="450">
        <v>0</v>
      </c>
      <c r="P24" s="450">
        <v>0</v>
      </c>
    </row>
    <row r="25" spans="1:16">
      <c r="A25" s="235" t="str">
        <f t="shared" si="0"/>
        <v>PRODUCTION</v>
      </c>
      <c r="B25" s="446" t="s">
        <v>1486</v>
      </c>
      <c r="C25" s="457" t="str">
        <f t="shared" si="1"/>
        <v/>
      </c>
      <c r="D25" s="450">
        <v>0.48914999999999997</v>
      </c>
      <c r="E25" s="450">
        <v>0.84126999999999996</v>
      </c>
      <c r="F25" s="450">
        <v>1.19831</v>
      </c>
      <c r="G25" s="450">
        <v>1.5707100000000001</v>
      </c>
      <c r="H25" s="450">
        <v>1.95974</v>
      </c>
      <c r="I25" s="450">
        <v>2.3607100000000001</v>
      </c>
      <c r="J25" s="450">
        <v>2.7684099999999998</v>
      </c>
      <c r="K25" s="450">
        <v>2.9727805274226999</v>
      </c>
      <c r="L25" s="450">
        <v>2.9727805274226999</v>
      </c>
      <c r="M25" s="450">
        <v>2.9727805274226999</v>
      </c>
      <c r="N25" s="450">
        <v>2.9727805274226999</v>
      </c>
      <c r="O25" s="450">
        <v>2.9727805274226999</v>
      </c>
      <c r="P25" s="450">
        <v>2.9727805274226999</v>
      </c>
    </row>
    <row r="26" spans="1:16">
      <c r="A26" s="235" t="str">
        <f t="shared" si="0"/>
        <v>PRODUCTION</v>
      </c>
      <c r="B26" s="446" t="s">
        <v>1489</v>
      </c>
      <c r="C26" s="457" t="str">
        <f t="shared" si="1"/>
        <v/>
      </c>
      <c r="D26" s="450">
        <v>2.5055999999999998</v>
      </c>
      <c r="E26" s="450">
        <v>0</v>
      </c>
      <c r="F26" s="450">
        <v>0</v>
      </c>
      <c r="G26" s="450">
        <v>0</v>
      </c>
      <c r="H26" s="450">
        <v>0</v>
      </c>
      <c r="I26" s="450">
        <v>0</v>
      </c>
      <c r="J26" s="450">
        <v>0.12731999999999999</v>
      </c>
      <c r="K26" s="450">
        <v>0.19724569667129899</v>
      </c>
      <c r="L26" s="450">
        <v>0.19724569667129899</v>
      </c>
      <c r="M26" s="450">
        <v>0.19724569667129899</v>
      </c>
      <c r="N26" s="450">
        <v>0.19724569667129899</v>
      </c>
      <c r="O26" s="450">
        <v>0.19724569667129899</v>
      </c>
      <c r="P26" s="450">
        <v>0.19724569667129899</v>
      </c>
    </row>
    <row r="27" spans="1:16">
      <c r="A27" s="235" t="str">
        <f t="shared" si="0"/>
        <v>PRODUCTION</v>
      </c>
      <c r="B27" s="446" t="s">
        <v>1490</v>
      </c>
      <c r="C27" s="457" t="str">
        <f t="shared" si="1"/>
        <v/>
      </c>
      <c r="D27" s="450">
        <v>0.18446000000000001</v>
      </c>
      <c r="E27" s="450">
        <v>0</v>
      </c>
      <c r="F27" s="450">
        <v>0</v>
      </c>
      <c r="G27" s="450">
        <v>0</v>
      </c>
      <c r="H27" s="450">
        <v>0</v>
      </c>
      <c r="I27" s="450">
        <v>0</v>
      </c>
      <c r="J27" s="450">
        <v>0</v>
      </c>
      <c r="K27" s="450">
        <v>0</v>
      </c>
      <c r="L27" s="450">
        <v>0</v>
      </c>
      <c r="M27" s="450">
        <v>0</v>
      </c>
      <c r="N27" s="450">
        <v>0</v>
      </c>
      <c r="O27" s="450">
        <v>0</v>
      </c>
      <c r="P27" s="450">
        <v>0</v>
      </c>
    </row>
    <row r="28" spans="1:16">
      <c r="A28" s="235" t="str">
        <f t="shared" si="0"/>
        <v>PRODUCTION</v>
      </c>
      <c r="B28" s="446" t="s">
        <v>1491</v>
      </c>
      <c r="C28" s="457" t="str">
        <f t="shared" si="1"/>
        <v>ECR</v>
      </c>
      <c r="D28" s="450">
        <v>327.80398000000002</v>
      </c>
      <c r="E28" s="450">
        <v>371.84100000000001</v>
      </c>
      <c r="F28" s="450">
        <v>416.52679999999998</v>
      </c>
      <c r="G28" s="450">
        <v>461.99982999999997</v>
      </c>
      <c r="H28" s="450">
        <v>509.1542</v>
      </c>
      <c r="I28" s="450">
        <v>557.97829000000002</v>
      </c>
      <c r="J28" s="450">
        <v>607.87933999999996</v>
      </c>
      <c r="K28" s="450">
        <v>607.87933999999996</v>
      </c>
      <c r="L28" s="450">
        <v>607.87933999999996</v>
      </c>
      <c r="M28" s="450">
        <v>607.87933999999996</v>
      </c>
      <c r="N28" s="450">
        <v>607.87933999999996</v>
      </c>
      <c r="O28" s="450">
        <v>607.87933999999996</v>
      </c>
      <c r="P28" s="450">
        <v>607.87933999999996</v>
      </c>
    </row>
    <row r="29" spans="1:16">
      <c r="A29" s="235" t="str">
        <f t="shared" si="0"/>
        <v>PRODUCTION</v>
      </c>
      <c r="B29" s="446" t="s">
        <v>1492</v>
      </c>
      <c r="C29" s="457" t="str">
        <f t="shared" si="1"/>
        <v>ECR</v>
      </c>
      <c r="D29" s="450">
        <v>2.5430600000000001</v>
      </c>
      <c r="E29" s="450">
        <v>2.5430600000000001</v>
      </c>
      <c r="F29" s="450">
        <v>2.5430600000000001</v>
      </c>
      <c r="G29" s="450">
        <v>2.5430600000000001</v>
      </c>
      <c r="H29" s="450">
        <v>2.5430600000000001</v>
      </c>
      <c r="I29" s="450">
        <v>2.5430600000000001</v>
      </c>
      <c r="J29" s="450">
        <v>2.5430600000000001</v>
      </c>
      <c r="K29" s="450">
        <v>39.489751438262203</v>
      </c>
      <c r="L29" s="450">
        <v>40.335484770409302</v>
      </c>
      <c r="M29" s="450">
        <v>41.4833119814977</v>
      </c>
      <c r="N29" s="450">
        <v>42.598883077727201</v>
      </c>
      <c r="O29" s="450">
        <v>43.6203017566135</v>
      </c>
      <c r="P29" s="450">
        <v>44.530544800279102</v>
      </c>
    </row>
    <row r="30" spans="1:16">
      <c r="A30" s="235" t="str">
        <f t="shared" si="0"/>
        <v>PRODUCTION</v>
      </c>
      <c r="B30" s="446" t="s">
        <v>2219</v>
      </c>
      <c r="C30" s="457" t="str">
        <f t="shared" si="1"/>
        <v>ECR</v>
      </c>
      <c r="D30" s="450">
        <v>15.00169</v>
      </c>
      <c r="E30" s="450">
        <v>34.927349999999997</v>
      </c>
      <c r="F30" s="450">
        <v>67.657589999999999</v>
      </c>
      <c r="G30" s="450">
        <v>103.75826000000001</v>
      </c>
      <c r="H30" s="450">
        <v>143.86927</v>
      </c>
      <c r="I30" s="450">
        <v>190.40072000000001</v>
      </c>
      <c r="J30" s="450">
        <v>241.88542000000001</v>
      </c>
      <c r="K30" s="450">
        <v>258.59640559268502</v>
      </c>
      <c r="L30" s="450">
        <v>261.46992696418403</v>
      </c>
      <c r="M30" s="450">
        <v>264.570887884417</v>
      </c>
      <c r="N30" s="450">
        <v>271.72717985574502</v>
      </c>
      <c r="O30" s="450">
        <v>278.31387582065099</v>
      </c>
      <c r="P30" s="450">
        <v>283.39877021897701</v>
      </c>
    </row>
    <row r="31" spans="1:16">
      <c r="B31" s="446"/>
      <c r="C31" s="457"/>
      <c r="D31" s="450"/>
      <c r="E31" s="450"/>
      <c r="F31" s="450"/>
      <c r="G31" s="450"/>
      <c r="H31" s="450"/>
      <c r="I31" s="450"/>
      <c r="J31" s="450"/>
      <c r="K31" s="450"/>
      <c r="L31" s="450"/>
      <c r="M31" s="450"/>
      <c r="N31" s="450"/>
      <c r="O31" s="450"/>
      <c r="P31" s="450"/>
    </row>
    <row r="32" spans="1:16">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row>
    <row r="33" spans="1:16">
      <c r="A33" s="235" t="str">
        <f t="shared" si="0"/>
        <v/>
      </c>
      <c r="B33" s="448" t="s">
        <v>1498</v>
      </c>
      <c r="C33" s="458" t="str">
        <f t="shared" si="1"/>
        <v/>
      </c>
      <c r="D33" s="450">
        <v>0</v>
      </c>
      <c r="E33" s="450">
        <v>0</v>
      </c>
      <c r="F33" s="450">
        <v>0</v>
      </c>
      <c r="G33" s="450">
        <v>0</v>
      </c>
      <c r="H33" s="450">
        <v>0</v>
      </c>
      <c r="I33" s="450">
        <v>0</v>
      </c>
      <c r="J33" s="450">
        <v>0</v>
      </c>
      <c r="K33" s="450">
        <v>0</v>
      </c>
      <c r="L33" s="450">
        <v>0</v>
      </c>
      <c r="M33" s="450">
        <v>0</v>
      </c>
      <c r="N33" s="450">
        <v>0</v>
      </c>
      <c r="O33" s="450">
        <v>0</v>
      </c>
      <c r="P33" s="450">
        <v>0</v>
      </c>
    </row>
    <row r="34" spans="1:16">
      <c r="A34" s="235" t="str">
        <f t="shared" si="0"/>
        <v>DISTRIBUTION</v>
      </c>
      <c r="B34" s="516" t="s">
        <v>1482</v>
      </c>
      <c r="C34" s="457" t="str">
        <f t="shared" si="1"/>
        <v/>
      </c>
      <c r="D34" s="450">
        <v>3761.6092899999899</v>
      </c>
      <c r="E34" s="450">
        <v>3895.5947799999999</v>
      </c>
      <c r="F34" s="450">
        <v>4129.4666200000001</v>
      </c>
      <c r="G34" s="450">
        <v>4222.2806499999997</v>
      </c>
      <c r="H34" s="450">
        <v>4467.6311999999998</v>
      </c>
      <c r="I34" s="450">
        <v>4231.9774699999998</v>
      </c>
      <c r="J34" s="450">
        <v>3860.6489099999999</v>
      </c>
      <c r="K34" s="450">
        <v>1745.2449999999999</v>
      </c>
      <c r="L34" s="450">
        <v>1620.76755</v>
      </c>
      <c r="M34" s="450">
        <v>1647.98272</v>
      </c>
      <c r="N34" s="450">
        <v>1645.0107</v>
      </c>
      <c r="O34" s="450">
        <v>1756.9498900000001</v>
      </c>
      <c r="P34" s="450">
        <v>152.609080000002</v>
      </c>
    </row>
    <row r="35" spans="1:16">
      <c r="A35" s="235" t="str">
        <f t="shared" si="0"/>
        <v>DISTRIBUTION</v>
      </c>
      <c r="B35" s="516" t="s">
        <v>1483</v>
      </c>
      <c r="C35" s="457" t="str">
        <f t="shared" si="1"/>
        <v/>
      </c>
      <c r="D35" s="450">
        <v>614.59770000000003</v>
      </c>
      <c r="E35" s="450">
        <v>640.19694999999899</v>
      </c>
      <c r="F35" s="450">
        <v>301.63857000000002</v>
      </c>
      <c r="G35" s="450">
        <v>295.52458000000001</v>
      </c>
      <c r="H35" s="450">
        <v>255.06227000000001</v>
      </c>
      <c r="I35" s="450">
        <v>177.128469999999</v>
      </c>
      <c r="J35" s="450">
        <v>153.57566999999901</v>
      </c>
      <c r="K35" s="450">
        <v>37.766199999999898</v>
      </c>
      <c r="L35" s="450">
        <v>54.788629999999898</v>
      </c>
      <c r="M35" s="450">
        <v>53.3904199999998</v>
      </c>
      <c r="N35" s="450">
        <v>45.825229999999898</v>
      </c>
      <c r="O35" s="450">
        <v>50.430389999999797</v>
      </c>
      <c r="P35" s="450">
        <v>-1.06581410364015E-13</v>
      </c>
    </row>
    <row r="36" spans="1:16">
      <c r="A36" s="235" t="str">
        <f t="shared" si="0"/>
        <v>GENERAL</v>
      </c>
      <c r="B36" s="516" t="s">
        <v>1484</v>
      </c>
      <c r="C36" s="457" t="str">
        <f t="shared" si="1"/>
        <v/>
      </c>
      <c r="D36" s="450">
        <v>167.28255999999999</v>
      </c>
      <c r="E36" s="450">
        <v>174.187139999999</v>
      </c>
      <c r="F36" s="450">
        <v>183.68630999999999</v>
      </c>
      <c r="G36" s="450">
        <v>179.38385</v>
      </c>
      <c r="H36" s="450">
        <v>154.90215000000001</v>
      </c>
      <c r="I36" s="450">
        <v>156.82078999999999</v>
      </c>
      <c r="J36" s="450">
        <v>55.10886</v>
      </c>
      <c r="K36" s="450">
        <v>55.956499999999899</v>
      </c>
      <c r="L36" s="450">
        <v>22.052809999999901</v>
      </c>
      <c r="M36" s="450">
        <v>19.3507099999999</v>
      </c>
      <c r="N36" s="450">
        <v>15.5269899999999</v>
      </c>
      <c r="O36" s="450">
        <v>10.734589999999899</v>
      </c>
      <c r="P36" s="450">
        <v>-1.06581410364015E-14</v>
      </c>
    </row>
    <row r="37" spans="1:16">
      <c r="A37" s="235" t="str">
        <f t="shared" si="0"/>
        <v>GENERAL</v>
      </c>
      <c r="B37" s="518" t="s">
        <v>1485</v>
      </c>
      <c r="C37" s="457" t="str">
        <f t="shared" si="1"/>
        <v/>
      </c>
      <c r="D37" s="450">
        <v>2.5</v>
      </c>
      <c r="E37" s="450">
        <v>2.5</v>
      </c>
      <c r="F37" s="450">
        <v>0.7</v>
      </c>
      <c r="G37" s="450">
        <v>0.7</v>
      </c>
      <c r="H37" s="450">
        <v>0.7</v>
      </c>
      <c r="I37" s="450">
        <v>0.7</v>
      </c>
      <c r="J37" s="450">
        <v>0.7</v>
      </c>
      <c r="K37" s="450">
        <v>0</v>
      </c>
      <c r="L37" s="450">
        <v>0</v>
      </c>
      <c r="M37" s="450">
        <v>0</v>
      </c>
      <c r="N37" s="450">
        <v>0</v>
      </c>
      <c r="O37" s="450">
        <v>0</v>
      </c>
      <c r="P37" s="450">
        <v>0</v>
      </c>
    </row>
    <row r="38" spans="1:16">
      <c r="A38" s="235" t="str">
        <f t="shared" si="0"/>
        <v>PRODUCTION</v>
      </c>
      <c r="B38" s="516" t="s">
        <v>1486</v>
      </c>
      <c r="C38" s="457" t="str">
        <f t="shared" si="1"/>
        <v/>
      </c>
      <c r="D38" s="450">
        <v>85.952429999999893</v>
      </c>
      <c r="E38" s="450">
        <v>112.91961000000001</v>
      </c>
      <c r="F38" s="450">
        <v>117.92048</v>
      </c>
      <c r="G38" s="450">
        <v>125.73433</v>
      </c>
      <c r="H38" s="450">
        <v>131.98541</v>
      </c>
      <c r="I38" s="450">
        <v>131.98541</v>
      </c>
      <c r="J38" s="450">
        <v>131.98541</v>
      </c>
      <c r="K38" s="450">
        <v>131.98541</v>
      </c>
      <c r="L38" s="450">
        <v>0</v>
      </c>
      <c r="M38" s="450">
        <v>50</v>
      </c>
      <c r="N38" s="450">
        <v>50</v>
      </c>
      <c r="O38" s="450">
        <v>0</v>
      </c>
      <c r="P38" s="450">
        <v>0</v>
      </c>
    </row>
    <row r="39" spans="1:16">
      <c r="A39" s="235" t="str">
        <f t="shared" si="0"/>
        <v>INTANGIBLE</v>
      </c>
      <c r="B39" s="516" t="s">
        <v>1487</v>
      </c>
      <c r="C39" s="457" t="str">
        <f t="shared" si="1"/>
        <v/>
      </c>
      <c r="D39" s="450">
        <v>3.6753499999999999</v>
      </c>
      <c r="E39" s="450">
        <v>3.6753499999999999</v>
      </c>
      <c r="F39" s="450">
        <v>3.6753499999999999</v>
      </c>
      <c r="G39" s="450">
        <v>0</v>
      </c>
      <c r="H39" s="450">
        <v>0</v>
      </c>
      <c r="I39" s="450">
        <v>0</v>
      </c>
      <c r="J39" s="450">
        <v>0</v>
      </c>
      <c r="K39" s="450">
        <v>3.6753499999999999</v>
      </c>
      <c r="L39" s="450">
        <v>3.6753499999999999</v>
      </c>
      <c r="M39" s="450">
        <v>3.6753499999999999</v>
      </c>
      <c r="N39" s="450">
        <v>3.6753499999999999</v>
      </c>
      <c r="O39" s="450">
        <v>3.6753499999999999</v>
      </c>
      <c r="P39" s="450">
        <v>3.6753499999999999</v>
      </c>
    </row>
    <row r="40" spans="1:16">
      <c r="A40" s="235" t="str">
        <f t="shared" si="0"/>
        <v>PRODUCTION</v>
      </c>
      <c r="B40" s="516" t="s">
        <v>1489</v>
      </c>
      <c r="C40" s="457" t="str">
        <f t="shared" si="1"/>
        <v/>
      </c>
      <c r="D40" s="450">
        <v>974.97080000000005</v>
      </c>
      <c r="E40" s="450">
        <v>981.52746000000002</v>
      </c>
      <c r="F40" s="450">
        <v>1884.76746</v>
      </c>
      <c r="G40" s="450">
        <v>1876.6779100000001</v>
      </c>
      <c r="H40" s="450">
        <v>1876.6779100000001</v>
      </c>
      <c r="I40" s="450">
        <v>1876.6779100000001</v>
      </c>
      <c r="J40" s="450">
        <v>1915.61319</v>
      </c>
      <c r="K40" s="450">
        <v>68.901980000000293</v>
      </c>
      <c r="L40" s="450">
        <v>71.631980000000297</v>
      </c>
      <c r="M40" s="450">
        <v>361.63198</v>
      </c>
      <c r="N40" s="450">
        <v>365.82918999999998</v>
      </c>
      <c r="O40" s="450">
        <v>3.4106051316484799E-13</v>
      </c>
      <c r="P40" s="450">
        <v>3.4106051316484799E-13</v>
      </c>
    </row>
    <row r="41" spans="1:16">
      <c r="A41" s="235" t="str">
        <f t="shared" si="0"/>
        <v>PRODUCTION</v>
      </c>
      <c r="B41" s="516" t="s">
        <v>1490</v>
      </c>
      <c r="C41" s="457" t="str">
        <f t="shared" si="1"/>
        <v/>
      </c>
      <c r="D41" s="450">
        <v>3877.2222999999899</v>
      </c>
      <c r="E41" s="450">
        <v>3953.0709699999902</v>
      </c>
      <c r="F41" s="450">
        <v>4039.0597399999901</v>
      </c>
      <c r="G41" s="450">
        <v>4940.6533499999996</v>
      </c>
      <c r="H41" s="450">
        <v>5941.2449199999901</v>
      </c>
      <c r="I41" s="450">
        <v>6241.7706099999996</v>
      </c>
      <c r="J41" s="450">
        <v>6242.4286199999897</v>
      </c>
      <c r="K41" s="450">
        <v>3171.7574099999902</v>
      </c>
      <c r="L41" s="450">
        <v>4433.4216099999903</v>
      </c>
      <c r="M41" s="450">
        <v>7595.7142299999896</v>
      </c>
      <c r="N41" s="450">
        <v>10828.759239999899</v>
      </c>
      <c r="O41" s="450">
        <v>10848.061539999901</v>
      </c>
      <c r="P41" s="450">
        <v>11013.422709999901</v>
      </c>
    </row>
    <row r="42" spans="1:16">
      <c r="A42" s="235" t="str">
        <f t="shared" si="0"/>
        <v>PRODUCTION</v>
      </c>
      <c r="B42" s="516" t="s">
        <v>1491</v>
      </c>
      <c r="C42" s="457" t="str">
        <f t="shared" si="1"/>
        <v>ECR</v>
      </c>
      <c r="D42" s="450">
        <v>28.838999999999999</v>
      </c>
      <c r="E42" s="450">
        <v>28.838999999999999</v>
      </c>
      <c r="F42" s="450">
        <v>17.196290000000001</v>
      </c>
      <c r="G42" s="450">
        <v>17.196290000000001</v>
      </c>
      <c r="H42" s="450">
        <v>17.196290000000001</v>
      </c>
      <c r="I42" s="450">
        <v>17.196290000000001</v>
      </c>
      <c r="J42" s="450">
        <v>29.757960000000001</v>
      </c>
      <c r="K42" s="450">
        <v>-9.9999999960687007E-6</v>
      </c>
      <c r="L42" s="450">
        <v>-9.9999999960687007E-6</v>
      </c>
      <c r="M42" s="450">
        <v>-9.9999999960687007E-6</v>
      </c>
      <c r="N42" s="450">
        <v>-9.9999999960687007E-6</v>
      </c>
      <c r="O42" s="450">
        <v>-9.9999999960687007E-6</v>
      </c>
      <c r="P42" s="450">
        <v>-9.9999999960687007E-6</v>
      </c>
    </row>
    <row r="43" spans="1:16">
      <c r="A43" s="235" t="str">
        <f t="shared" si="0"/>
        <v>PRODUCTION</v>
      </c>
      <c r="B43" s="516" t="s">
        <v>1492</v>
      </c>
      <c r="C43" s="457" t="str">
        <f t="shared" si="1"/>
        <v>ECR</v>
      </c>
      <c r="D43" s="450">
        <v>12031.608919999901</v>
      </c>
      <c r="E43" s="450">
        <v>12031.5065499999</v>
      </c>
      <c r="F43" s="450">
        <v>12031.50655</v>
      </c>
      <c r="G43" s="450">
        <v>12031.50655</v>
      </c>
      <c r="H43" s="450">
        <v>12031.50655</v>
      </c>
      <c r="I43" s="450">
        <v>12031.50655</v>
      </c>
      <c r="J43" s="450">
        <v>12031.50655</v>
      </c>
      <c r="K43" s="450">
        <v>1.81898940354585E-12</v>
      </c>
      <c r="L43" s="450">
        <v>1.81898940354585E-12</v>
      </c>
      <c r="M43" s="450">
        <v>1.81898940354585E-12</v>
      </c>
      <c r="N43" s="450">
        <v>1.81898940354585E-12</v>
      </c>
      <c r="O43" s="450">
        <v>1.81898940354585E-12</v>
      </c>
      <c r="P43" s="450">
        <v>1.81898940354585E-12</v>
      </c>
    </row>
    <row r="44" spans="1:16">
      <c r="A44" s="235" t="str">
        <f t="shared" si="0"/>
        <v>TRANSMISSION</v>
      </c>
      <c r="B44" s="516" t="s">
        <v>1494</v>
      </c>
      <c r="C44" s="457" t="str">
        <f t="shared" si="1"/>
        <v/>
      </c>
      <c r="D44" s="450">
        <v>5497.4867199999999</v>
      </c>
      <c r="E44" s="450">
        <v>5961.4777400000003</v>
      </c>
      <c r="F44" s="450">
        <v>5831.5352599999997</v>
      </c>
      <c r="G44" s="450">
        <v>5643.5796399999999</v>
      </c>
      <c r="H44" s="450">
        <v>5747.8078100000002</v>
      </c>
      <c r="I44" s="450">
        <v>5613.8305200000004</v>
      </c>
      <c r="J44" s="450">
        <v>5268.3534099999997</v>
      </c>
      <c r="K44" s="450">
        <v>852.384710000003</v>
      </c>
      <c r="L44" s="450">
        <v>757.98865000000296</v>
      </c>
      <c r="M44" s="450">
        <v>606.48826000000201</v>
      </c>
      <c r="N44" s="450">
        <v>885.68056000000195</v>
      </c>
      <c r="O44" s="450">
        <v>920.89625000000296</v>
      </c>
      <c r="P44" s="450">
        <v>533.88391000000297</v>
      </c>
    </row>
    <row r="45" spans="1:16">
      <c r="A45" s="235" t="str">
        <f t="shared" si="0"/>
        <v>TRANSMISSION</v>
      </c>
      <c r="B45" s="516" t="s">
        <v>1495</v>
      </c>
      <c r="C45" s="457" t="str">
        <f t="shared" si="1"/>
        <v/>
      </c>
      <c r="D45" s="450">
        <v>418.61331999999999</v>
      </c>
      <c r="E45" s="450">
        <v>111.20576</v>
      </c>
      <c r="F45" s="450">
        <v>81.901299999999907</v>
      </c>
      <c r="G45" s="450">
        <v>81.901299999999907</v>
      </c>
      <c r="H45" s="450">
        <v>81.901299999999907</v>
      </c>
      <c r="I45" s="450">
        <v>81.901299999999907</v>
      </c>
      <c r="J45" s="450">
        <v>81.901299999999907</v>
      </c>
      <c r="K45" s="450">
        <v>2.52375999999999</v>
      </c>
      <c r="L45" s="450">
        <v>65.718580000000003</v>
      </c>
      <c r="M45" s="450">
        <v>0</v>
      </c>
      <c r="N45" s="450">
        <v>6.6497399999999898</v>
      </c>
      <c r="O45" s="450">
        <v>12.000450000000001</v>
      </c>
      <c r="P45" s="450">
        <v>12.000450000000001</v>
      </c>
    </row>
    <row r="46" spans="1:16">
      <c r="B46" s="446"/>
      <c r="C46" s="457"/>
      <c r="D46" s="450"/>
      <c r="E46" s="450"/>
      <c r="F46" s="450"/>
      <c r="G46" s="450"/>
      <c r="H46" s="450"/>
      <c r="I46" s="450"/>
      <c r="J46" s="450"/>
      <c r="K46" s="450"/>
      <c r="L46" s="450"/>
      <c r="M46" s="450"/>
      <c r="N46" s="450"/>
      <c r="O46" s="450"/>
      <c r="P46" s="450"/>
    </row>
    <row r="47" spans="1:16">
      <c r="B47" s="446"/>
      <c r="C47" s="457"/>
      <c r="D47" s="450"/>
      <c r="E47" s="450"/>
      <c r="F47" s="450"/>
      <c r="G47" s="450"/>
      <c r="H47" s="450"/>
      <c r="I47" s="450"/>
      <c r="J47" s="450"/>
      <c r="K47" s="450"/>
      <c r="L47" s="450"/>
      <c r="M47" s="450"/>
      <c r="N47" s="450"/>
      <c r="O47" s="450"/>
      <c r="P47" s="450"/>
    </row>
  </sheetData>
  <pageMargins left="0.75" right="0.75" top="1" bottom="1" header="0.5" footer="0.5"/>
  <pageSetup scale="6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A374"/>
  <sheetViews>
    <sheetView zoomScale="70" zoomScaleNormal="70" workbookViewId="0">
      <selection activeCell="X366" sqref="X366"/>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5.44140625" style="66" customWidth="1"/>
    <col min="17" max="17" width="1.44140625" style="2" customWidth="1"/>
    <col min="18" max="18" width="18.6640625" style="2" customWidth="1"/>
    <col min="19" max="19" width="1.44140625" style="2" customWidth="1"/>
    <col min="20" max="20" width="18.6640625" style="2" customWidth="1"/>
    <col min="21" max="21" width="1.44140625" style="2" customWidth="1"/>
    <col min="22" max="22" width="15.44140625" style="66" customWidth="1"/>
    <col min="23" max="23" width="1.44140625" style="2" customWidth="1"/>
    <col min="24" max="24" width="15.44140625" style="66" customWidth="1"/>
    <col min="25" max="25" width="1.44140625" style="2" customWidth="1"/>
    <col min="26" max="27" width="15.44140625" style="66" customWidth="1"/>
    <col min="28" max="16384" width="9" style="2"/>
  </cols>
  <sheetData>
    <row r="1" spans="1:27" s="1" customFormat="1" ht="15">
      <c r="C1" s="502" t="s">
        <v>0</v>
      </c>
      <c r="D1" s="502"/>
      <c r="E1" s="502"/>
      <c r="F1" s="502"/>
      <c r="G1" s="502"/>
      <c r="H1" s="502"/>
      <c r="I1" s="502"/>
      <c r="J1" s="502"/>
      <c r="K1" s="502"/>
      <c r="L1" s="502"/>
      <c r="M1" s="502"/>
      <c r="N1" s="502"/>
      <c r="O1" s="502"/>
      <c r="P1" s="502"/>
      <c r="Q1" s="502"/>
      <c r="R1" s="502"/>
      <c r="S1" s="502"/>
      <c r="T1" s="502"/>
      <c r="U1" s="425"/>
      <c r="V1" s="425"/>
      <c r="W1" s="425"/>
      <c r="X1" s="425"/>
      <c r="Y1" s="425"/>
      <c r="Z1" s="425"/>
      <c r="AA1" s="425"/>
    </row>
    <row r="2" spans="1:27" s="1" customFormat="1" ht="15">
      <c r="C2" s="502" t="s">
        <v>1</v>
      </c>
      <c r="D2" s="502"/>
      <c r="E2" s="502"/>
      <c r="F2" s="502"/>
      <c r="G2" s="502"/>
      <c r="H2" s="502"/>
      <c r="I2" s="502"/>
      <c r="J2" s="502"/>
      <c r="K2" s="502"/>
      <c r="L2" s="502"/>
      <c r="M2" s="502"/>
      <c r="N2" s="502"/>
      <c r="O2" s="502"/>
      <c r="P2" s="502"/>
      <c r="Q2" s="502"/>
      <c r="R2" s="502"/>
      <c r="S2" s="502"/>
      <c r="T2" s="502"/>
      <c r="U2" s="425"/>
      <c r="V2" s="425"/>
      <c r="W2" s="425"/>
      <c r="X2" s="425"/>
      <c r="Y2" s="425"/>
      <c r="Z2" s="425"/>
      <c r="AA2" s="425"/>
    </row>
    <row r="3" spans="1:27">
      <c r="C3" s="503" t="s">
        <v>2528</v>
      </c>
      <c r="D3" s="504"/>
      <c r="E3" s="504"/>
      <c r="F3" s="504"/>
      <c r="G3" s="504"/>
      <c r="H3" s="504"/>
      <c r="I3" s="504"/>
      <c r="J3" s="504"/>
      <c r="K3" s="504"/>
      <c r="L3" s="504"/>
      <c r="M3" s="504"/>
      <c r="N3" s="504"/>
      <c r="O3" s="504"/>
      <c r="P3" s="504"/>
      <c r="Q3" s="504"/>
      <c r="R3" s="504"/>
      <c r="S3" s="504"/>
      <c r="T3" s="504"/>
      <c r="U3" s="427"/>
      <c r="V3" s="427"/>
      <c r="W3" s="427"/>
      <c r="X3" s="427"/>
      <c r="Y3" s="427"/>
      <c r="Z3" s="427"/>
      <c r="AA3" s="427"/>
    </row>
    <row r="4" spans="1:27">
      <c r="C4" s="3"/>
      <c r="D4" s="3"/>
      <c r="E4" s="3"/>
      <c r="F4" s="3"/>
      <c r="G4" s="3"/>
      <c r="H4" s="3"/>
      <c r="I4" s="3"/>
      <c r="J4" s="3"/>
      <c r="K4" s="3"/>
      <c r="L4" s="3"/>
      <c r="M4" s="3"/>
      <c r="N4" s="3"/>
      <c r="O4" s="3"/>
      <c r="P4" s="3"/>
      <c r="U4" s="3"/>
      <c r="V4" s="3"/>
      <c r="W4" s="3"/>
      <c r="X4" s="3"/>
      <c r="Y4" s="3"/>
      <c r="Z4" s="32" t="s">
        <v>1717</v>
      </c>
      <c r="AA4" s="32"/>
    </row>
    <row r="5" spans="1:27" ht="15">
      <c r="C5" s="3"/>
      <c r="D5" s="4" t="s">
        <v>2529</v>
      </c>
      <c r="E5" s="3"/>
      <c r="F5" s="3"/>
      <c r="G5" s="3"/>
      <c r="H5" s="3"/>
      <c r="I5" s="3"/>
      <c r="J5" s="3"/>
      <c r="K5" s="3"/>
      <c r="L5" s="3"/>
      <c r="M5" s="3"/>
      <c r="N5" s="4" t="s">
        <v>2530</v>
      </c>
      <c r="O5" s="3"/>
      <c r="P5" s="436" t="s">
        <v>1718</v>
      </c>
      <c r="T5" s="436" t="s">
        <v>1718</v>
      </c>
      <c r="U5" s="3"/>
      <c r="V5" s="436" t="s">
        <v>1718</v>
      </c>
      <c r="W5" s="3"/>
      <c r="X5" s="436" t="s">
        <v>1718</v>
      </c>
      <c r="Y5" s="3"/>
      <c r="Z5" s="4" t="s">
        <v>2530</v>
      </c>
      <c r="AA5" s="4"/>
    </row>
    <row r="6" spans="1:27" ht="15">
      <c r="C6" s="5"/>
      <c r="D6" s="6" t="s">
        <v>2</v>
      </c>
      <c r="E6" s="5"/>
      <c r="F6" s="7"/>
      <c r="G6" s="5"/>
      <c r="H6" s="7"/>
      <c r="I6" s="5"/>
      <c r="J6" s="6" t="s">
        <v>3</v>
      </c>
      <c r="K6" s="5"/>
      <c r="L6" s="7"/>
      <c r="M6" s="5"/>
      <c r="N6" s="6" t="s">
        <v>4</v>
      </c>
      <c r="O6" s="5"/>
      <c r="P6" s="6" t="s">
        <v>4</v>
      </c>
      <c r="Q6" s="5"/>
      <c r="R6" s="436" t="s">
        <v>1718</v>
      </c>
      <c r="S6" s="5"/>
      <c r="T6" s="231" t="s">
        <v>5</v>
      </c>
      <c r="U6" s="5"/>
      <c r="V6" s="231" t="s">
        <v>1204</v>
      </c>
      <c r="W6" s="5"/>
      <c r="X6" s="231" t="s">
        <v>11</v>
      </c>
      <c r="Y6" s="5"/>
      <c r="Z6" s="6" t="s">
        <v>4</v>
      </c>
      <c r="AA6" s="6"/>
    </row>
    <row r="7" spans="1:27" s="9" customFormat="1">
      <c r="C7" s="5"/>
      <c r="D7" s="10" t="s">
        <v>6</v>
      </c>
      <c r="E7" s="5"/>
      <c r="F7" s="10" t="s">
        <v>7</v>
      </c>
      <c r="G7" s="5"/>
      <c r="H7" s="10" t="s">
        <v>8</v>
      </c>
      <c r="I7" s="5"/>
      <c r="J7" s="10" t="s">
        <v>9</v>
      </c>
      <c r="K7" s="5"/>
      <c r="L7" s="10" t="s">
        <v>10</v>
      </c>
      <c r="M7" s="5"/>
      <c r="N7" s="10" t="s">
        <v>6</v>
      </c>
      <c r="O7" s="5"/>
      <c r="P7" s="10" t="s">
        <v>6</v>
      </c>
      <c r="Q7" s="5"/>
      <c r="R7" s="10" t="s">
        <v>11</v>
      </c>
      <c r="S7" s="5"/>
      <c r="T7" s="10" t="s">
        <v>12</v>
      </c>
      <c r="U7" s="5"/>
      <c r="V7" s="10" t="s">
        <v>1205</v>
      </c>
      <c r="W7" s="5"/>
      <c r="X7" s="10" t="s">
        <v>2188</v>
      </c>
      <c r="Y7" s="5"/>
      <c r="Z7" s="10" t="s">
        <v>6</v>
      </c>
      <c r="AA7" s="10" t="s">
        <v>13</v>
      </c>
    </row>
    <row r="8" spans="1:27" s="9" customFormat="1">
      <c r="C8" s="8" t="s">
        <v>14</v>
      </c>
      <c r="D8" s="11"/>
      <c r="E8" s="5"/>
      <c r="F8" s="11"/>
      <c r="G8" s="5"/>
      <c r="H8" s="11"/>
      <c r="I8" s="5"/>
      <c r="J8" s="11"/>
      <c r="K8" s="5"/>
      <c r="L8" s="11"/>
      <c r="M8" s="5"/>
      <c r="N8" s="11"/>
      <c r="O8" s="5"/>
      <c r="P8" s="11"/>
      <c r="Q8" s="5"/>
      <c r="R8" s="5"/>
      <c r="S8" s="5"/>
      <c r="T8" s="5"/>
      <c r="U8" s="5"/>
      <c r="V8" s="11"/>
      <c r="W8" s="5"/>
      <c r="X8" s="11"/>
      <c r="Y8" s="5"/>
      <c r="Z8" s="11"/>
      <c r="AA8" s="11"/>
    </row>
    <row r="9" spans="1:27">
      <c r="C9" s="8" t="s">
        <v>15</v>
      </c>
      <c r="D9" s="7"/>
      <c r="E9" s="5"/>
      <c r="F9" s="7"/>
      <c r="G9" s="5"/>
      <c r="H9" s="7"/>
      <c r="I9" s="5"/>
      <c r="J9" s="7"/>
      <c r="K9" s="5"/>
      <c r="L9" s="7"/>
      <c r="M9" s="5"/>
      <c r="N9" s="7"/>
      <c r="O9" s="5"/>
      <c r="P9" s="7"/>
      <c r="Q9" s="5"/>
      <c r="R9" s="5"/>
      <c r="S9" s="5"/>
      <c r="T9" s="5"/>
      <c r="U9" s="5"/>
      <c r="V9" s="7"/>
      <c r="W9" s="5"/>
      <c r="X9" s="7"/>
      <c r="Y9" s="5"/>
      <c r="Z9" s="7"/>
      <c r="AA9" s="7"/>
    </row>
    <row r="10" spans="1:27">
      <c r="C10" s="8" t="s">
        <v>16</v>
      </c>
      <c r="D10" s="7"/>
      <c r="E10" s="5"/>
      <c r="F10" s="7"/>
      <c r="G10" s="5"/>
      <c r="H10" s="7"/>
      <c r="I10" s="5"/>
      <c r="J10" s="7"/>
      <c r="K10" s="5"/>
      <c r="L10" s="7"/>
      <c r="M10" s="5"/>
      <c r="N10" s="7"/>
      <c r="O10" s="5"/>
      <c r="P10" s="7"/>
      <c r="Q10" s="5"/>
      <c r="R10" s="5"/>
      <c r="S10" s="5"/>
      <c r="T10" s="5"/>
      <c r="U10" s="5"/>
      <c r="V10" s="7"/>
      <c r="W10" s="5"/>
      <c r="X10" s="7"/>
      <c r="Y10" s="5"/>
      <c r="Z10" s="7"/>
      <c r="AA10" s="7"/>
    </row>
    <row r="11" spans="1:27">
      <c r="A11" s="2" t="s">
        <v>17</v>
      </c>
      <c r="B11" s="2" t="str">
        <f>MID(C11,2,3)</f>
        <v>360</v>
      </c>
      <c r="C11" s="5" t="s">
        <v>2487</v>
      </c>
      <c r="D11" s="7">
        <v>9179469.3999999911</v>
      </c>
      <c r="E11" s="19"/>
      <c r="F11" s="7">
        <v>300000.61</v>
      </c>
      <c r="G11" s="19"/>
      <c r="H11" s="7">
        <v>0</v>
      </c>
      <c r="I11" s="19"/>
      <c r="J11" s="7">
        <v>0</v>
      </c>
      <c r="K11" s="19"/>
      <c r="L11" s="7">
        <v>300000.61</v>
      </c>
      <c r="M11" s="19"/>
      <c r="N11" s="7">
        <v>9479470.0099999905</v>
      </c>
      <c r="O11" s="19"/>
      <c r="P11" s="13">
        <v>9294854.2499999888</v>
      </c>
      <c r="Q11" s="5"/>
      <c r="R11" s="13">
        <v>-1436707.0572639999</v>
      </c>
      <c r="S11" s="5"/>
      <c r="T11" s="13">
        <v>7858147.1927359886</v>
      </c>
      <c r="U11" s="19"/>
      <c r="V11" s="7">
        <v>1602.2261082840628</v>
      </c>
      <c r="W11" s="5"/>
      <c r="X11" s="12">
        <v>-1435104.831155716</v>
      </c>
      <c r="Y11" s="19"/>
      <c r="Z11" s="7">
        <v>9479470.0099999905</v>
      </c>
      <c r="AA11" s="12">
        <v>0</v>
      </c>
    </row>
    <row r="12" spans="1:27">
      <c r="A12" s="2" t="s">
        <v>17</v>
      </c>
      <c r="C12" s="5" t="s">
        <v>18</v>
      </c>
      <c r="D12" s="7">
        <v>0</v>
      </c>
      <c r="E12" s="19"/>
      <c r="F12" s="7">
        <v>0</v>
      </c>
      <c r="G12" s="19"/>
      <c r="H12" s="7">
        <v>0</v>
      </c>
      <c r="I12" s="19"/>
      <c r="J12" s="7">
        <v>0</v>
      </c>
      <c r="K12" s="19"/>
      <c r="L12" s="7">
        <v>0</v>
      </c>
      <c r="M12" s="19"/>
      <c r="N12" s="7">
        <v>0</v>
      </c>
      <c r="O12" s="19"/>
      <c r="P12" s="7">
        <v>0</v>
      </c>
      <c r="Q12" s="5"/>
      <c r="R12" s="13">
        <v>0</v>
      </c>
      <c r="S12" s="5"/>
      <c r="T12" s="13">
        <v>0</v>
      </c>
      <c r="U12" s="19"/>
      <c r="V12" s="7">
        <v>0</v>
      </c>
      <c r="W12" s="19"/>
      <c r="X12" s="7">
        <v>0</v>
      </c>
      <c r="Y12" s="19"/>
      <c r="Z12" s="7">
        <v>0</v>
      </c>
      <c r="AA12" s="7">
        <v>0</v>
      </c>
    </row>
    <row r="13" spans="1:27">
      <c r="A13" s="2" t="s">
        <v>17</v>
      </c>
      <c r="B13" s="2" t="str">
        <f t="shared" ref="B13:B21" si="0">MID(C13,2,3)</f>
        <v>361</v>
      </c>
      <c r="C13" s="5" t="s">
        <v>19</v>
      </c>
      <c r="D13" s="7">
        <v>23392145.300000001</v>
      </c>
      <c r="E13" s="19"/>
      <c r="F13" s="7">
        <v>9926654.2400000002</v>
      </c>
      <c r="G13" s="19"/>
      <c r="H13" s="7">
        <v>0</v>
      </c>
      <c r="I13" s="19"/>
      <c r="J13" s="7">
        <v>0</v>
      </c>
      <c r="K13" s="19"/>
      <c r="L13" s="7">
        <v>9926654.2400000002</v>
      </c>
      <c r="M13" s="19"/>
      <c r="N13" s="7">
        <v>33318799.539999999</v>
      </c>
      <c r="O13" s="19"/>
      <c r="P13" s="7">
        <v>28360265.465384614</v>
      </c>
      <c r="Q13" s="5"/>
      <c r="R13" s="13">
        <v>-2248742.6851933072</v>
      </c>
      <c r="S13" s="5"/>
      <c r="T13" s="13">
        <v>26111522.780191306</v>
      </c>
      <c r="U13" s="19"/>
      <c r="V13" s="7">
        <v>53015.707505517043</v>
      </c>
      <c r="W13" s="19"/>
      <c r="X13" s="7">
        <v>-2195726.9776877901</v>
      </c>
      <c r="Y13" s="19"/>
      <c r="Z13" s="7">
        <v>33318799.539999999</v>
      </c>
      <c r="AA13" s="7">
        <v>0</v>
      </c>
    </row>
    <row r="14" spans="1:27">
      <c r="A14" s="2" t="s">
        <v>17</v>
      </c>
      <c r="B14" s="2" t="str">
        <f t="shared" si="0"/>
        <v>362</v>
      </c>
      <c r="C14" s="5" t="s">
        <v>20</v>
      </c>
      <c r="D14" s="7">
        <v>233958565.389999</v>
      </c>
      <c r="E14" s="19"/>
      <c r="F14" s="7">
        <v>27753613.669999901</v>
      </c>
      <c r="G14" s="19"/>
      <c r="H14" s="7">
        <v>-1069852.3600000001</v>
      </c>
      <c r="I14" s="19"/>
      <c r="J14" s="7">
        <v>0</v>
      </c>
      <c r="K14" s="19"/>
      <c r="L14" s="7">
        <v>26683761.309999902</v>
      </c>
      <c r="M14" s="19"/>
      <c r="N14" s="7">
        <v>260642326.69999892</v>
      </c>
      <c r="O14" s="19"/>
      <c r="P14" s="7">
        <v>246271632.29076874</v>
      </c>
      <c r="Q14" s="5"/>
      <c r="R14" s="13">
        <v>-52613123.288870662</v>
      </c>
      <c r="S14" s="5"/>
      <c r="T14" s="13">
        <v>193658509.00189808</v>
      </c>
      <c r="U14" s="19"/>
      <c r="V14" s="7">
        <v>148224.91334702057</v>
      </c>
      <c r="W14" s="19"/>
      <c r="X14" s="7">
        <v>-52464898.375523642</v>
      </c>
      <c r="Y14" s="19"/>
      <c r="Z14" s="7">
        <v>260642326.70000002</v>
      </c>
      <c r="AA14" s="7">
        <v>1.1026859283447266E-6</v>
      </c>
    </row>
    <row r="15" spans="1:27">
      <c r="A15" s="2" t="s">
        <v>17</v>
      </c>
      <c r="B15" s="2" t="str">
        <f t="shared" si="0"/>
        <v>364</v>
      </c>
      <c r="C15" s="5" t="s">
        <v>21</v>
      </c>
      <c r="D15" s="7">
        <v>388402529.73999906</v>
      </c>
      <c r="E15" s="19"/>
      <c r="F15" s="7">
        <v>21110757.979999982</v>
      </c>
      <c r="G15" s="19"/>
      <c r="H15" s="7">
        <v>-1844796.7899999989</v>
      </c>
      <c r="I15" s="19"/>
      <c r="J15" s="7">
        <v>0</v>
      </c>
      <c r="K15" s="19"/>
      <c r="L15" s="7">
        <v>19265961.189999983</v>
      </c>
      <c r="M15" s="19"/>
      <c r="N15" s="7">
        <v>407668490.92999905</v>
      </c>
      <c r="O15" s="19"/>
      <c r="P15" s="7">
        <v>398398893.60384554</v>
      </c>
      <c r="Q15" s="5"/>
      <c r="R15" s="13">
        <v>-163573395.15523189</v>
      </c>
      <c r="S15" s="5"/>
      <c r="T15" s="13">
        <v>234825498.44861364</v>
      </c>
      <c r="U15" s="19"/>
      <c r="V15" s="7">
        <v>112747.12941824383</v>
      </c>
      <c r="W15" s="19"/>
      <c r="X15" s="7">
        <v>-163460648.02581364</v>
      </c>
      <c r="Y15" s="19"/>
      <c r="Z15" s="7">
        <v>407668490.92999905</v>
      </c>
      <c r="AA15" s="7">
        <v>0</v>
      </c>
    </row>
    <row r="16" spans="1:27">
      <c r="A16" s="2" t="s">
        <v>17</v>
      </c>
      <c r="B16" s="2" t="str">
        <f t="shared" si="0"/>
        <v>365</v>
      </c>
      <c r="C16" s="5" t="s">
        <v>22</v>
      </c>
      <c r="D16" s="7">
        <v>387938043.86000001</v>
      </c>
      <c r="E16" s="19"/>
      <c r="F16" s="7">
        <v>31087115.129999939</v>
      </c>
      <c r="G16" s="19"/>
      <c r="H16" s="7">
        <v>-6656519.5300000003</v>
      </c>
      <c r="I16" s="19"/>
      <c r="J16" s="7">
        <v>0</v>
      </c>
      <c r="K16" s="19"/>
      <c r="L16" s="7">
        <v>24430595.599999938</v>
      </c>
      <c r="M16" s="19"/>
      <c r="N16" s="7">
        <v>412368639.45999998</v>
      </c>
      <c r="O16" s="19"/>
      <c r="P16" s="7">
        <v>400526272.49461544</v>
      </c>
      <c r="Q16" s="5"/>
      <c r="R16" s="13">
        <v>-110202936.12688138</v>
      </c>
      <c r="S16" s="5"/>
      <c r="T16" s="13">
        <v>290323336.36773407</v>
      </c>
      <c r="U16" s="19"/>
      <c r="V16" s="7">
        <v>166028.28738421036</v>
      </c>
      <c r="W16" s="19"/>
      <c r="X16" s="7">
        <v>-110036907.83949716</v>
      </c>
      <c r="Y16" s="19"/>
      <c r="Z16" s="7">
        <v>412368639.46000004</v>
      </c>
      <c r="AA16" s="7">
        <v>0</v>
      </c>
    </row>
    <row r="17" spans="1:27">
      <c r="A17" s="2" t="s">
        <v>17</v>
      </c>
      <c r="B17" s="2" t="str">
        <f t="shared" si="0"/>
        <v>366</v>
      </c>
      <c r="C17" s="5" t="s">
        <v>23</v>
      </c>
      <c r="D17" s="7">
        <v>2390106.04</v>
      </c>
      <c r="E17" s="19"/>
      <c r="F17" s="7">
        <v>0</v>
      </c>
      <c r="G17" s="19"/>
      <c r="H17" s="7">
        <v>0</v>
      </c>
      <c r="I17" s="19"/>
      <c r="J17" s="7">
        <v>0</v>
      </c>
      <c r="K17" s="19"/>
      <c r="L17" s="7">
        <v>0</v>
      </c>
      <c r="M17" s="19"/>
      <c r="N17" s="7">
        <v>2390106.04</v>
      </c>
      <c r="O17" s="19"/>
      <c r="P17" s="7">
        <v>2390106.04</v>
      </c>
      <c r="Q17" s="5"/>
      <c r="R17" s="13">
        <v>-1052769.7768319962</v>
      </c>
      <c r="S17" s="5"/>
      <c r="T17" s="13">
        <v>1337336.2631680039</v>
      </c>
      <c r="U17" s="19"/>
      <c r="V17" s="7">
        <v>0</v>
      </c>
      <c r="W17" s="19"/>
      <c r="X17" s="7">
        <v>-1052769.7768319962</v>
      </c>
      <c r="Y17" s="19"/>
      <c r="Z17" s="7">
        <v>2390106.04</v>
      </c>
      <c r="AA17" s="7">
        <v>0</v>
      </c>
    </row>
    <row r="18" spans="1:27">
      <c r="A18" s="2" t="s">
        <v>17</v>
      </c>
      <c r="B18" s="2" t="str">
        <f t="shared" si="0"/>
        <v>367</v>
      </c>
      <c r="C18" s="5" t="s">
        <v>24</v>
      </c>
      <c r="D18" s="7">
        <v>208407566.79000002</v>
      </c>
      <c r="E18" s="19"/>
      <c r="F18" s="7">
        <v>17842010.799999937</v>
      </c>
      <c r="G18" s="19"/>
      <c r="H18" s="7">
        <v>0</v>
      </c>
      <c r="I18" s="19"/>
      <c r="J18" s="7">
        <v>0</v>
      </c>
      <c r="K18" s="19"/>
      <c r="L18" s="7">
        <v>17842010.799999937</v>
      </c>
      <c r="M18" s="19"/>
      <c r="N18" s="7">
        <v>226249577.58999997</v>
      </c>
      <c r="O18" s="19"/>
      <c r="P18" s="7">
        <v>217404135.46846145</v>
      </c>
      <c r="Q18" s="5"/>
      <c r="R18" s="13">
        <v>-54710164.879874073</v>
      </c>
      <c r="S18" s="5"/>
      <c r="T18" s="13">
        <v>162693970.58858737</v>
      </c>
      <c r="U18" s="19"/>
      <c r="V18" s="7">
        <v>95289.591337984661</v>
      </c>
      <c r="W18" s="19"/>
      <c r="X18" s="7">
        <v>-54614875.288536087</v>
      </c>
      <c r="Y18" s="19"/>
      <c r="Z18" s="7">
        <v>226249577.59</v>
      </c>
      <c r="AA18" s="7">
        <v>0</v>
      </c>
    </row>
    <row r="19" spans="1:27">
      <c r="A19" s="2" t="s">
        <v>17</v>
      </c>
      <c r="B19" s="2" t="str">
        <f t="shared" si="0"/>
        <v>368</v>
      </c>
      <c r="C19" s="5" t="s">
        <v>25</v>
      </c>
      <c r="D19" s="7">
        <v>312510946.74000001</v>
      </c>
      <c r="E19" s="19"/>
      <c r="F19" s="7">
        <v>10577751.75</v>
      </c>
      <c r="G19" s="19"/>
      <c r="H19" s="7">
        <v>-3488019.6499999971</v>
      </c>
      <c r="I19" s="19"/>
      <c r="J19" s="7">
        <v>0</v>
      </c>
      <c r="K19" s="19"/>
      <c r="L19" s="7">
        <v>7089732.1000000034</v>
      </c>
      <c r="M19" s="19"/>
      <c r="N19" s="7">
        <v>319600678.84000003</v>
      </c>
      <c r="O19" s="19"/>
      <c r="P19" s="7">
        <v>315974318.09076923</v>
      </c>
      <c r="Q19" s="5"/>
      <c r="R19" s="13">
        <v>-145629428.48630247</v>
      </c>
      <c r="S19" s="5"/>
      <c r="T19" s="13">
        <v>170344889.60446677</v>
      </c>
      <c r="U19" s="19"/>
      <c r="V19" s="7">
        <v>56493.051866785987</v>
      </c>
      <c r="W19" s="19"/>
      <c r="X19" s="7">
        <v>-145572935.43443567</v>
      </c>
      <c r="Y19" s="19"/>
      <c r="Z19" s="7">
        <v>319600678.84000003</v>
      </c>
      <c r="AA19" s="7">
        <v>0</v>
      </c>
    </row>
    <row r="20" spans="1:27">
      <c r="A20" s="2" t="s">
        <v>17</v>
      </c>
      <c r="B20" s="2" t="str">
        <f t="shared" si="0"/>
        <v>369</v>
      </c>
      <c r="C20" s="5" t="s">
        <v>26</v>
      </c>
      <c r="D20" s="7">
        <v>108650549.7</v>
      </c>
      <c r="E20" s="19"/>
      <c r="F20" s="7">
        <v>56000</v>
      </c>
      <c r="G20" s="19"/>
      <c r="H20" s="7">
        <v>0</v>
      </c>
      <c r="I20" s="19"/>
      <c r="J20" s="7">
        <v>0</v>
      </c>
      <c r="K20" s="19"/>
      <c r="L20" s="7">
        <v>56000</v>
      </c>
      <c r="M20" s="19"/>
      <c r="N20" s="7">
        <v>108706549.7</v>
      </c>
      <c r="O20" s="19"/>
      <c r="P20" s="7">
        <v>108672088.16153848</v>
      </c>
      <c r="Q20" s="5"/>
      <c r="R20" s="13">
        <v>-63005872.214958459</v>
      </c>
      <c r="S20" s="5"/>
      <c r="T20" s="13">
        <v>45666215.946580023</v>
      </c>
      <c r="U20" s="19"/>
      <c r="V20" s="7">
        <v>299.08159874710759</v>
      </c>
      <c r="W20" s="19"/>
      <c r="X20" s="7">
        <v>-63005573.133359715</v>
      </c>
      <c r="Y20" s="19"/>
      <c r="Z20" s="7">
        <v>108706549.7</v>
      </c>
      <c r="AA20" s="7">
        <v>0</v>
      </c>
    </row>
    <row r="21" spans="1:27">
      <c r="A21" s="2" t="s">
        <v>17</v>
      </c>
      <c r="B21" s="2" t="str">
        <f t="shared" si="0"/>
        <v>370</v>
      </c>
      <c r="C21" s="5" t="s">
        <v>27</v>
      </c>
      <c r="D21" s="7">
        <v>77774576.8699999</v>
      </c>
      <c r="E21" s="19"/>
      <c r="F21" s="7">
        <v>2379407.2399999979</v>
      </c>
      <c r="G21" s="19"/>
      <c r="H21" s="7">
        <v>0</v>
      </c>
      <c r="I21" s="19"/>
      <c r="J21" s="7">
        <v>0</v>
      </c>
      <c r="K21" s="19"/>
      <c r="L21" s="7">
        <v>2379407.2399999979</v>
      </c>
      <c r="M21" s="19"/>
      <c r="N21" s="7">
        <v>80153984.109999895</v>
      </c>
      <c r="O21" s="19"/>
      <c r="P21" s="7">
        <v>78879628.828461438</v>
      </c>
      <c r="Q21" s="5"/>
      <c r="R21" s="13">
        <v>-41735731.247431532</v>
      </c>
      <c r="S21" s="5"/>
      <c r="T21" s="13">
        <v>37143897.581029907</v>
      </c>
      <c r="U21" s="19"/>
      <c r="V21" s="7">
        <v>12707.802168029324</v>
      </c>
      <c r="W21" s="19"/>
      <c r="X21" s="7">
        <v>-41723023.445263505</v>
      </c>
      <c r="Y21" s="19"/>
      <c r="Z21" s="7">
        <v>80153984.10999991</v>
      </c>
      <c r="AA21" s="7">
        <v>0</v>
      </c>
    </row>
    <row r="22" spans="1:27">
      <c r="A22" s="2" t="s">
        <v>17</v>
      </c>
      <c r="C22" s="5" t="s">
        <v>2189</v>
      </c>
      <c r="D22" s="7">
        <v>0</v>
      </c>
      <c r="E22" s="19"/>
      <c r="F22" s="7">
        <v>0</v>
      </c>
      <c r="G22" s="19"/>
      <c r="H22" s="7">
        <v>0</v>
      </c>
      <c r="I22" s="19"/>
      <c r="J22" s="7">
        <v>0</v>
      </c>
      <c r="K22" s="19"/>
      <c r="L22" s="7">
        <v>0</v>
      </c>
      <c r="M22" s="19"/>
      <c r="N22" s="7">
        <v>0</v>
      </c>
      <c r="O22" s="19"/>
      <c r="P22" s="7">
        <v>0</v>
      </c>
      <c r="Q22" s="5"/>
      <c r="R22" s="13">
        <v>0</v>
      </c>
      <c r="S22" s="5"/>
      <c r="T22" s="13">
        <v>0</v>
      </c>
      <c r="U22" s="19"/>
      <c r="V22" s="7">
        <v>0</v>
      </c>
      <c r="W22" s="19"/>
      <c r="X22" s="7">
        <v>0</v>
      </c>
      <c r="Y22" s="19"/>
      <c r="Z22" s="7">
        <v>0</v>
      </c>
      <c r="AA22" s="7">
        <v>0</v>
      </c>
    </row>
    <row r="23" spans="1:27">
      <c r="A23" s="9" t="s">
        <v>17</v>
      </c>
      <c r="B23" s="9"/>
      <c r="C23" s="5" t="s">
        <v>2488</v>
      </c>
      <c r="D23" s="7">
        <v>0</v>
      </c>
      <c r="E23" s="19"/>
      <c r="F23" s="7">
        <v>0</v>
      </c>
      <c r="G23" s="19"/>
      <c r="H23" s="7">
        <v>0</v>
      </c>
      <c r="I23" s="19"/>
      <c r="J23" s="7">
        <v>0</v>
      </c>
      <c r="K23" s="19"/>
      <c r="L23" s="7">
        <v>0</v>
      </c>
      <c r="M23" s="19"/>
      <c r="N23" s="7">
        <v>0</v>
      </c>
      <c r="O23" s="19"/>
      <c r="P23" s="7">
        <v>0</v>
      </c>
      <c r="Q23" s="5"/>
      <c r="R23" s="13">
        <v>0</v>
      </c>
      <c r="S23" s="5"/>
      <c r="T23" s="13">
        <v>0</v>
      </c>
      <c r="U23" s="19"/>
      <c r="V23" s="7">
        <v>0</v>
      </c>
      <c r="W23" s="19"/>
      <c r="X23" s="7">
        <v>0</v>
      </c>
      <c r="Y23" s="19"/>
      <c r="Z23" s="7">
        <v>0</v>
      </c>
      <c r="AA23" s="7">
        <v>0</v>
      </c>
    </row>
    <row r="24" spans="1:27">
      <c r="A24" s="2" t="s">
        <v>17</v>
      </c>
      <c r="B24" s="2" t="str">
        <f t="shared" ref="B24:B26" si="1">MID(C24,2,3)</f>
        <v>371</v>
      </c>
      <c r="C24" s="5" t="s">
        <v>28</v>
      </c>
      <c r="D24" s="7">
        <v>148818.36999999901</v>
      </c>
      <c r="E24" s="19"/>
      <c r="F24" s="7">
        <v>0</v>
      </c>
      <c r="G24" s="19"/>
      <c r="H24" s="7">
        <v>0</v>
      </c>
      <c r="I24" s="19"/>
      <c r="J24" s="7">
        <v>0</v>
      </c>
      <c r="K24" s="19"/>
      <c r="L24" s="7">
        <v>0</v>
      </c>
      <c r="M24" s="19"/>
      <c r="N24" s="7">
        <v>148818.36999999901</v>
      </c>
      <c r="O24" s="19"/>
      <c r="P24" s="7">
        <v>148818.36999999903</v>
      </c>
      <c r="Q24" s="5"/>
      <c r="R24" s="13">
        <v>-15957.010715699997</v>
      </c>
      <c r="S24" s="5"/>
      <c r="T24" s="13">
        <v>132861.35928429905</v>
      </c>
      <c r="U24" s="19"/>
      <c r="V24" s="7">
        <v>0</v>
      </c>
      <c r="W24" s="19"/>
      <c r="X24" s="7">
        <v>-15957.010715699997</v>
      </c>
      <c r="Y24" s="19"/>
      <c r="Z24" s="7">
        <v>148818.36999999901</v>
      </c>
      <c r="AA24" s="7">
        <v>0</v>
      </c>
    </row>
    <row r="25" spans="1:27" s="9" customFormat="1">
      <c r="A25" s="2" t="s">
        <v>17</v>
      </c>
      <c r="B25" s="2" t="str">
        <f t="shared" si="1"/>
        <v>373</v>
      </c>
      <c r="C25" s="5" t="s">
        <v>29</v>
      </c>
      <c r="D25" s="7">
        <v>125563553.03</v>
      </c>
      <c r="E25" s="18"/>
      <c r="F25" s="7">
        <v>7573135.5199999977</v>
      </c>
      <c r="G25" s="18"/>
      <c r="H25" s="7">
        <v>-3697027.82</v>
      </c>
      <c r="I25" s="18"/>
      <c r="J25" s="7">
        <v>0</v>
      </c>
      <c r="K25" s="18"/>
      <c r="L25" s="17">
        <v>3876107.6999999979</v>
      </c>
      <c r="M25" s="18"/>
      <c r="N25" s="17">
        <v>129439660.73</v>
      </c>
      <c r="O25" s="18"/>
      <c r="P25" s="17">
        <v>127240903.38000001</v>
      </c>
      <c r="Q25" s="5"/>
      <c r="R25" s="13">
        <v>-44595168.014400773</v>
      </c>
      <c r="S25" s="5"/>
      <c r="T25" s="13">
        <v>82645735.365599245</v>
      </c>
      <c r="U25" s="18"/>
      <c r="V25" s="7">
        <v>40446.169265180491</v>
      </c>
      <c r="W25" s="18"/>
      <c r="X25" s="7">
        <v>-44554721.845135592</v>
      </c>
      <c r="Y25" s="18"/>
      <c r="Z25" s="7">
        <v>129439660.73</v>
      </c>
      <c r="AA25" s="7">
        <v>0</v>
      </c>
    </row>
    <row r="26" spans="1:27">
      <c r="A26" s="2" t="s">
        <v>17</v>
      </c>
      <c r="B26" s="2" t="str">
        <f t="shared" si="1"/>
        <v>374</v>
      </c>
      <c r="C26" s="5" t="s">
        <v>30</v>
      </c>
      <c r="D26" s="17">
        <v>658287.19000000006</v>
      </c>
      <c r="E26" s="18"/>
      <c r="F26" s="17">
        <v>0</v>
      </c>
      <c r="G26" s="18"/>
      <c r="H26" s="17">
        <v>0</v>
      </c>
      <c r="I26" s="18"/>
      <c r="J26" s="17">
        <v>0</v>
      </c>
      <c r="K26" s="18"/>
      <c r="L26" s="17">
        <v>0</v>
      </c>
      <c r="M26" s="18"/>
      <c r="N26" s="17">
        <v>658287.19000000006</v>
      </c>
      <c r="O26" s="18"/>
      <c r="P26" s="17">
        <v>658287.18999999994</v>
      </c>
      <c r="Q26" s="14"/>
      <c r="R26" s="15">
        <v>-131322.43193931569</v>
      </c>
      <c r="S26" s="14"/>
      <c r="T26" s="15">
        <v>526964.75806068419</v>
      </c>
      <c r="U26" s="18"/>
      <c r="V26" s="17">
        <v>0</v>
      </c>
      <c r="W26" s="18"/>
      <c r="X26" s="17">
        <v>-131322.43193931569</v>
      </c>
      <c r="Y26" s="18"/>
      <c r="Z26" s="17">
        <v>658287.19000000006</v>
      </c>
      <c r="AA26" s="17">
        <v>0</v>
      </c>
    </row>
    <row r="27" spans="1:27">
      <c r="C27" s="16" t="s">
        <v>31</v>
      </c>
      <c r="D27" s="17">
        <v>0</v>
      </c>
      <c r="E27" s="18"/>
      <c r="F27" s="17">
        <v>0</v>
      </c>
      <c r="G27" s="18"/>
      <c r="H27" s="17">
        <v>0</v>
      </c>
      <c r="I27" s="18"/>
      <c r="J27" s="17">
        <v>0</v>
      </c>
      <c r="K27" s="18"/>
      <c r="L27" s="17">
        <v>0</v>
      </c>
      <c r="M27" s="18"/>
      <c r="N27" s="17">
        <v>0</v>
      </c>
      <c r="O27" s="18"/>
      <c r="P27" s="17">
        <v>0</v>
      </c>
      <c r="Q27" s="5"/>
      <c r="R27" s="15">
        <v>0</v>
      </c>
      <c r="S27" s="5"/>
      <c r="T27" s="15">
        <v>0</v>
      </c>
      <c r="U27" s="18"/>
      <c r="V27" s="17">
        <v>0</v>
      </c>
      <c r="W27" s="18"/>
      <c r="X27" s="17">
        <v>0</v>
      </c>
      <c r="Y27" s="18"/>
      <c r="Z27" s="17">
        <v>0</v>
      </c>
      <c r="AA27" s="17">
        <v>0</v>
      </c>
    </row>
    <row r="28" spans="1:27">
      <c r="C28" s="5"/>
      <c r="D28" s="437">
        <v>1878975158.4199979</v>
      </c>
      <c r="E28" s="18"/>
      <c r="F28" s="437">
        <v>128606446.93999974</v>
      </c>
      <c r="G28" s="18"/>
      <c r="H28" s="437">
        <v>-16756216.149999997</v>
      </c>
      <c r="I28" s="18"/>
      <c r="J28" s="437">
        <v>0</v>
      </c>
      <c r="K28" s="18"/>
      <c r="L28" s="437">
        <v>111850230.78999977</v>
      </c>
      <c r="M28" s="18"/>
      <c r="N28" s="437">
        <v>1990825389.2099977</v>
      </c>
      <c r="O28" s="18"/>
      <c r="P28" s="437">
        <v>1934220203.6338451</v>
      </c>
      <c r="Q28" s="5"/>
      <c r="R28" s="437">
        <v>-680951318.3758955</v>
      </c>
      <c r="S28" s="5"/>
      <c r="T28" s="437">
        <v>1253268885.2579494</v>
      </c>
      <c r="U28" s="18"/>
      <c r="V28" s="437">
        <v>686853.96000000334</v>
      </c>
      <c r="W28" s="18"/>
      <c r="X28" s="437">
        <v>-680264464.41589558</v>
      </c>
      <c r="Y28" s="18"/>
      <c r="Z28" s="437">
        <v>1990825389.2099991</v>
      </c>
      <c r="AA28" s="437">
        <v>1.1026859283447266E-6</v>
      </c>
    </row>
    <row r="29" spans="1:27">
      <c r="C29" s="5"/>
      <c r="D29" s="17"/>
      <c r="E29" s="18"/>
      <c r="F29" s="17"/>
      <c r="G29" s="18"/>
      <c r="H29" s="17"/>
      <c r="I29" s="18"/>
      <c r="J29" s="17"/>
      <c r="K29" s="18"/>
      <c r="L29" s="17"/>
      <c r="M29" s="18"/>
      <c r="N29" s="17"/>
      <c r="O29" s="18"/>
      <c r="P29" s="17"/>
      <c r="Q29" s="5"/>
      <c r="R29" s="5"/>
      <c r="S29" s="5"/>
      <c r="T29" s="5"/>
      <c r="U29" s="18"/>
      <c r="V29" s="17"/>
      <c r="W29" s="18"/>
      <c r="X29" s="17"/>
      <c r="Y29" s="18"/>
      <c r="Z29" s="17"/>
      <c r="AA29" s="17"/>
    </row>
    <row r="30" spans="1:27">
      <c r="C30" s="8" t="s">
        <v>32</v>
      </c>
      <c r="D30" s="17"/>
      <c r="E30" s="18"/>
      <c r="F30" s="17"/>
      <c r="G30" s="18"/>
      <c r="H30" s="17"/>
      <c r="I30" s="18"/>
      <c r="J30" s="17"/>
      <c r="K30" s="18"/>
      <c r="L30" s="17"/>
      <c r="M30" s="18"/>
      <c r="N30" s="17"/>
      <c r="O30" s="18"/>
      <c r="P30" s="17"/>
      <c r="Q30" s="5"/>
      <c r="R30" s="5"/>
      <c r="S30" s="5"/>
      <c r="T30" s="5"/>
      <c r="U30" s="18"/>
      <c r="V30" s="17"/>
      <c r="W30" s="18"/>
      <c r="X30" s="17"/>
      <c r="Y30" s="18"/>
      <c r="Z30" s="17"/>
      <c r="AA30" s="17"/>
    </row>
    <row r="31" spans="1:27">
      <c r="A31" s="2" t="s">
        <v>17</v>
      </c>
      <c r="B31" s="2" t="str">
        <f t="shared" ref="B31:B46" si="2">MID(C31,2,3)</f>
        <v>389</v>
      </c>
      <c r="C31" s="5" t="s">
        <v>2489</v>
      </c>
      <c r="D31" s="7">
        <v>3129258.1999999904</v>
      </c>
      <c r="E31" s="19"/>
      <c r="F31" s="7">
        <v>663161.47</v>
      </c>
      <c r="G31" s="19"/>
      <c r="H31" s="7">
        <v>0</v>
      </c>
      <c r="I31" s="19"/>
      <c r="J31" s="7">
        <v>0</v>
      </c>
      <c r="K31" s="19"/>
      <c r="L31" s="7">
        <v>663161.47</v>
      </c>
      <c r="M31" s="19"/>
      <c r="N31" s="7">
        <v>3792419.6699999906</v>
      </c>
      <c r="O31" s="19"/>
      <c r="P31" s="7">
        <v>3433794.221538451</v>
      </c>
      <c r="Q31" s="5"/>
      <c r="R31" s="13">
        <v>0</v>
      </c>
      <c r="S31" s="5"/>
      <c r="T31" s="13">
        <v>3433794.221538451</v>
      </c>
      <c r="U31" s="19"/>
      <c r="V31" s="7">
        <v>-2.9233374643937851E-13</v>
      </c>
      <c r="W31" s="19"/>
      <c r="X31" s="7">
        <v>-2.9233374643937851E-13</v>
      </c>
      <c r="Y31" s="19"/>
      <c r="Z31" s="7">
        <v>3792419.6699999901</v>
      </c>
      <c r="AA31" s="7">
        <v>0</v>
      </c>
    </row>
    <row r="32" spans="1:27">
      <c r="A32" s="2" t="s">
        <v>17</v>
      </c>
      <c r="B32" s="2" t="str">
        <f t="shared" si="2"/>
        <v>390</v>
      </c>
      <c r="C32" s="5" t="s">
        <v>34</v>
      </c>
      <c r="D32" s="7">
        <v>69231364.36999999</v>
      </c>
      <c r="E32" s="19"/>
      <c r="F32" s="7">
        <v>12634098.579999991</v>
      </c>
      <c r="G32" s="19"/>
      <c r="H32" s="7">
        <v>0</v>
      </c>
      <c r="I32" s="19"/>
      <c r="J32" s="7">
        <v>0</v>
      </c>
      <c r="K32" s="19"/>
      <c r="L32" s="7">
        <v>12634098.579999991</v>
      </c>
      <c r="M32" s="19"/>
      <c r="N32" s="7">
        <v>81865462.949999988</v>
      </c>
      <c r="O32" s="19"/>
      <c r="P32" s="7">
        <v>78011470.061538458</v>
      </c>
      <c r="Q32" s="5"/>
      <c r="R32" s="13">
        <v>-15140248.908972748</v>
      </c>
      <c r="S32" s="5"/>
      <c r="T32" s="13">
        <v>62871221.15256571</v>
      </c>
      <c r="U32" s="19"/>
      <c r="V32" s="7">
        <v>-5.5693425174050441E-12</v>
      </c>
      <c r="W32" s="19"/>
      <c r="X32" s="7">
        <v>-15140248.908972748</v>
      </c>
      <c r="Y32" s="19"/>
      <c r="Z32" s="7">
        <v>81865462.950000003</v>
      </c>
      <c r="AA32" s="7">
        <v>0</v>
      </c>
    </row>
    <row r="33" spans="1:27">
      <c r="A33" s="2" t="s">
        <v>17</v>
      </c>
      <c r="C33" s="5" t="s">
        <v>35</v>
      </c>
      <c r="D33" s="7">
        <v>0</v>
      </c>
      <c r="E33" s="19"/>
      <c r="F33" s="7">
        <v>0</v>
      </c>
      <c r="G33" s="19"/>
      <c r="H33" s="7">
        <v>0</v>
      </c>
      <c r="I33" s="19"/>
      <c r="J33" s="7">
        <v>0</v>
      </c>
      <c r="K33" s="19"/>
      <c r="L33" s="7">
        <v>0</v>
      </c>
      <c r="M33" s="19"/>
      <c r="N33" s="7">
        <v>0</v>
      </c>
      <c r="O33" s="19"/>
      <c r="P33" s="7">
        <v>0</v>
      </c>
      <c r="Q33" s="5"/>
      <c r="R33" s="13">
        <v>0</v>
      </c>
      <c r="S33" s="5"/>
      <c r="T33" s="13">
        <v>0</v>
      </c>
      <c r="U33" s="19"/>
      <c r="V33" s="7">
        <v>0</v>
      </c>
      <c r="W33" s="19"/>
      <c r="X33" s="7">
        <v>0</v>
      </c>
      <c r="Y33" s="19"/>
      <c r="Z33" s="7">
        <v>0</v>
      </c>
      <c r="AA33" s="7">
        <v>0</v>
      </c>
    </row>
    <row r="34" spans="1:27">
      <c r="A34" s="2" t="s">
        <v>17</v>
      </c>
      <c r="B34" s="2" t="str">
        <f t="shared" ref="B34" si="3">MID(C34,2,3)</f>
        <v>391</v>
      </c>
      <c r="C34" s="5" t="s">
        <v>36</v>
      </c>
      <c r="D34" s="7">
        <v>45542459.199999899</v>
      </c>
      <c r="E34" s="19"/>
      <c r="F34" s="7">
        <v>5422542.1599999992</v>
      </c>
      <c r="G34" s="19"/>
      <c r="H34" s="7">
        <v>-8155519.4099999974</v>
      </c>
      <c r="I34" s="19"/>
      <c r="J34" s="7">
        <v>0</v>
      </c>
      <c r="K34" s="19"/>
      <c r="L34" s="7">
        <v>-2732977.2499999981</v>
      </c>
      <c r="M34" s="19"/>
      <c r="N34" s="7">
        <v>42809481.949999899</v>
      </c>
      <c r="O34" s="19"/>
      <c r="P34" s="7">
        <v>43733664.389230751</v>
      </c>
      <c r="Q34" s="5"/>
      <c r="R34" s="13">
        <v>-20420576.651289899</v>
      </c>
      <c r="S34" s="5"/>
      <c r="T34" s="13">
        <v>23313087.737940852</v>
      </c>
      <c r="U34" s="19"/>
      <c r="V34" s="7">
        <v>-2.3903560996363068E-12</v>
      </c>
      <c r="W34" s="19"/>
      <c r="X34" s="7">
        <v>-20420576.651289899</v>
      </c>
      <c r="Y34" s="19"/>
      <c r="Z34" s="7">
        <v>42809481.949999988</v>
      </c>
      <c r="AA34" s="7">
        <v>8.9406967163085938E-8</v>
      </c>
    </row>
    <row r="35" spans="1:27">
      <c r="A35" s="2" t="s">
        <v>17</v>
      </c>
      <c r="C35" s="5" t="s">
        <v>37</v>
      </c>
      <c r="D35" s="7">
        <v>0</v>
      </c>
      <c r="E35" s="19"/>
      <c r="F35" s="7">
        <v>0</v>
      </c>
      <c r="G35" s="19"/>
      <c r="H35" s="7">
        <v>0</v>
      </c>
      <c r="I35" s="19"/>
      <c r="J35" s="7">
        <v>0</v>
      </c>
      <c r="K35" s="19"/>
      <c r="L35" s="7">
        <v>0</v>
      </c>
      <c r="M35" s="19"/>
      <c r="N35" s="7">
        <v>0</v>
      </c>
      <c r="O35" s="19"/>
      <c r="P35" s="7">
        <v>0</v>
      </c>
      <c r="Q35" s="5"/>
      <c r="R35" s="13">
        <v>0</v>
      </c>
      <c r="S35" s="5"/>
      <c r="T35" s="13">
        <v>0</v>
      </c>
      <c r="U35" s="19"/>
      <c r="V35" s="7">
        <v>0</v>
      </c>
      <c r="W35" s="19"/>
      <c r="X35" s="7">
        <v>0</v>
      </c>
      <c r="Y35" s="19"/>
      <c r="Z35" s="7">
        <v>0</v>
      </c>
      <c r="AA35" s="7">
        <v>0</v>
      </c>
    </row>
    <row r="36" spans="1:27" s="9" customFormat="1">
      <c r="A36" s="9" t="s">
        <v>17</v>
      </c>
      <c r="C36" s="5" t="s">
        <v>38</v>
      </c>
      <c r="D36" s="7">
        <v>0</v>
      </c>
      <c r="E36" s="19"/>
      <c r="F36" s="7">
        <v>0</v>
      </c>
      <c r="G36" s="19"/>
      <c r="H36" s="7">
        <v>0</v>
      </c>
      <c r="I36" s="19"/>
      <c r="J36" s="7">
        <v>0</v>
      </c>
      <c r="K36" s="19"/>
      <c r="L36" s="7">
        <v>0</v>
      </c>
      <c r="M36" s="19"/>
      <c r="N36" s="7">
        <v>0</v>
      </c>
      <c r="O36" s="19"/>
      <c r="P36" s="7">
        <v>0</v>
      </c>
      <c r="Q36" s="5"/>
      <c r="R36" s="13">
        <v>0</v>
      </c>
      <c r="S36" s="5"/>
      <c r="T36" s="13">
        <v>0</v>
      </c>
      <c r="U36" s="19"/>
      <c r="V36" s="7">
        <v>0</v>
      </c>
      <c r="W36" s="19"/>
      <c r="X36" s="7">
        <v>0</v>
      </c>
      <c r="Y36" s="19"/>
      <c r="Z36" s="7">
        <v>0</v>
      </c>
      <c r="AA36" s="7">
        <v>0</v>
      </c>
    </row>
    <row r="37" spans="1:27">
      <c r="A37" s="2" t="s">
        <v>17</v>
      </c>
      <c r="C37" s="5" t="s">
        <v>39</v>
      </c>
      <c r="D37" s="7">
        <v>0</v>
      </c>
      <c r="E37" s="19"/>
      <c r="F37" s="7">
        <v>0</v>
      </c>
      <c r="G37" s="19"/>
      <c r="H37" s="7">
        <v>0</v>
      </c>
      <c r="I37" s="19"/>
      <c r="J37" s="7">
        <v>0</v>
      </c>
      <c r="K37" s="19"/>
      <c r="L37" s="7">
        <v>0</v>
      </c>
      <c r="M37" s="19"/>
      <c r="N37" s="7">
        <v>0</v>
      </c>
      <c r="O37" s="19"/>
      <c r="P37" s="7">
        <v>0</v>
      </c>
      <c r="Q37" s="5"/>
      <c r="R37" s="13">
        <v>0</v>
      </c>
      <c r="S37" s="5"/>
      <c r="T37" s="13">
        <v>0</v>
      </c>
      <c r="U37" s="19"/>
      <c r="V37" s="7">
        <v>0</v>
      </c>
      <c r="W37" s="19"/>
      <c r="X37" s="7">
        <v>0</v>
      </c>
      <c r="Y37" s="19"/>
      <c r="Z37" s="7">
        <v>0</v>
      </c>
      <c r="AA37" s="7">
        <v>0</v>
      </c>
    </row>
    <row r="38" spans="1:27">
      <c r="A38" s="2" t="s">
        <v>17</v>
      </c>
      <c r="B38" s="2" t="str">
        <f t="shared" si="2"/>
        <v>392</v>
      </c>
      <c r="C38" s="5" t="s">
        <v>40</v>
      </c>
      <c r="D38" s="7">
        <v>7523325.3000000007</v>
      </c>
      <c r="E38" s="19"/>
      <c r="F38" s="7">
        <v>0</v>
      </c>
      <c r="G38" s="19"/>
      <c r="H38" s="7">
        <v>0</v>
      </c>
      <c r="I38" s="19"/>
      <c r="J38" s="7">
        <v>0</v>
      </c>
      <c r="K38" s="19"/>
      <c r="L38" s="7">
        <v>0</v>
      </c>
      <c r="M38" s="19"/>
      <c r="N38" s="7">
        <v>7523325.3000000007</v>
      </c>
      <c r="O38" s="19"/>
      <c r="P38" s="7">
        <v>7523325.3000000017</v>
      </c>
      <c r="Q38" s="5"/>
      <c r="R38" s="13">
        <v>-4390332.7743230006</v>
      </c>
      <c r="S38" s="5"/>
      <c r="T38" s="13">
        <v>3132992.5256770011</v>
      </c>
      <c r="U38" s="19"/>
      <c r="V38" s="7">
        <v>0</v>
      </c>
      <c r="W38" s="19"/>
      <c r="X38" s="7">
        <v>-4390332.7743230006</v>
      </c>
      <c r="Y38" s="19"/>
      <c r="Z38" s="7">
        <v>7523325.3000000007</v>
      </c>
      <c r="AA38" s="7">
        <v>0</v>
      </c>
    </row>
    <row r="39" spans="1:27">
      <c r="A39" s="2" t="s">
        <v>17</v>
      </c>
      <c r="C39" s="5" t="s">
        <v>41</v>
      </c>
      <c r="D39" s="7">
        <v>0</v>
      </c>
      <c r="E39" s="19"/>
      <c r="F39" s="7">
        <v>0</v>
      </c>
      <c r="G39" s="19"/>
      <c r="H39" s="7">
        <v>0</v>
      </c>
      <c r="I39" s="19"/>
      <c r="J39" s="7">
        <v>0</v>
      </c>
      <c r="K39" s="19"/>
      <c r="L39" s="7">
        <v>0</v>
      </c>
      <c r="M39" s="19"/>
      <c r="N39" s="7">
        <v>0</v>
      </c>
      <c r="O39" s="19"/>
      <c r="P39" s="7">
        <v>0</v>
      </c>
      <c r="Q39" s="5"/>
      <c r="R39" s="13">
        <v>0</v>
      </c>
      <c r="S39" s="5"/>
      <c r="T39" s="13">
        <v>0</v>
      </c>
      <c r="U39" s="19"/>
      <c r="V39" s="7">
        <v>0</v>
      </c>
      <c r="W39" s="19"/>
      <c r="X39" s="7">
        <v>0</v>
      </c>
      <c r="Y39" s="19"/>
      <c r="Z39" s="7">
        <v>0</v>
      </c>
      <c r="AA39" s="7">
        <v>0</v>
      </c>
    </row>
    <row r="40" spans="1:27">
      <c r="A40" s="2" t="s">
        <v>17</v>
      </c>
      <c r="B40" s="2" t="str">
        <f t="shared" si="2"/>
        <v>393</v>
      </c>
      <c r="C40" s="5" t="s">
        <v>42</v>
      </c>
      <c r="D40" s="7">
        <v>932125.44000000006</v>
      </c>
      <c r="E40" s="19"/>
      <c r="F40" s="7">
        <v>0</v>
      </c>
      <c r="G40" s="19"/>
      <c r="H40" s="7">
        <v>-31840.82</v>
      </c>
      <c r="I40" s="19"/>
      <c r="J40" s="7">
        <v>0</v>
      </c>
      <c r="K40" s="19"/>
      <c r="L40" s="7">
        <v>-31840.82</v>
      </c>
      <c r="M40" s="19"/>
      <c r="N40" s="7">
        <v>900284.62000000011</v>
      </c>
      <c r="O40" s="19"/>
      <c r="P40" s="7">
        <v>909214.57307692326</v>
      </c>
      <c r="Q40" s="5"/>
      <c r="R40" s="13">
        <v>-445679.82359115285</v>
      </c>
      <c r="S40" s="5"/>
      <c r="T40" s="13">
        <v>463534.74948577042</v>
      </c>
      <c r="U40" s="19"/>
      <c r="V40" s="7">
        <v>0</v>
      </c>
      <c r="W40" s="19"/>
      <c r="X40" s="7">
        <v>-445679.82359115285</v>
      </c>
      <c r="Y40" s="19"/>
      <c r="Z40" s="7">
        <v>900284.62</v>
      </c>
      <c r="AA40" s="7">
        <v>0</v>
      </c>
    </row>
    <row r="41" spans="1:27">
      <c r="A41" s="2" t="s">
        <v>17</v>
      </c>
      <c r="B41" s="2" t="str">
        <f t="shared" si="2"/>
        <v>394</v>
      </c>
      <c r="C41" s="5" t="s">
        <v>43</v>
      </c>
      <c r="D41" s="7">
        <v>15011146.810000001</v>
      </c>
      <c r="E41" s="19"/>
      <c r="F41" s="7">
        <v>2423218.0399999996</v>
      </c>
      <c r="G41" s="19"/>
      <c r="H41" s="7">
        <v>-93018.769999999902</v>
      </c>
      <c r="I41" s="19"/>
      <c r="J41" s="7">
        <v>0</v>
      </c>
      <c r="K41" s="19"/>
      <c r="L41" s="7">
        <v>2330199.2699999996</v>
      </c>
      <c r="M41" s="19"/>
      <c r="N41" s="7">
        <v>17341346.079999998</v>
      </c>
      <c r="O41" s="19"/>
      <c r="P41" s="7">
        <v>16327961.941538459</v>
      </c>
      <c r="Q41" s="5"/>
      <c r="R41" s="13">
        <v>-4982147.1178307692</v>
      </c>
      <c r="S41" s="5"/>
      <c r="T41" s="13">
        <v>11345814.823707689</v>
      </c>
      <c r="U41" s="19"/>
      <c r="V41" s="7">
        <v>-1.0681989833828671E-12</v>
      </c>
      <c r="W41" s="19"/>
      <c r="X41" s="7">
        <v>-4982147.1178307692</v>
      </c>
      <c r="Y41" s="19"/>
      <c r="Z41" s="7">
        <v>17341346.079999998</v>
      </c>
      <c r="AA41" s="7">
        <v>0</v>
      </c>
    </row>
    <row r="42" spans="1:27">
      <c r="A42" s="2" t="s">
        <v>17</v>
      </c>
      <c r="B42" s="2" t="str">
        <f t="shared" si="2"/>
        <v>395</v>
      </c>
      <c r="C42" s="5" t="s">
        <v>44</v>
      </c>
      <c r="D42" s="7">
        <v>0</v>
      </c>
      <c r="E42" s="19"/>
      <c r="F42" s="7">
        <v>0</v>
      </c>
      <c r="G42" s="19"/>
      <c r="H42" s="7">
        <v>0</v>
      </c>
      <c r="I42" s="19"/>
      <c r="J42" s="7">
        <v>0</v>
      </c>
      <c r="K42" s="19"/>
      <c r="L42" s="7">
        <v>0</v>
      </c>
      <c r="M42" s="19"/>
      <c r="N42" s="7">
        <v>0</v>
      </c>
      <c r="O42" s="19"/>
      <c r="P42" s="7">
        <v>0</v>
      </c>
      <c r="Q42" s="5"/>
      <c r="R42" s="13">
        <v>0</v>
      </c>
      <c r="S42" s="5"/>
      <c r="T42" s="13">
        <v>0</v>
      </c>
      <c r="U42" s="19"/>
      <c r="V42" s="7">
        <v>0</v>
      </c>
      <c r="W42" s="19"/>
      <c r="X42" s="7">
        <v>0</v>
      </c>
      <c r="Y42" s="19"/>
      <c r="Z42" s="7">
        <v>0</v>
      </c>
      <c r="AA42" s="7">
        <v>0</v>
      </c>
    </row>
    <row r="43" spans="1:27" s="9" customFormat="1">
      <c r="A43" s="2" t="s">
        <v>17</v>
      </c>
      <c r="B43" s="2" t="str">
        <f t="shared" si="2"/>
        <v>396</v>
      </c>
      <c r="C43" s="5" t="s">
        <v>2490</v>
      </c>
      <c r="D43" s="7">
        <v>3855630.14</v>
      </c>
      <c r="E43" s="19"/>
      <c r="F43" s="7">
        <v>0</v>
      </c>
      <c r="G43" s="19"/>
      <c r="H43" s="7">
        <v>0</v>
      </c>
      <c r="I43" s="19"/>
      <c r="J43" s="7">
        <v>0</v>
      </c>
      <c r="K43" s="19"/>
      <c r="L43" s="7">
        <v>0</v>
      </c>
      <c r="M43" s="19"/>
      <c r="N43" s="7">
        <v>3855630.14</v>
      </c>
      <c r="O43" s="19"/>
      <c r="P43" s="7">
        <v>3855630.14</v>
      </c>
      <c r="Q43" s="5"/>
      <c r="R43" s="13">
        <v>-1406043.9452699891</v>
      </c>
      <c r="S43" s="5"/>
      <c r="T43" s="13">
        <v>2449586.1947300108</v>
      </c>
      <c r="U43" s="19"/>
      <c r="V43" s="7">
        <v>0</v>
      </c>
      <c r="W43" s="19"/>
      <c r="X43" s="7">
        <v>-1406043.9452699891</v>
      </c>
      <c r="Y43" s="19"/>
      <c r="Z43" s="7">
        <v>3855630.14</v>
      </c>
      <c r="AA43" s="7">
        <v>0</v>
      </c>
    </row>
    <row r="44" spans="1:27" s="9" customFormat="1">
      <c r="A44" s="2" t="s">
        <v>17</v>
      </c>
      <c r="B44" s="2" t="str">
        <f t="shared" si="2"/>
        <v>397</v>
      </c>
      <c r="C44" s="5" t="s">
        <v>2190</v>
      </c>
      <c r="D44" s="7">
        <v>57291554.849999897</v>
      </c>
      <c r="E44" s="19"/>
      <c r="F44" s="7">
        <v>2858225.6499999901</v>
      </c>
      <c r="G44" s="19"/>
      <c r="H44" s="7">
        <v>0</v>
      </c>
      <c r="I44" s="19"/>
      <c r="J44" s="7">
        <v>0</v>
      </c>
      <c r="K44" s="19"/>
      <c r="L44" s="7">
        <v>2858225.6499999901</v>
      </c>
      <c r="M44" s="19"/>
      <c r="N44" s="7">
        <v>60149780.499999888</v>
      </c>
      <c r="O44" s="19"/>
      <c r="P44" s="7">
        <v>58609920.125384502</v>
      </c>
      <c r="Q44" s="5"/>
      <c r="R44" s="13">
        <v>-27224944.973299999</v>
      </c>
      <c r="S44" s="5"/>
      <c r="T44" s="13">
        <v>31384975.152084503</v>
      </c>
      <c r="U44" s="19"/>
      <c r="V44" s="7">
        <v>-1.2599583212119139E-12</v>
      </c>
      <c r="W44" s="19"/>
      <c r="X44" s="7">
        <v>-27224944.973299999</v>
      </c>
      <c r="Y44" s="19"/>
      <c r="Z44" s="7">
        <v>60149780.499999896</v>
      </c>
      <c r="AA44" s="7">
        <v>0</v>
      </c>
    </row>
    <row r="45" spans="1:27">
      <c r="A45" s="2" t="s">
        <v>17</v>
      </c>
      <c r="B45" s="9"/>
      <c r="C45" s="5" t="s">
        <v>2191</v>
      </c>
      <c r="D45" s="7">
        <v>0</v>
      </c>
      <c r="E45" s="19"/>
      <c r="F45" s="7">
        <v>0</v>
      </c>
      <c r="G45" s="19"/>
      <c r="H45" s="7">
        <v>0</v>
      </c>
      <c r="I45" s="19"/>
      <c r="J45" s="7">
        <v>0</v>
      </c>
      <c r="K45" s="19"/>
      <c r="L45" s="7">
        <v>0</v>
      </c>
      <c r="M45" s="19"/>
      <c r="N45" s="7">
        <v>0</v>
      </c>
      <c r="O45" s="19"/>
      <c r="P45" s="7">
        <v>0</v>
      </c>
      <c r="Q45" s="5"/>
      <c r="R45" s="13">
        <v>0</v>
      </c>
      <c r="S45" s="5"/>
      <c r="T45" s="13">
        <v>0</v>
      </c>
      <c r="U45" s="19"/>
      <c r="V45" s="7">
        <v>0</v>
      </c>
      <c r="W45" s="19"/>
      <c r="X45" s="7">
        <v>0</v>
      </c>
      <c r="Y45" s="19"/>
      <c r="Z45" s="7">
        <v>0</v>
      </c>
      <c r="AA45" s="7">
        <v>0</v>
      </c>
    </row>
    <row r="46" spans="1:27">
      <c r="A46" s="2" t="s">
        <v>17</v>
      </c>
      <c r="B46" s="2" t="str">
        <f t="shared" si="2"/>
        <v>397</v>
      </c>
      <c r="C46" s="5" t="s">
        <v>45</v>
      </c>
      <c r="D46" s="7">
        <v>7860523.6800000006</v>
      </c>
      <c r="E46" s="19"/>
      <c r="F46" s="7">
        <v>176833.31000000003</v>
      </c>
      <c r="G46" s="19"/>
      <c r="H46" s="7">
        <v>0</v>
      </c>
      <c r="I46" s="19"/>
      <c r="J46" s="7">
        <v>0</v>
      </c>
      <c r="K46" s="19"/>
      <c r="L46" s="7">
        <v>176833.31000000003</v>
      </c>
      <c r="M46" s="19"/>
      <c r="N46" s="7">
        <v>8037356.9900000002</v>
      </c>
      <c r="O46" s="19"/>
      <c r="P46" s="7">
        <v>7971453.149230768</v>
      </c>
      <c r="Q46" s="5"/>
      <c r="R46" s="13">
        <v>-3586883.5391899915</v>
      </c>
      <c r="S46" s="5"/>
      <c r="T46" s="13">
        <v>4384569.6100407764</v>
      </c>
      <c r="U46" s="19"/>
      <c r="V46" s="7">
        <v>-7.7951368325991599E-14</v>
      </c>
      <c r="W46" s="19"/>
      <c r="X46" s="7">
        <v>-3586883.5391899915</v>
      </c>
      <c r="Y46" s="19"/>
      <c r="Z46" s="7">
        <v>8037356.9900000002</v>
      </c>
      <c r="AA46" s="7">
        <v>0</v>
      </c>
    </row>
    <row r="47" spans="1:27">
      <c r="A47" s="2" t="s">
        <v>17</v>
      </c>
      <c r="B47" s="2" t="str">
        <f t="shared" ref="B47" si="4">MID(C47,2,3)</f>
        <v>398</v>
      </c>
      <c r="C47" s="5" t="s">
        <v>46</v>
      </c>
      <c r="D47" s="20">
        <v>0</v>
      </c>
      <c r="E47" s="18"/>
      <c r="F47" s="20">
        <v>0</v>
      </c>
      <c r="G47" s="18"/>
      <c r="H47" s="20">
        <v>0</v>
      </c>
      <c r="I47" s="18"/>
      <c r="J47" s="20">
        <v>0</v>
      </c>
      <c r="K47" s="18"/>
      <c r="L47" s="20">
        <v>0</v>
      </c>
      <c r="M47" s="18"/>
      <c r="N47" s="20">
        <v>0</v>
      </c>
      <c r="O47" s="18"/>
      <c r="P47" s="20">
        <v>0</v>
      </c>
      <c r="Q47" s="5"/>
      <c r="R47" s="21">
        <v>0</v>
      </c>
      <c r="S47" s="5"/>
      <c r="T47" s="21">
        <v>0</v>
      </c>
      <c r="U47" s="18"/>
      <c r="V47" s="20">
        <v>0</v>
      </c>
      <c r="W47" s="18"/>
      <c r="X47" s="20">
        <v>0</v>
      </c>
      <c r="Y47" s="18"/>
      <c r="Z47" s="20">
        <v>0</v>
      </c>
      <c r="AA47" s="20">
        <v>0</v>
      </c>
    </row>
    <row r="48" spans="1:27">
      <c r="C48" s="5"/>
      <c r="D48" s="17">
        <v>210377387.98999977</v>
      </c>
      <c r="E48" s="18"/>
      <c r="F48" s="17">
        <v>24178079.209999979</v>
      </c>
      <c r="G48" s="18"/>
      <c r="H48" s="17">
        <v>-8280378.9999999972</v>
      </c>
      <c r="I48" s="18"/>
      <c r="J48" s="17">
        <v>0</v>
      </c>
      <c r="K48" s="18"/>
      <c r="L48" s="17">
        <v>15897700.209999984</v>
      </c>
      <c r="M48" s="18"/>
      <c r="N48" s="17">
        <v>226275088.19999975</v>
      </c>
      <c r="O48" s="18"/>
      <c r="P48" s="17">
        <v>220376433.90153831</v>
      </c>
      <c r="Q48" s="5"/>
      <c r="R48" s="17">
        <v>-77596857.733767554</v>
      </c>
      <c r="S48" s="5"/>
      <c r="T48" s="17">
        <v>142779576.16777077</v>
      </c>
      <c r="U48" s="18"/>
      <c r="V48" s="17">
        <v>-1.0658141036401501E-11</v>
      </c>
      <c r="W48" s="18"/>
      <c r="X48" s="17">
        <v>-77596857.733767554</v>
      </c>
      <c r="Y48" s="18"/>
      <c r="Z48" s="17">
        <v>226275088.19999987</v>
      </c>
      <c r="AA48" s="17">
        <v>8.9406967163085938E-8</v>
      </c>
    </row>
    <row r="49" spans="1:27">
      <c r="C49" s="5"/>
      <c r="D49" s="17"/>
      <c r="E49" s="18"/>
      <c r="F49" s="17"/>
      <c r="G49" s="18"/>
      <c r="H49" s="17"/>
      <c r="I49" s="18"/>
      <c r="J49" s="17"/>
      <c r="K49" s="18"/>
      <c r="L49" s="17"/>
      <c r="M49" s="18"/>
      <c r="N49" s="17"/>
      <c r="O49" s="18"/>
      <c r="P49" s="17"/>
      <c r="Q49" s="5"/>
      <c r="R49" s="5"/>
      <c r="S49" s="5"/>
      <c r="T49" s="5"/>
      <c r="U49" s="18"/>
      <c r="V49" s="17"/>
      <c r="W49" s="18"/>
      <c r="X49" s="17"/>
      <c r="Y49" s="18"/>
      <c r="Z49" s="17"/>
      <c r="AA49" s="17"/>
    </row>
    <row r="50" spans="1:27">
      <c r="C50" s="8" t="s">
        <v>47</v>
      </c>
      <c r="D50" s="17"/>
      <c r="E50" s="18"/>
      <c r="F50" s="17"/>
      <c r="G50" s="18"/>
      <c r="H50" s="17"/>
      <c r="I50" s="18"/>
      <c r="J50" s="17"/>
      <c r="K50" s="18"/>
      <c r="L50" s="17"/>
      <c r="M50" s="18"/>
      <c r="N50" s="17"/>
      <c r="O50" s="18"/>
      <c r="P50" s="17"/>
      <c r="Q50" s="5"/>
      <c r="R50" s="5"/>
      <c r="S50" s="5"/>
      <c r="T50" s="5"/>
      <c r="U50" s="18"/>
      <c r="V50" s="17"/>
      <c r="W50" s="18"/>
      <c r="X50" s="17"/>
      <c r="Y50" s="18"/>
      <c r="Z50" s="17"/>
      <c r="AA50" s="17"/>
    </row>
    <row r="51" spans="1:27">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18"/>
      <c r="P51" s="17">
        <v>855636.47000000009</v>
      </c>
      <c r="Q51" s="5"/>
      <c r="R51" s="13">
        <v>-912332.59999999986</v>
      </c>
      <c r="S51" s="5"/>
      <c r="T51" s="13">
        <v>-56696.129999999772</v>
      </c>
      <c r="U51" s="18"/>
      <c r="V51" s="7">
        <v>0</v>
      </c>
      <c r="W51" s="19"/>
      <c r="X51" s="7">
        <v>-912332.59999999986</v>
      </c>
      <c r="Y51" s="19"/>
      <c r="Z51" s="7">
        <v>855636.47000000009</v>
      </c>
      <c r="AA51" s="7">
        <v>0</v>
      </c>
    </row>
    <row r="52" spans="1:27">
      <c r="A52" s="2" t="s">
        <v>17</v>
      </c>
      <c r="B52" s="2" t="str">
        <f t="shared" si="5"/>
        <v>331</v>
      </c>
      <c r="C52" s="5" t="s">
        <v>49</v>
      </c>
      <c r="D52" s="17">
        <v>4409838.34</v>
      </c>
      <c r="E52" s="18"/>
      <c r="F52" s="17">
        <v>97374</v>
      </c>
      <c r="G52" s="18"/>
      <c r="H52" s="17">
        <v>0</v>
      </c>
      <c r="I52" s="18"/>
      <c r="J52" s="17">
        <v>0</v>
      </c>
      <c r="K52" s="18"/>
      <c r="L52" s="17">
        <v>97374</v>
      </c>
      <c r="M52" s="18"/>
      <c r="N52" s="17">
        <v>4507212.34</v>
      </c>
      <c r="O52" s="18"/>
      <c r="P52" s="17">
        <v>4492231.7246153839</v>
      </c>
      <c r="Q52" s="5"/>
      <c r="R52" s="13">
        <v>-415300.95978757594</v>
      </c>
      <c r="S52" s="5"/>
      <c r="T52" s="13">
        <v>4076930.7648278079</v>
      </c>
      <c r="U52" s="18"/>
      <c r="V52" s="7">
        <v>0</v>
      </c>
      <c r="W52" s="19"/>
      <c r="X52" s="7">
        <v>-415300.95978757594</v>
      </c>
      <c r="Y52" s="19"/>
      <c r="Z52" s="7">
        <v>4507212.34</v>
      </c>
      <c r="AA52" s="7">
        <v>0</v>
      </c>
    </row>
    <row r="53" spans="1:27">
      <c r="A53" s="2" t="s">
        <v>17</v>
      </c>
      <c r="B53" s="2" t="str">
        <f t="shared" si="5"/>
        <v>332</v>
      </c>
      <c r="C53" s="5" t="s">
        <v>50</v>
      </c>
      <c r="D53" s="17">
        <v>21885646.369999997</v>
      </c>
      <c r="E53" s="18"/>
      <c r="F53" s="17">
        <v>0</v>
      </c>
      <c r="G53" s="18"/>
      <c r="H53" s="17">
        <v>0</v>
      </c>
      <c r="I53" s="18"/>
      <c r="J53" s="17">
        <v>0</v>
      </c>
      <c r="K53" s="18"/>
      <c r="L53" s="17">
        <v>0</v>
      </c>
      <c r="M53" s="18"/>
      <c r="N53" s="17">
        <v>21885646.369999997</v>
      </c>
      <c r="O53" s="18"/>
      <c r="P53" s="17">
        <v>21885646.369999994</v>
      </c>
      <c r="Q53" s="5"/>
      <c r="R53" s="13">
        <v>-10363602.2236159</v>
      </c>
      <c r="S53" s="5"/>
      <c r="T53" s="13">
        <v>11522044.146384094</v>
      </c>
      <c r="U53" s="18"/>
      <c r="V53" s="17">
        <v>0</v>
      </c>
      <c r="W53" s="18"/>
      <c r="X53" s="17">
        <v>-10363602.2236159</v>
      </c>
      <c r="Y53" s="18"/>
      <c r="Z53" s="17">
        <v>21885646.369999997</v>
      </c>
      <c r="AA53" s="17">
        <v>0</v>
      </c>
    </row>
    <row r="54" spans="1:27">
      <c r="A54" s="2" t="s">
        <v>17</v>
      </c>
      <c r="B54" s="2" t="str">
        <f t="shared" si="5"/>
        <v>333</v>
      </c>
      <c r="C54" s="5" t="s">
        <v>51</v>
      </c>
      <c r="D54" s="17">
        <v>14046741.58</v>
      </c>
      <c r="E54" s="18"/>
      <c r="F54" s="17">
        <v>0</v>
      </c>
      <c r="G54" s="18"/>
      <c r="H54" s="17">
        <v>0</v>
      </c>
      <c r="I54" s="18"/>
      <c r="J54" s="17">
        <v>0</v>
      </c>
      <c r="K54" s="18"/>
      <c r="L54" s="17">
        <v>0</v>
      </c>
      <c r="M54" s="18"/>
      <c r="N54" s="17">
        <v>14046741.58</v>
      </c>
      <c r="O54" s="18"/>
      <c r="P54" s="17">
        <v>14046741.58</v>
      </c>
      <c r="Q54" s="5"/>
      <c r="R54" s="13">
        <v>-2841249.2566991905</v>
      </c>
      <c r="S54" s="5"/>
      <c r="T54" s="13">
        <v>11205492.323300809</v>
      </c>
      <c r="U54" s="18"/>
      <c r="V54" s="17">
        <v>0</v>
      </c>
      <c r="W54" s="18"/>
      <c r="X54" s="17">
        <v>-2841249.2566991905</v>
      </c>
      <c r="Y54" s="18"/>
      <c r="Z54" s="17">
        <v>14046741.58</v>
      </c>
      <c r="AA54" s="17">
        <v>0</v>
      </c>
    </row>
    <row r="55" spans="1:27">
      <c r="A55" s="2" t="s">
        <v>17</v>
      </c>
      <c r="B55" s="2" t="str">
        <f t="shared" si="5"/>
        <v>334</v>
      </c>
      <c r="C55" s="5" t="s">
        <v>52</v>
      </c>
      <c r="D55" s="17">
        <v>1381870.67</v>
      </c>
      <c r="E55" s="18"/>
      <c r="F55" s="17">
        <v>0</v>
      </c>
      <c r="G55" s="18"/>
      <c r="H55" s="17">
        <v>0</v>
      </c>
      <c r="I55" s="18"/>
      <c r="J55" s="17">
        <v>0</v>
      </c>
      <c r="K55" s="18"/>
      <c r="L55" s="17">
        <v>0</v>
      </c>
      <c r="M55" s="18"/>
      <c r="N55" s="17">
        <v>1381870.67</v>
      </c>
      <c r="O55" s="18"/>
      <c r="P55" s="17">
        <v>1381870.67</v>
      </c>
      <c r="Q55" s="5"/>
      <c r="R55" s="13">
        <v>-414833.00003359886</v>
      </c>
      <c r="S55" s="5"/>
      <c r="T55" s="13">
        <v>967037.66996640107</v>
      </c>
      <c r="U55" s="18"/>
      <c r="V55" s="17">
        <v>0</v>
      </c>
      <c r="W55" s="18"/>
      <c r="X55" s="17">
        <v>-414833.00003359886</v>
      </c>
      <c r="Y55" s="18"/>
      <c r="Z55" s="17">
        <v>1381870.67</v>
      </c>
      <c r="AA55" s="17">
        <v>0</v>
      </c>
    </row>
    <row r="56" spans="1:27">
      <c r="A56" s="2" t="s">
        <v>17</v>
      </c>
      <c r="B56" s="2" t="str">
        <f t="shared" si="5"/>
        <v>335</v>
      </c>
      <c r="C56" s="5" t="s">
        <v>53</v>
      </c>
      <c r="D56" s="17">
        <v>329374.18000000005</v>
      </c>
      <c r="E56" s="18"/>
      <c r="F56" s="17">
        <v>0</v>
      </c>
      <c r="G56" s="18"/>
      <c r="H56" s="17">
        <v>0</v>
      </c>
      <c r="I56" s="18"/>
      <c r="J56" s="17">
        <v>0</v>
      </c>
      <c r="K56" s="18"/>
      <c r="L56" s="17">
        <v>0</v>
      </c>
      <c r="M56" s="18"/>
      <c r="N56" s="17">
        <v>329374.18000000005</v>
      </c>
      <c r="O56" s="18"/>
      <c r="P56" s="17">
        <v>329374.17999999993</v>
      </c>
      <c r="Q56" s="5"/>
      <c r="R56" s="13">
        <v>-166258.67555471999</v>
      </c>
      <c r="S56" s="5"/>
      <c r="T56" s="13">
        <v>163115.50444527995</v>
      </c>
      <c r="U56" s="18"/>
      <c r="V56" s="17">
        <v>0</v>
      </c>
      <c r="W56" s="18"/>
      <c r="X56" s="17">
        <v>-166258.67555471999</v>
      </c>
      <c r="Y56" s="18"/>
      <c r="Z56" s="17">
        <v>329374.18000000005</v>
      </c>
      <c r="AA56" s="17">
        <v>0</v>
      </c>
    </row>
    <row r="57" spans="1:27">
      <c r="A57" s="2" t="s">
        <v>17</v>
      </c>
      <c r="B57" s="2" t="str">
        <f t="shared" si="5"/>
        <v>336</v>
      </c>
      <c r="C57" s="5" t="s">
        <v>54</v>
      </c>
      <c r="D57" s="17">
        <v>234509.13</v>
      </c>
      <c r="E57" s="18"/>
      <c r="F57" s="17">
        <v>0</v>
      </c>
      <c r="G57" s="18"/>
      <c r="H57" s="17">
        <v>0</v>
      </c>
      <c r="I57" s="18"/>
      <c r="J57" s="17">
        <v>0</v>
      </c>
      <c r="K57" s="18"/>
      <c r="L57" s="17">
        <v>0</v>
      </c>
      <c r="M57" s="18"/>
      <c r="N57" s="17">
        <v>234509.13</v>
      </c>
      <c r="O57" s="18"/>
      <c r="P57" s="17">
        <v>234509.12999999995</v>
      </c>
      <c r="Q57" s="5"/>
      <c r="R57" s="13">
        <v>-102331.5653727992</v>
      </c>
      <c r="S57" s="5"/>
      <c r="T57" s="13">
        <v>132177.56462720074</v>
      </c>
      <c r="U57" s="18"/>
      <c r="V57" s="17">
        <v>0</v>
      </c>
      <c r="W57" s="18"/>
      <c r="X57" s="17">
        <v>-102331.5653727992</v>
      </c>
      <c r="Y57" s="18"/>
      <c r="Z57" s="17">
        <v>234509.13</v>
      </c>
      <c r="AA57" s="17">
        <v>0</v>
      </c>
    </row>
    <row r="58" spans="1:27">
      <c r="A58" s="2" t="s">
        <v>17</v>
      </c>
      <c r="B58" s="2" t="str">
        <f t="shared" si="5"/>
        <v>337</v>
      </c>
      <c r="C58" s="5" t="s">
        <v>55</v>
      </c>
      <c r="D58" s="20">
        <v>645787.99</v>
      </c>
      <c r="E58" s="18"/>
      <c r="F58" s="20">
        <v>0</v>
      </c>
      <c r="G58" s="18"/>
      <c r="H58" s="20">
        <v>0</v>
      </c>
      <c r="I58" s="18"/>
      <c r="J58" s="20">
        <v>0</v>
      </c>
      <c r="K58" s="18"/>
      <c r="L58" s="20">
        <v>0</v>
      </c>
      <c r="M58" s="18"/>
      <c r="N58" s="20">
        <v>645787.99</v>
      </c>
      <c r="O58" s="18"/>
      <c r="P58" s="20">
        <v>645787.98999999987</v>
      </c>
      <c r="Q58" s="5"/>
      <c r="R58" s="21">
        <v>-69392.557494326596</v>
      </c>
      <c r="S58" s="5"/>
      <c r="T58" s="21">
        <v>576395.43250567326</v>
      </c>
      <c r="U58" s="18"/>
      <c r="V58" s="20">
        <v>0</v>
      </c>
      <c r="W58" s="18"/>
      <c r="X58" s="20">
        <v>-69392.557494326596</v>
      </c>
      <c r="Y58" s="18"/>
      <c r="Z58" s="20">
        <v>645787.99</v>
      </c>
      <c r="AA58" s="20">
        <v>0</v>
      </c>
    </row>
    <row r="59" spans="1:27">
      <c r="C59" s="5"/>
      <c r="D59" s="17">
        <v>43789404.730000004</v>
      </c>
      <c r="E59" s="18"/>
      <c r="F59" s="17">
        <v>97374</v>
      </c>
      <c r="G59" s="18"/>
      <c r="H59" s="17">
        <v>0</v>
      </c>
      <c r="I59" s="18"/>
      <c r="J59" s="17">
        <v>0</v>
      </c>
      <c r="K59" s="18"/>
      <c r="L59" s="17">
        <v>97374</v>
      </c>
      <c r="M59" s="18"/>
      <c r="N59" s="17">
        <v>43886778.730000004</v>
      </c>
      <c r="O59" s="18"/>
      <c r="P59" s="17">
        <v>43871798.114615381</v>
      </c>
      <c r="Q59" s="5"/>
      <c r="R59" s="17">
        <v>-15285300.838558109</v>
      </c>
      <c r="S59" s="5"/>
      <c r="T59" s="17">
        <v>28586497.276057266</v>
      </c>
      <c r="U59" s="18"/>
      <c r="V59" s="17">
        <v>0</v>
      </c>
      <c r="W59" s="18"/>
      <c r="X59" s="17">
        <v>-15285300.838558109</v>
      </c>
      <c r="Y59" s="18">
        <v>0</v>
      </c>
      <c r="Z59" s="17">
        <v>43886778.730000004</v>
      </c>
      <c r="AA59" s="17">
        <v>0</v>
      </c>
    </row>
    <row r="60" spans="1:27">
      <c r="C60" s="5"/>
      <c r="D60" s="17"/>
      <c r="E60" s="18"/>
      <c r="F60" s="17"/>
      <c r="G60" s="18"/>
      <c r="H60" s="17"/>
      <c r="I60" s="18"/>
      <c r="J60" s="17"/>
      <c r="K60" s="18"/>
      <c r="L60" s="17"/>
      <c r="M60" s="18"/>
      <c r="N60" s="17"/>
      <c r="O60" s="18"/>
      <c r="P60" s="17"/>
      <c r="Q60" s="5"/>
      <c r="R60" s="5"/>
      <c r="S60" s="5"/>
      <c r="T60" s="5"/>
      <c r="U60" s="18"/>
      <c r="V60" s="17"/>
      <c r="W60" s="18"/>
      <c r="X60" s="17"/>
      <c r="Y60" s="18"/>
      <c r="Z60" s="17"/>
      <c r="AA60" s="17"/>
    </row>
    <row r="61" spans="1:27">
      <c r="C61" s="8" t="s">
        <v>56</v>
      </c>
      <c r="D61" s="17"/>
      <c r="E61" s="18"/>
      <c r="F61" s="17"/>
      <c r="G61" s="18"/>
      <c r="H61" s="17"/>
      <c r="I61" s="18"/>
      <c r="J61" s="17"/>
      <c r="K61" s="18"/>
      <c r="L61" s="17"/>
      <c r="M61" s="18"/>
      <c r="N61" s="17"/>
      <c r="O61" s="18"/>
      <c r="P61" s="17"/>
      <c r="Q61" s="5"/>
      <c r="R61" s="5"/>
      <c r="S61" s="5"/>
      <c r="T61" s="5"/>
      <c r="U61" s="18"/>
      <c r="V61" s="17"/>
      <c r="W61" s="18"/>
      <c r="X61" s="17"/>
      <c r="Y61" s="18"/>
      <c r="Z61" s="17"/>
      <c r="AA61" s="17"/>
    </row>
    <row r="62" spans="1:27">
      <c r="A62" s="2" t="s">
        <v>17</v>
      </c>
      <c r="B62" s="2" t="str">
        <f t="shared" ref="B62:B64" si="6">MID(C62,2,3)</f>
        <v>301</v>
      </c>
      <c r="C62" s="5" t="s">
        <v>57</v>
      </c>
      <c r="D62" s="17">
        <v>39116.89</v>
      </c>
      <c r="E62" s="18"/>
      <c r="F62" s="17">
        <v>0</v>
      </c>
      <c r="G62" s="18"/>
      <c r="H62" s="17">
        <v>0</v>
      </c>
      <c r="I62" s="18"/>
      <c r="J62" s="17">
        <v>0</v>
      </c>
      <c r="K62" s="18"/>
      <c r="L62" s="17">
        <v>0</v>
      </c>
      <c r="M62" s="18"/>
      <c r="N62" s="17">
        <v>39116.89</v>
      </c>
      <c r="O62" s="18"/>
      <c r="P62" s="17">
        <v>39116.890000000007</v>
      </c>
      <c r="Q62" s="5"/>
      <c r="R62" s="13">
        <v>0</v>
      </c>
      <c r="S62" s="5"/>
      <c r="T62" s="13">
        <v>39116.890000000007</v>
      </c>
      <c r="U62" s="18"/>
      <c r="V62" s="17"/>
      <c r="W62" s="18"/>
      <c r="X62" s="17">
        <v>0</v>
      </c>
      <c r="Y62" s="18"/>
      <c r="Z62" s="17">
        <v>39116.89</v>
      </c>
      <c r="AA62" s="17">
        <v>0</v>
      </c>
    </row>
    <row r="63" spans="1:27">
      <c r="A63" s="2" t="s">
        <v>17</v>
      </c>
      <c r="B63" s="2" t="str">
        <f t="shared" si="6"/>
        <v>302</v>
      </c>
      <c r="C63" s="5" t="s">
        <v>58</v>
      </c>
      <c r="D63" s="17">
        <v>55918.83</v>
      </c>
      <c r="E63" s="18"/>
      <c r="F63" s="17">
        <v>0</v>
      </c>
      <c r="G63" s="18"/>
      <c r="H63" s="17">
        <v>0</v>
      </c>
      <c r="I63" s="18"/>
      <c r="J63" s="17">
        <v>0</v>
      </c>
      <c r="K63" s="18"/>
      <c r="L63" s="17">
        <v>0</v>
      </c>
      <c r="M63" s="18"/>
      <c r="N63" s="17">
        <v>55918.83</v>
      </c>
      <c r="O63" s="18"/>
      <c r="P63" s="17">
        <v>55918.829999999994</v>
      </c>
      <c r="Q63" s="5"/>
      <c r="R63" s="13">
        <v>-73066.841372800001</v>
      </c>
      <c r="S63" s="5"/>
      <c r="T63" s="13">
        <v>-17148.011372800007</v>
      </c>
      <c r="U63" s="18"/>
      <c r="V63" s="7"/>
      <c r="W63" s="18"/>
      <c r="X63" s="17">
        <v>-73066.841372800001</v>
      </c>
      <c r="Y63" s="18"/>
      <c r="Z63" s="17">
        <v>55918.83</v>
      </c>
      <c r="AA63" s="17">
        <v>0</v>
      </c>
    </row>
    <row r="64" spans="1:27">
      <c r="A64" s="2" t="s">
        <v>17</v>
      </c>
      <c r="B64" s="2" t="str">
        <f t="shared" si="6"/>
        <v>303</v>
      </c>
      <c r="C64" s="5" t="s">
        <v>59</v>
      </c>
      <c r="D64" s="17">
        <v>92482244.189999998</v>
      </c>
      <c r="E64" s="18"/>
      <c r="F64" s="17">
        <v>23409368.479999997</v>
      </c>
      <c r="G64" s="18"/>
      <c r="H64" s="17">
        <v>-11987927.70999999</v>
      </c>
      <c r="I64" s="18"/>
      <c r="J64" s="17">
        <v>0</v>
      </c>
      <c r="K64" s="18"/>
      <c r="L64" s="17">
        <v>11421440.770000007</v>
      </c>
      <c r="M64" s="18"/>
      <c r="N64" s="17">
        <v>103903684.96000001</v>
      </c>
      <c r="O64" s="18"/>
      <c r="P64" s="17">
        <v>97903191.244615391</v>
      </c>
      <c r="Q64" s="5"/>
      <c r="R64" s="13">
        <v>-40387178.884799972</v>
      </c>
      <c r="S64" s="5"/>
      <c r="T64" s="13">
        <v>57516012.359815419</v>
      </c>
      <c r="U64" s="18"/>
      <c r="V64" s="7">
        <v>3675.3500000000013</v>
      </c>
      <c r="W64" s="18"/>
      <c r="X64" s="17">
        <v>-40383503.534799971</v>
      </c>
      <c r="Y64" s="18"/>
      <c r="Z64" s="17">
        <v>103903684.95999999</v>
      </c>
      <c r="AA64" s="17">
        <v>0</v>
      </c>
    </row>
    <row r="65" spans="1:27">
      <c r="A65" s="2" t="s">
        <v>17</v>
      </c>
      <c r="C65" s="5" t="s">
        <v>60</v>
      </c>
      <c r="D65" s="20">
        <v>0</v>
      </c>
      <c r="E65" s="18"/>
      <c r="F65" s="20">
        <v>0</v>
      </c>
      <c r="G65" s="18"/>
      <c r="H65" s="20">
        <v>0</v>
      </c>
      <c r="I65" s="18"/>
      <c r="J65" s="20">
        <v>0</v>
      </c>
      <c r="K65" s="18"/>
      <c r="L65" s="20">
        <v>0</v>
      </c>
      <c r="M65" s="18"/>
      <c r="N65" s="20">
        <v>0</v>
      </c>
      <c r="O65" s="18"/>
      <c r="P65" s="20">
        <v>0</v>
      </c>
      <c r="Q65" s="5"/>
      <c r="R65" s="21">
        <v>0</v>
      </c>
      <c r="S65" s="5"/>
      <c r="T65" s="21">
        <v>0</v>
      </c>
      <c r="U65" s="18"/>
      <c r="V65" s="20"/>
      <c r="W65" s="18"/>
      <c r="X65" s="20">
        <v>0</v>
      </c>
      <c r="Y65" s="18"/>
      <c r="Z65" s="20">
        <v>0</v>
      </c>
      <c r="AA65" s="20">
        <v>0</v>
      </c>
    </row>
    <row r="66" spans="1:27">
      <c r="C66" s="5"/>
      <c r="D66" s="17">
        <v>92577279.909999996</v>
      </c>
      <c r="E66" s="18"/>
      <c r="F66" s="17">
        <v>23409368.479999997</v>
      </c>
      <c r="G66" s="18"/>
      <c r="H66" s="17">
        <v>-11987927.70999999</v>
      </c>
      <c r="I66" s="18"/>
      <c r="J66" s="17">
        <v>0</v>
      </c>
      <c r="K66" s="18"/>
      <c r="L66" s="17">
        <v>11421440.770000007</v>
      </c>
      <c r="M66" s="18"/>
      <c r="N66" s="17">
        <v>103998720.68000001</v>
      </c>
      <c r="O66" s="18"/>
      <c r="P66" s="17">
        <v>97998226.96461539</v>
      </c>
      <c r="Q66" s="5"/>
      <c r="R66" s="17">
        <v>-40460245.726172775</v>
      </c>
      <c r="S66" s="5"/>
      <c r="T66" s="17">
        <v>57537981.238442622</v>
      </c>
      <c r="U66" s="18"/>
      <c r="V66" s="17">
        <v>3675.3500000000013</v>
      </c>
      <c r="W66" s="18"/>
      <c r="X66" s="17">
        <v>-40456570.376172774</v>
      </c>
      <c r="Y66" s="18"/>
      <c r="Z66" s="17">
        <v>103998720.67999999</v>
      </c>
      <c r="AA66" s="17">
        <v>0</v>
      </c>
    </row>
    <row r="67" spans="1:27">
      <c r="C67" s="5"/>
      <c r="D67" s="17"/>
      <c r="E67" s="18"/>
      <c r="F67" s="17"/>
      <c r="G67" s="18"/>
      <c r="H67" s="17"/>
      <c r="I67" s="18"/>
      <c r="J67" s="17"/>
      <c r="K67" s="18"/>
      <c r="L67" s="17"/>
      <c r="M67" s="18"/>
      <c r="N67" s="17"/>
      <c r="O67" s="18"/>
      <c r="P67" s="17"/>
      <c r="Q67" s="5"/>
      <c r="R67" s="5"/>
      <c r="S67" s="5"/>
      <c r="T67" s="5"/>
      <c r="U67" s="18"/>
      <c r="V67" s="17"/>
      <c r="W67" s="18"/>
      <c r="X67" s="17"/>
      <c r="Y67" s="18"/>
      <c r="Z67" s="17"/>
      <c r="AA67" s="17"/>
    </row>
    <row r="68" spans="1:27">
      <c r="C68" s="8" t="s">
        <v>61</v>
      </c>
      <c r="D68" s="17"/>
      <c r="E68" s="18"/>
      <c r="F68" s="17"/>
      <c r="G68" s="18"/>
      <c r="H68" s="17"/>
      <c r="I68" s="18"/>
      <c r="J68" s="17"/>
      <c r="K68" s="18"/>
      <c r="L68" s="17"/>
      <c r="M68" s="18"/>
      <c r="N68" s="17"/>
      <c r="O68" s="18"/>
      <c r="P68" s="17"/>
      <c r="Q68" s="5"/>
      <c r="R68" s="5"/>
      <c r="S68" s="5"/>
      <c r="T68" s="5"/>
      <c r="U68" s="18"/>
      <c r="V68" s="17"/>
      <c r="W68" s="18"/>
      <c r="X68" s="17"/>
      <c r="Y68" s="18"/>
      <c r="Z68" s="17"/>
      <c r="AA68" s="17"/>
    </row>
    <row r="69" spans="1:27">
      <c r="A69" s="2" t="s">
        <v>17</v>
      </c>
      <c r="B69" s="2" t="str">
        <f t="shared" ref="B69" si="7">MID(C69,2,3)</f>
        <v>340</v>
      </c>
      <c r="C69" s="5" t="s">
        <v>2491</v>
      </c>
      <c r="D69" s="17">
        <v>903501.16999999981</v>
      </c>
      <c r="E69" s="18"/>
      <c r="F69" s="17">
        <v>0</v>
      </c>
      <c r="G69" s="18"/>
      <c r="H69" s="17">
        <v>0</v>
      </c>
      <c r="I69" s="18"/>
      <c r="J69" s="17">
        <v>0</v>
      </c>
      <c r="K69" s="18"/>
      <c r="L69" s="17">
        <v>0</v>
      </c>
      <c r="M69" s="18"/>
      <c r="N69" s="17">
        <v>903501.16999999981</v>
      </c>
      <c r="O69" s="18"/>
      <c r="P69" s="17">
        <v>903501.17</v>
      </c>
      <c r="Q69" s="5"/>
      <c r="R69" s="13">
        <v>-133180.72881389901</v>
      </c>
      <c r="S69" s="5"/>
      <c r="T69" s="13">
        <v>770320.44118610106</v>
      </c>
      <c r="U69" s="18"/>
      <c r="V69" s="7">
        <v>0</v>
      </c>
      <c r="W69" s="19"/>
      <c r="X69" s="7">
        <v>-133180.72881389901</v>
      </c>
      <c r="Y69" s="19"/>
      <c r="Z69" s="7">
        <v>903501.16999999981</v>
      </c>
      <c r="AA69" s="7">
        <v>0</v>
      </c>
    </row>
    <row r="70" spans="1:27">
      <c r="A70" s="2" t="s">
        <v>17</v>
      </c>
      <c r="C70" s="5" t="s">
        <v>62</v>
      </c>
      <c r="D70" s="17">
        <v>0</v>
      </c>
      <c r="E70" s="18"/>
      <c r="F70" s="17">
        <v>0</v>
      </c>
      <c r="G70" s="18"/>
      <c r="H70" s="17">
        <v>0</v>
      </c>
      <c r="I70" s="18"/>
      <c r="J70" s="17">
        <v>0</v>
      </c>
      <c r="K70" s="18"/>
      <c r="L70" s="17">
        <v>0</v>
      </c>
      <c r="M70" s="18"/>
      <c r="N70" s="17">
        <v>0</v>
      </c>
      <c r="O70" s="18"/>
      <c r="P70" s="17">
        <v>0</v>
      </c>
      <c r="Q70" s="5"/>
      <c r="R70" s="13">
        <v>0</v>
      </c>
      <c r="S70" s="5"/>
      <c r="T70" s="13">
        <v>0</v>
      </c>
      <c r="U70" s="18"/>
      <c r="V70" s="17">
        <v>0</v>
      </c>
      <c r="W70" s="18"/>
      <c r="X70" s="17">
        <v>0</v>
      </c>
      <c r="Y70" s="18"/>
      <c r="Z70" s="17">
        <v>0</v>
      </c>
      <c r="AA70" s="17">
        <v>0</v>
      </c>
    </row>
    <row r="71" spans="1:27">
      <c r="A71" s="2" t="s">
        <v>17</v>
      </c>
      <c r="B71" s="2" t="str">
        <f t="shared" ref="B71:B79" si="8">MID(C71,2,3)</f>
        <v>341</v>
      </c>
      <c r="C71" s="5" t="s">
        <v>63</v>
      </c>
      <c r="D71" s="17">
        <v>87151599.009999901</v>
      </c>
      <c r="E71" s="18"/>
      <c r="F71" s="17">
        <v>0</v>
      </c>
      <c r="G71" s="18"/>
      <c r="H71" s="17">
        <v>0</v>
      </c>
      <c r="I71" s="18"/>
      <c r="J71" s="17">
        <v>0</v>
      </c>
      <c r="K71" s="18"/>
      <c r="L71" s="17">
        <v>0</v>
      </c>
      <c r="M71" s="18"/>
      <c r="N71" s="17">
        <v>87151599.009999901</v>
      </c>
      <c r="O71" s="18"/>
      <c r="P71" s="17">
        <v>87151599.009999886</v>
      </c>
      <c r="Q71" s="5"/>
      <c r="R71" s="13">
        <v>-29067062.504413009</v>
      </c>
      <c r="S71" s="5"/>
      <c r="T71" s="13">
        <v>58084536.505586877</v>
      </c>
      <c r="U71" s="18"/>
      <c r="V71" s="17">
        <v>0</v>
      </c>
      <c r="W71" s="18"/>
      <c r="X71" s="17">
        <v>-29067062.504413009</v>
      </c>
      <c r="Y71" s="18"/>
      <c r="Z71" s="17">
        <v>87151599.009999901</v>
      </c>
      <c r="AA71" s="17">
        <v>0</v>
      </c>
    </row>
    <row r="72" spans="1:27">
      <c r="A72" s="2" t="s">
        <v>17</v>
      </c>
      <c r="B72" s="2" t="str">
        <f t="shared" si="8"/>
        <v>342</v>
      </c>
      <c r="C72" s="5" t="s">
        <v>64</v>
      </c>
      <c r="D72" s="17">
        <v>63105948.209999986</v>
      </c>
      <c r="E72" s="18"/>
      <c r="F72" s="17">
        <v>20751356.779999997</v>
      </c>
      <c r="G72" s="18"/>
      <c r="H72" s="17">
        <v>0</v>
      </c>
      <c r="I72" s="18"/>
      <c r="J72" s="17">
        <v>0</v>
      </c>
      <c r="K72" s="18"/>
      <c r="L72" s="17">
        <v>20751356.779999997</v>
      </c>
      <c r="M72" s="18"/>
      <c r="N72" s="17">
        <v>83857304.98999998</v>
      </c>
      <c r="O72" s="18"/>
      <c r="P72" s="17">
        <v>75757936.997692272</v>
      </c>
      <c r="Q72" s="5"/>
      <c r="R72" s="13">
        <v>-23351891.003465697</v>
      </c>
      <c r="S72" s="5"/>
      <c r="T72" s="13">
        <v>52406045.994226575</v>
      </c>
      <c r="U72" s="18"/>
      <c r="V72" s="17">
        <v>101883.07565455977</v>
      </c>
      <c r="W72" s="18"/>
      <c r="X72" s="17">
        <v>-23250007.927811138</v>
      </c>
      <c r="Y72" s="18"/>
      <c r="Z72" s="17">
        <v>83857304.989999995</v>
      </c>
      <c r="AA72" s="17">
        <v>0</v>
      </c>
    </row>
    <row r="73" spans="1:27">
      <c r="A73" s="2" t="s">
        <v>17</v>
      </c>
      <c r="C73" s="5" t="s">
        <v>65</v>
      </c>
      <c r="D73" s="17">
        <v>0</v>
      </c>
      <c r="E73" s="18"/>
      <c r="F73" s="17">
        <v>0</v>
      </c>
      <c r="G73" s="18"/>
      <c r="H73" s="17">
        <v>0</v>
      </c>
      <c r="I73" s="18"/>
      <c r="J73" s="17">
        <v>0</v>
      </c>
      <c r="K73" s="18"/>
      <c r="L73" s="17">
        <v>0</v>
      </c>
      <c r="M73" s="18"/>
      <c r="N73" s="17">
        <v>0</v>
      </c>
      <c r="O73" s="18"/>
      <c r="P73" s="17">
        <v>0</v>
      </c>
      <c r="Q73" s="5"/>
      <c r="R73" s="13">
        <v>0</v>
      </c>
      <c r="S73" s="5"/>
      <c r="T73" s="13">
        <v>0</v>
      </c>
      <c r="U73" s="18"/>
      <c r="V73" s="17">
        <v>0</v>
      </c>
      <c r="W73" s="18"/>
      <c r="X73" s="17">
        <v>0</v>
      </c>
      <c r="Y73" s="18"/>
      <c r="Z73" s="17">
        <v>0</v>
      </c>
      <c r="AA73" s="17">
        <v>0</v>
      </c>
    </row>
    <row r="74" spans="1:27">
      <c r="A74" s="2" t="s">
        <v>17</v>
      </c>
      <c r="B74" s="2" t="str">
        <f t="shared" si="8"/>
        <v>343</v>
      </c>
      <c r="C74" s="5" t="s">
        <v>66</v>
      </c>
      <c r="D74" s="17">
        <v>666119375.05999911</v>
      </c>
      <c r="E74" s="18"/>
      <c r="F74" s="17">
        <v>33445036.34</v>
      </c>
      <c r="G74" s="18"/>
      <c r="H74" s="17">
        <v>-4093363.1999999997</v>
      </c>
      <c r="I74" s="18"/>
      <c r="J74" s="17">
        <v>0</v>
      </c>
      <c r="K74" s="18"/>
      <c r="L74" s="17">
        <v>29351673.140000001</v>
      </c>
      <c r="M74" s="18"/>
      <c r="N74" s="17">
        <v>695471048.19999909</v>
      </c>
      <c r="O74" s="18"/>
      <c r="P74" s="17">
        <v>680587629.55307591</v>
      </c>
      <c r="Q74" s="5"/>
      <c r="R74" s="13">
        <v>-244657095.90727651</v>
      </c>
      <c r="S74" s="5"/>
      <c r="T74" s="13">
        <v>435930533.6457994</v>
      </c>
      <c r="U74" s="18"/>
      <c r="V74" s="17">
        <v>164205.31938334883</v>
      </c>
      <c r="W74" s="18"/>
      <c r="X74" s="17">
        <v>-244492890.58789316</v>
      </c>
      <c r="Y74" s="18"/>
      <c r="Z74" s="17">
        <v>695471048.19999897</v>
      </c>
      <c r="AA74" s="17">
        <v>0</v>
      </c>
    </row>
    <row r="75" spans="1:27">
      <c r="A75" s="2" t="s">
        <v>17</v>
      </c>
      <c r="B75" s="2" t="str">
        <f t="shared" si="8"/>
        <v>344</v>
      </c>
      <c r="C75" s="5" t="s">
        <v>67</v>
      </c>
      <c r="D75" s="17">
        <v>132379837.31</v>
      </c>
      <c r="E75" s="18"/>
      <c r="F75" s="17">
        <v>828280.23</v>
      </c>
      <c r="G75" s="18"/>
      <c r="H75" s="17">
        <v>0</v>
      </c>
      <c r="I75" s="18"/>
      <c r="J75" s="17">
        <v>0</v>
      </c>
      <c r="K75" s="18"/>
      <c r="L75" s="17">
        <v>828280.23</v>
      </c>
      <c r="M75" s="18"/>
      <c r="N75" s="17">
        <v>133208117.54000001</v>
      </c>
      <c r="O75" s="18"/>
      <c r="P75" s="17">
        <v>132443551.17384613</v>
      </c>
      <c r="Q75" s="5"/>
      <c r="R75" s="13">
        <v>-49779905.928892247</v>
      </c>
      <c r="S75" s="5"/>
      <c r="T75" s="13">
        <v>82663645.244953871</v>
      </c>
      <c r="U75" s="18"/>
      <c r="V75" s="17">
        <v>4066.6130041963534</v>
      </c>
      <c r="W75" s="18"/>
      <c r="X75" s="17">
        <v>-49775839.315888055</v>
      </c>
      <c r="Y75" s="18"/>
      <c r="Z75" s="17">
        <v>133208117.53999989</v>
      </c>
      <c r="AA75" s="17">
        <v>-1.1920928955078125E-7</v>
      </c>
    </row>
    <row r="76" spans="1:27">
      <c r="A76" s="2" t="s">
        <v>17</v>
      </c>
      <c r="B76" s="2" t="str">
        <f t="shared" si="8"/>
        <v>345</v>
      </c>
      <c r="C76" s="5" t="s">
        <v>68</v>
      </c>
      <c r="D76" s="17">
        <v>78899983.009999797</v>
      </c>
      <c r="E76" s="18"/>
      <c r="F76" s="17">
        <v>1538852.1500000001</v>
      </c>
      <c r="G76" s="18"/>
      <c r="H76" s="17">
        <v>0</v>
      </c>
      <c r="I76" s="18"/>
      <c r="J76" s="17">
        <v>0</v>
      </c>
      <c r="K76" s="18"/>
      <c r="L76" s="17">
        <v>1538852.1500000001</v>
      </c>
      <c r="M76" s="18"/>
      <c r="N76" s="17">
        <v>80438835.159999803</v>
      </c>
      <c r="O76" s="18"/>
      <c r="P76" s="17">
        <v>79368046.113845944</v>
      </c>
      <c r="Q76" s="5"/>
      <c r="R76" s="13">
        <v>-31256906.389530394</v>
      </c>
      <c r="S76" s="5"/>
      <c r="T76" s="13">
        <v>48111139.724315554</v>
      </c>
      <c r="U76" s="18"/>
      <c r="V76" s="17">
        <v>7555.3127287917023</v>
      </c>
      <c r="W76" s="18"/>
      <c r="X76" s="17">
        <v>-31249351.076801602</v>
      </c>
      <c r="Y76" s="18"/>
      <c r="Z76" s="17">
        <v>80438835.159999803</v>
      </c>
      <c r="AA76" s="17">
        <v>0</v>
      </c>
    </row>
    <row r="77" spans="1:27">
      <c r="A77" s="2" t="s">
        <v>17</v>
      </c>
      <c r="C77" s="5" t="s">
        <v>69</v>
      </c>
      <c r="D77" s="17">
        <v>0</v>
      </c>
      <c r="E77" s="18"/>
      <c r="F77" s="17">
        <v>0</v>
      </c>
      <c r="G77" s="18"/>
      <c r="H77" s="17">
        <v>0</v>
      </c>
      <c r="I77" s="18"/>
      <c r="J77" s="17">
        <v>0</v>
      </c>
      <c r="K77" s="18"/>
      <c r="L77" s="17">
        <v>0</v>
      </c>
      <c r="M77" s="18"/>
      <c r="N77" s="17">
        <v>0</v>
      </c>
      <c r="O77" s="18"/>
      <c r="P77" s="17">
        <v>0</v>
      </c>
      <c r="Q77" s="5"/>
      <c r="R77" s="13">
        <v>0</v>
      </c>
      <c r="S77" s="5"/>
      <c r="T77" s="13">
        <v>0</v>
      </c>
      <c r="U77" s="18"/>
      <c r="V77" s="17">
        <v>0</v>
      </c>
      <c r="W77" s="18"/>
      <c r="X77" s="17">
        <v>0</v>
      </c>
      <c r="Y77" s="18"/>
      <c r="Z77" s="17">
        <v>0</v>
      </c>
      <c r="AA77" s="17">
        <v>0</v>
      </c>
    </row>
    <row r="78" spans="1:27">
      <c r="A78" s="2" t="s">
        <v>17</v>
      </c>
      <c r="B78" s="2" t="str">
        <f t="shared" si="8"/>
        <v>346</v>
      </c>
      <c r="C78" s="5" t="s">
        <v>70</v>
      </c>
      <c r="D78" s="17">
        <v>10325460.34999999</v>
      </c>
      <c r="E78" s="18"/>
      <c r="F78" s="17">
        <v>4836077.9999999888</v>
      </c>
      <c r="G78" s="18"/>
      <c r="H78" s="17">
        <v>0</v>
      </c>
      <c r="I78" s="18"/>
      <c r="J78" s="17">
        <v>0</v>
      </c>
      <c r="K78" s="18"/>
      <c r="L78" s="17">
        <v>4836077.9999999888</v>
      </c>
      <c r="M78" s="18"/>
      <c r="N78" s="17">
        <v>15161538.349999979</v>
      </c>
      <c r="O78" s="18"/>
      <c r="P78" s="17">
        <v>12736378.143846152</v>
      </c>
      <c r="Q78" s="5"/>
      <c r="R78" s="13">
        <v>-4092293.4496206106</v>
      </c>
      <c r="S78" s="5"/>
      <c r="T78" s="13">
        <v>8644084.6942255422</v>
      </c>
      <c r="U78" s="18"/>
      <c r="V78" s="17">
        <v>23743.724613719016</v>
      </c>
      <c r="W78" s="18"/>
      <c r="X78" s="17">
        <v>-4068549.7250068914</v>
      </c>
      <c r="Y78" s="18"/>
      <c r="Z78" s="17">
        <v>15161538.349999992</v>
      </c>
      <c r="AA78" s="17">
        <v>0</v>
      </c>
    </row>
    <row r="79" spans="1:27">
      <c r="A79" s="2" t="s">
        <v>17</v>
      </c>
      <c r="B79" s="2" t="str">
        <f t="shared" si="8"/>
        <v>347</v>
      </c>
      <c r="C79" s="5" t="s">
        <v>71</v>
      </c>
      <c r="D79" s="20">
        <v>406991.12</v>
      </c>
      <c r="E79" s="18"/>
      <c r="F79" s="20">
        <v>0</v>
      </c>
      <c r="G79" s="18"/>
      <c r="H79" s="20">
        <v>0</v>
      </c>
      <c r="I79" s="18"/>
      <c r="J79" s="20">
        <v>0</v>
      </c>
      <c r="K79" s="18"/>
      <c r="L79" s="20">
        <v>0</v>
      </c>
      <c r="M79" s="18"/>
      <c r="N79" s="20">
        <v>406991.12</v>
      </c>
      <c r="O79" s="18"/>
      <c r="P79" s="20">
        <v>406991.12</v>
      </c>
      <c r="Q79" s="5"/>
      <c r="R79" s="21">
        <v>-89200.422122973207</v>
      </c>
      <c r="S79" s="5"/>
      <c r="T79" s="21">
        <v>317790.6978770268</v>
      </c>
      <c r="U79" s="18"/>
      <c r="V79" s="20">
        <v>0</v>
      </c>
      <c r="W79" s="18"/>
      <c r="X79" s="20">
        <v>-89200.422122973207</v>
      </c>
      <c r="Y79" s="18"/>
      <c r="Z79" s="20">
        <v>406991.12</v>
      </c>
      <c r="AA79" s="20">
        <v>0</v>
      </c>
    </row>
    <row r="80" spans="1:27">
      <c r="C80" s="5"/>
      <c r="D80" s="17">
        <v>1039292695.2399988</v>
      </c>
      <c r="E80" s="18"/>
      <c r="F80" s="17">
        <v>61399603.499999985</v>
      </c>
      <c r="G80" s="18"/>
      <c r="H80" s="17">
        <v>-4093363.1999999997</v>
      </c>
      <c r="I80" s="18"/>
      <c r="J80" s="17">
        <v>0</v>
      </c>
      <c r="K80" s="18"/>
      <c r="L80" s="17">
        <v>57306240.299999982</v>
      </c>
      <c r="M80" s="18"/>
      <c r="N80" s="17">
        <v>1096598935.5399985</v>
      </c>
      <c r="O80" s="18"/>
      <c r="P80" s="17">
        <v>1069355633.2823063</v>
      </c>
      <c r="Q80" s="5"/>
      <c r="R80" s="17">
        <v>-382427536.33413535</v>
      </c>
      <c r="S80" s="5"/>
      <c r="T80" s="17">
        <v>686928096.9481709</v>
      </c>
      <c r="U80" s="18"/>
      <c r="V80" s="17">
        <v>301454.04538461566</v>
      </c>
      <c r="W80" s="18"/>
      <c r="X80" s="17">
        <v>-382126082.28875065</v>
      </c>
      <c r="Y80" s="18">
        <v>0</v>
      </c>
      <c r="Z80" s="17">
        <v>1096598935.5399983</v>
      </c>
      <c r="AA80" s="17">
        <v>-1.1920928955078125E-7</v>
      </c>
    </row>
    <row r="81" spans="1:27">
      <c r="C81" s="5"/>
      <c r="D81" s="17"/>
      <c r="E81" s="18"/>
      <c r="F81" s="17"/>
      <c r="G81" s="18"/>
      <c r="H81" s="17"/>
      <c r="I81" s="18"/>
      <c r="J81" s="17"/>
      <c r="K81" s="18"/>
      <c r="L81" s="17"/>
      <c r="M81" s="18"/>
      <c r="N81" s="17"/>
      <c r="O81" s="18"/>
      <c r="P81" s="17"/>
      <c r="Q81" s="5"/>
      <c r="R81" s="5"/>
      <c r="S81" s="5"/>
      <c r="T81" s="5"/>
      <c r="U81" s="18"/>
      <c r="V81" s="17"/>
      <c r="W81" s="18"/>
      <c r="X81" s="17"/>
      <c r="Y81" s="18"/>
      <c r="Z81" s="17"/>
      <c r="AA81" s="17"/>
    </row>
    <row r="82" spans="1:27">
      <c r="C82" s="8" t="s">
        <v>72</v>
      </c>
      <c r="D82" s="7"/>
      <c r="E82" s="19"/>
      <c r="F82" s="7"/>
      <c r="G82" s="19"/>
      <c r="H82" s="7"/>
      <c r="I82" s="19"/>
      <c r="J82" s="7"/>
      <c r="K82" s="19"/>
      <c r="L82" s="7"/>
      <c r="M82" s="19"/>
      <c r="N82" s="7"/>
      <c r="O82" s="19"/>
      <c r="P82" s="7"/>
      <c r="Q82" s="5"/>
      <c r="R82" s="5"/>
      <c r="S82" s="5"/>
      <c r="T82" s="5"/>
      <c r="U82" s="19"/>
      <c r="V82" s="7"/>
      <c r="W82" s="19"/>
      <c r="X82" s="7"/>
      <c r="Y82" s="19"/>
      <c r="Z82" s="7"/>
      <c r="AA82" s="7"/>
    </row>
    <row r="83" spans="1:27">
      <c r="A83" s="2" t="s">
        <v>17</v>
      </c>
      <c r="B83" s="2" t="str">
        <f t="shared" ref="B83:B93" si="9">MID(C83,2,3)</f>
        <v>310</v>
      </c>
      <c r="C83" s="5" t="s">
        <v>73</v>
      </c>
      <c r="D83" s="7">
        <v>24447347.889999904</v>
      </c>
      <c r="E83" s="19"/>
      <c r="F83" s="7">
        <v>0</v>
      </c>
      <c r="G83" s="19"/>
      <c r="H83" s="7">
        <v>0</v>
      </c>
      <c r="I83" s="19"/>
      <c r="J83" s="7">
        <v>0</v>
      </c>
      <c r="K83" s="19"/>
      <c r="L83" s="7">
        <v>0</v>
      </c>
      <c r="M83" s="19"/>
      <c r="N83" s="7">
        <v>24447347.889999904</v>
      </c>
      <c r="O83" s="19"/>
      <c r="P83" s="7">
        <v>24447347.8899999</v>
      </c>
      <c r="Q83" s="5"/>
      <c r="R83" s="13">
        <v>0</v>
      </c>
      <c r="S83" s="5"/>
      <c r="T83" s="13">
        <v>24447347.8899999</v>
      </c>
      <c r="U83" s="19"/>
      <c r="V83" s="7"/>
      <c r="W83" s="19"/>
      <c r="X83" s="7">
        <v>0</v>
      </c>
      <c r="Y83" s="19"/>
      <c r="Z83" s="7">
        <v>24447347.889999904</v>
      </c>
      <c r="AA83" s="7">
        <v>0</v>
      </c>
    </row>
    <row r="84" spans="1:27">
      <c r="A84" s="2" t="s">
        <v>17</v>
      </c>
      <c r="B84" s="2" t="str">
        <f t="shared" si="9"/>
        <v>311</v>
      </c>
      <c r="C84" s="5" t="s">
        <v>74</v>
      </c>
      <c r="D84" s="7">
        <v>358184752.669999</v>
      </c>
      <c r="E84" s="19"/>
      <c r="F84" s="7">
        <v>3371692.8500000006</v>
      </c>
      <c r="G84" s="19"/>
      <c r="H84" s="7">
        <v>-10675505.010000002</v>
      </c>
      <c r="I84" s="19"/>
      <c r="J84" s="7">
        <v>0</v>
      </c>
      <c r="K84" s="19"/>
      <c r="L84" s="7">
        <v>-7303812.1600000011</v>
      </c>
      <c r="M84" s="19"/>
      <c r="N84" s="7">
        <v>350880940.50999898</v>
      </c>
      <c r="O84" s="19"/>
      <c r="P84" s="7">
        <v>356416650.27999979</v>
      </c>
      <c r="Q84" s="5"/>
      <c r="R84" s="13">
        <v>-193780402.32814676</v>
      </c>
      <c r="S84" s="5"/>
      <c r="T84" s="13">
        <v>162636247.95185304</v>
      </c>
      <c r="U84" s="19"/>
      <c r="V84" s="7">
        <v>156595.2807449722</v>
      </c>
      <c r="W84" s="19"/>
      <c r="X84" s="7">
        <v>-193623807.04740179</v>
      </c>
      <c r="Y84" s="19"/>
      <c r="Z84" s="7">
        <v>350880940.50999999</v>
      </c>
      <c r="AA84" s="7">
        <v>1.0132789611816406E-6</v>
      </c>
    </row>
    <row r="85" spans="1:27">
      <c r="A85" s="2" t="s">
        <v>17</v>
      </c>
      <c r="C85" s="5" t="s">
        <v>75</v>
      </c>
      <c r="D85" s="7">
        <v>0</v>
      </c>
      <c r="E85" s="19"/>
      <c r="F85" s="7">
        <v>0</v>
      </c>
      <c r="G85" s="19"/>
      <c r="H85" s="7">
        <v>0</v>
      </c>
      <c r="I85" s="19"/>
      <c r="J85" s="7">
        <v>0</v>
      </c>
      <c r="K85" s="19"/>
      <c r="L85" s="7">
        <v>0</v>
      </c>
      <c r="M85" s="19"/>
      <c r="N85" s="7">
        <v>0</v>
      </c>
      <c r="O85" s="19"/>
      <c r="P85" s="7">
        <v>0</v>
      </c>
      <c r="Q85" s="5"/>
      <c r="R85" s="13">
        <v>0</v>
      </c>
      <c r="S85" s="5"/>
      <c r="T85" s="13">
        <v>0</v>
      </c>
      <c r="U85" s="19"/>
      <c r="V85" s="7">
        <v>0</v>
      </c>
      <c r="W85" s="19"/>
      <c r="X85" s="7">
        <v>0</v>
      </c>
      <c r="Y85" s="19"/>
      <c r="Z85" s="7">
        <v>0</v>
      </c>
      <c r="AA85" s="7">
        <v>0</v>
      </c>
    </row>
    <row r="86" spans="1:27">
      <c r="A86" s="2" t="s">
        <v>17</v>
      </c>
      <c r="B86" s="2" t="str">
        <f t="shared" si="9"/>
        <v>312</v>
      </c>
      <c r="C86" s="5" t="s">
        <v>76</v>
      </c>
      <c r="D86" s="7">
        <v>4067527423.1499901</v>
      </c>
      <c r="E86" s="19"/>
      <c r="F86" s="7">
        <v>317585036.13999975</v>
      </c>
      <c r="G86" s="19"/>
      <c r="H86" s="7">
        <v>-16499907.68</v>
      </c>
      <c r="I86" s="19"/>
      <c r="J86" s="7">
        <v>0</v>
      </c>
      <c r="K86" s="19"/>
      <c r="L86" s="7">
        <v>301085128.45999974</v>
      </c>
      <c r="M86" s="19"/>
      <c r="N86" s="7">
        <v>4368612551.6099901</v>
      </c>
      <c r="O86" s="19"/>
      <c r="P86" s="7">
        <v>4270987467.3684545</v>
      </c>
      <c r="Q86" s="5"/>
      <c r="R86" s="13">
        <v>-1303732840.3073361</v>
      </c>
      <c r="S86" s="5"/>
      <c r="T86" s="13">
        <v>2967254627.0611181</v>
      </c>
      <c r="U86" s="19"/>
      <c r="V86" s="7">
        <v>14749955.024742361</v>
      </c>
      <c r="W86" s="19"/>
      <c r="X86" s="7">
        <v>-1288982885.2825937</v>
      </c>
      <c r="Y86" s="19"/>
      <c r="Z86" s="7">
        <v>4368612551.6099987</v>
      </c>
      <c r="AA86" s="7">
        <v>8.58306884765625E-6</v>
      </c>
    </row>
    <row r="87" spans="1:27">
      <c r="A87" s="2" t="s">
        <v>17</v>
      </c>
      <c r="C87" s="5" t="s">
        <v>77</v>
      </c>
      <c r="D87" s="7">
        <v>0</v>
      </c>
      <c r="E87" s="19"/>
      <c r="F87" s="7">
        <v>0</v>
      </c>
      <c r="G87" s="19"/>
      <c r="H87" s="7">
        <v>0</v>
      </c>
      <c r="I87" s="19"/>
      <c r="J87" s="7">
        <v>0</v>
      </c>
      <c r="K87" s="19"/>
      <c r="L87" s="7">
        <v>0</v>
      </c>
      <c r="M87" s="19"/>
      <c r="N87" s="7">
        <v>0</v>
      </c>
      <c r="O87" s="19"/>
      <c r="P87" s="7">
        <v>0</v>
      </c>
      <c r="Q87" s="5"/>
      <c r="R87" s="13">
        <v>0</v>
      </c>
      <c r="S87" s="5"/>
      <c r="T87" s="13">
        <v>0</v>
      </c>
      <c r="U87" s="19"/>
      <c r="V87" s="7">
        <v>0</v>
      </c>
      <c r="W87" s="19"/>
      <c r="X87" s="7">
        <v>0</v>
      </c>
      <c r="Y87" s="19"/>
      <c r="Z87" s="7">
        <v>0</v>
      </c>
      <c r="AA87" s="7">
        <v>0</v>
      </c>
    </row>
    <row r="88" spans="1:27">
      <c r="A88" s="2" t="s">
        <v>17</v>
      </c>
      <c r="B88" s="2" t="str">
        <f t="shared" si="9"/>
        <v>314</v>
      </c>
      <c r="C88" s="5" t="s">
        <v>78</v>
      </c>
      <c r="D88" s="7">
        <v>330679341.14999998</v>
      </c>
      <c r="E88" s="19"/>
      <c r="F88" s="7">
        <v>10619231.029999988</v>
      </c>
      <c r="G88" s="19"/>
      <c r="H88" s="7">
        <v>-7294506.6399999997</v>
      </c>
      <c r="I88" s="19"/>
      <c r="J88" s="7">
        <v>0</v>
      </c>
      <c r="K88" s="19"/>
      <c r="L88" s="7">
        <v>3324724.3899999885</v>
      </c>
      <c r="M88" s="19"/>
      <c r="N88" s="7">
        <v>334004065.53999996</v>
      </c>
      <c r="O88" s="19"/>
      <c r="P88" s="7">
        <v>335160961.10923022</v>
      </c>
      <c r="Q88" s="5"/>
      <c r="R88" s="13">
        <v>-147426415.08269858</v>
      </c>
      <c r="S88" s="5"/>
      <c r="T88" s="13">
        <v>187734546.02653164</v>
      </c>
      <c r="U88" s="19"/>
      <c r="V88" s="7">
        <v>493200.75653942442</v>
      </c>
      <c r="W88" s="19"/>
      <c r="X88" s="7">
        <v>-146933214.32615915</v>
      </c>
      <c r="Y88" s="19"/>
      <c r="Z88" s="7">
        <v>334004065.53999996</v>
      </c>
      <c r="AA88" s="7">
        <v>0</v>
      </c>
    </row>
    <row r="89" spans="1:27">
      <c r="A89" s="2" t="s">
        <v>17</v>
      </c>
      <c r="C89" s="5" t="s">
        <v>79</v>
      </c>
      <c r="D89" s="7">
        <v>0</v>
      </c>
      <c r="E89" s="19"/>
      <c r="F89" s="7">
        <v>0</v>
      </c>
      <c r="G89" s="19"/>
      <c r="H89" s="7">
        <v>0</v>
      </c>
      <c r="I89" s="19"/>
      <c r="J89" s="7">
        <v>0</v>
      </c>
      <c r="K89" s="19"/>
      <c r="L89" s="7">
        <v>0</v>
      </c>
      <c r="M89" s="19"/>
      <c r="N89" s="7">
        <v>0</v>
      </c>
      <c r="O89" s="19"/>
      <c r="P89" s="7">
        <v>0</v>
      </c>
      <c r="Q89" s="5"/>
      <c r="R89" s="13">
        <v>0</v>
      </c>
      <c r="S89" s="5"/>
      <c r="T89" s="13">
        <v>0</v>
      </c>
      <c r="U89" s="19"/>
      <c r="V89" s="7">
        <v>0</v>
      </c>
      <c r="W89" s="19"/>
      <c r="X89" s="7">
        <v>0</v>
      </c>
      <c r="Y89" s="19"/>
      <c r="Z89" s="7">
        <v>0</v>
      </c>
      <c r="AA89" s="7">
        <v>0</v>
      </c>
    </row>
    <row r="90" spans="1:27">
      <c r="A90" s="2" t="s">
        <v>17</v>
      </c>
      <c r="B90" s="2" t="str">
        <f t="shared" si="9"/>
        <v>315</v>
      </c>
      <c r="C90" s="5" t="s">
        <v>80</v>
      </c>
      <c r="D90" s="7">
        <v>250340853.139999</v>
      </c>
      <c r="E90" s="19"/>
      <c r="F90" s="7">
        <v>8207799.9399999985</v>
      </c>
      <c r="G90" s="19"/>
      <c r="H90" s="7">
        <v>-1058983.8</v>
      </c>
      <c r="I90" s="19"/>
      <c r="J90" s="7">
        <v>0</v>
      </c>
      <c r="K90" s="19"/>
      <c r="L90" s="7">
        <v>7148816.1399999987</v>
      </c>
      <c r="M90" s="19"/>
      <c r="N90" s="7">
        <v>257489669.27999899</v>
      </c>
      <c r="O90" s="19"/>
      <c r="P90" s="7">
        <v>253792341.09615284</v>
      </c>
      <c r="Q90" s="5"/>
      <c r="R90" s="13">
        <v>-116988369.67446858</v>
      </c>
      <c r="S90" s="5"/>
      <c r="T90" s="13">
        <v>136803971.42168427</v>
      </c>
      <c r="U90" s="19"/>
      <c r="V90" s="7">
        <v>381203.98063627462</v>
      </c>
      <c r="W90" s="19"/>
      <c r="X90" s="7">
        <v>-116607165.69383231</v>
      </c>
      <c r="Y90" s="19"/>
      <c r="Z90" s="7">
        <v>257489669.27999902</v>
      </c>
      <c r="AA90" s="7">
        <v>0</v>
      </c>
    </row>
    <row r="91" spans="1:27">
      <c r="A91" s="2" t="s">
        <v>17</v>
      </c>
      <c r="C91" s="5" t="s">
        <v>81</v>
      </c>
      <c r="D91" s="7">
        <v>0</v>
      </c>
      <c r="E91" s="19"/>
      <c r="F91" s="7">
        <v>0</v>
      </c>
      <c r="G91" s="19"/>
      <c r="H91" s="7">
        <v>0</v>
      </c>
      <c r="I91" s="19"/>
      <c r="J91" s="7">
        <v>0</v>
      </c>
      <c r="K91" s="19"/>
      <c r="L91" s="7">
        <v>0</v>
      </c>
      <c r="M91" s="19"/>
      <c r="N91" s="7">
        <v>0</v>
      </c>
      <c r="O91" s="19"/>
      <c r="P91" s="7">
        <v>0</v>
      </c>
      <c r="Q91" s="5"/>
      <c r="R91" s="13">
        <v>0</v>
      </c>
      <c r="S91" s="5"/>
      <c r="T91" s="13">
        <v>0</v>
      </c>
      <c r="U91" s="19"/>
      <c r="V91" s="7">
        <v>0</v>
      </c>
      <c r="W91" s="19"/>
      <c r="X91" s="7">
        <v>0</v>
      </c>
      <c r="Y91" s="19"/>
      <c r="Z91" s="7">
        <v>0</v>
      </c>
      <c r="AA91" s="7">
        <v>0</v>
      </c>
    </row>
    <row r="92" spans="1:27">
      <c r="A92" s="2" t="s">
        <v>17</v>
      </c>
      <c r="B92" s="2" t="str">
        <f t="shared" si="9"/>
        <v>316</v>
      </c>
      <c r="C92" s="5" t="s">
        <v>82</v>
      </c>
      <c r="D92" s="7">
        <v>39803670.879999906</v>
      </c>
      <c r="E92" s="19"/>
      <c r="F92" s="7">
        <v>7435215.4099999992</v>
      </c>
      <c r="G92" s="19"/>
      <c r="H92" s="7">
        <v>-536312.27</v>
      </c>
      <c r="I92" s="19"/>
      <c r="J92" s="7">
        <v>0</v>
      </c>
      <c r="K92" s="19"/>
      <c r="L92" s="7">
        <v>6898903.1399999987</v>
      </c>
      <c r="M92" s="19"/>
      <c r="N92" s="7">
        <v>46702574.019999906</v>
      </c>
      <c r="O92" s="19"/>
      <c r="P92" s="7">
        <v>43646023.0499999</v>
      </c>
      <c r="Q92" s="5"/>
      <c r="R92" s="13">
        <v>-17142135.109330993</v>
      </c>
      <c r="S92" s="5"/>
      <c r="T92" s="13">
        <v>26503887.940668907</v>
      </c>
      <c r="U92" s="19"/>
      <c r="V92" s="7">
        <v>345321.97810612945</v>
      </c>
      <c r="W92" s="19"/>
      <c r="X92" s="7">
        <v>-16796813.131224863</v>
      </c>
      <c r="Y92" s="19"/>
      <c r="Z92" s="7">
        <v>46702574.019999899</v>
      </c>
      <c r="AA92" s="7">
        <v>0</v>
      </c>
    </row>
    <row r="93" spans="1:27">
      <c r="A93" s="2" t="s">
        <v>17</v>
      </c>
      <c r="B93" s="2" t="str">
        <f t="shared" si="9"/>
        <v>317</v>
      </c>
      <c r="C93" s="5" t="s">
        <v>83</v>
      </c>
      <c r="D93" s="7">
        <v>197376730.81</v>
      </c>
      <c r="E93" s="19"/>
      <c r="F93" s="7">
        <v>0</v>
      </c>
      <c r="G93" s="19"/>
      <c r="H93" s="7">
        <v>-61964754.82</v>
      </c>
      <c r="I93" s="19"/>
      <c r="J93" s="7">
        <v>0</v>
      </c>
      <c r="K93" s="19"/>
      <c r="L93" s="7">
        <v>-61964754.82</v>
      </c>
      <c r="M93" s="19"/>
      <c r="N93" s="7">
        <v>135411975.99000001</v>
      </c>
      <c r="O93" s="19"/>
      <c r="P93" s="7">
        <v>178310652.40384617</v>
      </c>
      <c r="Q93" s="5"/>
      <c r="R93" s="13">
        <v>-129629568.28234208</v>
      </c>
      <c r="S93" s="5"/>
      <c r="T93" s="13">
        <v>48681084.121504098</v>
      </c>
      <c r="U93" s="19"/>
      <c r="V93" s="7">
        <v>0</v>
      </c>
      <c r="W93" s="19"/>
      <c r="X93" s="7">
        <v>-129629568.28234208</v>
      </c>
      <c r="Y93" s="19"/>
      <c r="Z93" s="7">
        <v>135411975.99000001</v>
      </c>
      <c r="AA93" s="7">
        <v>0</v>
      </c>
    </row>
    <row r="94" spans="1:27">
      <c r="A94" s="2" t="s">
        <v>17</v>
      </c>
      <c r="C94" s="5" t="s">
        <v>2492</v>
      </c>
      <c r="D94" s="20">
        <v>0</v>
      </c>
      <c r="E94" s="18"/>
      <c r="F94" s="20">
        <v>0</v>
      </c>
      <c r="G94" s="18"/>
      <c r="H94" s="20">
        <v>0</v>
      </c>
      <c r="I94" s="18"/>
      <c r="J94" s="20">
        <v>0</v>
      </c>
      <c r="K94" s="18"/>
      <c r="L94" s="20">
        <v>0</v>
      </c>
      <c r="M94" s="18"/>
      <c r="N94" s="20">
        <v>0</v>
      </c>
      <c r="O94" s="18"/>
      <c r="P94" s="20">
        <v>0</v>
      </c>
      <c r="Q94" s="5"/>
      <c r="R94" s="21">
        <v>0</v>
      </c>
      <c r="S94" s="5"/>
      <c r="T94" s="21">
        <v>0</v>
      </c>
      <c r="U94" s="18"/>
      <c r="V94" s="20">
        <v>0</v>
      </c>
      <c r="W94" s="18"/>
      <c r="X94" s="20">
        <v>0</v>
      </c>
      <c r="Y94" s="18"/>
      <c r="Z94" s="20">
        <v>0</v>
      </c>
      <c r="AA94" s="20">
        <v>0</v>
      </c>
    </row>
    <row r="95" spans="1:27">
      <c r="C95" s="5"/>
      <c r="D95" s="17">
        <v>5268360119.6899881</v>
      </c>
      <c r="E95" s="18"/>
      <c r="F95" s="17">
        <v>347218975.36999977</v>
      </c>
      <c r="G95" s="18"/>
      <c r="H95" s="17">
        <v>-98029970.219999999</v>
      </c>
      <c r="I95" s="18"/>
      <c r="J95" s="17">
        <v>0</v>
      </c>
      <c r="K95" s="18"/>
      <c r="L95" s="17">
        <v>249189005.14999968</v>
      </c>
      <c r="M95" s="18"/>
      <c r="N95" s="17">
        <v>5517549124.8399868</v>
      </c>
      <c r="O95" s="18"/>
      <c r="P95" s="17">
        <v>5462761443.1976833</v>
      </c>
      <c r="Q95" s="5"/>
      <c r="R95" s="17">
        <v>-1908699730.7843227</v>
      </c>
      <c r="S95" s="5"/>
      <c r="T95" s="17">
        <v>3554061712.4133606</v>
      </c>
      <c r="U95" s="18"/>
      <c r="V95" s="17">
        <v>16126277.020769164</v>
      </c>
      <c r="W95" s="18"/>
      <c r="X95" s="17">
        <v>-1892573453.7635541</v>
      </c>
      <c r="Y95" s="18">
        <v>0</v>
      </c>
      <c r="Z95" s="17">
        <v>5517549124.8399963</v>
      </c>
      <c r="AA95" s="17">
        <v>9.5963478088378906E-6</v>
      </c>
    </row>
    <row r="96" spans="1:27">
      <c r="B96" s="2" t="str">
        <f t="shared" ref="B96:B110" si="10">MID(C96,2,3)</f>
        <v/>
      </c>
      <c r="C96" s="5"/>
      <c r="D96" s="17"/>
      <c r="E96" s="18"/>
      <c r="F96" s="17"/>
      <c r="G96" s="18"/>
      <c r="H96" s="17"/>
      <c r="I96" s="18"/>
      <c r="J96" s="17"/>
      <c r="K96" s="18"/>
      <c r="L96" s="17"/>
      <c r="M96" s="18"/>
      <c r="N96" s="17"/>
      <c r="O96" s="18"/>
      <c r="P96" s="17"/>
      <c r="Q96" s="5"/>
      <c r="R96" s="5"/>
      <c r="S96" s="5"/>
      <c r="T96" s="5"/>
      <c r="U96" s="18"/>
      <c r="V96" s="17"/>
      <c r="W96" s="18"/>
      <c r="X96" s="17"/>
      <c r="Y96" s="18"/>
      <c r="Z96" s="17"/>
      <c r="AA96" s="17"/>
    </row>
    <row r="97" spans="1:27">
      <c r="C97" s="8" t="s">
        <v>84</v>
      </c>
      <c r="D97" s="17"/>
      <c r="E97" s="18"/>
      <c r="F97" s="17"/>
      <c r="G97" s="18"/>
      <c r="H97" s="17"/>
      <c r="I97" s="18"/>
      <c r="J97" s="17"/>
      <c r="K97" s="18"/>
      <c r="L97" s="17"/>
      <c r="M97" s="18"/>
      <c r="N97" s="17"/>
      <c r="O97" s="18"/>
      <c r="P97" s="17"/>
      <c r="Q97" s="5"/>
      <c r="R97" s="5"/>
      <c r="S97" s="5"/>
      <c r="T97" s="5"/>
      <c r="U97" s="18"/>
      <c r="V97" s="17"/>
      <c r="W97" s="18"/>
      <c r="X97" s="17"/>
      <c r="Y97" s="18"/>
      <c r="Z97" s="17"/>
      <c r="AA97" s="17"/>
    </row>
    <row r="98" spans="1:27">
      <c r="A98" s="2" t="s">
        <v>17</v>
      </c>
      <c r="B98" s="2" t="str">
        <f t="shared" si="10"/>
        <v>350</v>
      </c>
      <c r="C98" s="5" t="s">
        <v>85</v>
      </c>
      <c r="D98" s="17">
        <v>29761602.849999998</v>
      </c>
      <c r="E98" s="18"/>
      <c r="F98" s="17">
        <v>0</v>
      </c>
      <c r="G98" s="18"/>
      <c r="H98" s="17">
        <v>0</v>
      </c>
      <c r="I98" s="18"/>
      <c r="J98" s="17">
        <v>0</v>
      </c>
      <c r="K98" s="18"/>
      <c r="L98" s="17">
        <v>0</v>
      </c>
      <c r="M98" s="18"/>
      <c r="N98" s="17">
        <v>29761602.849999998</v>
      </c>
      <c r="O98" s="18"/>
      <c r="P98" s="17">
        <v>29761602.850000005</v>
      </c>
      <c r="Q98" s="5"/>
      <c r="R98" s="13">
        <v>-16081345.865749897</v>
      </c>
      <c r="S98" s="5"/>
      <c r="T98" s="13">
        <v>13680256.984250108</v>
      </c>
      <c r="U98" s="18"/>
      <c r="V98" s="7">
        <v>0</v>
      </c>
      <c r="W98" s="19"/>
      <c r="X98" s="7">
        <v>-16081345.865749897</v>
      </c>
      <c r="Y98" s="19"/>
      <c r="Z98" s="7">
        <v>29761602.849999998</v>
      </c>
      <c r="AA98" s="7">
        <v>0</v>
      </c>
    </row>
    <row r="99" spans="1:27">
      <c r="A99" s="2" t="s">
        <v>17</v>
      </c>
      <c r="C99" s="5" t="s">
        <v>86</v>
      </c>
      <c r="D99" s="17">
        <v>0</v>
      </c>
      <c r="E99" s="18"/>
      <c r="F99" s="17">
        <v>0</v>
      </c>
      <c r="G99" s="18"/>
      <c r="H99" s="17">
        <v>0</v>
      </c>
      <c r="I99" s="18"/>
      <c r="J99" s="17">
        <v>0</v>
      </c>
      <c r="K99" s="18"/>
      <c r="L99" s="17">
        <v>0</v>
      </c>
      <c r="M99" s="18"/>
      <c r="N99" s="17">
        <v>0</v>
      </c>
      <c r="O99" s="18"/>
      <c r="P99" s="17">
        <v>0</v>
      </c>
      <c r="Q99" s="5"/>
      <c r="R99" s="13">
        <v>0</v>
      </c>
      <c r="S99" s="5"/>
      <c r="T99" s="13">
        <v>0</v>
      </c>
      <c r="U99" s="18"/>
      <c r="V99" s="17">
        <v>0</v>
      </c>
      <c r="W99" s="18"/>
      <c r="X99" s="17">
        <v>0</v>
      </c>
      <c r="Y99" s="18"/>
      <c r="Z99" s="17">
        <v>0</v>
      </c>
      <c r="AA99" s="17">
        <v>0</v>
      </c>
    </row>
    <row r="100" spans="1:27">
      <c r="A100" s="2" t="s">
        <v>17</v>
      </c>
      <c r="B100" s="2" t="str">
        <f t="shared" si="10"/>
        <v>352</v>
      </c>
      <c r="C100" s="5" t="s">
        <v>87</v>
      </c>
      <c r="D100" s="17">
        <v>27882895.739999998</v>
      </c>
      <c r="E100" s="18"/>
      <c r="F100" s="17">
        <v>81007.92</v>
      </c>
      <c r="G100" s="18"/>
      <c r="H100" s="17">
        <v>0</v>
      </c>
      <c r="I100" s="18"/>
      <c r="J100" s="17">
        <v>0</v>
      </c>
      <c r="K100" s="18"/>
      <c r="L100" s="17">
        <v>81007.92</v>
      </c>
      <c r="M100" s="18"/>
      <c r="N100" s="17">
        <v>27963903.66</v>
      </c>
      <c r="O100" s="18"/>
      <c r="P100" s="17">
        <v>27926515.389230777</v>
      </c>
      <c r="Q100" s="5"/>
      <c r="R100" s="13">
        <v>-7223328.6754265688</v>
      </c>
      <c r="S100" s="5"/>
      <c r="T100" s="13">
        <v>20703186.713804208</v>
      </c>
      <c r="U100" s="18"/>
      <c r="V100" s="17">
        <v>1439.0869002544478</v>
      </c>
      <c r="W100" s="18"/>
      <c r="X100" s="17">
        <v>-7221889.5885263141</v>
      </c>
      <c r="Y100" s="18"/>
      <c r="Z100" s="17">
        <v>27963903.66</v>
      </c>
      <c r="AA100" s="17">
        <v>0</v>
      </c>
    </row>
    <row r="101" spans="1:27">
      <c r="A101" s="2" t="s">
        <v>17</v>
      </c>
      <c r="C101" s="5" t="s">
        <v>88</v>
      </c>
      <c r="D101" s="17">
        <v>0</v>
      </c>
      <c r="E101" s="18"/>
      <c r="F101" s="17">
        <v>0</v>
      </c>
      <c r="G101" s="18"/>
      <c r="H101" s="17">
        <v>0</v>
      </c>
      <c r="I101" s="18"/>
      <c r="J101" s="17">
        <v>0</v>
      </c>
      <c r="K101" s="18"/>
      <c r="L101" s="17">
        <v>0</v>
      </c>
      <c r="M101" s="18"/>
      <c r="N101" s="17">
        <v>0</v>
      </c>
      <c r="O101" s="18"/>
      <c r="P101" s="17">
        <v>0</v>
      </c>
      <c r="Q101" s="5"/>
      <c r="R101" s="13">
        <v>0</v>
      </c>
      <c r="S101" s="5"/>
      <c r="T101" s="13">
        <v>0</v>
      </c>
      <c r="U101" s="18"/>
      <c r="V101" s="17">
        <v>0</v>
      </c>
      <c r="W101" s="18"/>
      <c r="X101" s="17">
        <v>0</v>
      </c>
      <c r="Y101" s="18"/>
      <c r="Z101" s="17">
        <v>0</v>
      </c>
      <c r="AA101" s="17">
        <v>0</v>
      </c>
    </row>
    <row r="102" spans="1:27">
      <c r="A102" s="2" t="s">
        <v>17</v>
      </c>
      <c r="B102" s="2" t="str">
        <f t="shared" si="10"/>
        <v>353</v>
      </c>
      <c r="C102" s="5" t="s">
        <v>89</v>
      </c>
      <c r="D102" s="17">
        <v>334817634.48000002</v>
      </c>
      <c r="E102" s="18"/>
      <c r="F102" s="17">
        <v>30581908.129999898</v>
      </c>
      <c r="G102" s="18"/>
      <c r="H102" s="17">
        <v>-1544773.4200000002</v>
      </c>
      <c r="I102" s="18"/>
      <c r="J102" s="17">
        <v>0</v>
      </c>
      <c r="K102" s="18"/>
      <c r="L102" s="17">
        <v>29037134.709999897</v>
      </c>
      <c r="M102" s="18"/>
      <c r="N102" s="17">
        <v>363854769.18999994</v>
      </c>
      <c r="O102" s="18"/>
      <c r="P102" s="17">
        <v>347316640.72461534</v>
      </c>
      <c r="Q102" s="5"/>
      <c r="R102" s="13">
        <v>-77359552.697604626</v>
      </c>
      <c r="S102" s="5"/>
      <c r="T102" s="13">
        <v>269957088.02701068</v>
      </c>
      <c r="U102" s="18"/>
      <c r="V102" s="17">
        <v>543280.50114936719</v>
      </c>
      <c r="W102" s="18"/>
      <c r="X102" s="17">
        <v>-76816272.196455255</v>
      </c>
      <c r="Y102" s="18"/>
      <c r="Z102" s="17">
        <v>363854769.19</v>
      </c>
      <c r="AA102" s="17">
        <v>0</v>
      </c>
    </row>
    <row r="103" spans="1:27">
      <c r="A103" s="2" t="s">
        <v>17</v>
      </c>
      <c r="C103" s="5" t="s">
        <v>90</v>
      </c>
      <c r="D103" s="17">
        <v>0</v>
      </c>
      <c r="E103" s="18"/>
      <c r="F103" s="17">
        <v>0</v>
      </c>
      <c r="G103" s="18"/>
      <c r="H103" s="17">
        <v>0</v>
      </c>
      <c r="I103" s="18"/>
      <c r="J103" s="17">
        <v>0</v>
      </c>
      <c r="K103" s="18"/>
      <c r="L103" s="17">
        <v>0</v>
      </c>
      <c r="M103" s="18"/>
      <c r="N103" s="17">
        <v>0</v>
      </c>
      <c r="O103" s="18"/>
      <c r="P103" s="17">
        <v>0</v>
      </c>
      <c r="Q103" s="5"/>
      <c r="R103" s="13">
        <v>0</v>
      </c>
      <c r="S103" s="5"/>
      <c r="T103" s="13">
        <v>0</v>
      </c>
      <c r="U103" s="18"/>
      <c r="V103" s="17">
        <v>0</v>
      </c>
      <c r="W103" s="18"/>
      <c r="X103" s="17">
        <v>0</v>
      </c>
      <c r="Y103" s="18"/>
      <c r="Z103" s="17">
        <v>0</v>
      </c>
      <c r="AA103" s="17">
        <v>0</v>
      </c>
    </row>
    <row r="104" spans="1:27">
      <c r="A104" s="2" t="s">
        <v>17</v>
      </c>
      <c r="C104" s="5" t="s">
        <v>91</v>
      </c>
      <c r="D104" s="17">
        <v>0</v>
      </c>
      <c r="E104" s="18"/>
      <c r="F104" s="17">
        <v>0</v>
      </c>
      <c r="G104" s="18"/>
      <c r="H104" s="17">
        <v>0</v>
      </c>
      <c r="I104" s="18"/>
      <c r="J104" s="17">
        <v>0</v>
      </c>
      <c r="K104" s="18"/>
      <c r="L104" s="17">
        <v>0</v>
      </c>
      <c r="M104" s="18"/>
      <c r="N104" s="17">
        <v>0</v>
      </c>
      <c r="O104" s="18"/>
      <c r="P104" s="17">
        <v>0</v>
      </c>
      <c r="Q104" s="5"/>
      <c r="R104" s="13">
        <v>0</v>
      </c>
      <c r="S104" s="5"/>
      <c r="T104" s="13">
        <v>0</v>
      </c>
      <c r="U104" s="18"/>
      <c r="V104" s="17">
        <v>0</v>
      </c>
      <c r="W104" s="18"/>
      <c r="X104" s="17">
        <v>0</v>
      </c>
      <c r="Y104" s="18"/>
      <c r="Z104" s="17">
        <v>0</v>
      </c>
      <c r="AA104" s="17">
        <v>0</v>
      </c>
    </row>
    <row r="105" spans="1:27">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18"/>
      <c r="P105" s="17">
        <v>70852012.850000024</v>
      </c>
      <c r="Q105" s="5"/>
      <c r="R105" s="13">
        <v>-48312213.502831891</v>
      </c>
      <c r="S105" s="5"/>
      <c r="T105" s="13">
        <v>22539799.347168133</v>
      </c>
      <c r="U105" s="18"/>
      <c r="V105" s="17">
        <v>0</v>
      </c>
      <c r="W105" s="18"/>
      <c r="X105" s="17">
        <v>-48312213.502831891</v>
      </c>
      <c r="Y105" s="18"/>
      <c r="Z105" s="17">
        <v>70852012.849999994</v>
      </c>
      <c r="AA105" s="17">
        <v>0</v>
      </c>
    </row>
    <row r="106" spans="1:27">
      <c r="A106" s="2" t="s">
        <v>17</v>
      </c>
      <c r="B106" s="2" t="str">
        <f t="shared" si="10"/>
        <v>355</v>
      </c>
      <c r="C106" s="5" t="s">
        <v>93</v>
      </c>
      <c r="D106" s="17">
        <v>390868606.26999998</v>
      </c>
      <c r="E106" s="18"/>
      <c r="F106" s="17">
        <v>63169262.829999894</v>
      </c>
      <c r="G106" s="18"/>
      <c r="H106" s="17">
        <v>-2202126.2999999989</v>
      </c>
      <c r="I106" s="18"/>
      <c r="J106" s="17">
        <v>0</v>
      </c>
      <c r="K106" s="18"/>
      <c r="L106" s="17">
        <v>60967136.529999897</v>
      </c>
      <c r="M106" s="18"/>
      <c r="N106" s="17">
        <v>451835742.79999989</v>
      </c>
      <c r="O106" s="18"/>
      <c r="P106" s="17">
        <v>420885524.22999996</v>
      </c>
      <c r="Q106" s="5"/>
      <c r="R106" s="13">
        <v>-75922446.102660671</v>
      </c>
      <c r="S106" s="5"/>
      <c r="T106" s="13">
        <v>344963078.1273393</v>
      </c>
      <c r="U106" s="18"/>
      <c r="V106" s="17">
        <v>1122187.2952346271</v>
      </c>
      <c r="W106" s="18"/>
      <c r="X106" s="17">
        <v>-74800258.80742605</v>
      </c>
      <c r="Y106" s="18"/>
      <c r="Z106" s="17">
        <v>451835742.80000001</v>
      </c>
      <c r="AA106" s="17">
        <v>0</v>
      </c>
    </row>
    <row r="107" spans="1:27">
      <c r="A107" s="2" t="s">
        <v>17</v>
      </c>
      <c r="B107" s="2" t="str">
        <f t="shared" si="10"/>
        <v>356</v>
      </c>
      <c r="C107" s="5" t="s">
        <v>94</v>
      </c>
      <c r="D107" s="17">
        <v>170863484.70999998</v>
      </c>
      <c r="E107" s="18"/>
      <c r="F107" s="17">
        <v>5538950.9699999997</v>
      </c>
      <c r="G107" s="18"/>
      <c r="H107" s="17">
        <v>-1253759.97</v>
      </c>
      <c r="I107" s="18"/>
      <c r="J107" s="17">
        <v>0</v>
      </c>
      <c r="K107" s="18"/>
      <c r="L107" s="17">
        <v>4285191</v>
      </c>
      <c r="M107" s="18"/>
      <c r="N107" s="17">
        <v>175148675.70999998</v>
      </c>
      <c r="O107" s="18"/>
      <c r="P107" s="17">
        <v>170958245.77846068</v>
      </c>
      <c r="Q107" s="5"/>
      <c r="R107" s="13">
        <v>-107825307.72529915</v>
      </c>
      <c r="S107" s="5"/>
      <c r="T107" s="13">
        <v>63132938.053161532</v>
      </c>
      <c r="U107" s="18"/>
      <c r="V107" s="17">
        <v>98398.178623505781</v>
      </c>
      <c r="W107" s="18"/>
      <c r="X107" s="17">
        <v>-107726909.54667564</v>
      </c>
      <c r="Y107" s="18"/>
      <c r="Z107" s="17">
        <v>175148675.709999</v>
      </c>
      <c r="AA107" s="17">
        <v>-9.8347663879394531E-7</v>
      </c>
    </row>
    <row r="108" spans="1:27">
      <c r="A108" s="2" t="s">
        <v>17</v>
      </c>
      <c r="B108" s="2" t="str">
        <f t="shared" si="10"/>
        <v>357</v>
      </c>
      <c r="C108" s="5" t="s">
        <v>95</v>
      </c>
      <c r="D108" s="17">
        <v>448760.26</v>
      </c>
      <c r="E108" s="18"/>
      <c r="F108" s="17">
        <v>0</v>
      </c>
      <c r="G108" s="18"/>
      <c r="H108" s="17">
        <v>0</v>
      </c>
      <c r="I108" s="18"/>
      <c r="J108" s="17">
        <v>0</v>
      </c>
      <c r="K108" s="18"/>
      <c r="L108" s="17">
        <v>0</v>
      </c>
      <c r="M108" s="18"/>
      <c r="N108" s="17">
        <v>448760.26</v>
      </c>
      <c r="O108" s="18"/>
      <c r="P108" s="17">
        <v>448760.26</v>
      </c>
      <c r="Q108" s="5"/>
      <c r="R108" s="13">
        <v>-262726.76922719897</v>
      </c>
      <c r="S108" s="5"/>
      <c r="T108" s="13">
        <v>186033.49077280104</v>
      </c>
      <c r="U108" s="18"/>
      <c r="V108" s="17">
        <v>0</v>
      </c>
      <c r="W108" s="18"/>
      <c r="X108" s="17">
        <v>-262726.76922719897</v>
      </c>
      <c r="Y108" s="18"/>
      <c r="Z108" s="17">
        <v>448760.26</v>
      </c>
      <c r="AA108" s="17">
        <v>0</v>
      </c>
    </row>
    <row r="109" spans="1:27">
      <c r="A109" s="2" t="s">
        <v>17</v>
      </c>
      <c r="B109" s="2" t="str">
        <f t="shared" si="10"/>
        <v>358</v>
      </c>
      <c r="C109" s="5" t="s">
        <v>96</v>
      </c>
      <c r="D109" s="17">
        <v>1299592.55</v>
      </c>
      <c r="E109" s="18"/>
      <c r="F109" s="17">
        <v>9902499.8099999893</v>
      </c>
      <c r="G109" s="18"/>
      <c r="H109" s="17">
        <v>0</v>
      </c>
      <c r="I109" s="18"/>
      <c r="J109" s="17">
        <v>0</v>
      </c>
      <c r="K109" s="18"/>
      <c r="L109" s="17">
        <v>9902499.8099999893</v>
      </c>
      <c r="M109" s="18"/>
      <c r="N109" s="17">
        <v>11202092.35999999</v>
      </c>
      <c r="O109" s="18"/>
      <c r="P109" s="17">
        <v>4991165.9476922695</v>
      </c>
      <c r="Q109" s="5"/>
      <c r="R109" s="13">
        <v>-923057.2867446451</v>
      </c>
      <c r="S109" s="5"/>
      <c r="T109" s="13">
        <v>4068108.6609476246</v>
      </c>
      <c r="U109" s="18"/>
      <c r="V109" s="17">
        <v>175915.6111691689</v>
      </c>
      <c r="W109" s="18"/>
      <c r="X109" s="17">
        <v>-747141.67557547614</v>
      </c>
      <c r="Y109" s="18"/>
      <c r="Z109" s="17">
        <v>11202092.359999901</v>
      </c>
      <c r="AA109" s="17">
        <v>-8.9406967163085938E-8</v>
      </c>
    </row>
    <row r="110" spans="1:27">
      <c r="A110" s="2" t="s">
        <v>17</v>
      </c>
      <c r="B110" s="2" t="str">
        <f t="shared" si="10"/>
        <v>359</v>
      </c>
      <c r="C110" s="5" t="s">
        <v>97</v>
      </c>
      <c r="D110" s="17">
        <v>551323.88</v>
      </c>
      <c r="E110" s="18"/>
      <c r="F110" s="17">
        <v>0</v>
      </c>
      <c r="G110" s="18"/>
      <c r="H110" s="17">
        <v>0</v>
      </c>
      <c r="I110" s="18"/>
      <c r="J110" s="17">
        <v>0</v>
      </c>
      <c r="K110" s="18"/>
      <c r="L110" s="17">
        <v>0</v>
      </c>
      <c r="M110" s="18"/>
      <c r="N110" s="17">
        <v>551323.88</v>
      </c>
      <c r="O110" s="18"/>
      <c r="P110" s="17">
        <v>551323.88</v>
      </c>
      <c r="Q110" s="5"/>
      <c r="R110" s="13">
        <v>-106084.96225518781</v>
      </c>
      <c r="S110" s="5"/>
      <c r="T110" s="13">
        <v>445238.91774481221</v>
      </c>
      <c r="U110" s="18"/>
      <c r="V110" s="17">
        <v>0</v>
      </c>
      <c r="W110" s="18"/>
      <c r="X110" s="17">
        <v>-106084.96225518781</v>
      </c>
      <c r="Y110" s="18"/>
      <c r="Z110" s="17">
        <v>551323.88</v>
      </c>
      <c r="AA110" s="17">
        <v>0</v>
      </c>
    </row>
    <row r="111" spans="1:27">
      <c r="A111" s="2" t="s">
        <v>17</v>
      </c>
      <c r="C111" s="5" t="s">
        <v>98</v>
      </c>
      <c r="D111" s="20">
        <v>0</v>
      </c>
      <c r="E111" s="18"/>
      <c r="F111" s="20">
        <v>0</v>
      </c>
      <c r="G111" s="18"/>
      <c r="H111" s="20">
        <v>0</v>
      </c>
      <c r="I111" s="18"/>
      <c r="J111" s="20">
        <v>0</v>
      </c>
      <c r="K111" s="18"/>
      <c r="L111" s="20">
        <v>0</v>
      </c>
      <c r="M111" s="18"/>
      <c r="N111" s="20">
        <v>0</v>
      </c>
      <c r="O111" s="18"/>
      <c r="P111" s="20">
        <v>0</v>
      </c>
      <c r="Q111" s="5"/>
      <c r="R111" s="21">
        <v>0</v>
      </c>
      <c r="S111" s="5"/>
      <c r="T111" s="21">
        <v>0</v>
      </c>
      <c r="U111" s="18"/>
      <c r="V111" s="20">
        <v>0</v>
      </c>
      <c r="W111" s="18"/>
      <c r="X111" s="20">
        <v>0</v>
      </c>
      <c r="Y111" s="18"/>
      <c r="Z111" s="20">
        <v>0</v>
      </c>
      <c r="AA111" s="20">
        <v>0</v>
      </c>
    </row>
    <row r="112" spans="1:27">
      <c r="C112" s="5"/>
      <c r="D112" s="17">
        <v>1027345913.5899998</v>
      </c>
      <c r="E112" s="18"/>
      <c r="F112" s="17">
        <v>109273629.65999977</v>
      </c>
      <c r="G112" s="18"/>
      <c r="H112" s="17">
        <v>-5000659.6899999985</v>
      </c>
      <c r="I112" s="18"/>
      <c r="J112" s="17">
        <v>0</v>
      </c>
      <c r="K112" s="18"/>
      <c r="L112" s="17">
        <v>104272969.96999978</v>
      </c>
      <c r="M112" s="18"/>
      <c r="N112" s="17">
        <v>1131618883.5599999</v>
      </c>
      <c r="O112" s="18"/>
      <c r="P112" s="17">
        <v>1073691791.9099991</v>
      </c>
      <c r="Q112" s="5"/>
      <c r="R112" s="17">
        <v>-334016063.58779985</v>
      </c>
      <c r="S112" s="5"/>
      <c r="T112" s="17">
        <v>739675728.32219923</v>
      </c>
      <c r="U112" s="18"/>
      <c r="V112" s="17">
        <v>1941220.6730769232</v>
      </c>
      <c r="W112" s="18"/>
      <c r="X112" s="17">
        <v>-332074842.91472292</v>
      </c>
      <c r="Y112" s="18">
        <v>0</v>
      </c>
      <c r="Z112" s="17">
        <v>1131618883.559999</v>
      </c>
      <c r="AA112" s="17">
        <v>-1.0728836059570313E-6</v>
      </c>
    </row>
    <row r="113" spans="3:27">
      <c r="C113" s="5"/>
      <c r="D113" s="17"/>
      <c r="E113" s="19"/>
      <c r="F113" s="17"/>
      <c r="G113" s="19"/>
      <c r="H113" s="17"/>
      <c r="I113" s="19"/>
      <c r="J113" s="17"/>
      <c r="K113" s="19"/>
      <c r="L113" s="17"/>
      <c r="M113" s="19"/>
      <c r="N113" s="17"/>
      <c r="O113" s="19"/>
      <c r="P113" s="17"/>
      <c r="Q113" s="5"/>
      <c r="R113" s="5"/>
      <c r="S113" s="5"/>
      <c r="T113" s="5"/>
      <c r="U113" s="19"/>
      <c r="V113" s="17"/>
      <c r="W113" s="19"/>
      <c r="X113" s="17"/>
      <c r="Y113" s="19"/>
      <c r="Z113" s="17"/>
      <c r="AA113" s="17"/>
    </row>
    <row r="114" spans="3:27">
      <c r="C114" s="5"/>
      <c r="D114" s="7"/>
      <c r="E114" s="19"/>
      <c r="F114" s="7"/>
      <c r="G114" s="19"/>
      <c r="H114" s="7"/>
      <c r="I114" s="19"/>
      <c r="J114" s="7"/>
      <c r="K114" s="19"/>
      <c r="L114" s="7"/>
      <c r="M114" s="19"/>
      <c r="N114" s="7"/>
      <c r="O114" s="19"/>
      <c r="P114" s="7"/>
      <c r="Q114" s="5"/>
      <c r="R114" s="5"/>
      <c r="S114" s="5"/>
      <c r="T114" s="5"/>
      <c r="U114" s="19"/>
      <c r="V114" s="7"/>
      <c r="W114" s="19"/>
      <c r="X114" s="7"/>
      <c r="Y114" s="19"/>
      <c r="Z114" s="7"/>
      <c r="AA114" s="7"/>
    </row>
    <row r="115" spans="3:27" s="29" customFormat="1" ht="13.5" thickBot="1">
      <c r="C115" s="8" t="s">
        <v>99</v>
      </c>
      <c r="D115" s="22">
        <v>9560717959.5699844</v>
      </c>
      <c r="E115" s="18"/>
      <c r="F115" s="22">
        <v>694183477.15999925</v>
      </c>
      <c r="G115" s="18"/>
      <c r="H115" s="22">
        <v>-144148515.96999997</v>
      </c>
      <c r="I115" s="18"/>
      <c r="J115" s="22">
        <v>0</v>
      </c>
      <c r="K115" s="18"/>
      <c r="L115" s="22">
        <v>550034961.18999922</v>
      </c>
      <c r="M115" s="18"/>
      <c r="N115" s="22">
        <v>10110752920.759981</v>
      </c>
      <c r="O115" s="18"/>
      <c r="P115" s="22">
        <v>9902275531.0046043</v>
      </c>
      <c r="Q115" s="5"/>
      <c r="R115" s="22">
        <v>-3439437053.380652</v>
      </c>
      <c r="S115" s="5"/>
      <c r="T115" s="22">
        <v>6462838477.623951</v>
      </c>
      <c r="U115" s="18"/>
      <c r="V115" s="22">
        <v>19059481.049230706</v>
      </c>
      <c r="W115" s="18"/>
      <c r="X115" s="22">
        <v>-3420377572.3314214</v>
      </c>
      <c r="Y115" s="18"/>
      <c r="Z115" s="22">
        <v>10110752920.759993</v>
      </c>
      <c r="AA115" s="22">
        <v>9.5963478088378906E-6</v>
      </c>
    </row>
    <row r="116" spans="3:27" s="29" customFormat="1" ht="13.5" thickTop="1">
      <c r="C116" s="23"/>
      <c r="D116" s="232"/>
      <c r="E116" s="505"/>
      <c r="F116" s="232"/>
      <c r="G116" s="505"/>
      <c r="H116" s="232"/>
      <c r="I116" s="505"/>
      <c r="J116" s="232"/>
      <c r="K116" s="505"/>
      <c r="L116" s="232"/>
      <c r="M116" s="505"/>
      <c r="N116" s="232"/>
      <c r="O116" s="505"/>
      <c r="P116" s="232"/>
      <c r="Q116" s="2"/>
      <c r="R116" s="2"/>
      <c r="S116" s="2"/>
      <c r="T116" s="2"/>
      <c r="U116" s="25"/>
      <c r="V116" s="232"/>
      <c r="W116" s="25"/>
      <c r="X116" s="232"/>
      <c r="Y116" s="25"/>
      <c r="Z116" s="232"/>
      <c r="AA116" s="232"/>
    </row>
    <row r="117" spans="3:27" s="29" customFormat="1">
      <c r="C117" s="2"/>
      <c r="D117" s="66"/>
      <c r="E117" s="506"/>
      <c r="F117" s="66"/>
      <c r="G117" s="506"/>
      <c r="H117" s="66"/>
      <c r="I117" s="506"/>
      <c r="J117" s="66"/>
      <c r="K117" s="506"/>
      <c r="L117" s="66"/>
      <c r="M117" s="506"/>
      <c r="N117" s="66"/>
      <c r="O117" s="506"/>
      <c r="P117" s="66"/>
      <c r="Q117" s="2"/>
      <c r="R117" s="2"/>
      <c r="S117" s="2"/>
      <c r="T117" s="2"/>
      <c r="U117" s="27"/>
      <c r="V117" s="66"/>
      <c r="W117" s="27"/>
      <c r="X117" s="66"/>
      <c r="Y117" s="27"/>
      <c r="Z117" s="66"/>
      <c r="AA117" s="66"/>
    </row>
    <row r="118" spans="3:27" s="29" customFormat="1">
      <c r="C118" s="28"/>
      <c r="D118" s="232"/>
      <c r="E118" s="505"/>
      <c r="F118" s="232"/>
      <c r="G118" s="505"/>
      <c r="H118" s="232"/>
      <c r="I118" s="505"/>
      <c r="J118" s="232"/>
      <c r="K118" s="505"/>
      <c r="L118" s="232"/>
      <c r="M118" s="505"/>
      <c r="N118" s="232"/>
      <c r="O118" s="505"/>
      <c r="P118" s="232"/>
      <c r="U118" s="25"/>
      <c r="V118" s="232"/>
      <c r="W118" s="25"/>
      <c r="X118" s="232"/>
      <c r="Y118" s="25"/>
      <c r="Z118" s="232"/>
      <c r="AA118" s="232"/>
    </row>
    <row r="119" spans="3:27" s="29" customFormat="1">
      <c r="C119" s="28"/>
      <c r="D119" s="232"/>
      <c r="E119" s="505"/>
      <c r="F119" s="232"/>
      <c r="G119" s="505"/>
      <c r="H119" s="232"/>
      <c r="I119" s="505"/>
      <c r="J119" s="232"/>
      <c r="K119" s="505"/>
      <c r="L119" s="232"/>
      <c r="M119" s="505"/>
      <c r="N119" s="232"/>
      <c r="O119" s="505"/>
      <c r="P119" s="232"/>
      <c r="U119" s="25"/>
      <c r="V119" s="232"/>
      <c r="W119" s="25"/>
      <c r="X119" s="232"/>
      <c r="Y119" s="25"/>
      <c r="Z119" s="232"/>
      <c r="AA119" s="232"/>
    </row>
    <row r="120" spans="3:27" s="29" customFormat="1">
      <c r="D120" s="232"/>
      <c r="E120" s="505"/>
      <c r="F120" s="232"/>
      <c r="G120" s="505"/>
      <c r="H120" s="232"/>
      <c r="I120" s="505"/>
      <c r="J120" s="232"/>
      <c r="K120" s="505"/>
      <c r="L120" s="232"/>
      <c r="M120" s="505"/>
      <c r="N120" s="232"/>
      <c r="O120" s="505"/>
      <c r="P120" s="232"/>
      <c r="U120" s="25"/>
      <c r="V120" s="232"/>
      <c r="W120" s="25"/>
      <c r="X120" s="232"/>
      <c r="Y120" s="25"/>
      <c r="Z120" s="232"/>
      <c r="AA120" s="232"/>
    </row>
    <row r="121" spans="3:27" s="29" customFormat="1">
      <c r="D121" s="232"/>
      <c r="E121" s="505"/>
      <c r="F121" s="232"/>
      <c r="G121" s="505"/>
      <c r="H121" s="232"/>
      <c r="I121" s="505"/>
      <c r="J121" s="232"/>
      <c r="K121" s="505"/>
      <c r="L121" s="232"/>
      <c r="M121" s="505"/>
      <c r="N121" s="232"/>
      <c r="O121" s="505"/>
      <c r="P121" s="232"/>
      <c r="U121" s="25"/>
      <c r="V121" s="232"/>
      <c r="W121" s="25"/>
      <c r="X121" s="232"/>
      <c r="Y121" s="25"/>
      <c r="Z121" s="232"/>
      <c r="AA121" s="232"/>
    </row>
    <row r="122" spans="3:27" s="29" customFormat="1">
      <c r="D122" s="232"/>
      <c r="E122" s="505"/>
      <c r="F122" s="232"/>
      <c r="G122" s="505"/>
      <c r="H122" s="232"/>
      <c r="I122" s="505"/>
      <c r="J122" s="232"/>
      <c r="K122" s="505"/>
      <c r="L122" s="232"/>
      <c r="M122" s="505"/>
      <c r="N122" s="232"/>
      <c r="O122" s="505"/>
      <c r="P122" s="232"/>
      <c r="U122" s="25"/>
      <c r="V122" s="232"/>
      <c r="W122" s="25"/>
      <c r="X122" s="232"/>
      <c r="Y122" s="25"/>
      <c r="Z122" s="232"/>
      <c r="AA122" s="232"/>
    </row>
    <row r="123" spans="3:27" s="29" customFormat="1">
      <c r="D123" s="232"/>
      <c r="E123" s="505"/>
      <c r="F123" s="232"/>
      <c r="G123" s="505"/>
      <c r="H123" s="232"/>
      <c r="I123" s="505"/>
      <c r="J123" s="232"/>
      <c r="K123" s="505"/>
      <c r="L123" s="232"/>
      <c r="M123" s="505"/>
      <c r="N123" s="232"/>
      <c r="O123" s="505"/>
      <c r="P123" s="232"/>
      <c r="U123" s="25"/>
      <c r="V123" s="232"/>
      <c r="W123" s="25"/>
      <c r="X123" s="232"/>
      <c r="Y123" s="25"/>
      <c r="Z123" s="232"/>
      <c r="AA123" s="232"/>
    </row>
    <row r="124" spans="3:27" s="29" customFormat="1">
      <c r="D124" s="232"/>
      <c r="E124" s="505"/>
      <c r="F124" s="232"/>
      <c r="G124" s="505"/>
      <c r="H124" s="232"/>
      <c r="I124" s="505"/>
      <c r="J124" s="232"/>
      <c r="K124" s="505"/>
      <c r="L124" s="232"/>
      <c r="M124" s="505"/>
      <c r="N124" s="232"/>
      <c r="O124" s="505"/>
      <c r="P124" s="232"/>
      <c r="U124" s="25"/>
      <c r="V124" s="232"/>
      <c r="W124" s="25"/>
      <c r="X124" s="232"/>
      <c r="Y124" s="25"/>
      <c r="Z124" s="232"/>
      <c r="AA124" s="232"/>
    </row>
    <row r="125" spans="3:27" s="29" customFormat="1">
      <c r="D125" s="232"/>
      <c r="E125" s="505"/>
      <c r="F125" s="232"/>
      <c r="G125" s="505"/>
      <c r="H125" s="232"/>
      <c r="I125" s="505"/>
      <c r="J125" s="232"/>
      <c r="K125" s="505"/>
      <c r="L125" s="232"/>
      <c r="M125" s="505"/>
      <c r="N125" s="232"/>
      <c r="O125" s="505"/>
      <c r="P125" s="232"/>
      <c r="U125" s="25"/>
      <c r="V125" s="232"/>
      <c r="W125" s="25"/>
      <c r="X125" s="232"/>
      <c r="Y125" s="25"/>
      <c r="Z125" s="232"/>
      <c r="AA125" s="232"/>
    </row>
    <row r="126" spans="3:27" s="29" customFormat="1">
      <c r="D126" s="232"/>
      <c r="E126" s="505"/>
      <c r="F126" s="232"/>
      <c r="G126" s="505"/>
      <c r="H126" s="232"/>
      <c r="I126" s="505"/>
      <c r="J126" s="232"/>
      <c r="K126" s="505"/>
      <c r="L126" s="232"/>
      <c r="M126" s="505"/>
      <c r="N126" s="232"/>
      <c r="O126" s="505"/>
      <c r="P126" s="232"/>
      <c r="U126" s="25"/>
      <c r="V126" s="232"/>
      <c r="W126" s="25"/>
      <c r="X126" s="232"/>
      <c r="Y126" s="25"/>
      <c r="Z126" s="232"/>
      <c r="AA126" s="232"/>
    </row>
    <row r="127" spans="3:27" s="29" customFormat="1">
      <c r="D127" s="232"/>
      <c r="E127" s="505"/>
      <c r="F127" s="232"/>
      <c r="G127" s="505"/>
      <c r="H127" s="232"/>
      <c r="I127" s="505"/>
      <c r="J127" s="232"/>
      <c r="K127" s="505"/>
      <c r="L127" s="232"/>
      <c r="M127" s="505"/>
      <c r="N127" s="232"/>
      <c r="O127" s="505"/>
      <c r="P127" s="232"/>
      <c r="U127" s="25"/>
      <c r="V127" s="232"/>
      <c r="W127" s="25"/>
      <c r="X127" s="232"/>
      <c r="Y127" s="25"/>
      <c r="Z127" s="232"/>
      <c r="AA127" s="232"/>
    </row>
    <row r="128" spans="3:27" s="29" customFormat="1">
      <c r="D128" s="232"/>
      <c r="E128" s="505"/>
      <c r="F128" s="232"/>
      <c r="G128" s="505"/>
      <c r="H128" s="232"/>
      <c r="I128" s="505"/>
      <c r="J128" s="232"/>
      <c r="K128" s="505"/>
      <c r="L128" s="232"/>
      <c r="M128" s="505"/>
      <c r="N128" s="232"/>
      <c r="O128" s="505"/>
      <c r="P128" s="232"/>
      <c r="U128" s="25"/>
      <c r="V128" s="232"/>
      <c r="W128" s="25"/>
      <c r="X128" s="232"/>
      <c r="Y128" s="25"/>
      <c r="Z128" s="232"/>
      <c r="AA128" s="232"/>
    </row>
    <row r="129" spans="3:27" s="29" customFormat="1">
      <c r="D129" s="232"/>
      <c r="E129" s="505"/>
      <c r="F129" s="232"/>
      <c r="G129" s="505"/>
      <c r="H129" s="232"/>
      <c r="I129" s="505"/>
      <c r="J129" s="232"/>
      <c r="K129" s="505"/>
      <c r="L129" s="232"/>
      <c r="M129" s="505"/>
      <c r="N129" s="232"/>
      <c r="O129" s="505"/>
      <c r="P129" s="232"/>
      <c r="U129" s="25"/>
      <c r="V129" s="232"/>
      <c r="W129" s="25"/>
      <c r="X129" s="232"/>
      <c r="Y129" s="25"/>
      <c r="Z129" s="232"/>
      <c r="AA129" s="232"/>
    </row>
    <row r="130" spans="3:27" s="29" customFormat="1">
      <c r="D130" s="232"/>
      <c r="E130" s="505"/>
      <c r="F130" s="232"/>
      <c r="G130" s="505"/>
      <c r="H130" s="232"/>
      <c r="I130" s="505"/>
      <c r="J130" s="232"/>
      <c r="K130" s="505"/>
      <c r="L130" s="232"/>
      <c r="M130" s="505"/>
      <c r="N130" s="232"/>
      <c r="O130" s="505"/>
      <c r="P130" s="232"/>
      <c r="U130" s="25"/>
      <c r="V130" s="232"/>
      <c r="W130" s="25"/>
      <c r="X130" s="232"/>
      <c r="Y130" s="25"/>
      <c r="Z130" s="232"/>
      <c r="AA130" s="232"/>
    </row>
    <row r="131" spans="3:27" s="29" customFormat="1">
      <c r="D131" s="232"/>
      <c r="E131" s="505"/>
      <c r="F131" s="232"/>
      <c r="G131" s="505"/>
      <c r="H131" s="232"/>
      <c r="I131" s="505"/>
      <c r="J131" s="232"/>
      <c r="K131" s="505"/>
      <c r="L131" s="232"/>
      <c r="M131" s="505"/>
      <c r="N131" s="232"/>
      <c r="O131" s="505"/>
      <c r="P131" s="232"/>
      <c r="U131" s="25"/>
      <c r="V131" s="232"/>
      <c r="W131" s="25"/>
      <c r="X131" s="232"/>
      <c r="Y131" s="25"/>
      <c r="Z131" s="232"/>
      <c r="AA131" s="232"/>
    </row>
    <row r="132" spans="3:27" s="29" customFormat="1">
      <c r="C132" s="28"/>
      <c r="D132" s="232"/>
      <c r="E132" s="505"/>
      <c r="F132" s="232"/>
      <c r="G132" s="505"/>
      <c r="H132" s="232"/>
      <c r="I132" s="505"/>
      <c r="J132" s="232"/>
      <c r="K132" s="505"/>
      <c r="L132" s="232"/>
      <c r="M132" s="505"/>
      <c r="N132" s="232"/>
      <c r="O132" s="505"/>
      <c r="P132" s="232"/>
      <c r="U132" s="25"/>
      <c r="V132" s="232"/>
      <c r="W132" s="25"/>
      <c r="X132" s="232"/>
      <c r="Y132" s="25"/>
      <c r="Z132" s="232"/>
      <c r="AA132" s="232"/>
    </row>
    <row r="133" spans="3:27" s="29" customFormat="1">
      <c r="D133" s="232"/>
      <c r="E133" s="505"/>
      <c r="F133" s="232"/>
      <c r="G133" s="505"/>
      <c r="H133" s="232"/>
      <c r="I133" s="505"/>
      <c r="J133" s="232"/>
      <c r="K133" s="505"/>
      <c r="L133" s="232"/>
      <c r="M133" s="505"/>
      <c r="N133" s="232"/>
      <c r="O133" s="505"/>
      <c r="P133" s="232"/>
      <c r="U133" s="25"/>
      <c r="V133" s="232"/>
      <c r="W133" s="25"/>
      <c r="X133" s="232"/>
      <c r="Y133" s="25"/>
      <c r="Z133" s="232"/>
      <c r="AA133" s="232"/>
    </row>
    <row r="134" spans="3:27" s="29" customFormat="1">
      <c r="D134" s="232"/>
      <c r="E134" s="505"/>
      <c r="F134" s="232"/>
      <c r="G134" s="505"/>
      <c r="H134" s="232"/>
      <c r="I134" s="505"/>
      <c r="J134" s="232"/>
      <c r="K134" s="505"/>
      <c r="L134" s="232"/>
      <c r="M134" s="505"/>
      <c r="N134" s="232"/>
      <c r="O134" s="505"/>
      <c r="P134" s="232"/>
      <c r="U134" s="25"/>
      <c r="V134" s="232"/>
      <c r="W134" s="25"/>
      <c r="X134" s="232"/>
      <c r="Y134" s="25"/>
      <c r="Z134" s="232"/>
      <c r="AA134" s="232"/>
    </row>
    <row r="135" spans="3:27" s="29" customFormat="1">
      <c r="D135" s="232"/>
      <c r="E135" s="505"/>
      <c r="F135" s="232"/>
      <c r="G135" s="505"/>
      <c r="H135" s="232"/>
      <c r="I135" s="505"/>
      <c r="J135" s="232"/>
      <c r="K135" s="505"/>
      <c r="L135" s="232"/>
      <c r="M135" s="505"/>
      <c r="N135" s="232"/>
      <c r="O135" s="505"/>
      <c r="P135" s="232"/>
      <c r="U135" s="25"/>
      <c r="V135" s="232"/>
      <c r="W135" s="25"/>
      <c r="X135" s="232"/>
      <c r="Y135" s="25"/>
      <c r="Z135" s="232"/>
      <c r="AA135" s="232"/>
    </row>
    <row r="136" spans="3:27" s="29" customFormat="1">
      <c r="D136" s="232"/>
      <c r="E136" s="505"/>
      <c r="F136" s="232"/>
      <c r="G136" s="505"/>
      <c r="H136" s="232"/>
      <c r="I136" s="505"/>
      <c r="J136" s="232"/>
      <c r="K136" s="505"/>
      <c r="L136" s="232"/>
      <c r="M136" s="505"/>
      <c r="N136" s="232"/>
      <c r="O136" s="505"/>
      <c r="P136" s="232"/>
      <c r="U136" s="25"/>
      <c r="V136" s="232"/>
      <c r="W136" s="25"/>
      <c r="X136" s="232"/>
      <c r="Y136" s="25"/>
      <c r="Z136" s="232"/>
      <c r="AA136" s="232"/>
    </row>
    <row r="137" spans="3:27" s="29" customFormat="1">
      <c r="D137" s="232"/>
      <c r="E137" s="505"/>
      <c r="F137" s="232"/>
      <c r="G137" s="505"/>
      <c r="H137" s="232"/>
      <c r="I137" s="505"/>
      <c r="J137" s="232"/>
      <c r="K137" s="505"/>
      <c r="L137" s="232"/>
      <c r="M137" s="505"/>
      <c r="N137" s="232"/>
      <c r="O137" s="505"/>
      <c r="P137" s="232"/>
      <c r="U137" s="25"/>
      <c r="V137" s="232"/>
      <c r="W137" s="25"/>
      <c r="X137" s="232"/>
      <c r="Y137" s="25"/>
      <c r="Z137" s="232"/>
      <c r="AA137" s="232"/>
    </row>
    <row r="138" spans="3:27" s="29" customFormat="1">
      <c r="D138" s="232"/>
      <c r="E138" s="505"/>
      <c r="F138" s="232"/>
      <c r="G138" s="505"/>
      <c r="H138" s="232"/>
      <c r="I138" s="505"/>
      <c r="J138" s="232"/>
      <c r="K138" s="505"/>
      <c r="L138" s="232"/>
      <c r="M138" s="505"/>
      <c r="N138" s="232"/>
      <c r="O138" s="505"/>
      <c r="P138" s="232"/>
      <c r="U138" s="25"/>
      <c r="V138" s="232"/>
      <c r="W138" s="25"/>
      <c r="X138" s="232"/>
      <c r="Y138" s="25"/>
      <c r="Z138" s="232"/>
      <c r="AA138" s="232"/>
    </row>
    <row r="139" spans="3:27" s="29" customFormat="1">
      <c r="D139" s="232"/>
      <c r="E139" s="505"/>
      <c r="F139" s="232"/>
      <c r="G139" s="505"/>
      <c r="H139" s="232"/>
      <c r="I139" s="505"/>
      <c r="J139" s="232"/>
      <c r="K139" s="505"/>
      <c r="L139" s="232"/>
      <c r="M139" s="505"/>
      <c r="N139" s="232"/>
      <c r="O139" s="505"/>
      <c r="P139" s="232"/>
      <c r="U139" s="25"/>
      <c r="V139" s="232"/>
      <c r="W139" s="25"/>
      <c r="X139" s="232"/>
      <c r="Y139" s="25"/>
      <c r="Z139" s="232"/>
      <c r="AA139" s="232"/>
    </row>
    <row r="140" spans="3:27" s="29" customFormat="1">
      <c r="D140" s="232"/>
      <c r="E140" s="505"/>
      <c r="F140" s="232"/>
      <c r="G140" s="505"/>
      <c r="H140" s="232"/>
      <c r="I140" s="505"/>
      <c r="J140" s="232"/>
      <c r="K140" s="505"/>
      <c r="L140" s="232"/>
      <c r="M140" s="505"/>
      <c r="N140" s="232"/>
      <c r="O140" s="505"/>
      <c r="P140" s="232"/>
      <c r="U140" s="25"/>
      <c r="V140" s="232"/>
      <c r="W140" s="25"/>
      <c r="X140" s="232"/>
      <c r="Y140" s="25"/>
      <c r="Z140" s="232"/>
      <c r="AA140" s="232"/>
    </row>
    <row r="141" spans="3:27" s="29" customFormat="1">
      <c r="D141" s="232"/>
      <c r="E141" s="505"/>
      <c r="F141" s="232"/>
      <c r="G141" s="505"/>
      <c r="H141" s="232"/>
      <c r="I141" s="505"/>
      <c r="J141" s="232"/>
      <c r="K141" s="505"/>
      <c r="L141" s="232"/>
      <c r="M141" s="505"/>
      <c r="N141" s="232"/>
      <c r="O141" s="505"/>
      <c r="P141" s="232"/>
      <c r="U141" s="25"/>
      <c r="V141" s="232"/>
      <c r="W141" s="25"/>
      <c r="X141" s="232"/>
      <c r="Y141" s="25"/>
      <c r="Z141" s="232"/>
      <c r="AA141" s="232"/>
    </row>
    <row r="142" spans="3:27" s="29" customFormat="1">
      <c r="C142" s="28"/>
      <c r="D142" s="232"/>
      <c r="E142" s="505"/>
      <c r="F142" s="232"/>
      <c r="G142" s="505"/>
      <c r="H142" s="232"/>
      <c r="I142" s="505"/>
      <c r="J142" s="232"/>
      <c r="K142" s="505"/>
      <c r="L142" s="232"/>
      <c r="M142" s="505"/>
      <c r="N142" s="232"/>
      <c r="O142" s="505"/>
      <c r="P142" s="232"/>
      <c r="U142" s="25"/>
      <c r="V142" s="232"/>
      <c r="W142" s="25"/>
      <c r="X142" s="232"/>
      <c r="Y142" s="25"/>
      <c r="Z142" s="232"/>
      <c r="AA142" s="232"/>
    </row>
    <row r="143" spans="3:27" s="29" customFormat="1">
      <c r="D143" s="232"/>
      <c r="E143" s="505"/>
      <c r="F143" s="232"/>
      <c r="G143" s="505"/>
      <c r="H143" s="232"/>
      <c r="I143" s="505"/>
      <c r="J143" s="232"/>
      <c r="K143" s="505"/>
      <c r="L143" s="232"/>
      <c r="M143" s="505"/>
      <c r="N143" s="232"/>
      <c r="O143" s="505"/>
      <c r="P143" s="232"/>
      <c r="U143" s="25"/>
      <c r="V143" s="232"/>
      <c r="W143" s="25"/>
      <c r="X143" s="232"/>
      <c r="Y143" s="25"/>
      <c r="Z143" s="232"/>
      <c r="AA143" s="232"/>
    </row>
    <row r="144" spans="3:27" s="29" customFormat="1">
      <c r="D144" s="232"/>
      <c r="E144" s="505"/>
      <c r="F144" s="232"/>
      <c r="G144" s="505"/>
      <c r="H144" s="232"/>
      <c r="I144" s="505"/>
      <c r="J144" s="232"/>
      <c r="K144" s="505"/>
      <c r="L144" s="232"/>
      <c r="M144" s="505"/>
      <c r="N144" s="232"/>
      <c r="O144" s="505"/>
      <c r="P144" s="232"/>
      <c r="U144" s="25"/>
      <c r="V144" s="232"/>
      <c r="W144" s="25"/>
      <c r="X144" s="232"/>
      <c r="Y144" s="25"/>
      <c r="Z144" s="232"/>
      <c r="AA144" s="232"/>
    </row>
    <row r="145" spans="3:27" s="29" customFormat="1">
      <c r="D145" s="232"/>
      <c r="E145" s="505"/>
      <c r="F145" s="232"/>
      <c r="G145" s="505"/>
      <c r="H145" s="232"/>
      <c r="I145" s="505"/>
      <c r="J145" s="232"/>
      <c r="K145" s="505"/>
      <c r="L145" s="232"/>
      <c r="M145" s="505"/>
      <c r="N145" s="232"/>
      <c r="O145" s="505"/>
      <c r="P145" s="232"/>
      <c r="U145" s="25"/>
      <c r="V145" s="232"/>
      <c r="W145" s="25"/>
      <c r="X145" s="232"/>
      <c r="Y145" s="25"/>
      <c r="Z145" s="232"/>
      <c r="AA145" s="232"/>
    </row>
    <row r="146" spans="3:27" s="29" customFormat="1">
      <c r="D146" s="232"/>
      <c r="E146" s="505"/>
      <c r="F146" s="232"/>
      <c r="G146" s="505"/>
      <c r="H146" s="232"/>
      <c r="I146" s="505"/>
      <c r="J146" s="232"/>
      <c r="K146" s="505"/>
      <c r="L146" s="232"/>
      <c r="M146" s="505"/>
      <c r="N146" s="232"/>
      <c r="O146" s="505"/>
      <c r="P146" s="232"/>
      <c r="U146" s="25"/>
      <c r="V146" s="232"/>
      <c r="W146" s="25"/>
      <c r="X146" s="232"/>
      <c r="Y146" s="25"/>
      <c r="Z146" s="232"/>
      <c r="AA146" s="232"/>
    </row>
    <row r="147" spans="3:27" s="29" customFormat="1">
      <c r="D147" s="232"/>
      <c r="E147" s="505"/>
      <c r="F147" s="232"/>
      <c r="G147" s="505"/>
      <c r="H147" s="232"/>
      <c r="I147" s="505"/>
      <c r="J147" s="232"/>
      <c r="K147" s="505"/>
      <c r="L147" s="232"/>
      <c r="M147" s="505"/>
      <c r="N147" s="232"/>
      <c r="O147" s="505"/>
      <c r="P147" s="232"/>
      <c r="U147" s="25"/>
      <c r="V147" s="232"/>
      <c r="W147" s="25"/>
      <c r="X147" s="232"/>
      <c r="Y147" s="25"/>
      <c r="Z147" s="232"/>
      <c r="AA147" s="232"/>
    </row>
    <row r="148" spans="3:27" s="29" customFormat="1">
      <c r="D148" s="232"/>
      <c r="E148" s="505"/>
      <c r="F148" s="232"/>
      <c r="G148" s="505"/>
      <c r="H148" s="232"/>
      <c r="I148" s="505"/>
      <c r="J148" s="232"/>
      <c r="K148" s="505"/>
      <c r="L148" s="232"/>
      <c r="M148" s="505"/>
      <c r="N148" s="232"/>
      <c r="O148" s="505"/>
      <c r="P148" s="232"/>
      <c r="U148" s="25"/>
      <c r="V148" s="232"/>
      <c r="W148" s="25"/>
      <c r="X148" s="232"/>
      <c r="Y148" s="25"/>
      <c r="Z148" s="232"/>
      <c r="AA148" s="232"/>
    </row>
    <row r="149" spans="3:27" s="29" customFormat="1">
      <c r="D149" s="232"/>
      <c r="E149" s="505"/>
      <c r="F149" s="232"/>
      <c r="G149" s="505"/>
      <c r="H149" s="232"/>
      <c r="I149" s="505"/>
      <c r="J149" s="232"/>
      <c r="K149" s="505"/>
      <c r="L149" s="232"/>
      <c r="M149" s="505"/>
      <c r="N149" s="232"/>
      <c r="O149" s="505"/>
      <c r="P149" s="232"/>
      <c r="U149" s="25"/>
      <c r="V149" s="232"/>
      <c r="W149" s="25"/>
      <c r="X149" s="232"/>
      <c r="Y149" s="25"/>
      <c r="Z149" s="232"/>
      <c r="AA149" s="232"/>
    </row>
    <row r="150" spans="3:27" s="29" customFormat="1">
      <c r="D150" s="232"/>
      <c r="E150" s="505"/>
      <c r="F150" s="232"/>
      <c r="G150" s="505"/>
      <c r="H150" s="232"/>
      <c r="I150" s="505"/>
      <c r="J150" s="232"/>
      <c r="K150" s="505"/>
      <c r="L150" s="232"/>
      <c r="M150" s="505"/>
      <c r="N150" s="232"/>
      <c r="O150" s="505"/>
      <c r="P150" s="232"/>
      <c r="U150" s="25"/>
      <c r="V150" s="232"/>
      <c r="W150" s="25"/>
      <c r="X150" s="232"/>
      <c r="Y150" s="25"/>
      <c r="Z150" s="232"/>
      <c r="AA150" s="232"/>
    </row>
    <row r="151" spans="3:27" s="29" customFormat="1">
      <c r="C151" s="28"/>
      <c r="D151" s="232"/>
      <c r="E151" s="505"/>
      <c r="F151" s="232"/>
      <c r="G151" s="505"/>
      <c r="H151" s="232"/>
      <c r="I151" s="505"/>
      <c r="J151" s="232"/>
      <c r="K151" s="505"/>
      <c r="L151" s="232"/>
      <c r="M151" s="505"/>
      <c r="N151" s="232"/>
      <c r="O151" s="505"/>
      <c r="P151" s="232"/>
      <c r="U151" s="25"/>
      <c r="V151" s="232"/>
      <c r="W151" s="25"/>
      <c r="X151" s="232"/>
      <c r="Y151" s="25"/>
      <c r="Z151" s="232"/>
      <c r="AA151" s="232"/>
    </row>
    <row r="152" spans="3:27" s="29" customFormat="1">
      <c r="D152" s="232"/>
      <c r="E152" s="505"/>
      <c r="F152" s="232"/>
      <c r="G152" s="505"/>
      <c r="H152" s="232"/>
      <c r="I152" s="505"/>
      <c r="J152" s="232"/>
      <c r="K152" s="505"/>
      <c r="L152" s="232"/>
      <c r="M152" s="505"/>
      <c r="N152" s="232"/>
      <c r="O152" s="505"/>
      <c r="P152" s="232"/>
      <c r="U152" s="25"/>
      <c r="V152" s="232"/>
      <c r="W152" s="25"/>
      <c r="X152" s="232"/>
      <c r="Y152" s="25"/>
      <c r="Z152" s="232"/>
      <c r="AA152" s="232"/>
    </row>
    <row r="153" spans="3:27" s="29" customFormat="1">
      <c r="D153" s="232"/>
      <c r="E153" s="505"/>
      <c r="F153" s="232"/>
      <c r="G153" s="505"/>
      <c r="H153" s="232"/>
      <c r="I153" s="505"/>
      <c r="J153" s="232"/>
      <c r="K153" s="505"/>
      <c r="L153" s="232"/>
      <c r="M153" s="505"/>
      <c r="N153" s="232"/>
      <c r="O153" s="505"/>
      <c r="P153" s="232"/>
      <c r="U153" s="25"/>
      <c r="V153" s="232"/>
      <c r="W153" s="25"/>
      <c r="X153" s="232"/>
      <c r="Y153" s="25"/>
      <c r="Z153" s="232"/>
      <c r="AA153" s="232"/>
    </row>
    <row r="154" spans="3:27" s="29" customFormat="1">
      <c r="D154" s="232"/>
      <c r="E154" s="505"/>
      <c r="F154" s="232"/>
      <c r="G154" s="505"/>
      <c r="H154" s="232"/>
      <c r="I154" s="505"/>
      <c r="J154" s="232"/>
      <c r="K154" s="505"/>
      <c r="L154" s="232"/>
      <c r="M154" s="505"/>
      <c r="N154" s="232"/>
      <c r="O154" s="505"/>
      <c r="P154" s="232"/>
      <c r="U154" s="25"/>
      <c r="V154" s="232"/>
      <c r="W154" s="25"/>
      <c r="X154" s="232"/>
      <c r="Y154" s="25"/>
      <c r="Z154" s="232"/>
      <c r="AA154" s="232"/>
    </row>
    <row r="155" spans="3:27" s="29" customFormat="1">
      <c r="D155" s="232"/>
      <c r="E155" s="505"/>
      <c r="F155" s="232"/>
      <c r="G155" s="505"/>
      <c r="H155" s="232"/>
      <c r="I155" s="505"/>
      <c r="J155" s="232"/>
      <c r="K155" s="505"/>
      <c r="L155" s="232"/>
      <c r="M155" s="505"/>
      <c r="N155" s="232"/>
      <c r="O155" s="505"/>
      <c r="P155" s="232"/>
      <c r="U155" s="25"/>
      <c r="V155" s="232"/>
      <c r="W155" s="25"/>
      <c r="X155" s="232"/>
      <c r="Y155" s="25"/>
      <c r="Z155" s="232"/>
      <c r="AA155" s="232"/>
    </row>
    <row r="156" spans="3:27" s="29" customFormat="1">
      <c r="C156" s="28"/>
      <c r="D156" s="232"/>
      <c r="E156" s="505"/>
      <c r="F156" s="232"/>
      <c r="G156" s="505"/>
      <c r="H156" s="232"/>
      <c r="I156" s="505"/>
      <c r="J156" s="232"/>
      <c r="K156" s="505"/>
      <c r="L156" s="232"/>
      <c r="M156" s="505"/>
      <c r="N156" s="232"/>
      <c r="O156" s="505"/>
      <c r="P156" s="232"/>
      <c r="U156" s="25"/>
      <c r="V156" s="232"/>
      <c r="W156" s="25"/>
      <c r="X156" s="232"/>
      <c r="Y156" s="25"/>
      <c r="Z156" s="232"/>
      <c r="AA156" s="232"/>
    </row>
    <row r="157" spans="3:27" s="29" customFormat="1">
      <c r="D157" s="232"/>
      <c r="E157" s="505"/>
      <c r="F157" s="232"/>
      <c r="G157" s="505"/>
      <c r="H157" s="232"/>
      <c r="I157" s="505"/>
      <c r="J157" s="232"/>
      <c r="K157" s="505"/>
      <c r="L157" s="232"/>
      <c r="M157" s="505"/>
      <c r="N157" s="232"/>
      <c r="O157" s="505"/>
      <c r="P157" s="232"/>
      <c r="U157" s="25"/>
      <c r="V157" s="232"/>
      <c r="W157" s="25"/>
      <c r="X157" s="232"/>
      <c r="Y157" s="25"/>
      <c r="Z157" s="232"/>
      <c r="AA157" s="232"/>
    </row>
    <row r="158" spans="3:27" s="29" customFormat="1">
      <c r="D158" s="232"/>
      <c r="E158" s="505"/>
      <c r="F158" s="232"/>
      <c r="G158" s="505"/>
      <c r="H158" s="232"/>
      <c r="I158" s="505"/>
      <c r="J158" s="232"/>
      <c r="K158" s="505"/>
      <c r="L158" s="232"/>
      <c r="M158" s="505"/>
      <c r="N158" s="232"/>
      <c r="O158" s="505"/>
      <c r="P158" s="232"/>
      <c r="U158" s="25"/>
      <c r="V158" s="232"/>
      <c r="W158" s="25"/>
      <c r="X158" s="232"/>
      <c r="Y158" s="25"/>
      <c r="Z158" s="232"/>
      <c r="AA158" s="232"/>
    </row>
    <row r="159" spans="3:27" s="29" customFormat="1">
      <c r="D159" s="232"/>
      <c r="E159" s="505"/>
      <c r="F159" s="232"/>
      <c r="G159" s="505"/>
      <c r="H159" s="232"/>
      <c r="I159" s="505"/>
      <c r="J159" s="232"/>
      <c r="K159" s="505"/>
      <c r="L159" s="232"/>
      <c r="M159" s="505"/>
      <c r="N159" s="232"/>
      <c r="O159" s="505"/>
      <c r="P159" s="232"/>
      <c r="U159" s="25"/>
      <c r="V159" s="232"/>
      <c r="W159" s="25"/>
      <c r="X159" s="232"/>
      <c r="Y159" s="25"/>
      <c r="Z159" s="232"/>
      <c r="AA159" s="232"/>
    </row>
    <row r="160" spans="3:27" s="29" customFormat="1">
      <c r="D160" s="232"/>
      <c r="E160" s="505"/>
      <c r="F160" s="232"/>
      <c r="G160" s="505"/>
      <c r="H160" s="232"/>
      <c r="I160" s="505"/>
      <c r="J160" s="232"/>
      <c r="K160" s="505"/>
      <c r="L160" s="232"/>
      <c r="M160" s="505"/>
      <c r="N160" s="232"/>
      <c r="O160" s="505"/>
      <c r="P160" s="232"/>
      <c r="U160" s="25"/>
      <c r="V160" s="232"/>
      <c r="W160" s="25"/>
      <c r="X160" s="232"/>
      <c r="Y160" s="25"/>
      <c r="Z160" s="232"/>
      <c r="AA160" s="232"/>
    </row>
    <row r="161" spans="3:27" s="29" customFormat="1">
      <c r="D161" s="232"/>
      <c r="E161" s="505"/>
      <c r="F161" s="232"/>
      <c r="G161" s="505"/>
      <c r="H161" s="232"/>
      <c r="I161" s="505"/>
      <c r="J161" s="232"/>
      <c r="K161" s="505"/>
      <c r="L161" s="232"/>
      <c r="M161" s="505"/>
      <c r="N161" s="232"/>
      <c r="O161" s="505"/>
      <c r="P161" s="232"/>
      <c r="U161" s="25"/>
      <c r="V161" s="232"/>
      <c r="W161" s="25"/>
      <c r="X161" s="232"/>
      <c r="Y161" s="25"/>
      <c r="Z161" s="232"/>
      <c r="AA161" s="232"/>
    </row>
    <row r="162" spans="3:27" s="29" customFormat="1">
      <c r="D162" s="232"/>
      <c r="E162" s="505"/>
      <c r="F162" s="232"/>
      <c r="G162" s="505"/>
      <c r="H162" s="232"/>
      <c r="I162" s="505"/>
      <c r="J162" s="232"/>
      <c r="K162" s="505"/>
      <c r="L162" s="232"/>
      <c r="M162" s="505"/>
      <c r="N162" s="232"/>
      <c r="O162" s="505"/>
      <c r="P162" s="232"/>
      <c r="U162" s="25"/>
      <c r="V162" s="232"/>
      <c r="W162" s="25"/>
      <c r="X162" s="232"/>
      <c r="Y162" s="25"/>
      <c r="Z162" s="232"/>
      <c r="AA162" s="232"/>
    </row>
    <row r="163" spans="3:27" s="29" customFormat="1">
      <c r="D163" s="232"/>
      <c r="E163" s="505"/>
      <c r="F163" s="232"/>
      <c r="G163" s="505"/>
      <c r="H163" s="232"/>
      <c r="I163" s="505"/>
      <c r="J163" s="232"/>
      <c r="K163" s="505"/>
      <c r="L163" s="232"/>
      <c r="M163" s="505"/>
      <c r="N163" s="232"/>
      <c r="O163" s="505"/>
      <c r="P163" s="232"/>
      <c r="U163" s="25"/>
      <c r="V163" s="232"/>
      <c r="W163" s="25"/>
      <c r="X163" s="232"/>
      <c r="Y163" s="25"/>
      <c r="Z163" s="232"/>
      <c r="AA163" s="232"/>
    </row>
    <row r="164" spans="3:27" s="29" customFormat="1">
      <c r="D164" s="232"/>
      <c r="E164" s="505"/>
      <c r="F164" s="232"/>
      <c r="G164" s="505"/>
      <c r="H164" s="232"/>
      <c r="I164" s="505"/>
      <c r="J164" s="232"/>
      <c r="K164" s="505"/>
      <c r="L164" s="232"/>
      <c r="M164" s="505"/>
      <c r="N164" s="232"/>
      <c r="O164" s="505"/>
      <c r="P164" s="232"/>
      <c r="U164" s="25"/>
      <c r="V164" s="232"/>
      <c r="W164" s="25"/>
      <c r="X164" s="232"/>
      <c r="Y164" s="25"/>
      <c r="Z164" s="232"/>
      <c r="AA164" s="232"/>
    </row>
    <row r="165" spans="3:27" s="29" customFormat="1">
      <c r="C165" s="28"/>
      <c r="D165" s="232"/>
      <c r="E165" s="505"/>
      <c r="F165" s="232"/>
      <c r="G165" s="505"/>
      <c r="H165" s="232"/>
      <c r="I165" s="505"/>
      <c r="J165" s="232"/>
      <c r="K165" s="505"/>
      <c r="L165" s="232"/>
      <c r="M165" s="505"/>
      <c r="N165" s="232"/>
      <c r="O165" s="505"/>
      <c r="P165" s="232"/>
      <c r="U165" s="25"/>
      <c r="V165" s="232"/>
      <c r="W165" s="25"/>
      <c r="X165" s="232"/>
      <c r="Y165" s="25"/>
      <c r="Z165" s="232"/>
      <c r="AA165" s="232"/>
    </row>
    <row r="166" spans="3:27" s="29" customFormat="1">
      <c r="D166" s="232"/>
      <c r="E166" s="505"/>
      <c r="F166" s="232"/>
      <c r="G166" s="505"/>
      <c r="H166" s="232"/>
      <c r="I166" s="505"/>
      <c r="J166" s="232"/>
      <c r="K166" s="505"/>
      <c r="L166" s="232"/>
      <c r="M166" s="505"/>
      <c r="N166" s="232"/>
      <c r="O166" s="505"/>
      <c r="P166" s="232"/>
      <c r="U166" s="25"/>
      <c r="V166" s="232"/>
      <c r="W166" s="25"/>
      <c r="X166" s="232"/>
      <c r="Y166" s="25"/>
      <c r="Z166" s="232"/>
      <c r="AA166" s="232"/>
    </row>
    <row r="167" spans="3:27" s="29" customFormat="1">
      <c r="D167" s="232"/>
      <c r="E167" s="505"/>
      <c r="F167" s="232"/>
      <c r="G167" s="505"/>
      <c r="H167" s="232"/>
      <c r="I167" s="505"/>
      <c r="J167" s="232"/>
      <c r="K167" s="505"/>
      <c r="L167" s="232"/>
      <c r="M167" s="505"/>
      <c r="N167" s="232"/>
      <c r="O167" s="505"/>
      <c r="P167" s="232"/>
      <c r="U167" s="25"/>
      <c r="V167" s="232"/>
      <c r="W167" s="25"/>
      <c r="X167" s="232"/>
      <c r="Y167" s="25"/>
      <c r="Z167" s="232"/>
      <c r="AA167" s="232"/>
    </row>
    <row r="168" spans="3:27" s="29" customFormat="1">
      <c r="D168" s="232"/>
      <c r="E168" s="505"/>
      <c r="F168" s="232"/>
      <c r="G168" s="505"/>
      <c r="H168" s="232"/>
      <c r="I168" s="505"/>
      <c r="J168" s="232"/>
      <c r="K168" s="505"/>
      <c r="L168" s="232"/>
      <c r="M168" s="505"/>
      <c r="N168" s="232"/>
      <c r="O168" s="505"/>
      <c r="P168" s="232"/>
      <c r="U168" s="25"/>
      <c r="V168" s="232"/>
      <c r="W168" s="25"/>
      <c r="X168" s="232"/>
      <c r="Y168" s="25"/>
      <c r="Z168" s="232"/>
      <c r="AA168" s="232"/>
    </row>
    <row r="169" spans="3:27" s="29" customFormat="1">
      <c r="D169" s="232"/>
      <c r="E169" s="505"/>
      <c r="F169" s="232"/>
      <c r="G169" s="505"/>
      <c r="H169" s="232"/>
      <c r="I169" s="505"/>
      <c r="J169" s="232"/>
      <c r="K169" s="505"/>
      <c r="L169" s="232"/>
      <c r="M169" s="505"/>
      <c r="N169" s="232"/>
      <c r="O169" s="505"/>
      <c r="P169" s="232"/>
      <c r="U169" s="25"/>
      <c r="V169" s="232"/>
      <c r="W169" s="25"/>
      <c r="X169" s="232"/>
      <c r="Y169" s="25"/>
      <c r="Z169" s="232"/>
      <c r="AA169" s="232"/>
    </row>
    <row r="170" spans="3:27" s="29" customFormat="1">
      <c r="D170" s="232"/>
      <c r="E170" s="505"/>
      <c r="F170" s="232"/>
      <c r="G170" s="505"/>
      <c r="H170" s="232"/>
      <c r="I170" s="505"/>
      <c r="J170" s="232"/>
      <c r="K170" s="505"/>
      <c r="L170" s="232"/>
      <c r="M170" s="505"/>
      <c r="N170" s="232"/>
      <c r="O170" s="505"/>
      <c r="P170" s="232"/>
      <c r="U170" s="25"/>
      <c r="V170" s="232"/>
      <c r="W170" s="25"/>
      <c r="X170" s="232"/>
      <c r="Y170" s="25"/>
      <c r="Z170" s="232"/>
      <c r="AA170" s="232"/>
    </row>
    <row r="171" spans="3:27" s="29" customFormat="1">
      <c r="D171" s="232"/>
      <c r="E171" s="505"/>
      <c r="F171" s="232"/>
      <c r="G171" s="505"/>
      <c r="H171" s="232"/>
      <c r="I171" s="505"/>
      <c r="J171" s="232"/>
      <c r="K171" s="505"/>
      <c r="L171" s="232"/>
      <c r="M171" s="505"/>
      <c r="N171" s="232"/>
      <c r="O171" s="505"/>
      <c r="P171" s="232"/>
      <c r="U171" s="25"/>
      <c r="V171" s="232"/>
      <c r="W171" s="25"/>
      <c r="X171" s="232"/>
      <c r="Y171" s="25"/>
      <c r="Z171" s="232"/>
      <c r="AA171" s="232"/>
    </row>
    <row r="172" spans="3:27" s="29" customFormat="1">
      <c r="D172" s="232"/>
      <c r="E172" s="505"/>
      <c r="F172" s="232"/>
      <c r="G172" s="505"/>
      <c r="H172" s="232"/>
      <c r="I172" s="505"/>
      <c r="J172" s="232"/>
      <c r="K172" s="505"/>
      <c r="L172" s="232"/>
      <c r="M172" s="505"/>
      <c r="N172" s="232"/>
      <c r="O172" s="505"/>
      <c r="P172" s="232"/>
      <c r="U172" s="25"/>
      <c r="V172" s="232"/>
      <c r="W172" s="25"/>
      <c r="X172" s="232"/>
      <c r="Y172" s="25"/>
      <c r="Z172" s="232"/>
      <c r="AA172" s="232"/>
    </row>
    <row r="173" spans="3:27" s="29" customFormat="1">
      <c r="C173" s="28"/>
      <c r="D173" s="232"/>
      <c r="E173" s="505"/>
      <c r="F173" s="232"/>
      <c r="G173" s="505"/>
      <c r="H173" s="232"/>
      <c r="I173" s="505"/>
      <c r="J173" s="232"/>
      <c r="K173" s="505"/>
      <c r="L173" s="232"/>
      <c r="M173" s="505"/>
      <c r="N173" s="232"/>
      <c r="O173" s="505"/>
      <c r="P173" s="232"/>
      <c r="U173" s="25"/>
      <c r="V173" s="232"/>
      <c r="W173" s="25"/>
      <c r="X173" s="232"/>
      <c r="Y173" s="25"/>
      <c r="Z173" s="232"/>
      <c r="AA173" s="232"/>
    </row>
    <row r="174" spans="3:27" s="29" customFormat="1">
      <c r="D174" s="232"/>
      <c r="E174" s="505"/>
      <c r="F174" s="232"/>
      <c r="G174" s="505"/>
      <c r="H174" s="232"/>
      <c r="I174" s="505"/>
      <c r="J174" s="232"/>
      <c r="K174" s="505"/>
      <c r="L174" s="232"/>
      <c r="M174" s="505"/>
      <c r="N174" s="232"/>
      <c r="O174" s="505"/>
      <c r="P174" s="232"/>
      <c r="U174" s="25"/>
      <c r="V174" s="232"/>
      <c r="W174" s="25"/>
      <c r="X174" s="232"/>
      <c r="Y174" s="25"/>
      <c r="Z174" s="232"/>
      <c r="AA174" s="232"/>
    </row>
    <row r="175" spans="3:27" s="29" customFormat="1">
      <c r="D175" s="232"/>
      <c r="E175" s="505"/>
      <c r="F175" s="232"/>
      <c r="G175" s="505"/>
      <c r="H175" s="232"/>
      <c r="I175" s="505"/>
      <c r="J175" s="232"/>
      <c r="K175" s="505"/>
      <c r="L175" s="232"/>
      <c r="M175" s="505"/>
      <c r="N175" s="232"/>
      <c r="O175" s="505"/>
      <c r="P175" s="232"/>
      <c r="U175" s="25"/>
      <c r="V175" s="232"/>
      <c r="W175" s="25"/>
      <c r="X175" s="232"/>
      <c r="Y175" s="25"/>
      <c r="Z175" s="232"/>
      <c r="AA175" s="232"/>
    </row>
    <row r="176" spans="3:27" s="29" customFormat="1">
      <c r="D176" s="232"/>
      <c r="E176" s="505"/>
      <c r="F176" s="232"/>
      <c r="G176" s="505"/>
      <c r="H176" s="232"/>
      <c r="I176" s="505"/>
      <c r="J176" s="232"/>
      <c r="K176" s="505"/>
      <c r="L176" s="232"/>
      <c r="M176" s="505"/>
      <c r="N176" s="232"/>
      <c r="O176" s="505"/>
      <c r="P176" s="232"/>
      <c r="Q176" s="30"/>
      <c r="U176" s="25"/>
      <c r="V176" s="232"/>
      <c r="W176" s="25"/>
      <c r="X176" s="232"/>
      <c r="Y176" s="25"/>
      <c r="Z176" s="232"/>
      <c r="AA176" s="232"/>
    </row>
    <row r="177" spans="3:27" s="29" customFormat="1">
      <c r="D177" s="232"/>
      <c r="E177" s="505"/>
      <c r="F177" s="232"/>
      <c r="G177" s="505"/>
      <c r="H177" s="232"/>
      <c r="I177" s="505"/>
      <c r="J177" s="232"/>
      <c r="K177" s="505"/>
      <c r="L177" s="232"/>
      <c r="M177" s="505"/>
      <c r="N177" s="232"/>
      <c r="O177" s="505"/>
      <c r="P177" s="232"/>
      <c r="Q177" s="30"/>
      <c r="U177" s="25"/>
      <c r="V177" s="232"/>
      <c r="W177" s="25"/>
      <c r="X177" s="232"/>
      <c r="Y177" s="25"/>
      <c r="Z177" s="232"/>
      <c r="AA177" s="232"/>
    </row>
    <row r="178" spans="3:27" s="29" customFormat="1">
      <c r="D178" s="232"/>
      <c r="E178" s="505"/>
      <c r="F178" s="232"/>
      <c r="G178" s="505"/>
      <c r="H178" s="232"/>
      <c r="I178" s="505"/>
      <c r="J178" s="232"/>
      <c r="K178" s="505"/>
      <c r="L178" s="232"/>
      <c r="M178" s="505"/>
      <c r="N178" s="232"/>
      <c r="O178" s="505"/>
      <c r="P178" s="232"/>
      <c r="Q178" s="30"/>
      <c r="U178" s="25"/>
      <c r="V178" s="232"/>
      <c r="W178" s="25"/>
      <c r="X178" s="232"/>
      <c r="Y178" s="25"/>
      <c r="Z178" s="232"/>
      <c r="AA178" s="232"/>
    </row>
    <row r="179" spans="3:27" s="29" customFormat="1">
      <c r="D179" s="232"/>
      <c r="E179" s="505"/>
      <c r="F179" s="232"/>
      <c r="G179" s="505"/>
      <c r="H179" s="232"/>
      <c r="I179" s="505"/>
      <c r="J179" s="232"/>
      <c r="K179" s="505"/>
      <c r="L179" s="232"/>
      <c r="M179" s="505"/>
      <c r="N179" s="232"/>
      <c r="O179" s="505"/>
      <c r="P179" s="232"/>
      <c r="Q179" s="30"/>
      <c r="U179" s="25"/>
      <c r="V179" s="232"/>
      <c r="W179" s="25"/>
      <c r="X179" s="232"/>
      <c r="Y179" s="25"/>
      <c r="Z179" s="232"/>
      <c r="AA179" s="232"/>
    </row>
    <row r="180" spans="3:27" s="29" customFormat="1">
      <c r="D180" s="232"/>
      <c r="E180" s="505"/>
      <c r="F180" s="232"/>
      <c r="G180" s="505"/>
      <c r="H180" s="232"/>
      <c r="I180" s="505"/>
      <c r="J180" s="232"/>
      <c r="K180" s="505"/>
      <c r="L180" s="232"/>
      <c r="M180" s="505"/>
      <c r="N180" s="232"/>
      <c r="O180" s="505"/>
      <c r="P180" s="232"/>
      <c r="U180" s="25"/>
      <c r="V180" s="232"/>
      <c r="W180" s="25"/>
      <c r="X180" s="232"/>
      <c r="Y180" s="25"/>
      <c r="Z180" s="232"/>
      <c r="AA180" s="232"/>
    </row>
    <row r="181" spans="3:27" s="29" customFormat="1">
      <c r="D181" s="232"/>
      <c r="E181" s="505"/>
      <c r="F181" s="232"/>
      <c r="G181" s="505"/>
      <c r="H181" s="232"/>
      <c r="I181" s="505"/>
      <c r="J181" s="232"/>
      <c r="K181" s="505"/>
      <c r="L181" s="232"/>
      <c r="M181" s="505"/>
      <c r="N181" s="232"/>
      <c r="O181" s="505"/>
      <c r="P181" s="232"/>
      <c r="U181" s="25"/>
      <c r="V181" s="232"/>
      <c r="W181" s="25"/>
      <c r="X181" s="232"/>
      <c r="Y181" s="25"/>
      <c r="Z181" s="232"/>
      <c r="AA181" s="232"/>
    </row>
    <row r="182" spans="3:27" s="29" customFormat="1">
      <c r="D182" s="232"/>
      <c r="E182" s="505"/>
      <c r="F182" s="232"/>
      <c r="G182" s="505"/>
      <c r="H182" s="232"/>
      <c r="I182" s="505"/>
      <c r="J182" s="232"/>
      <c r="K182" s="505"/>
      <c r="L182" s="232"/>
      <c r="M182" s="505"/>
      <c r="N182" s="232"/>
      <c r="O182" s="505"/>
      <c r="P182" s="232"/>
      <c r="U182" s="25"/>
      <c r="V182" s="232"/>
      <c r="W182" s="25"/>
      <c r="X182" s="232"/>
      <c r="Y182" s="25"/>
      <c r="Z182" s="232"/>
      <c r="AA182" s="232"/>
    </row>
    <row r="183" spans="3:27" s="29" customFormat="1">
      <c r="C183" s="28"/>
      <c r="D183" s="232"/>
      <c r="E183" s="505"/>
      <c r="F183" s="232"/>
      <c r="G183" s="505"/>
      <c r="H183" s="232"/>
      <c r="I183" s="505"/>
      <c r="J183" s="232"/>
      <c r="K183" s="505"/>
      <c r="L183" s="232"/>
      <c r="M183" s="505"/>
      <c r="N183" s="232"/>
      <c r="O183" s="505"/>
      <c r="P183" s="232"/>
      <c r="U183" s="25"/>
      <c r="V183" s="232"/>
      <c r="W183" s="25"/>
      <c r="X183" s="232"/>
      <c r="Y183" s="25"/>
      <c r="Z183" s="232"/>
      <c r="AA183" s="232"/>
    </row>
    <row r="184" spans="3:27">
      <c r="C184" s="29"/>
      <c r="D184" s="232"/>
      <c r="E184" s="505"/>
      <c r="F184" s="232"/>
      <c r="G184" s="505"/>
      <c r="H184" s="232"/>
      <c r="I184" s="505"/>
      <c r="J184" s="232"/>
      <c r="K184" s="505"/>
      <c r="L184" s="232"/>
      <c r="M184" s="505"/>
      <c r="N184" s="232"/>
      <c r="O184" s="505"/>
      <c r="P184" s="232"/>
      <c r="Q184" s="29"/>
      <c r="R184" s="29"/>
      <c r="S184" s="29"/>
      <c r="T184" s="29"/>
      <c r="U184" s="25"/>
      <c r="V184" s="232"/>
      <c r="W184" s="25"/>
      <c r="X184" s="232"/>
      <c r="Y184" s="25"/>
      <c r="Z184" s="232"/>
      <c r="AA184" s="232"/>
    </row>
    <row r="185" spans="3:27">
      <c r="C185" s="29"/>
      <c r="D185" s="232"/>
      <c r="E185" s="505"/>
      <c r="F185" s="232"/>
      <c r="G185" s="505"/>
      <c r="H185" s="232"/>
      <c r="I185" s="505"/>
      <c r="J185" s="232"/>
      <c r="K185" s="505"/>
      <c r="L185" s="232"/>
      <c r="M185" s="505"/>
      <c r="N185" s="232"/>
      <c r="O185" s="505"/>
      <c r="P185" s="232"/>
      <c r="Q185" s="29"/>
      <c r="R185" s="29"/>
      <c r="S185" s="29"/>
      <c r="T185" s="29"/>
      <c r="U185" s="25"/>
      <c r="V185" s="232"/>
      <c r="W185" s="25"/>
      <c r="X185" s="232"/>
      <c r="Y185" s="25"/>
      <c r="Z185" s="232"/>
      <c r="AA185" s="232"/>
    </row>
    <row r="186" spans="3:27">
      <c r="C186" s="28"/>
      <c r="D186" s="232"/>
      <c r="E186" s="505"/>
      <c r="F186" s="232"/>
      <c r="G186" s="505"/>
      <c r="H186" s="232"/>
      <c r="I186" s="505"/>
      <c r="J186" s="232"/>
      <c r="K186" s="505"/>
      <c r="L186" s="232"/>
      <c r="M186" s="505"/>
      <c r="N186" s="232"/>
      <c r="O186" s="505"/>
      <c r="P186" s="232"/>
      <c r="Q186" s="29"/>
      <c r="R186" s="29"/>
      <c r="S186" s="29"/>
      <c r="T186" s="29"/>
      <c r="U186" s="25"/>
      <c r="V186" s="232"/>
      <c r="W186" s="25"/>
      <c r="X186" s="232"/>
      <c r="Y186" s="25"/>
      <c r="Z186" s="232"/>
      <c r="AA186" s="232"/>
    </row>
    <row r="187" spans="3:27">
      <c r="E187" s="506"/>
      <c r="G187" s="506"/>
      <c r="I187" s="506"/>
      <c r="K187" s="506"/>
      <c r="M187" s="506"/>
      <c r="O187" s="506"/>
      <c r="U187" s="27"/>
      <c r="W187" s="27"/>
      <c r="Y187" s="27"/>
    </row>
    <row r="188" spans="3:27">
      <c r="E188" s="506"/>
      <c r="G188" s="506"/>
      <c r="I188" s="506"/>
      <c r="K188" s="506"/>
      <c r="M188" s="506"/>
      <c r="O188" s="506"/>
      <c r="U188" s="27"/>
      <c r="W188" s="27"/>
      <c r="Y188" s="27"/>
    </row>
    <row r="189" spans="3:27">
      <c r="C189" s="502" t="s">
        <v>0</v>
      </c>
      <c r="D189" s="502"/>
      <c r="E189" s="502"/>
      <c r="F189" s="502"/>
      <c r="G189" s="502"/>
      <c r="H189" s="502"/>
      <c r="I189" s="502"/>
      <c r="J189" s="502"/>
      <c r="K189" s="502"/>
      <c r="L189" s="502"/>
      <c r="M189" s="502"/>
      <c r="N189" s="502"/>
      <c r="O189" s="502"/>
      <c r="P189" s="502"/>
      <c r="Q189" s="502"/>
      <c r="R189" s="502"/>
      <c r="S189" s="502"/>
      <c r="T189" s="502"/>
      <c r="U189" s="425"/>
      <c r="V189" s="425"/>
      <c r="W189" s="425"/>
      <c r="X189" s="425"/>
      <c r="Y189" s="425"/>
      <c r="Z189" s="425"/>
      <c r="AA189" s="425"/>
    </row>
    <row r="190" spans="3:27">
      <c r="C190" s="502" t="s">
        <v>100</v>
      </c>
      <c r="D190" s="502"/>
      <c r="E190" s="502"/>
      <c r="F190" s="502"/>
      <c r="G190" s="502"/>
      <c r="H190" s="502"/>
      <c r="I190" s="502"/>
      <c r="J190" s="502"/>
      <c r="K190" s="502"/>
      <c r="L190" s="502"/>
      <c r="M190" s="502"/>
      <c r="N190" s="502"/>
      <c r="O190" s="502"/>
      <c r="P190" s="502"/>
      <c r="Q190" s="502"/>
      <c r="R190" s="502"/>
      <c r="S190" s="502"/>
      <c r="T190" s="502"/>
      <c r="U190" s="425"/>
      <c r="V190" s="425"/>
      <c r="W190" s="425"/>
      <c r="X190" s="425"/>
      <c r="Y190" s="425"/>
      <c r="Z190" s="425"/>
      <c r="AA190" s="425"/>
    </row>
    <row r="191" spans="3:27">
      <c r="C191" s="503"/>
      <c r="D191" s="504"/>
      <c r="E191" s="504"/>
      <c r="F191" s="504"/>
      <c r="G191" s="504"/>
      <c r="H191" s="504"/>
      <c r="I191" s="504"/>
      <c r="J191" s="504"/>
      <c r="K191" s="504"/>
      <c r="L191" s="504"/>
      <c r="M191" s="504"/>
      <c r="N191" s="504"/>
      <c r="O191" s="504"/>
      <c r="P191" s="504"/>
      <c r="Q191" s="504"/>
      <c r="R191" s="504"/>
      <c r="S191" s="504"/>
      <c r="T191" s="504"/>
      <c r="U191" s="426"/>
      <c r="V191" s="426"/>
      <c r="W191" s="426"/>
      <c r="X191" s="426"/>
      <c r="Y191" s="426"/>
      <c r="Z191" s="426"/>
      <c r="AA191" s="426"/>
    </row>
    <row r="192" spans="3:27">
      <c r="C192" s="3"/>
      <c r="D192" s="3"/>
      <c r="E192" s="3"/>
      <c r="F192" s="3"/>
      <c r="G192" s="3"/>
      <c r="H192" s="3"/>
      <c r="I192" s="3"/>
      <c r="J192" s="3"/>
      <c r="K192" s="3"/>
      <c r="L192" s="3"/>
      <c r="M192" s="3"/>
      <c r="N192" s="3"/>
      <c r="O192" s="3"/>
      <c r="P192" s="3"/>
      <c r="Q192" s="31"/>
      <c r="R192" s="31"/>
      <c r="S192" s="31"/>
      <c r="T192" s="31"/>
      <c r="U192" s="3"/>
      <c r="V192" s="3"/>
      <c r="W192" s="3"/>
      <c r="X192" s="3"/>
      <c r="Y192" s="3"/>
      <c r="Z192" s="32" t="s">
        <v>1717</v>
      </c>
      <c r="AA192" s="32"/>
    </row>
    <row r="193" spans="1:27" ht="15">
      <c r="C193" s="3"/>
      <c r="D193" s="32" t="s">
        <v>2529</v>
      </c>
      <c r="E193" s="32"/>
      <c r="F193" s="32"/>
      <c r="G193" s="32"/>
      <c r="H193" s="32"/>
      <c r="I193" s="32"/>
      <c r="J193" s="32"/>
      <c r="K193" s="32"/>
      <c r="L193" s="32"/>
      <c r="M193" s="32"/>
      <c r="N193" s="32" t="s">
        <v>2530</v>
      </c>
      <c r="O193" s="32"/>
      <c r="P193" s="32" t="s">
        <v>1718</v>
      </c>
      <c r="Q193" s="34"/>
      <c r="R193" s="34"/>
      <c r="S193" s="34"/>
      <c r="T193" s="436" t="s">
        <v>1718</v>
      </c>
      <c r="U193" s="32"/>
      <c r="V193" s="436" t="s">
        <v>1718</v>
      </c>
      <c r="W193" s="32"/>
      <c r="X193" s="436" t="s">
        <v>1718</v>
      </c>
      <c r="Y193" s="32"/>
      <c r="Z193" s="32" t="s">
        <v>2530</v>
      </c>
      <c r="AA193" s="4"/>
    </row>
    <row r="194" spans="1:27" ht="15">
      <c r="C194" s="31"/>
      <c r="D194" s="33" t="s">
        <v>2</v>
      </c>
      <c r="E194" s="31"/>
      <c r="F194" s="26"/>
      <c r="G194" s="31"/>
      <c r="H194" s="26"/>
      <c r="I194" s="31"/>
      <c r="J194" s="33" t="s">
        <v>3</v>
      </c>
      <c r="K194" s="31"/>
      <c r="L194" s="26"/>
      <c r="M194" s="31"/>
      <c r="N194" s="33" t="s">
        <v>4</v>
      </c>
      <c r="O194" s="31"/>
      <c r="P194" s="33" t="s">
        <v>4</v>
      </c>
      <c r="Q194" s="31"/>
      <c r="R194" s="436" t="s">
        <v>1718</v>
      </c>
      <c r="S194" s="31"/>
      <c r="T194" s="520" t="s">
        <v>5</v>
      </c>
      <c r="U194" s="31"/>
      <c r="V194" s="231" t="s">
        <v>1204</v>
      </c>
      <c r="W194" s="5"/>
      <c r="X194" s="231" t="s">
        <v>11</v>
      </c>
      <c r="Y194" s="5"/>
      <c r="Z194" s="6" t="s">
        <v>4</v>
      </c>
      <c r="AA194" s="6"/>
    </row>
    <row r="195" spans="1:27">
      <c r="C195" s="5"/>
      <c r="D195" s="35" t="s">
        <v>6</v>
      </c>
      <c r="E195" s="31"/>
      <c r="F195" s="35" t="s">
        <v>7</v>
      </c>
      <c r="G195" s="31"/>
      <c r="H195" s="35" t="s">
        <v>8</v>
      </c>
      <c r="I195" s="31"/>
      <c r="J195" s="35" t="s">
        <v>9</v>
      </c>
      <c r="K195" s="31"/>
      <c r="L195" s="35" t="s">
        <v>10</v>
      </c>
      <c r="M195" s="31"/>
      <c r="N195" s="35" t="s">
        <v>6</v>
      </c>
      <c r="O195" s="31"/>
      <c r="P195" s="35" t="s">
        <v>6</v>
      </c>
      <c r="Q195" s="5"/>
      <c r="R195" s="35" t="s">
        <v>11</v>
      </c>
      <c r="S195" s="5"/>
      <c r="T195" s="35" t="s">
        <v>12</v>
      </c>
      <c r="U195" s="31"/>
      <c r="V195" s="10" t="s">
        <v>1205</v>
      </c>
      <c r="W195" s="5"/>
      <c r="X195" s="10" t="s">
        <v>2188</v>
      </c>
      <c r="Y195" s="5"/>
      <c r="Z195" s="10" t="s">
        <v>6</v>
      </c>
      <c r="AA195" s="10" t="s">
        <v>13</v>
      </c>
    </row>
    <row r="196" spans="1:27">
      <c r="C196" s="8" t="s">
        <v>14</v>
      </c>
      <c r="D196" s="36"/>
      <c r="E196" s="31"/>
      <c r="F196" s="36"/>
      <c r="G196" s="31"/>
      <c r="H196" s="36"/>
      <c r="I196" s="31"/>
      <c r="J196" s="36"/>
      <c r="K196" s="31"/>
      <c r="L196" s="36"/>
      <c r="M196" s="31"/>
      <c r="N196" s="36"/>
      <c r="O196" s="31"/>
      <c r="P196" s="36"/>
      <c r="Q196" s="5"/>
      <c r="R196" s="5"/>
      <c r="S196" s="5"/>
      <c r="T196" s="5"/>
      <c r="U196" s="31"/>
      <c r="V196" s="36"/>
      <c r="W196" s="31"/>
      <c r="X196" s="36"/>
      <c r="Y196" s="31"/>
      <c r="Z196" s="36"/>
      <c r="AA196" s="36"/>
    </row>
    <row r="197" spans="1:27">
      <c r="C197" s="34" t="s">
        <v>15</v>
      </c>
      <c r="D197" s="26"/>
      <c r="E197" s="31"/>
      <c r="F197" s="26"/>
      <c r="G197" s="31"/>
      <c r="H197" s="26"/>
      <c r="I197" s="31"/>
      <c r="J197" s="26"/>
      <c r="K197" s="31"/>
      <c r="L197" s="26"/>
      <c r="M197" s="31"/>
      <c r="N197" s="26"/>
      <c r="O197" s="31"/>
      <c r="P197" s="26"/>
      <c r="Q197" s="5"/>
      <c r="R197" s="5"/>
      <c r="S197" s="5"/>
      <c r="T197" s="5"/>
      <c r="U197" s="31"/>
      <c r="V197" s="26"/>
      <c r="W197" s="31"/>
      <c r="X197" s="26"/>
      <c r="Y197" s="31"/>
      <c r="Z197" s="26"/>
      <c r="AA197" s="26"/>
    </row>
    <row r="198" spans="1:27">
      <c r="C198" s="34" t="s">
        <v>16</v>
      </c>
      <c r="D198" s="26"/>
      <c r="E198" s="37"/>
      <c r="F198" s="26"/>
      <c r="G198" s="37"/>
      <c r="H198" s="26"/>
      <c r="I198" s="37"/>
      <c r="J198" s="26"/>
      <c r="K198" s="37"/>
      <c r="L198" s="26"/>
      <c r="M198" s="37"/>
      <c r="N198" s="26"/>
      <c r="O198" s="37"/>
      <c r="P198" s="26"/>
      <c r="Q198" s="37"/>
      <c r="R198" s="31"/>
      <c r="S198" s="31"/>
      <c r="T198" s="31"/>
      <c r="U198" s="37"/>
      <c r="V198" s="26"/>
      <c r="W198" s="37"/>
      <c r="X198" s="26"/>
      <c r="Y198" s="37"/>
      <c r="Z198" s="26"/>
      <c r="AA198" s="26"/>
    </row>
    <row r="199" spans="1:27">
      <c r="A199" s="2" t="s">
        <v>101</v>
      </c>
      <c r="B199" s="2" t="str">
        <f t="shared" ref="B199:B209" si="11">MID(C199,2,3)</f>
        <v>360</v>
      </c>
      <c r="C199" s="31" t="s">
        <v>102</v>
      </c>
      <c r="D199" s="26">
        <v>318250.44</v>
      </c>
      <c r="E199" s="37"/>
      <c r="F199" s="26">
        <v>0</v>
      </c>
      <c r="G199" s="37"/>
      <c r="H199" s="26">
        <v>0</v>
      </c>
      <c r="I199" s="37"/>
      <c r="J199" s="26">
        <v>0</v>
      </c>
      <c r="K199" s="37"/>
      <c r="L199" s="26">
        <v>0</v>
      </c>
      <c r="M199" s="37"/>
      <c r="N199" s="26">
        <v>318250.44</v>
      </c>
      <c r="O199" s="37"/>
      <c r="P199" s="26">
        <v>318250.43999999989</v>
      </c>
      <c r="Q199" s="37"/>
      <c r="R199" s="38">
        <v>-70156.848949279869</v>
      </c>
      <c r="S199" s="31"/>
      <c r="T199" s="38">
        <v>248093.59105072002</v>
      </c>
      <c r="U199" s="37"/>
      <c r="V199" s="17">
        <v>0</v>
      </c>
      <c r="W199" s="18"/>
      <c r="X199" s="17">
        <v>-70156.848949279869</v>
      </c>
      <c r="Y199" s="18"/>
      <c r="Z199" s="17">
        <v>318250.44</v>
      </c>
      <c r="AA199" s="17">
        <v>0</v>
      </c>
    </row>
    <row r="200" spans="1:27">
      <c r="A200" s="2" t="s">
        <v>101</v>
      </c>
      <c r="C200" s="31" t="s">
        <v>18</v>
      </c>
      <c r="D200" s="26">
        <v>0</v>
      </c>
      <c r="E200" s="37"/>
      <c r="F200" s="26">
        <v>0</v>
      </c>
      <c r="G200" s="37"/>
      <c r="H200" s="26">
        <v>0</v>
      </c>
      <c r="I200" s="37"/>
      <c r="J200" s="26">
        <v>0</v>
      </c>
      <c r="K200" s="37"/>
      <c r="L200" s="26">
        <v>0</v>
      </c>
      <c r="M200" s="37"/>
      <c r="N200" s="26">
        <v>0</v>
      </c>
      <c r="O200" s="37"/>
      <c r="P200" s="26">
        <v>0</v>
      </c>
      <c r="Q200" s="37"/>
      <c r="R200" s="38">
        <v>0</v>
      </c>
      <c r="S200" s="31"/>
      <c r="T200" s="38">
        <v>0</v>
      </c>
      <c r="U200" s="37"/>
      <c r="V200" s="26">
        <v>0</v>
      </c>
      <c r="W200" s="37"/>
      <c r="X200" s="26">
        <v>0</v>
      </c>
      <c r="Y200" s="37"/>
      <c r="Z200" s="26">
        <v>0</v>
      </c>
      <c r="AA200" s="26">
        <v>0</v>
      </c>
    </row>
    <row r="201" spans="1:27">
      <c r="A201" s="2" t="s">
        <v>101</v>
      </c>
      <c r="B201" s="2" t="str">
        <f t="shared" si="11"/>
        <v>361</v>
      </c>
      <c r="C201" s="31" t="s">
        <v>19</v>
      </c>
      <c r="D201" s="26">
        <v>774879.02999999991</v>
      </c>
      <c r="E201" s="37"/>
      <c r="F201" s="26">
        <v>0</v>
      </c>
      <c r="G201" s="37"/>
      <c r="H201" s="26">
        <v>0</v>
      </c>
      <c r="I201" s="37"/>
      <c r="J201" s="26">
        <v>0</v>
      </c>
      <c r="K201" s="37"/>
      <c r="L201" s="26">
        <v>0</v>
      </c>
      <c r="M201" s="37"/>
      <c r="N201" s="26">
        <v>774879.02999999991</v>
      </c>
      <c r="O201" s="37"/>
      <c r="P201" s="26">
        <v>774879.02999999991</v>
      </c>
      <c r="Q201" s="37"/>
      <c r="R201" s="38">
        <v>-160796.20629479917</v>
      </c>
      <c r="S201" s="31"/>
      <c r="T201" s="38">
        <v>614082.8237052008</v>
      </c>
      <c r="U201" s="37"/>
      <c r="V201" s="26">
        <v>0</v>
      </c>
      <c r="W201" s="37"/>
      <c r="X201" s="26">
        <v>-160796.20629479917</v>
      </c>
      <c r="Y201" s="37"/>
      <c r="Z201" s="26">
        <v>774879.02999999991</v>
      </c>
      <c r="AA201" s="26">
        <v>0</v>
      </c>
    </row>
    <row r="202" spans="1:27" s="9" customFormat="1">
      <c r="A202" s="2" t="s">
        <v>101</v>
      </c>
      <c r="B202" s="2" t="str">
        <f t="shared" si="11"/>
        <v>362</v>
      </c>
      <c r="C202" s="31" t="s">
        <v>20</v>
      </c>
      <c r="D202" s="26">
        <v>8513231.9299999997</v>
      </c>
      <c r="E202" s="37"/>
      <c r="F202" s="26">
        <v>0</v>
      </c>
      <c r="G202" s="37"/>
      <c r="H202" s="26">
        <v>0</v>
      </c>
      <c r="I202" s="37"/>
      <c r="J202" s="26">
        <v>0</v>
      </c>
      <c r="K202" s="37"/>
      <c r="L202" s="26">
        <v>0</v>
      </c>
      <c r="M202" s="37"/>
      <c r="N202" s="26">
        <v>8513231.9299999997</v>
      </c>
      <c r="O202" s="37"/>
      <c r="P202" s="26">
        <v>8513231.9299999978</v>
      </c>
      <c r="Q202" s="37"/>
      <c r="R202" s="38">
        <v>-3473443.6582832006</v>
      </c>
      <c r="S202" s="31"/>
      <c r="T202" s="38">
        <v>5039788.2717167977</v>
      </c>
      <c r="U202" s="37"/>
      <c r="V202" s="26">
        <v>0</v>
      </c>
      <c r="W202" s="37"/>
      <c r="X202" s="26">
        <v>-3473443.6582832006</v>
      </c>
      <c r="Y202" s="37"/>
      <c r="Z202" s="26">
        <v>8513231.9299999997</v>
      </c>
      <c r="AA202" s="26">
        <v>0</v>
      </c>
    </row>
    <row r="203" spans="1:27">
      <c r="A203" s="2" t="s">
        <v>101</v>
      </c>
      <c r="B203" s="2" t="str">
        <f t="shared" si="11"/>
        <v>364</v>
      </c>
      <c r="C203" s="31" t="s">
        <v>21</v>
      </c>
      <c r="D203" s="26">
        <v>30536653.399999902</v>
      </c>
      <c r="E203" s="37"/>
      <c r="F203" s="26">
        <v>381844.93</v>
      </c>
      <c r="G203" s="37"/>
      <c r="H203" s="26">
        <v>0</v>
      </c>
      <c r="I203" s="37"/>
      <c r="J203" s="26">
        <v>0</v>
      </c>
      <c r="K203" s="37"/>
      <c r="L203" s="26">
        <v>381844.93</v>
      </c>
      <c r="M203" s="37"/>
      <c r="N203" s="26">
        <v>30918498.329999901</v>
      </c>
      <c r="O203" s="37"/>
      <c r="P203" s="26">
        <v>30732362.571538366</v>
      </c>
      <c r="Q203" s="37"/>
      <c r="R203" s="38">
        <v>-13753933.622907568</v>
      </c>
      <c r="S203" s="31"/>
      <c r="T203" s="38">
        <v>16978428.948630799</v>
      </c>
      <c r="U203" s="37"/>
      <c r="V203" s="26">
        <v>282.47463126571614</v>
      </c>
      <c r="W203" s="37"/>
      <c r="X203" s="26">
        <v>-13753651.148276303</v>
      </c>
      <c r="Y203" s="37"/>
      <c r="Z203" s="26">
        <v>30918498.329999901</v>
      </c>
      <c r="AA203" s="26">
        <v>0</v>
      </c>
    </row>
    <row r="204" spans="1:27">
      <c r="A204" s="2" t="s">
        <v>101</v>
      </c>
      <c r="B204" s="2" t="str">
        <f t="shared" si="11"/>
        <v>365</v>
      </c>
      <c r="C204" s="31" t="s">
        <v>22</v>
      </c>
      <c r="D204" s="26">
        <v>28438573.599999901</v>
      </c>
      <c r="E204" s="37"/>
      <c r="F204" s="26">
        <v>1648407.0699999991</v>
      </c>
      <c r="G204" s="37"/>
      <c r="H204" s="26">
        <v>0</v>
      </c>
      <c r="I204" s="37"/>
      <c r="J204" s="26">
        <v>0</v>
      </c>
      <c r="K204" s="37"/>
      <c r="L204" s="26">
        <v>1648407.0699999991</v>
      </c>
      <c r="M204" s="37"/>
      <c r="N204" s="26">
        <v>30086980.669999901</v>
      </c>
      <c r="O204" s="37"/>
      <c r="P204" s="26">
        <v>29359960.575384516</v>
      </c>
      <c r="Q204" s="37"/>
      <c r="R204" s="38">
        <v>-9078174.4962734636</v>
      </c>
      <c r="S204" s="31"/>
      <c r="T204" s="38">
        <v>20281786.079111055</v>
      </c>
      <c r="U204" s="37"/>
      <c r="V204" s="26">
        <v>1219.4300426459747</v>
      </c>
      <c r="W204" s="37"/>
      <c r="X204" s="26">
        <v>-9076955.0662308168</v>
      </c>
      <c r="Y204" s="37"/>
      <c r="Z204" s="26">
        <v>30086980.669999897</v>
      </c>
      <c r="AA204" s="26">
        <v>0</v>
      </c>
    </row>
    <row r="205" spans="1:27">
      <c r="A205" s="2" t="s">
        <v>101</v>
      </c>
      <c r="B205" s="2" t="str">
        <f t="shared" si="11"/>
        <v>366</v>
      </c>
      <c r="C205" s="5" t="s">
        <v>23</v>
      </c>
      <c r="D205" s="7">
        <v>0</v>
      </c>
      <c r="E205" s="39"/>
      <c r="F205" s="7">
        <v>0</v>
      </c>
      <c r="G205" s="39"/>
      <c r="H205" s="7">
        <v>0</v>
      </c>
      <c r="I205" s="39"/>
      <c r="J205" s="7">
        <v>0</v>
      </c>
      <c r="K205" s="39"/>
      <c r="L205" s="7">
        <v>0</v>
      </c>
      <c r="M205" s="39"/>
      <c r="N205" s="7">
        <v>0</v>
      </c>
      <c r="O205" s="39"/>
      <c r="P205" s="7">
        <v>0</v>
      </c>
      <c r="Q205" s="39"/>
      <c r="R205" s="13">
        <v>0</v>
      </c>
      <c r="S205" s="5"/>
      <c r="T205" s="13">
        <v>0</v>
      </c>
      <c r="U205" s="39"/>
      <c r="V205" s="7">
        <v>0</v>
      </c>
      <c r="W205" s="39"/>
      <c r="X205" s="7">
        <v>0</v>
      </c>
      <c r="Y205" s="39"/>
      <c r="Z205" s="7">
        <v>0</v>
      </c>
      <c r="AA205" s="7">
        <v>0</v>
      </c>
    </row>
    <row r="206" spans="1:27">
      <c r="A206" s="2" t="s">
        <v>101</v>
      </c>
      <c r="B206" s="2" t="str">
        <f t="shared" si="11"/>
        <v>367</v>
      </c>
      <c r="C206" s="31" t="s">
        <v>24</v>
      </c>
      <c r="D206" s="26">
        <v>4873626.84</v>
      </c>
      <c r="E206" s="37"/>
      <c r="F206" s="26">
        <v>538838.16999999981</v>
      </c>
      <c r="G206" s="37"/>
      <c r="H206" s="26">
        <v>0</v>
      </c>
      <c r="I206" s="37"/>
      <c r="J206" s="26">
        <v>0</v>
      </c>
      <c r="K206" s="37"/>
      <c r="L206" s="26">
        <v>538838.16999999981</v>
      </c>
      <c r="M206" s="37"/>
      <c r="N206" s="26">
        <v>5412465.0099999998</v>
      </c>
      <c r="O206" s="37"/>
      <c r="P206" s="26">
        <v>5148669.6176923076</v>
      </c>
      <c r="Q206" s="37"/>
      <c r="R206" s="38">
        <v>-830319.59375529992</v>
      </c>
      <c r="S206" s="31"/>
      <c r="T206" s="38">
        <v>4318350.0239370074</v>
      </c>
      <c r="U206" s="37"/>
      <c r="V206" s="26">
        <v>398.61237225971075</v>
      </c>
      <c r="W206" s="37"/>
      <c r="X206" s="26">
        <v>-829920.9813830402</v>
      </c>
      <c r="Y206" s="37"/>
      <c r="Z206" s="26">
        <v>5412465.0099999998</v>
      </c>
      <c r="AA206" s="26">
        <v>0</v>
      </c>
    </row>
    <row r="207" spans="1:27">
      <c r="A207" s="2" t="s">
        <v>101</v>
      </c>
      <c r="B207" s="2" t="str">
        <f t="shared" si="11"/>
        <v>368</v>
      </c>
      <c r="C207" s="31" t="s">
        <v>25</v>
      </c>
      <c r="D207" s="26">
        <v>11147333.370000001</v>
      </c>
      <c r="E207" s="37"/>
      <c r="F207" s="26">
        <v>60219.650000000016</v>
      </c>
      <c r="G207" s="37"/>
      <c r="H207" s="26">
        <v>0</v>
      </c>
      <c r="I207" s="37"/>
      <c r="J207" s="26">
        <v>0</v>
      </c>
      <c r="K207" s="37"/>
      <c r="L207" s="26">
        <v>60219.650000000016</v>
      </c>
      <c r="M207" s="37"/>
      <c r="N207" s="26">
        <v>11207553.020000001</v>
      </c>
      <c r="O207" s="37"/>
      <c r="P207" s="26">
        <v>11179114.279230768</v>
      </c>
      <c r="Q207" s="37"/>
      <c r="R207" s="38">
        <v>-5687249.2129673157</v>
      </c>
      <c r="S207" s="31"/>
      <c r="T207" s="38">
        <v>5491865.0662634522</v>
      </c>
      <c r="U207" s="37"/>
      <c r="V207" s="26">
        <v>44.548250067639991</v>
      </c>
      <c r="W207" s="37"/>
      <c r="X207" s="26">
        <v>-5687204.6647172477</v>
      </c>
      <c r="Y207" s="37"/>
      <c r="Z207" s="26">
        <v>11207553.02</v>
      </c>
      <c r="AA207" s="26">
        <v>0</v>
      </c>
    </row>
    <row r="208" spans="1:27">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26">
        <v>5852947.5299999993</v>
      </c>
      <c r="Q208" s="37"/>
      <c r="R208" s="38">
        <v>-4440060.4196640002</v>
      </c>
      <c r="S208" s="31"/>
      <c r="T208" s="38">
        <v>1412887.1103359992</v>
      </c>
      <c r="U208" s="37"/>
      <c r="V208" s="26">
        <v>0</v>
      </c>
      <c r="W208" s="37"/>
      <c r="X208" s="26">
        <v>-4440060.4196640002</v>
      </c>
      <c r="Y208" s="37"/>
      <c r="Z208" s="26">
        <v>5852947.5300000003</v>
      </c>
      <c r="AA208" s="26">
        <v>0</v>
      </c>
    </row>
    <row r="209" spans="1:27">
      <c r="A209" s="2" t="s">
        <v>101</v>
      </c>
      <c r="B209" s="2" t="str">
        <f t="shared" si="11"/>
        <v>370</v>
      </c>
      <c r="C209" s="31" t="s">
        <v>27</v>
      </c>
      <c r="D209" s="26">
        <v>3783545.2</v>
      </c>
      <c r="E209" s="37"/>
      <c r="F209" s="26">
        <v>0</v>
      </c>
      <c r="G209" s="37"/>
      <c r="H209" s="26">
        <v>0</v>
      </c>
      <c r="I209" s="37"/>
      <c r="J209" s="26">
        <v>0</v>
      </c>
      <c r="K209" s="37"/>
      <c r="L209" s="26">
        <v>0</v>
      </c>
      <c r="M209" s="37"/>
      <c r="N209" s="26">
        <v>3783545.2</v>
      </c>
      <c r="O209" s="37"/>
      <c r="P209" s="26">
        <v>3783545.2</v>
      </c>
      <c r="Q209" s="37"/>
      <c r="R209" s="38">
        <v>-2815344.5974719897</v>
      </c>
      <c r="S209" s="31"/>
      <c r="T209" s="38">
        <v>968200.6025280105</v>
      </c>
      <c r="U209" s="37"/>
      <c r="V209" s="26">
        <v>0</v>
      </c>
      <c r="W209" s="37"/>
      <c r="X209" s="26">
        <v>-2815344.5974719897</v>
      </c>
      <c r="Y209" s="37"/>
      <c r="Z209" s="26">
        <v>3783545.2</v>
      </c>
      <c r="AA209" s="26">
        <v>0</v>
      </c>
    </row>
    <row r="210" spans="1:27">
      <c r="A210" s="9" t="s">
        <v>101</v>
      </c>
      <c r="B210" s="9"/>
      <c r="C210" s="5" t="s">
        <v>2488</v>
      </c>
      <c r="D210" s="7">
        <v>0</v>
      </c>
      <c r="E210" s="39"/>
      <c r="F210" s="7">
        <v>0</v>
      </c>
      <c r="G210" s="39"/>
      <c r="H210" s="7">
        <v>0</v>
      </c>
      <c r="I210" s="39"/>
      <c r="J210" s="7">
        <v>0</v>
      </c>
      <c r="K210" s="39"/>
      <c r="L210" s="7">
        <v>0</v>
      </c>
      <c r="M210" s="39"/>
      <c r="N210" s="7">
        <v>0</v>
      </c>
      <c r="O210" s="39"/>
      <c r="P210" s="7">
        <v>0</v>
      </c>
      <c r="Q210" s="39"/>
      <c r="R210" s="13">
        <v>0</v>
      </c>
      <c r="S210" s="5"/>
      <c r="T210" s="13">
        <v>0</v>
      </c>
      <c r="U210" s="39"/>
      <c r="V210" s="7">
        <v>0</v>
      </c>
      <c r="W210" s="39"/>
      <c r="X210" s="7">
        <v>0</v>
      </c>
      <c r="Y210" s="39"/>
      <c r="Z210" s="7">
        <v>0</v>
      </c>
      <c r="AA210" s="7">
        <v>0</v>
      </c>
    </row>
    <row r="211" spans="1:27">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40"/>
      <c r="P211" s="24">
        <v>0</v>
      </c>
      <c r="Q211" s="37"/>
      <c r="R211" s="38">
        <v>0</v>
      </c>
      <c r="S211" s="31"/>
      <c r="T211" s="38">
        <v>0</v>
      </c>
      <c r="U211" s="40"/>
      <c r="V211" s="26">
        <v>0</v>
      </c>
      <c r="W211" s="40"/>
      <c r="X211" s="26">
        <v>0</v>
      </c>
      <c r="Y211" s="40"/>
      <c r="Z211" s="26">
        <v>0</v>
      </c>
      <c r="AA211" s="26">
        <v>0</v>
      </c>
    </row>
    <row r="212" spans="1:27">
      <c r="A212" s="2" t="s">
        <v>101</v>
      </c>
      <c r="B212" s="2" t="str">
        <f t="shared" si="12"/>
        <v>373</v>
      </c>
      <c r="C212" s="31" t="s">
        <v>29</v>
      </c>
      <c r="D212" s="41">
        <v>3896962.3299999996</v>
      </c>
      <c r="E212" s="40"/>
      <c r="F212" s="41">
        <v>212183.55000000002</v>
      </c>
      <c r="G212" s="40"/>
      <c r="H212" s="41">
        <v>0</v>
      </c>
      <c r="I212" s="40"/>
      <c r="J212" s="41">
        <v>0</v>
      </c>
      <c r="K212" s="40"/>
      <c r="L212" s="41">
        <v>212183.55000000002</v>
      </c>
      <c r="M212" s="40"/>
      <c r="N212" s="41">
        <v>4109145.8799999994</v>
      </c>
      <c r="O212" s="40"/>
      <c r="P212" s="41">
        <v>4004097.9446153841</v>
      </c>
      <c r="Q212" s="37"/>
      <c r="R212" s="42">
        <v>-1938913.6200767001</v>
      </c>
      <c r="S212" s="31"/>
      <c r="T212" s="42">
        <v>2065184.324538684</v>
      </c>
      <c r="U212" s="40"/>
      <c r="V212" s="41">
        <v>156.96547299161637</v>
      </c>
      <c r="W212" s="40"/>
      <c r="X212" s="41">
        <v>-1938756.6546037085</v>
      </c>
      <c r="Y212" s="40"/>
      <c r="Z212" s="41">
        <v>4109145.88</v>
      </c>
      <c r="AA212" s="41">
        <v>0</v>
      </c>
    </row>
    <row r="213" spans="1:27">
      <c r="C213" s="31"/>
      <c r="D213" s="24">
        <v>98136003.669999808</v>
      </c>
      <c r="E213" s="40"/>
      <c r="F213" s="24">
        <v>2841493.3699999987</v>
      </c>
      <c r="G213" s="40"/>
      <c r="H213" s="24">
        <v>0</v>
      </c>
      <c r="I213" s="40"/>
      <c r="J213" s="24">
        <v>0</v>
      </c>
      <c r="K213" s="40"/>
      <c r="L213" s="24">
        <v>2841493.3699999987</v>
      </c>
      <c r="M213" s="40"/>
      <c r="N213" s="24">
        <v>100977497.0399998</v>
      </c>
      <c r="O213" s="40"/>
      <c r="P213" s="24">
        <v>99667059.118461341</v>
      </c>
      <c r="Q213" s="37"/>
      <c r="R213" s="24">
        <v>-42248392.276643626</v>
      </c>
      <c r="S213" s="31"/>
      <c r="T213" s="24">
        <v>57418666.841817729</v>
      </c>
      <c r="U213" s="40"/>
      <c r="V213" s="17">
        <v>2102.0307692306578</v>
      </c>
      <c r="W213" s="40"/>
      <c r="X213" s="24">
        <v>-42246290.24587439</v>
      </c>
      <c r="Y213" s="40">
        <v>0</v>
      </c>
      <c r="Z213" s="24">
        <v>100977497.0399998</v>
      </c>
      <c r="AA213" s="24">
        <v>0</v>
      </c>
    </row>
    <row r="214" spans="1:27">
      <c r="C214" s="31"/>
      <c r="D214" s="24"/>
      <c r="E214" s="40"/>
      <c r="F214" s="24"/>
      <c r="G214" s="40"/>
      <c r="H214" s="24"/>
      <c r="I214" s="40"/>
      <c r="J214" s="24"/>
      <c r="K214" s="40"/>
      <c r="L214" s="24"/>
      <c r="M214" s="40"/>
      <c r="N214" s="24"/>
      <c r="O214" s="40"/>
      <c r="P214" s="24"/>
      <c r="Q214" s="37"/>
      <c r="R214" s="31"/>
      <c r="S214" s="31"/>
      <c r="T214" s="31"/>
      <c r="U214" s="40"/>
      <c r="V214" s="24"/>
      <c r="W214" s="40"/>
      <c r="X214" s="24"/>
      <c r="Y214" s="40"/>
      <c r="Z214" s="24"/>
      <c r="AA214" s="24"/>
    </row>
    <row r="215" spans="1:27">
      <c r="C215" s="34" t="s">
        <v>32</v>
      </c>
      <c r="D215" s="24"/>
      <c r="E215" s="40"/>
      <c r="F215" s="24"/>
      <c r="G215" s="40"/>
      <c r="H215" s="24"/>
      <c r="I215" s="40"/>
      <c r="J215" s="24"/>
      <c r="K215" s="40"/>
      <c r="L215" s="24"/>
      <c r="M215" s="40"/>
      <c r="N215" s="24"/>
      <c r="O215" s="40"/>
      <c r="P215" s="24"/>
      <c r="Q215" s="37"/>
      <c r="R215" s="31"/>
      <c r="S215" s="31"/>
      <c r="T215" s="31"/>
      <c r="U215" s="40"/>
      <c r="V215" s="24"/>
      <c r="W215" s="40"/>
      <c r="X215" s="24"/>
      <c r="Y215" s="40"/>
      <c r="Z215" s="24"/>
      <c r="AA215" s="24"/>
    </row>
    <row r="216" spans="1:27">
      <c r="A216" s="2" t="s">
        <v>101</v>
      </c>
      <c r="B216" s="2" t="str">
        <f>MID(C216,2,3)</f>
        <v>389</v>
      </c>
      <c r="C216" s="31" t="s">
        <v>33</v>
      </c>
      <c r="D216" s="24">
        <v>991916.19000000006</v>
      </c>
      <c r="E216" s="40"/>
      <c r="F216" s="24">
        <v>0</v>
      </c>
      <c r="G216" s="40"/>
      <c r="H216" s="24">
        <v>0</v>
      </c>
      <c r="I216" s="40"/>
      <c r="J216" s="24">
        <v>0</v>
      </c>
      <c r="K216" s="40"/>
      <c r="L216" s="24">
        <v>0</v>
      </c>
      <c r="M216" s="40"/>
      <c r="N216" s="24">
        <v>991916.19000000006</v>
      </c>
      <c r="O216" s="40"/>
      <c r="P216" s="24">
        <v>991916.19000000006</v>
      </c>
      <c r="Q216" s="37"/>
      <c r="R216" s="38">
        <v>0</v>
      </c>
      <c r="S216" s="31"/>
      <c r="T216" s="38">
        <v>991916.19000000006</v>
      </c>
      <c r="U216" s="40"/>
      <c r="V216" s="17">
        <v>0</v>
      </c>
      <c r="W216" s="18"/>
      <c r="X216" s="17">
        <v>0</v>
      </c>
      <c r="Y216" s="18"/>
      <c r="Z216" s="17">
        <v>991916.19000000006</v>
      </c>
      <c r="AA216" s="17">
        <v>0</v>
      </c>
    </row>
    <row r="217" spans="1:27">
      <c r="A217" s="2" t="s">
        <v>101</v>
      </c>
      <c r="B217" s="2" t="str">
        <f t="shared" ref="B217:B222" si="13">MID(C217,2,3)</f>
        <v>390</v>
      </c>
      <c r="C217" s="31" t="s">
        <v>34</v>
      </c>
      <c r="D217" s="24">
        <v>1163244.3599999999</v>
      </c>
      <c r="E217" s="40"/>
      <c r="F217" s="24">
        <v>4916609.58</v>
      </c>
      <c r="G217" s="40"/>
      <c r="H217" s="24">
        <v>0</v>
      </c>
      <c r="I217" s="40"/>
      <c r="J217" s="24">
        <v>0</v>
      </c>
      <c r="K217" s="40"/>
      <c r="L217" s="24">
        <v>4916609.58</v>
      </c>
      <c r="M217" s="40"/>
      <c r="N217" s="24">
        <v>6079853.9399999995</v>
      </c>
      <c r="O217" s="40"/>
      <c r="P217" s="24">
        <v>4977081.5861538453</v>
      </c>
      <c r="Q217" s="37"/>
      <c r="R217" s="38">
        <v>-431891.88738772285</v>
      </c>
      <c r="S217" s="31"/>
      <c r="T217" s="38">
        <v>4545189.6987661226</v>
      </c>
      <c r="U217" s="40"/>
      <c r="V217" s="24">
        <v>0</v>
      </c>
      <c r="W217" s="40"/>
      <c r="X217" s="24">
        <v>-431891.88738772285</v>
      </c>
      <c r="Y217" s="40"/>
      <c r="Z217" s="24">
        <v>6079853.9400000004</v>
      </c>
      <c r="AA217" s="24">
        <v>0</v>
      </c>
    </row>
    <row r="218" spans="1:27">
      <c r="A218" s="2" t="s">
        <v>101</v>
      </c>
      <c r="C218" s="31" t="s">
        <v>103</v>
      </c>
      <c r="D218" s="24">
        <v>0</v>
      </c>
      <c r="E218" s="40"/>
      <c r="F218" s="24">
        <v>0</v>
      </c>
      <c r="G218" s="40"/>
      <c r="H218" s="24">
        <v>0</v>
      </c>
      <c r="I218" s="40"/>
      <c r="J218" s="24">
        <v>0</v>
      </c>
      <c r="K218" s="40"/>
      <c r="L218" s="24">
        <v>0</v>
      </c>
      <c r="M218" s="40"/>
      <c r="N218" s="24">
        <v>0</v>
      </c>
      <c r="O218" s="40"/>
      <c r="P218" s="24">
        <v>0</v>
      </c>
      <c r="Q218" s="37"/>
      <c r="R218" s="38">
        <v>0</v>
      </c>
      <c r="S218" s="31"/>
      <c r="T218" s="38">
        <v>0</v>
      </c>
      <c r="U218" s="40"/>
      <c r="V218" s="24">
        <v>0</v>
      </c>
      <c r="W218" s="40"/>
      <c r="X218" s="24">
        <v>0</v>
      </c>
      <c r="Y218" s="40"/>
      <c r="Z218" s="24">
        <v>0</v>
      </c>
      <c r="AA218" s="24">
        <v>0</v>
      </c>
    </row>
    <row r="219" spans="1:27">
      <c r="A219" s="2" t="s">
        <v>101</v>
      </c>
      <c r="B219" s="2" t="str">
        <f t="shared" si="13"/>
        <v>391</v>
      </c>
      <c r="C219" s="31" t="s">
        <v>36</v>
      </c>
      <c r="D219" s="24">
        <v>0</v>
      </c>
      <c r="E219" s="40"/>
      <c r="F219" s="24">
        <v>0</v>
      </c>
      <c r="G219" s="40"/>
      <c r="H219" s="24">
        <v>0</v>
      </c>
      <c r="I219" s="40"/>
      <c r="J219" s="24">
        <v>0</v>
      </c>
      <c r="K219" s="40"/>
      <c r="L219" s="24">
        <v>0</v>
      </c>
      <c r="M219" s="40"/>
      <c r="N219" s="24">
        <v>0</v>
      </c>
      <c r="O219" s="40"/>
      <c r="P219" s="24">
        <v>0</v>
      </c>
      <c r="Q219" s="37"/>
      <c r="R219" s="38">
        <v>308.65000000000003</v>
      </c>
      <c r="S219" s="31"/>
      <c r="T219" s="38">
        <v>308.65000000000003</v>
      </c>
      <c r="U219" s="40"/>
      <c r="V219" s="24">
        <v>0</v>
      </c>
      <c r="W219" s="40"/>
      <c r="X219" s="24">
        <v>308.65000000000003</v>
      </c>
      <c r="Y219" s="40"/>
      <c r="Z219" s="24">
        <v>0</v>
      </c>
      <c r="AA219" s="24">
        <v>0</v>
      </c>
    </row>
    <row r="220" spans="1:27">
      <c r="A220" s="2" t="s">
        <v>101</v>
      </c>
      <c r="C220" s="31" t="s">
        <v>104</v>
      </c>
      <c r="D220" s="24">
        <v>0</v>
      </c>
      <c r="E220" s="40"/>
      <c r="F220" s="24">
        <v>0</v>
      </c>
      <c r="G220" s="40"/>
      <c r="H220" s="24">
        <v>0</v>
      </c>
      <c r="I220" s="40"/>
      <c r="J220" s="24">
        <v>0</v>
      </c>
      <c r="K220" s="40"/>
      <c r="L220" s="24">
        <v>0</v>
      </c>
      <c r="M220" s="40"/>
      <c r="N220" s="24">
        <v>0</v>
      </c>
      <c r="O220" s="40"/>
      <c r="P220" s="24">
        <v>0</v>
      </c>
      <c r="Q220" s="37"/>
      <c r="R220" s="38">
        <v>0</v>
      </c>
      <c r="S220" s="31"/>
      <c r="T220" s="38">
        <v>0</v>
      </c>
      <c r="U220" s="40"/>
      <c r="V220" s="24">
        <v>0</v>
      </c>
      <c r="W220" s="40"/>
      <c r="X220" s="24">
        <v>0</v>
      </c>
      <c r="Y220" s="40"/>
      <c r="Z220" s="24">
        <v>0</v>
      </c>
      <c r="AA220" s="24">
        <v>0</v>
      </c>
    </row>
    <row r="221" spans="1:27">
      <c r="A221" s="2" t="s">
        <v>101</v>
      </c>
      <c r="B221" s="2" t="str">
        <f t="shared" si="13"/>
        <v>392</v>
      </c>
      <c r="C221" s="31" t="s">
        <v>40</v>
      </c>
      <c r="D221" s="24">
        <v>14946.400000000001</v>
      </c>
      <c r="E221" s="40"/>
      <c r="F221" s="24">
        <v>0</v>
      </c>
      <c r="G221" s="40"/>
      <c r="H221" s="24">
        <v>0</v>
      </c>
      <c r="I221" s="40"/>
      <c r="J221" s="24">
        <v>0</v>
      </c>
      <c r="K221" s="40"/>
      <c r="L221" s="24">
        <v>0</v>
      </c>
      <c r="M221" s="40"/>
      <c r="N221" s="24">
        <v>14946.400000000001</v>
      </c>
      <c r="O221" s="40"/>
      <c r="P221" s="24">
        <v>14946.400000000001</v>
      </c>
      <c r="Q221" s="37"/>
      <c r="R221" s="38">
        <v>-503.02210672000001</v>
      </c>
      <c r="S221" s="31"/>
      <c r="T221" s="38">
        <v>14443.377893280001</v>
      </c>
      <c r="U221" s="40"/>
      <c r="V221" s="24">
        <v>0</v>
      </c>
      <c r="W221" s="40"/>
      <c r="X221" s="24">
        <v>-503.02210672000001</v>
      </c>
      <c r="Y221" s="40"/>
      <c r="Z221" s="24">
        <v>14946.400000000001</v>
      </c>
      <c r="AA221" s="24">
        <v>0</v>
      </c>
    </row>
    <row r="222" spans="1:27">
      <c r="A222" s="2" t="s">
        <v>101</v>
      </c>
      <c r="B222" s="2" t="str">
        <f t="shared" si="13"/>
        <v>393</v>
      </c>
      <c r="C222" s="31" t="s">
        <v>42</v>
      </c>
      <c r="D222" s="24">
        <v>876.55000000000007</v>
      </c>
      <c r="E222" s="40"/>
      <c r="F222" s="24">
        <v>0</v>
      </c>
      <c r="G222" s="40"/>
      <c r="H222" s="24">
        <v>0</v>
      </c>
      <c r="I222" s="40"/>
      <c r="J222" s="24">
        <v>0</v>
      </c>
      <c r="K222" s="40"/>
      <c r="L222" s="24">
        <v>0</v>
      </c>
      <c r="M222" s="40"/>
      <c r="N222" s="24">
        <v>876.55000000000007</v>
      </c>
      <c r="O222" s="40"/>
      <c r="P222" s="24">
        <v>876.55000000000007</v>
      </c>
      <c r="Q222" s="37"/>
      <c r="R222" s="38">
        <v>-241.37957500399904</v>
      </c>
      <c r="S222" s="31"/>
      <c r="T222" s="38">
        <v>635.17042499600097</v>
      </c>
      <c r="U222" s="40"/>
      <c r="V222" s="24">
        <v>0</v>
      </c>
      <c r="W222" s="40"/>
      <c r="X222" s="24">
        <v>-241.37957500399904</v>
      </c>
      <c r="Y222" s="40"/>
      <c r="Z222" s="24">
        <v>876.55000000000007</v>
      </c>
      <c r="AA222" s="24">
        <v>0</v>
      </c>
    </row>
    <row r="223" spans="1:27" s="9" customFormat="1">
      <c r="A223" s="2" t="s">
        <v>101</v>
      </c>
      <c r="B223" s="2" t="str">
        <f>MID(C223,2,3)</f>
        <v>394</v>
      </c>
      <c r="C223" s="31" t="s">
        <v>43</v>
      </c>
      <c r="D223" s="24">
        <v>686936.49</v>
      </c>
      <c r="E223" s="40"/>
      <c r="F223" s="24">
        <v>41035.200000000004</v>
      </c>
      <c r="G223" s="40"/>
      <c r="H223" s="24">
        <v>-12996.19999999999</v>
      </c>
      <c r="I223" s="40"/>
      <c r="J223" s="24">
        <v>0</v>
      </c>
      <c r="K223" s="40"/>
      <c r="L223" s="24">
        <v>28039.000000000015</v>
      </c>
      <c r="M223" s="40"/>
      <c r="N223" s="24">
        <v>714975.49</v>
      </c>
      <c r="O223" s="40"/>
      <c r="P223" s="24">
        <v>703629.37923076923</v>
      </c>
      <c r="Q223" s="37"/>
      <c r="R223" s="38">
        <v>-235619.28051784617</v>
      </c>
      <c r="S223" s="31"/>
      <c r="T223" s="38">
        <v>468010.09871292306</v>
      </c>
      <c r="U223" s="40"/>
      <c r="V223" s="24">
        <v>0</v>
      </c>
      <c r="W223" s="40"/>
      <c r="X223" s="24">
        <v>-235619.28051784617</v>
      </c>
      <c r="Y223" s="40"/>
      <c r="Z223" s="24">
        <v>714975.49</v>
      </c>
      <c r="AA223" s="24">
        <v>0</v>
      </c>
    </row>
    <row r="224" spans="1:27">
      <c r="A224" s="2" t="s">
        <v>101</v>
      </c>
      <c r="B224" s="2" t="str">
        <f>MID(C224,2,3)</f>
        <v>395</v>
      </c>
      <c r="C224" s="31" t="s">
        <v>44</v>
      </c>
      <c r="D224" s="24">
        <v>0</v>
      </c>
      <c r="E224" s="40"/>
      <c r="F224" s="24">
        <v>0</v>
      </c>
      <c r="G224" s="40"/>
      <c r="H224" s="24">
        <v>0</v>
      </c>
      <c r="I224" s="40"/>
      <c r="J224" s="24">
        <v>0</v>
      </c>
      <c r="K224" s="40"/>
      <c r="L224" s="24">
        <v>0</v>
      </c>
      <c r="M224" s="40"/>
      <c r="N224" s="24">
        <v>0</v>
      </c>
      <c r="O224" s="40"/>
      <c r="P224" s="24">
        <v>0</v>
      </c>
      <c r="Q224" s="37"/>
      <c r="R224" s="38">
        <v>0</v>
      </c>
      <c r="S224" s="31"/>
      <c r="T224" s="38">
        <v>0</v>
      </c>
      <c r="U224" s="40"/>
      <c r="V224" s="24">
        <v>0</v>
      </c>
      <c r="W224" s="40"/>
      <c r="X224" s="24">
        <v>0</v>
      </c>
      <c r="Y224" s="40"/>
      <c r="Z224" s="24">
        <v>0</v>
      </c>
      <c r="AA224" s="24">
        <v>0</v>
      </c>
    </row>
    <row r="225" spans="1:27">
      <c r="A225" s="2" t="s">
        <v>101</v>
      </c>
      <c r="B225" s="2" t="str">
        <f>MID(C225,2,3)</f>
        <v>396</v>
      </c>
      <c r="C225" s="31" t="s">
        <v>2490</v>
      </c>
      <c r="D225" s="24">
        <v>282277.26</v>
      </c>
      <c r="E225" s="40"/>
      <c r="F225" s="24">
        <v>0</v>
      </c>
      <c r="G225" s="40"/>
      <c r="H225" s="24">
        <v>0</v>
      </c>
      <c r="I225" s="40"/>
      <c r="J225" s="24">
        <v>0</v>
      </c>
      <c r="K225" s="40"/>
      <c r="L225" s="24">
        <v>0</v>
      </c>
      <c r="M225" s="40"/>
      <c r="N225" s="24">
        <v>282277.26</v>
      </c>
      <c r="O225" s="40"/>
      <c r="P225" s="24">
        <v>282277.25999999995</v>
      </c>
      <c r="Q225" s="37"/>
      <c r="R225" s="38">
        <v>-143508.34692800001</v>
      </c>
      <c r="S225" s="31"/>
      <c r="T225" s="38">
        <v>138768.91307199994</v>
      </c>
      <c r="U225" s="40"/>
      <c r="V225" s="24">
        <v>0</v>
      </c>
      <c r="W225" s="40"/>
      <c r="X225" s="24">
        <v>-143508.34692800001</v>
      </c>
      <c r="Y225" s="40"/>
      <c r="Z225" s="24">
        <v>282277.26</v>
      </c>
      <c r="AA225" s="24">
        <v>0</v>
      </c>
    </row>
    <row r="226" spans="1:27">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40"/>
      <c r="P226" s="24">
        <v>980098.61000000034</v>
      </c>
      <c r="Q226" s="37"/>
      <c r="R226" s="38">
        <v>-764942.31415999995</v>
      </c>
      <c r="S226" s="31"/>
      <c r="T226" s="38">
        <v>215156.29584000038</v>
      </c>
      <c r="U226" s="40"/>
      <c r="V226" s="24">
        <v>0</v>
      </c>
      <c r="W226" s="40"/>
      <c r="X226" s="24">
        <v>-764942.31415999995</v>
      </c>
      <c r="Y226" s="40"/>
      <c r="Z226" s="24">
        <v>980098.61</v>
      </c>
      <c r="AA226" s="24">
        <v>0</v>
      </c>
    </row>
    <row r="227" spans="1:27">
      <c r="A227" s="2" t="s">
        <v>101</v>
      </c>
      <c r="C227" s="5" t="s">
        <v>2191</v>
      </c>
      <c r="D227" s="17">
        <v>0</v>
      </c>
      <c r="E227" s="43"/>
      <c r="F227" s="17">
        <v>0</v>
      </c>
      <c r="G227" s="43"/>
      <c r="H227" s="17">
        <v>0</v>
      </c>
      <c r="I227" s="43"/>
      <c r="J227" s="17">
        <v>0</v>
      </c>
      <c r="K227" s="43"/>
      <c r="L227" s="17">
        <v>0</v>
      </c>
      <c r="M227" s="43"/>
      <c r="N227" s="17">
        <v>0</v>
      </c>
      <c r="O227" s="43"/>
      <c r="P227" s="17">
        <v>0</v>
      </c>
      <c r="Q227" s="39"/>
      <c r="R227" s="13">
        <v>0</v>
      </c>
      <c r="S227" s="5"/>
      <c r="T227" s="13">
        <v>0</v>
      </c>
      <c r="U227" s="43"/>
      <c r="V227" s="17">
        <v>0</v>
      </c>
      <c r="W227" s="43"/>
      <c r="X227" s="17">
        <v>0</v>
      </c>
      <c r="Y227" s="43"/>
      <c r="Z227" s="17">
        <v>0</v>
      </c>
      <c r="AA227" s="17">
        <v>0</v>
      </c>
    </row>
    <row r="228" spans="1:27">
      <c r="A228" s="2" t="s">
        <v>101</v>
      </c>
      <c r="B228" s="2" t="str">
        <f t="shared" si="14"/>
        <v>398</v>
      </c>
      <c r="C228" s="31" t="s">
        <v>46</v>
      </c>
      <c r="D228" s="41">
        <v>0</v>
      </c>
      <c r="E228" s="40"/>
      <c r="F228" s="41">
        <v>0</v>
      </c>
      <c r="G228" s="40"/>
      <c r="H228" s="41">
        <v>0</v>
      </c>
      <c r="I228" s="40"/>
      <c r="J228" s="41">
        <v>0</v>
      </c>
      <c r="K228" s="40"/>
      <c r="L228" s="41">
        <v>0</v>
      </c>
      <c r="M228" s="40"/>
      <c r="N228" s="41">
        <v>0</v>
      </c>
      <c r="O228" s="40"/>
      <c r="P228" s="41">
        <v>0</v>
      </c>
      <c r="Q228" s="37"/>
      <c r="R228" s="42">
        <v>0</v>
      </c>
      <c r="S228" s="31"/>
      <c r="T228" s="42">
        <v>0</v>
      </c>
      <c r="U228" s="40"/>
      <c r="V228" s="41">
        <v>0</v>
      </c>
      <c r="W228" s="40"/>
      <c r="X228" s="41">
        <v>0</v>
      </c>
      <c r="Y228" s="40"/>
      <c r="Z228" s="41">
        <v>0</v>
      </c>
      <c r="AA228" s="41">
        <v>0</v>
      </c>
    </row>
    <row r="229" spans="1:27">
      <c r="C229" s="31"/>
      <c r="D229" s="24">
        <v>4120295.8599999989</v>
      </c>
      <c r="E229" s="40"/>
      <c r="F229" s="24">
        <v>4957644.78</v>
      </c>
      <c r="G229" s="40"/>
      <c r="H229" s="24">
        <v>-12996.19999999999</v>
      </c>
      <c r="I229" s="40"/>
      <c r="J229" s="24">
        <v>0</v>
      </c>
      <c r="K229" s="40"/>
      <c r="L229" s="24">
        <v>4944648.58</v>
      </c>
      <c r="M229" s="40"/>
      <c r="N229" s="24">
        <v>9064944.4399999995</v>
      </c>
      <c r="O229" s="40"/>
      <c r="P229" s="24">
        <v>7950825.9753846154</v>
      </c>
      <c r="Q229" s="37"/>
      <c r="R229" s="24">
        <v>-1576397.5806752928</v>
      </c>
      <c r="S229" s="31"/>
      <c r="T229" s="24">
        <v>6374428.3947093235</v>
      </c>
      <c r="U229" s="40"/>
      <c r="V229" s="17">
        <v>0</v>
      </c>
      <c r="W229" s="40"/>
      <c r="X229" s="24">
        <v>-1576397.5806752928</v>
      </c>
      <c r="Y229" s="40">
        <v>0</v>
      </c>
      <c r="Z229" s="24">
        <v>9064944.4400000013</v>
      </c>
      <c r="AA229" s="24">
        <v>0</v>
      </c>
    </row>
    <row r="230" spans="1:27">
      <c r="C230" s="31"/>
      <c r="D230" s="24"/>
      <c r="E230" s="40"/>
      <c r="F230" s="24"/>
      <c r="G230" s="40"/>
      <c r="H230" s="24"/>
      <c r="I230" s="40"/>
      <c r="J230" s="24"/>
      <c r="K230" s="40"/>
      <c r="L230" s="24"/>
      <c r="M230" s="40"/>
      <c r="N230" s="24"/>
      <c r="O230" s="40"/>
      <c r="P230" s="24"/>
      <c r="Q230" s="37"/>
      <c r="R230" s="31"/>
      <c r="S230" s="31"/>
      <c r="T230" s="31"/>
      <c r="U230" s="40"/>
      <c r="V230" s="24"/>
      <c r="W230" s="40"/>
      <c r="X230" s="24"/>
      <c r="Y230" s="40"/>
      <c r="Z230" s="24"/>
      <c r="AA230" s="24"/>
    </row>
    <row r="231" spans="1:27">
      <c r="C231" s="34" t="s">
        <v>56</v>
      </c>
      <c r="D231" s="24"/>
      <c r="E231" s="40"/>
      <c r="F231" s="24"/>
      <c r="G231" s="40"/>
      <c r="H231" s="24"/>
      <c r="I231" s="40"/>
      <c r="J231" s="24"/>
      <c r="K231" s="40"/>
      <c r="L231" s="24"/>
      <c r="M231" s="40"/>
      <c r="N231" s="24"/>
      <c r="O231" s="40"/>
      <c r="P231" s="24"/>
      <c r="Q231" s="37"/>
      <c r="R231" s="31"/>
      <c r="S231" s="31"/>
      <c r="T231" s="31"/>
      <c r="U231" s="40"/>
      <c r="V231" s="24"/>
      <c r="W231" s="40"/>
      <c r="X231" s="24"/>
      <c r="Y231" s="40"/>
      <c r="Z231" s="24"/>
      <c r="AA231" s="24"/>
    </row>
    <row r="232" spans="1:27">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40"/>
      <c r="P232" s="41">
        <v>5338.69</v>
      </c>
      <c r="Q232" s="37"/>
      <c r="R232" s="42">
        <v>0</v>
      </c>
      <c r="S232" s="31"/>
      <c r="T232" s="42">
        <v>5338.69</v>
      </c>
      <c r="U232" s="40"/>
      <c r="V232" s="41"/>
      <c r="W232" s="40"/>
      <c r="X232" s="41">
        <v>0</v>
      </c>
      <c r="Y232" s="40"/>
      <c r="Z232" s="41">
        <v>5338.69</v>
      </c>
      <c r="AA232" s="41">
        <v>0</v>
      </c>
    </row>
    <row r="233" spans="1:27">
      <c r="C233" s="31"/>
      <c r="D233" s="24">
        <v>5338.69</v>
      </c>
      <c r="E233" s="40"/>
      <c r="F233" s="24">
        <v>0</v>
      </c>
      <c r="G233" s="40"/>
      <c r="H233" s="24">
        <v>0</v>
      </c>
      <c r="I233" s="40"/>
      <c r="J233" s="24">
        <v>0</v>
      </c>
      <c r="K233" s="40"/>
      <c r="L233" s="24">
        <v>0</v>
      </c>
      <c r="M233" s="40"/>
      <c r="N233" s="24">
        <v>5338.69</v>
      </c>
      <c r="O233" s="40"/>
      <c r="P233" s="24">
        <v>5338.69</v>
      </c>
      <c r="Q233" s="37"/>
      <c r="R233" s="24">
        <v>0</v>
      </c>
      <c r="S233" s="31"/>
      <c r="T233" s="24">
        <v>5338.69</v>
      </c>
      <c r="U233" s="40"/>
      <c r="V233" s="24">
        <v>0</v>
      </c>
      <c r="W233" s="40"/>
      <c r="X233" s="24">
        <v>0</v>
      </c>
      <c r="Y233" s="40">
        <v>0</v>
      </c>
      <c r="Z233" s="24">
        <v>5338.69</v>
      </c>
      <c r="AA233" s="24">
        <v>0</v>
      </c>
    </row>
    <row r="234" spans="1:27">
      <c r="C234" s="31"/>
      <c r="D234" s="24"/>
      <c r="E234" s="40"/>
      <c r="F234" s="24"/>
      <c r="G234" s="40"/>
      <c r="H234" s="24"/>
      <c r="I234" s="40"/>
      <c r="J234" s="24"/>
      <c r="K234" s="40"/>
      <c r="L234" s="24"/>
      <c r="M234" s="40"/>
      <c r="N234" s="24"/>
      <c r="O234" s="40"/>
      <c r="P234" s="24"/>
      <c r="Q234" s="37"/>
      <c r="R234" s="31"/>
      <c r="S234" s="31"/>
      <c r="T234" s="31"/>
      <c r="U234" s="40"/>
      <c r="V234" s="24"/>
      <c r="W234" s="40"/>
      <c r="X234" s="24"/>
      <c r="Y234" s="40"/>
      <c r="Z234" s="24"/>
      <c r="AA234" s="24"/>
    </row>
    <row r="235" spans="1:27">
      <c r="C235" s="34" t="s">
        <v>84</v>
      </c>
      <c r="D235" s="24"/>
      <c r="E235" s="40"/>
      <c r="F235" s="24"/>
      <c r="G235" s="40"/>
      <c r="H235" s="24"/>
      <c r="I235" s="40"/>
      <c r="J235" s="24"/>
      <c r="K235" s="40"/>
      <c r="L235" s="24"/>
      <c r="M235" s="40"/>
      <c r="N235" s="24"/>
      <c r="O235" s="40"/>
      <c r="P235" s="24"/>
      <c r="Q235" s="37"/>
      <c r="R235" s="31"/>
      <c r="S235" s="31"/>
      <c r="T235" s="31"/>
      <c r="U235" s="40"/>
      <c r="V235" s="24"/>
      <c r="W235" s="40"/>
      <c r="X235" s="24"/>
      <c r="Y235" s="40"/>
      <c r="Z235" s="24"/>
      <c r="AA235" s="24"/>
    </row>
    <row r="236" spans="1:27">
      <c r="A236" s="2" t="s">
        <v>101</v>
      </c>
      <c r="B236" s="2" t="str">
        <f t="shared" ref="B236:B244" si="16">MID(C236,2,3)</f>
        <v>350</v>
      </c>
      <c r="C236" s="31" t="s">
        <v>85</v>
      </c>
      <c r="D236" s="24">
        <v>2265176.1</v>
      </c>
      <c r="E236" s="40"/>
      <c r="F236" s="24">
        <v>315870.86</v>
      </c>
      <c r="G236" s="40"/>
      <c r="H236" s="24">
        <v>0</v>
      </c>
      <c r="I236" s="40"/>
      <c r="J236" s="24">
        <v>0</v>
      </c>
      <c r="K236" s="40"/>
      <c r="L236" s="24">
        <v>315870.86</v>
      </c>
      <c r="M236" s="40"/>
      <c r="N236" s="24">
        <v>2581046.96</v>
      </c>
      <c r="O236" s="40"/>
      <c r="P236" s="24">
        <v>2386664.8923076922</v>
      </c>
      <c r="Q236" s="37"/>
      <c r="R236" s="38">
        <v>-1980862.6768799999</v>
      </c>
      <c r="S236" s="31"/>
      <c r="T236" s="38">
        <v>405802.21542769228</v>
      </c>
      <c r="U236" s="40"/>
      <c r="V236" s="17">
        <v>21074.813050942223</v>
      </c>
      <c r="W236" s="43"/>
      <c r="X236" s="17">
        <v>-1959787.8638290577</v>
      </c>
      <c r="Y236" s="43"/>
      <c r="Z236" s="17">
        <v>2581046.96</v>
      </c>
      <c r="AA236" s="17">
        <v>0</v>
      </c>
    </row>
    <row r="237" spans="1:27">
      <c r="A237" s="2" t="s">
        <v>101</v>
      </c>
      <c r="C237" s="31" t="s">
        <v>86</v>
      </c>
      <c r="D237" s="24">
        <v>0</v>
      </c>
      <c r="E237" s="40"/>
      <c r="F237" s="24">
        <v>0</v>
      </c>
      <c r="G237" s="40"/>
      <c r="H237" s="24">
        <v>0</v>
      </c>
      <c r="I237" s="40"/>
      <c r="J237" s="24">
        <v>0</v>
      </c>
      <c r="K237" s="40"/>
      <c r="L237" s="24">
        <v>0</v>
      </c>
      <c r="M237" s="40"/>
      <c r="N237" s="24">
        <v>0</v>
      </c>
      <c r="O237" s="40"/>
      <c r="P237" s="24">
        <v>0</v>
      </c>
      <c r="Q237" s="37"/>
      <c r="R237" s="38">
        <v>0</v>
      </c>
      <c r="S237" s="31"/>
      <c r="T237" s="38">
        <v>0</v>
      </c>
      <c r="U237" s="40"/>
      <c r="V237" s="24">
        <v>0</v>
      </c>
      <c r="W237" s="40"/>
      <c r="X237" s="24">
        <v>0</v>
      </c>
      <c r="Y237" s="40"/>
      <c r="Z237" s="24">
        <v>0</v>
      </c>
      <c r="AA237" s="24">
        <v>0</v>
      </c>
    </row>
    <row r="238" spans="1:27">
      <c r="A238" s="2" t="s">
        <v>101</v>
      </c>
      <c r="B238" s="2" t="str">
        <f t="shared" si="16"/>
        <v>352</v>
      </c>
      <c r="C238" s="31" t="s">
        <v>87</v>
      </c>
      <c r="D238" s="24">
        <v>1743198.88</v>
      </c>
      <c r="E238" s="40"/>
      <c r="F238" s="24">
        <v>0</v>
      </c>
      <c r="G238" s="40"/>
      <c r="H238" s="24">
        <v>0</v>
      </c>
      <c r="I238" s="40"/>
      <c r="J238" s="24">
        <v>0</v>
      </c>
      <c r="K238" s="40"/>
      <c r="L238" s="24">
        <v>0</v>
      </c>
      <c r="M238" s="40"/>
      <c r="N238" s="24">
        <v>1743198.88</v>
      </c>
      <c r="O238" s="40"/>
      <c r="P238" s="24">
        <v>1743198.88</v>
      </c>
      <c r="Q238" s="37"/>
      <c r="R238" s="38">
        <v>-839968.70187199826</v>
      </c>
      <c r="S238" s="31"/>
      <c r="T238" s="38">
        <v>903230.17812800163</v>
      </c>
      <c r="U238" s="40"/>
      <c r="V238" s="24">
        <v>0</v>
      </c>
      <c r="W238" s="40"/>
      <c r="X238" s="24">
        <v>-839968.70187199826</v>
      </c>
      <c r="Y238" s="40"/>
      <c r="Z238" s="24">
        <v>1743198.88</v>
      </c>
      <c r="AA238" s="24">
        <v>0</v>
      </c>
    </row>
    <row r="239" spans="1:27" s="9" customFormat="1">
      <c r="A239" s="2" t="s">
        <v>101</v>
      </c>
      <c r="B239" s="2" t="str">
        <f t="shared" si="16"/>
        <v>353</v>
      </c>
      <c r="C239" s="31" t="s">
        <v>89</v>
      </c>
      <c r="D239" s="24">
        <v>22952135.109999999</v>
      </c>
      <c r="E239" s="40"/>
      <c r="F239" s="24">
        <v>0</v>
      </c>
      <c r="G239" s="40"/>
      <c r="H239" s="24">
        <v>0</v>
      </c>
      <c r="I239" s="40"/>
      <c r="J239" s="24">
        <v>0</v>
      </c>
      <c r="K239" s="40"/>
      <c r="L239" s="24">
        <v>0</v>
      </c>
      <c r="M239" s="40"/>
      <c r="N239" s="24">
        <v>22952135.109999999</v>
      </c>
      <c r="O239" s="40"/>
      <c r="P239" s="24">
        <v>22952135.109999996</v>
      </c>
      <c r="Q239" s="37"/>
      <c r="R239" s="38">
        <v>-8680622.4395215735</v>
      </c>
      <c r="S239" s="31"/>
      <c r="T239" s="38">
        <v>14271512.670478422</v>
      </c>
      <c r="U239" s="40"/>
      <c r="V239" s="24">
        <v>0</v>
      </c>
      <c r="W239" s="40"/>
      <c r="X239" s="24">
        <v>-8680622.4395215735</v>
      </c>
      <c r="Y239" s="40"/>
      <c r="Z239" s="24">
        <v>22952135.109999999</v>
      </c>
      <c r="AA239" s="24">
        <v>0</v>
      </c>
    </row>
    <row r="240" spans="1:27"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40"/>
      <c r="P240" s="24">
        <v>7181081.3000000007</v>
      </c>
      <c r="Q240" s="37"/>
      <c r="R240" s="38">
        <v>-5257056.0686239908</v>
      </c>
      <c r="S240" s="31"/>
      <c r="T240" s="38">
        <v>1924025.23137601</v>
      </c>
      <c r="U240" s="40"/>
      <c r="V240" s="24">
        <v>0</v>
      </c>
      <c r="W240" s="40"/>
      <c r="X240" s="24">
        <v>-5257056.0686239908</v>
      </c>
      <c r="Y240" s="40"/>
      <c r="Z240" s="24">
        <v>7181081.2999999998</v>
      </c>
      <c r="AA240" s="24">
        <v>0</v>
      </c>
    </row>
    <row r="241" spans="1:27">
      <c r="A241" s="2" t="s">
        <v>101</v>
      </c>
      <c r="B241" s="2" t="str">
        <f t="shared" si="16"/>
        <v>355</v>
      </c>
      <c r="C241" s="31" t="s">
        <v>93</v>
      </c>
      <c r="D241" s="24">
        <v>14620662.34</v>
      </c>
      <c r="E241" s="40"/>
      <c r="F241" s="24">
        <v>504496.35000000003</v>
      </c>
      <c r="G241" s="40"/>
      <c r="H241" s="24">
        <v>0</v>
      </c>
      <c r="I241" s="40"/>
      <c r="J241" s="24">
        <v>0</v>
      </c>
      <c r="K241" s="40"/>
      <c r="L241" s="24">
        <v>504496.35000000003</v>
      </c>
      <c r="M241" s="40"/>
      <c r="N241" s="24">
        <v>15125158.689999999</v>
      </c>
      <c r="O241" s="40"/>
      <c r="P241" s="24">
        <v>15047543.866923079</v>
      </c>
      <c r="Q241" s="37"/>
      <c r="R241" s="38">
        <v>-5052509.6851647636</v>
      </c>
      <c r="S241" s="31"/>
      <c r="T241" s="38">
        <v>9995034.1817583144</v>
      </c>
      <c r="U241" s="40"/>
      <c r="V241" s="24">
        <v>33659.851564442244</v>
      </c>
      <c r="W241" s="40"/>
      <c r="X241" s="24">
        <v>-5018849.8336003218</v>
      </c>
      <c r="Y241" s="40"/>
      <c r="Z241" s="24">
        <v>15125158.689999999</v>
      </c>
      <c r="AA241" s="24">
        <v>0</v>
      </c>
    </row>
    <row r="242" spans="1:27">
      <c r="A242" s="2" t="s">
        <v>101</v>
      </c>
      <c r="B242" s="2" t="str">
        <f t="shared" si="16"/>
        <v>356</v>
      </c>
      <c r="C242" s="31" t="s">
        <v>94</v>
      </c>
      <c r="D242" s="24">
        <v>18696279.539999999</v>
      </c>
      <c r="E242" s="40"/>
      <c r="F242" s="24">
        <v>0</v>
      </c>
      <c r="G242" s="40"/>
      <c r="H242" s="24">
        <v>0</v>
      </c>
      <c r="I242" s="40"/>
      <c r="J242" s="24">
        <v>0</v>
      </c>
      <c r="K242" s="40"/>
      <c r="L242" s="24">
        <v>0</v>
      </c>
      <c r="M242" s="40"/>
      <c r="N242" s="24">
        <v>18696279.539999999</v>
      </c>
      <c r="O242" s="40"/>
      <c r="P242" s="24">
        <v>18696279.539999995</v>
      </c>
      <c r="Q242" s="37"/>
      <c r="R242" s="38">
        <v>-10925763.3371519</v>
      </c>
      <c r="S242" s="31"/>
      <c r="T242" s="38">
        <v>7770516.2028480954</v>
      </c>
      <c r="U242" s="40"/>
      <c r="V242" s="24">
        <v>0</v>
      </c>
      <c r="W242" s="40"/>
      <c r="X242" s="24">
        <v>-10925763.3371519</v>
      </c>
      <c r="Y242" s="40"/>
      <c r="Z242" s="24">
        <v>18696279.539999999</v>
      </c>
      <c r="AA242" s="24">
        <v>0</v>
      </c>
    </row>
    <row r="243" spans="1:27">
      <c r="A243" s="2" t="s">
        <v>101</v>
      </c>
      <c r="B243" s="2" t="str">
        <f t="shared" si="16"/>
        <v>357</v>
      </c>
      <c r="C243" s="5" t="s">
        <v>95</v>
      </c>
      <c r="D243" s="17">
        <v>0</v>
      </c>
      <c r="E243" s="43"/>
      <c r="F243" s="17">
        <v>0</v>
      </c>
      <c r="G243" s="43"/>
      <c r="H243" s="17">
        <v>0</v>
      </c>
      <c r="I243" s="43"/>
      <c r="J243" s="17">
        <v>0</v>
      </c>
      <c r="K243" s="43"/>
      <c r="L243" s="17">
        <v>0</v>
      </c>
      <c r="M243" s="43"/>
      <c r="N243" s="17">
        <v>0</v>
      </c>
      <c r="O243" s="43"/>
      <c r="P243" s="17">
        <v>0</v>
      </c>
      <c r="Q243" s="39"/>
      <c r="R243" s="13">
        <v>0</v>
      </c>
      <c r="S243" s="5"/>
      <c r="T243" s="13">
        <v>0</v>
      </c>
      <c r="U243" s="43"/>
      <c r="V243" s="17">
        <v>0</v>
      </c>
      <c r="W243" s="43"/>
      <c r="X243" s="17">
        <v>0</v>
      </c>
      <c r="Y243" s="43"/>
      <c r="Z243" s="17">
        <v>0</v>
      </c>
      <c r="AA243" s="17">
        <v>0</v>
      </c>
    </row>
    <row r="244" spans="1:27">
      <c r="A244" s="2" t="s">
        <v>101</v>
      </c>
      <c r="B244" s="2" t="str">
        <f t="shared" si="16"/>
        <v>358</v>
      </c>
      <c r="C244" s="5" t="s">
        <v>105</v>
      </c>
      <c r="D244" s="20">
        <v>0</v>
      </c>
      <c r="E244" s="43"/>
      <c r="F244" s="20">
        <v>0</v>
      </c>
      <c r="G244" s="43"/>
      <c r="H244" s="20">
        <v>0</v>
      </c>
      <c r="I244" s="43"/>
      <c r="J244" s="20">
        <v>0</v>
      </c>
      <c r="K244" s="43"/>
      <c r="L244" s="20">
        <v>0</v>
      </c>
      <c r="M244" s="43"/>
      <c r="N244" s="20">
        <v>0</v>
      </c>
      <c r="O244" s="43"/>
      <c r="P244" s="20">
        <v>0</v>
      </c>
      <c r="Q244" s="39"/>
      <c r="R244" s="21">
        <v>0</v>
      </c>
      <c r="S244" s="5"/>
      <c r="T244" s="21">
        <v>0</v>
      </c>
      <c r="U244" s="43"/>
      <c r="V244" s="20">
        <v>0</v>
      </c>
      <c r="W244" s="43"/>
      <c r="X244" s="20">
        <v>0</v>
      </c>
      <c r="Y244" s="43"/>
      <c r="Z244" s="20">
        <v>0</v>
      </c>
      <c r="AA244" s="20">
        <v>0</v>
      </c>
    </row>
    <row r="245" spans="1:27">
      <c r="C245" s="31"/>
      <c r="D245" s="24">
        <v>67458533.270000011</v>
      </c>
      <c r="E245" s="40"/>
      <c r="F245" s="24">
        <v>820367.21</v>
      </c>
      <c r="G245" s="40"/>
      <c r="H245" s="24">
        <v>0</v>
      </c>
      <c r="I245" s="40"/>
      <c r="J245" s="24">
        <v>0</v>
      </c>
      <c r="K245" s="40"/>
      <c r="L245" s="24">
        <v>820367.21</v>
      </c>
      <c r="M245" s="40"/>
      <c r="N245" s="24">
        <v>68278900.479999989</v>
      </c>
      <c r="O245" s="40"/>
      <c r="P245" s="24">
        <v>68006903.589230761</v>
      </c>
      <c r="Q245" s="37"/>
      <c r="R245" s="24">
        <v>-32736782.909214228</v>
      </c>
      <c r="S245" s="31"/>
      <c r="T245" s="24">
        <v>35270120.680016533</v>
      </c>
      <c r="U245" s="40"/>
      <c r="V245" s="17">
        <v>54734.664615384463</v>
      </c>
      <c r="W245" s="40"/>
      <c r="X245" s="24">
        <v>-32682048.244598843</v>
      </c>
      <c r="Y245" s="40">
        <v>0</v>
      </c>
      <c r="Z245" s="24">
        <v>68278900.479999989</v>
      </c>
      <c r="AA245" s="24">
        <v>0</v>
      </c>
    </row>
    <row r="246" spans="1:27">
      <c r="C246" s="31"/>
      <c r="D246" s="24"/>
      <c r="E246" s="37"/>
      <c r="F246" s="24"/>
      <c r="G246" s="37"/>
      <c r="H246" s="24"/>
      <c r="I246" s="37"/>
      <c r="J246" s="24"/>
      <c r="K246" s="37"/>
      <c r="L246" s="24"/>
      <c r="M246" s="37"/>
      <c r="N246" s="24"/>
      <c r="O246" s="37"/>
      <c r="P246" s="24"/>
      <c r="Q246" s="37"/>
      <c r="R246" s="31"/>
      <c r="S246" s="31"/>
      <c r="T246" s="31"/>
      <c r="U246" s="37"/>
      <c r="V246" s="24"/>
      <c r="W246" s="37"/>
      <c r="X246" s="24"/>
      <c r="Y246" s="37"/>
      <c r="Z246" s="24"/>
      <c r="AA246" s="24"/>
    </row>
    <row r="247" spans="1:27" s="29" customFormat="1">
      <c r="C247" s="31"/>
      <c r="D247" s="26"/>
      <c r="E247" s="37"/>
      <c r="F247" s="26"/>
      <c r="G247" s="37"/>
      <c r="H247" s="26"/>
      <c r="I247" s="37"/>
      <c r="J247" s="26"/>
      <c r="K247" s="37"/>
      <c r="L247" s="26"/>
      <c r="M247" s="37"/>
      <c r="N247" s="26"/>
      <c r="O247" s="37"/>
      <c r="P247" s="26"/>
      <c r="Q247" s="37"/>
      <c r="R247" s="31"/>
      <c r="S247" s="31"/>
      <c r="T247" s="31"/>
      <c r="U247" s="37"/>
      <c r="V247" s="26"/>
      <c r="W247" s="37"/>
      <c r="X247" s="26"/>
      <c r="Y247" s="37"/>
      <c r="Z247" s="26"/>
      <c r="AA247" s="26"/>
    </row>
    <row r="248" spans="1:27" s="29" customFormat="1" ht="13.5" thickBot="1">
      <c r="C248" s="34" t="s">
        <v>106</v>
      </c>
      <c r="D248" s="44">
        <v>169720171.48999983</v>
      </c>
      <c r="E248" s="40"/>
      <c r="F248" s="44">
        <v>8619505.3599999994</v>
      </c>
      <c r="G248" s="40"/>
      <c r="H248" s="44">
        <v>-12996.19999999999</v>
      </c>
      <c r="I248" s="40"/>
      <c r="J248" s="44">
        <v>0</v>
      </c>
      <c r="K248" s="40"/>
      <c r="L248" s="44">
        <v>8606509.1600000001</v>
      </c>
      <c r="M248" s="40"/>
      <c r="N248" s="44">
        <v>178326680.6499998</v>
      </c>
      <c r="O248" s="40"/>
      <c r="P248" s="44">
        <v>175630127.37307674</v>
      </c>
      <c r="Q248" s="40"/>
      <c r="R248" s="44">
        <v>-76561572.766533151</v>
      </c>
      <c r="S248" s="31"/>
      <c r="T248" s="44">
        <v>99068554.606543586</v>
      </c>
      <c r="U248" s="40"/>
      <c r="V248" s="44">
        <v>56836.695384615123</v>
      </c>
      <c r="W248" s="40"/>
      <c r="X248" s="44">
        <v>-76504736.071148515</v>
      </c>
      <c r="Y248" s="40"/>
      <c r="Z248" s="44">
        <v>178326680.6499998</v>
      </c>
      <c r="AA248" s="44">
        <v>0</v>
      </c>
    </row>
    <row r="249" spans="1:27" s="29" customFormat="1" ht="13.5" thickTop="1">
      <c r="C249" s="2"/>
      <c r="D249" s="66"/>
      <c r="E249" s="507"/>
      <c r="F249" s="66"/>
      <c r="G249" s="507"/>
      <c r="H249" s="66"/>
      <c r="I249" s="507"/>
      <c r="J249" s="66"/>
      <c r="K249" s="507"/>
      <c r="L249" s="66"/>
      <c r="M249" s="507"/>
      <c r="N249" s="66"/>
      <c r="O249" s="507"/>
      <c r="P249" s="66"/>
      <c r="Q249" s="2"/>
      <c r="R249" s="2"/>
      <c r="S249" s="2"/>
      <c r="T249" s="2"/>
      <c r="U249" s="37"/>
      <c r="V249" s="66"/>
      <c r="W249" s="37"/>
      <c r="X249" s="66"/>
      <c r="Y249" s="37"/>
      <c r="Z249" s="66"/>
      <c r="AA249" s="66"/>
    </row>
    <row r="250" spans="1:27" s="29" customFormat="1">
      <c r="C250" s="2"/>
      <c r="D250" s="66"/>
      <c r="E250" s="507"/>
      <c r="F250" s="66"/>
      <c r="G250" s="507"/>
      <c r="H250" s="66"/>
      <c r="I250" s="507"/>
      <c r="J250" s="66"/>
      <c r="K250" s="507"/>
      <c r="L250" s="66"/>
      <c r="M250" s="507"/>
      <c r="N250" s="66"/>
      <c r="O250" s="507"/>
      <c r="P250" s="66"/>
      <c r="Q250" s="2"/>
      <c r="R250" s="2"/>
      <c r="S250" s="2"/>
      <c r="T250" s="2"/>
      <c r="U250" s="37"/>
      <c r="V250" s="66"/>
      <c r="W250" s="37"/>
      <c r="X250" s="66"/>
      <c r="Y250" s="37"/>
      <c r="Z250" s="66"/>
      <c r="AA250" s="66"/>
    </row>
    <row r="251" spans="1:27" s="29" customFormat="1">
      <c r="C251" s="28"/>
      <c r="D251" s="232"/>
      <c r="E251" s="508"/>
      <c r="F251" s="232"/>
      <c r="G251" s="508"/>
      <c r="H251" s="232"/>
      <c r="I251" s="508"/>
      <c r="J251" s="232"/>
      <c r="K251" s="508"/>
      <c r="L251" s="232"/>
      <c r="M251" s="508"/>
      <c r="N251" s="232"/>
      <c r="O251" s="508"/>
      <c r="P251" s="232"/>
      <c r="U251" s="40"/>
      <c r="V251" s="232"/>
      <c r="W251" s="40"/>
      <c r="X251" s="232"/>
      <c r="Y251" s="40"/>
      <c r="Z251" s="232"/>
      <c r="AA251" s="232"/>
    </row>
    <row r="252" spans="1:27" s="29" customFormat="1">
      <c r="C252" s="28"/>
      <c r="D252" s="232"/>
      <c r="E252" s="508"/>
      <c r="F252" s="232"/>
      <c r="G252" s="508"/>
      <c r="H252" s="232"/>
      <c r="I252" s="508"/>
      <c r="J252" s="232"/>
      <c r="K252" s="508"/>
      <c r="L252" s="232"/>
      <c r="M252" s="508"/>
      <c r="N252" s="232"/>
      <c r="O252" s="508"/>
      <c r="P252" s="232"/>
      <c r="U252" s="40"/>
      <c r="V252" s="232"/>
      <c r="W252" s="40"/>
      <c r="X252" s="232"/>
      <c r="Y252" s="40"/>
      <c r="Z252" s="232"/>
      <c r="AA252" s="232"/>
    </row>
    <row r="253" spans="1:27" s="29" customFormat="1">
      <c r="D253" s="232"/>
      <c r="E253" s="508"/>
      <c r="F253" s="232"/>
      <c r="G253" s="508"/>
      <c r="H253" s="232"/>
      <c r="I253" s="508"/>
      <c r="J253" s="232"/>
      <c r="K253" s="508"/>
      <c r="L253" s="232"/>
      <c r="M253" s="508"/>
      <c r="N253" s="232"/>
      <c r="O253" s="508"/>
      <c r="P253" s="232"/>
      <c r="U253" s="40"/>
      <c r="V253" s="232"/>
      <c r="W253" s="40"/>
      <c r="X253" s="232"/>
      <c r="Y253" s="40"/>
      <c r="Z253" s="232"/>
      <c r="AA253" s="232"/>
    </row>
    <row r="254" spans="1:27" s="29" customFormat="1">
      <c r="D254" s="232"/>
      <c r="E254" s="508"/>
      <c r="F254" s="232"/>
      <c r="G254" s="508"/>
      <c r="H254" s="232"/>
      <c r="I254" s="508"/>
      <c r="J254" s="232"/>
      <c r="K254" s="508"/>
      <c r="L254" s="232"/>
      <c r="M254" s="508"/>
      <c r="N254" s="232"/>
      <c r="O254" s="508"/>
      <c r="P254" s="232"/>
      <c r="U254" s="40"/>
      <c r="V254" s="232"/>
      <c r="W254" s="40"/>
      <c r="X254" s="232"/>
      <c r="Y254" s="40"/>
      <c r="Z254" s="232"/>
      <c r="AA254" s="232"/>
    </row>
    <row r="255" spans="1:27" s="29" customFormat="1">
      <c r="D255" s="232"/>
      <c r="E255" s="508"/>
      <c r="F255" s="232"/>
      <c r="G255" s="508"/>
      <c r="H255" s="232"/>
      <c r="I255" s="508"/>
      <c r="J255" s="232"/>
      <c r="K255" s="508"/>
      <c r="L255" s="232"/>
      <c r="M255" s="508"/>
      <c r="N255" s="232"/>
      <c r="O255" s="508"/>
      <c r="P255" s="232"/>
      <c r="U255" s="40"/>
      <c r="V255" s="232"/>
      <c r="W255" s="40"/>
      <c r="X255" s="232"/>
      <c r="Y255" s="40"/>
      <c r="Z255" s="232"/>
      <c r="AA255" s="232"/>
    </row>
    <row r="256" spans="1:27" s="29" customFormat="1">
      <c r="D256" s="232"/>
      <c r="E256" s="508"/>
      <c r="F256" s="232"/>
      <c r="G256" s="508"/>
      <c r="H256" s="232"/>
      <c r="I256" s="508"/>
      <c r="J256" s="232"/>
      <c r="K256" s="508"/>
      <c r="L256" s="232"/>
      <c r="M256" s="508"/>
      <c r="N256" s="232"/>
      <c r="O256" s="508"/>
      <c r="P256" s="232"/>
      <c r="U256" s="40"/>
      <c r="V256" s="232"/>
      <c r="W256" s="40"/>
      <c r="X256" s="232"/>
      <c r="Y256" s="40"/>
      <c r="Z256" s="232"/>
      <c r="AA256" s="232"/>
    </row>
    <row r="257" spans="3:27" s="29" customFormat="1">
      <c r="D257" s="232"/>
      <c r="E257" s="508"/>
      <c r="F257" s="232"/>
      <c r="G257" s="508"/>
      <c r="H257" s="232"/>
      <c r="I257" s="508"/>
      <c r="J257" s="232"/>
      <c r="K257" s="508"/>
      <c r="L257" s="232"/>
      <c r="M257" s="508"/>
      <c r="N257" s="232"/>
      <c r="O257" s="508"/>
      <c r="P257" s="232"/>
      <c r="U257" s="40"/>
      <c r="V257" s="232"/>
      <c r="W257" s="40"/>
      <c r="X257" s="232"/>
      <c r="Y257" s="40"/>
      <c r="Z257" s="232"/>
      <c r="AA257" s="232"/>
    </row>
    <row r="258" spans="3:27" s="29" customFormat="1">
      <c r="D258" s="232"/>
      <c r="E258" s="508"/>
      <c r="F258" s="232"/>
      <c r="G258" s="508"/>
      <c r="H258" s="232"/>
      <c r="I258" s="508"/>
      <c r="J258" s="232"/>
      <c r="K258" s="508"/>
      <c r="L258" s="232"/>
      <c r="M258" s="508"/>
      <c r="N258" s="232"/>
      <c r="O258" s="508"/>
      <c r="P258" s="232"/>
      <c r="U258" s="40"/>
      <c r="V258" s="232"/>
      <c r="W258" s="40"/>
      <c r="X258" s="232"/>
      <c r="Y258" s="40"/>
      <c r="Z258" s="232"/>
      <c r="AA258" s="232"/>
    </row>
    <row r="259" spans="3:27" s="29" customFormat="1">
      <c r="D259" s="232"/>
      <c r="E259" s="508"/>
      <c r="F259" s="232"/>
      <c r="G259" s="508"/>
      <c r="H259" s="232"/>
      <c r="I259" s="508"/>
      <c r="J259" s="232"/>
      <c r="K259" s="508"/>
      <c r="L259" s="232"/>
      <c r="M259" s="508"/>
      <c r="N259" s="232"/>
      <c r="O259" s="508"/>
      <c r="P259" s="232"/>
      <c r="U259" s="40"/>
      <c r="V259" s="232"/>
      <c r="W259" s="40"/>
      <c r="X259" s="232"/>
      <c r="Y259" s="40"/>
      <c r="Z259" s="232"/>
      <c r="AA259" s="232"/>
    </row>
    <row r="260" spans="3:27" s="29" customFormat="1">
      <c r="D260" s="232"/>
      <c r="E260" s="508"/>
      <c r="F260" s="232"/>
      <c r="G260" s="508"/>
      <c r="H260" s="232"/>
      <c r="I260" s="508"/>
      <c r="J260" s="232"/>
      <c r="K260" s="508"/>
      <c r="L260" s="232"/>
      <c r="M260" s="508"/>
      <c r="N260" s="232"/>
      <c r="O260" s="508"/>
      <c r="P260" s="232"/>
      <c r="U260" s="40"/>
      <c r="V260" s="232"/>
      <c r="W260" s="40"/>
      <c r="X260" s="232"/>
      <c r="Y260" s="40"/>
      <c r="Z260" s="232"/>
      <c r="AA260" s="232"/>
    </row>
    <row r="261" spans="3:27" s="29" customFormat="1">
      <c r="D261" s="232"/>
      <c r="E261" s="508"/>
      <c r="F261" s="232"/>
      <c r="G261" s="508"/>
      <c r="H261" s="232"/>
      <c r="I261" s="508"/>
      <c r="J261" s="232"/>
      <c r="K261" s="508"/>
      <c r="L261" s="232"/>
      <c r="M261" s="508"/>
      <c r="N261" s="232"/>
      <c r="O261" s="508"/>
      <c r="P261" s="232"/>
      <c r="U261" s="40"/>
      <c r="V261" s="232"/>
      <c r="W261" s="40"/>
      <c r="X261" s="232"/>
      <c r="Y261" s="40"/>
      <c r="Z261" s="232"/>
      <c r="AA261" s="232"/>
    </row>
    <row r="262" spans="3:27" s="29" customFormat="1">
      <c r="D262" s="232"/>
      <c r="E262" s="508"/>
      <c r="F262" s="232"/>
      <c r="G262" s="508"/>
      <c r="H262" s="232"/>
      <c r="I262" s="508"/>
      <c r="J262" s="232"/>
      <c r="K262" s="508"/>
      <c r="L262" s="232"/>
      <c r="M262" s="508"/>
      <c r="N262" s="232"/>
      <c r="O262" s="508"/>
      <c r="P262" s="232"/>
      <c r="U262" s="40"/>
      <c r="V262" s="232"/>
      <c r="W262" s="40"/>
      <c r="X262" s="232"/>
      <c r="Y262" s="40"/>
      <c r="Z262" s="232"/>
      <c r="AA262" s="232"/>
    </row>
    <row r="263" spans="3:27" s="29" customFormat="1">
      <c r="D263" s="232"/>
      <c r="E263" s="508"/>
      <c r="F263" s="232"/>
      <c r="G263" s="508"/>
      <c r="H263" s="232"/>
      <c r="I263" s="508"/>
      <c r="J263" s="232"/>
      <c r="K263" s="508"/>
      <c r="L263" s="232"/>
      <c r="M263" s="508"/>
      <c r="N263" s="232"/>
      <c r="O263" s="508"/>
      <c r="P263" s="232"/>
      <c r="U263" s="40"/>
      <c r="V263" s="232"/>
      <c r="W263" s="40"/>
      <c r="X263" s="232"/>
      <c r="Y263" s="40"/>
      <c r="Z263" s="232"/>
      <c r="AA263" s="232"/>
    </row>
    <row r="264" spans="3:27" s="29" customFormat="1">
      <c r="C264" s="28"/>
      <c r="D264" s="232"/>
      <c r="E264" s="508"/>
      <c r="F264" s="232"/>
      <c r="G264" s="508"/>
      <c r="H264" s="232"/>
      <c r="I264" s="508"/>
      <c r="J264" s="232"/>
      <c r="K264" s="508"/>
      <c r="L264" s="232"/>
      <c r="M264" s="508"/>
      <c r="N264" s="232"/>
      <c r="O264" s="508"/>
      <c r="P264" s="232"/>
      <c r="U264" s="40"/>
      <c r="V264" s="232"/>
      <c r="W264" s="40"/>
      <c r="X264" s="232"/>
      <c r="Y264" s="40"/>
      <c r="Z264" s="232"/>
      <c r="AA264" s="232"/>
    </row>
    <row r="265" spans="3:27" s="29" customFormat="1">
      <c r="D265" s="232"/>
      <c r="E265" s="508"/>
      <c r="F265" s="232"/>
      <c r="G265" s="508"/>
      <c r="H265" s="232"/>
      <c r="I265" s="508"/>
      <c r="J265" s="232"/>
      <c r="K265" s="508"/>
      <c r="L265" s="232"/>
      <c r="M265" s="508"/>
      <c r="N265" s="232"/>
      <c r="O265" s="508"/>
      <c r="P265" s="232"/>
      <c r="U265" s="40"/>
      <c r="V265" s="232"/>
      <c r="W265" s="40"/>
      <c r="X265" s="232"/>
      <c r="Y265" s="40"/>
      <c r="Z265" s="232"/>
      <c r="AA265" s="232"/>
    </row>
    <row r="266" spans="3:27" s="29" customFormat="1">
      <c r="D266" s="232"/>
      <c r="E266" s="508"/>
      <c r="F266" s="232"/>
      <c r="G266" s="508"/>
      <c r="H266" s="232"/>
      <c r="I266" s="508"/>
      <c r="J266" s="232"/>
      <c r="K266" s="508"/>
      <c r="L266" s="232"/>
      <c r="M266" s="508"/>
      <c r="N266" s="232"/>
      <c r="O266" s="508"/>
      <c r="P266" s="232"/>
      <c r="U266" s="40"/>
      <c r="V266" s="232"/>
      <c r="W266" s="40"/>
      <c r="X266" s="232"/>
      <c r="Y266" s="40"/>
      <c r="Z266" s="232"/>
      <c r="AA266" s="232"/>
    </row>
    <row r="267" spans="3:27" s="29" customFormat="1">
      <c r="D267" s="232"/>
      <c r="E267" s="508"/>
      <c r="F267" s="232"/>
      <c r="G267" s="508"/>
      <c r="H267" s="232"/>
      <c r="I267" s="508"/>
      <c r="J267" s="232"/>
      <c r="K267" s="508"/>
      <c r="L267" s="232"/>
      <c r="M267" s="508"/>
      <c r="N267" s="232"/>
      <c r="O267" s="508"/>
      <c r="P267" s="232"/>
      <c r="U267" s="40"/>
      <c r="V267" s="232"/>
      <c r="W267" s="40"/>
      <c r="X267" s="232"/>
      <c r="Y267" s="40"/>
      <c r="Z267" s="232"/>
      <c r="AA267" s="232"/>
    </row>
    <row r="268" spans="3:27" s="29" customFormat="1">
      <c r="C268" s="28"/>
      <c r="D268" s="232"/>
      <c r="E268" s="508"/>
      <c r="F268" s="232"/>
      <c r="G268" s="508"/>
      <c r="H268" s="232"/>
      <c r="I268" s="508"/>
      <c r="J268" s="232"/>
      <c r="K268" s="508"/>
      <c r="L268" s="232"/>
      <c r="M268" s="508"/>
      <c r="N268" s="232"/>
      <c r="O268" s="508"/>
      <c r="P268" s="232"/>
      <c r="U268" s="40"/>
      <c r="V268" s="232"/>
      <c r="W268" s="40"/>
      <c r="X268" s="232"/>
      <c r="Y268" s="40"/>
      <c r="Z268" s="232"/>
      <c r="AA268" s="232"/>
    </row>
    <row r="269" spans="3:27" s="29" customFormat="1">
      <c r="D269" s="232"/>
      <c r="E269" s="508"/>
      <c r="F269" s="232"/>
      <c r="G269" s="508"/>
      <c r="H269" s="232"/>
      <c r="I269" s="508"/>
      <c r="J269" s="232"/>
      <c r="K269" s="508"/>
      <c r="L269" s="232"/>
      <c r="M269" s="508"/>
      <c r="N269" s="232"/>
      <c r="O269" s="508"/>
      <c r="P269" s="232"/>
      <c r="U269" s="40"/>
      <c r="V269" s="232"/>
      <c r="W269" s="40"/>
      <c r="X269" s="232"/>
      <c r="Y269" s="40"/>
      <c r="Z269" s="232"/>
      <c r="AA269" s="232"/>
    </row>
    <row r="270" spans="3:27" s="29" customFormat="1">
      <c r="D270" s="232"/>
      <c r="E270" s="508"/>
      <c r="F270" s="232"/>
      <c r="G270" s="508"/>
      <c r="H270" s="232"/>
      <c r="I270" s="508"/>
      <c r="J270" s="232"/>
      <c r="K270" s="508"/>
      <c r="L270" s="232"/>
      <c r="M270" s="508"/>
      <c r="N270" s="232"/>
      <c r="O270" s="508"/>
      <c r="P270" s="232"/>
      <c r="U270" s="40"/>
      <c r="V270" s="232"/>
      <c r="W270" s="40"/>
      <c r="X270" s="232"/>
      <c r="Y270" s="40"/>
      <c r="Z270" s="232"/>
      <c r="AA270" s="232"/>
    </row>
    <row r="271" spans="3:27" s="29" customFormat="1">
      <c r="D271" s="232"/>
      <c r="E271" s="508"/>
      <c r="F271" s="232"/>
      <c r="G271" s="508"/>
      <c r="H271" s="232"/>
      <c r="I271" s="508"/>
      <c r="J271" s="232"/>
      <c r="K271" s="508"/>
      <c r="L271" s="232"/>
      <c r="M271" s="508"/>
      <c r="N271" s="232"/>
      <c r="O271" s="508"/>
      <c r="P271" s="232"/>
      <c r="U271" s="40"/>
      <c r="V271" s="232"/>
      <c r="W271" s="40"/>
      <c r="X271" s="232"/>
      <c r="Y271" s="40"/>
      <c r="Z271" s="232"/>
      <c r="AA271" s="232"/>
    </row>
    <row r="272" spans="3:27" s="29" customFormat="1">
      <c r="D272" s="232"/>
      <c r="E272" s="508"/>
      <c r="F272" s="232"/>
      <c r="G272" s="508"/>
      <c r="H272" s="232"/>
      <c r="I272" s="508"/>
      <c r="J272" s="232"/>
      <c r="K272" s="508"/>
      <c r="L272" s="232"/>
      <c r="M272" s="508"/>
      <c r="N272" s="232"/>
      <c r="O272" s="508"/>
      <c r="P272" s="232"/>
      <c r="U272" s="40"/>
      <c r="V272" s="232"/>
      <c r="W272" s="40"/>
      <c r="X272" s="232"/>
      <c r="Y272" s="40"/>
      <c r="Z272" s="232"/>
      <c r="AA272" s="232"/>
    </row>
    <row r="273" spans="3:27" s="29" customFormat="1">
      <c r="D273" s="232"/>
      <c r="E273" s="508"/>
      <c r="F273" s="232"/>
      <c r="G273" s="508"/>
      <c r="H273" s="232"/>
      <c r="I273" s="508"/>
      <c r="J273" s="232"/>
      <c r="K273" s="508"/>
      <c r="L273" s="232"/>
      <c r="M273" s="508"/>
      <c r="N273" s="232"/>
      <c r="O273" s="508"/>
      <c r="P273" s="232"/>
      <c r="U273" s="40"/>
      <c r="V273" s="232"/>
      <c r="W273" s="40"/>
      <c r="X273" s="232"/>
      <c r="Y273" s="40"/>
      <c r="Z273" s="232"/>
      <c r="AA273" s="232"/>
    </row>
    <row r="274" spans="3:27" s="29" customFormat="1">
      <c r="D274" s="232"/>
      <c r="E274" s="508"/>
      <c r="F274" s="232"/>
      <c r="G274" s="508"/>
      <c r="H274" s="232"/>
      <c r="I274" s="508"/>
      <c r="J274" s="232"/>
      <c r="K274" s="508"/>
      <c r="L274" s="232"/>
      <c r="M274" s="508"/>
      <c r="N274" s="232"/>
      <c r="O274" s="508"/>
      <c r="P274" s="232"/>
      <c r="U274" s="40"/>
      <c r="V274" s="232"/>
      <c r="W274" s="40"/>
      <c r="X274" s="232"/>
      <c r="Y274" s="40"/>
      <c r="Z274" s="232"/>
      <c r="AA274" s="232"/>
    </row>
    <row r="275" spans="3:27">
      <c r="C275" s="28"/>
      <c r="D275" s="232"/>
      <c r="E275" s="508"/>
      <c r="F275" s="232"/>
      <c r="G275" s="508"/>
      <c r="H275" s="232"/>
      <c r="I275" s="508"/>
      <c r="J275" s="232"/>
      <c r="K275" s="508"/>
      <c r="L275" s="232"/>
      <c r="M275" s="508"/>
      <c r="N275" s="232"/>
      <c r="O275" s="508"/>
      <c r="P275" s="232"/>
      <c r="Q275" s="29"/>
      <c r="R275" s="29"/>
      <c r="S275" s="29"/>
      <c r="T275" s="29"/>
      <c r="U275" s="40"/>
      <c r="V275" s="232"/>
      <c r="W275" s="40"/>
      <c r="X275" s="232"/>
      <c r="Y275" s="40"/>
      <c r="Z275" s="232"/>
      <c r="AA275" s="232"/>
    </row>
    <row r="276" spans="3:27">
      <c r="C276" s="28"/>
      <c r="D276" s="232"/>
      <c r="E276" s="508"/>
      <c r="F276" s="232"/>
      <c r="G276" s="508"/>
      <c r="H276" s="232"/>
      <c r="I276" s="508"/>
      <c r="J276" s="232"/>
      <c r="K276" s="508"/>
      <c r="L276" s="232"/>
      <c r="M276" s="508"/>
      <c r="N276" s="232"/>
      <c r="O276" s="508"/>
      <c r="P276" s="232"/>
      <c r="Q276" s="29"/>
      <c r="R276" s="29"/>
      <c r="S276" s="29"/>
      <c r="T276" s="29"/>
      <c r="U276" s="40"/>
      <c r="V276" s="232"/>
      <c r="W276" s="40"/>
      <c r="X276" s="232"/>
      <c r="Y276" s="40"/>
      <c r="Z276" s="232"/>
      <c r="AA276" s="232"/>
    </row>
    <row r="277" spans="3:27">
      <c r="C277" s="29"/>
      <c r="D277" s="232"/>
      <c r="E277" s="508"/>
      <c r="F277" s="232"/>
      <c r="G277" s="508"/>
      <c r="H277" s="232"/>
      <c r="I277" s="508"/>
      <c r="J277" s="232"/>
      <c r="K277" s="508"/>
      <c r="L277" s="232"/>
      <c r="M277" s="508"/>
      <c r="N277" s="232"/>
      <c r="O277" s="508"/>
      <c r="P277" s="232"/>
      <c r="Q277" s="29"/>
      <c r="R277" s="29"/>
      <c r="S277" s="29"/>
      <c r="T277" s="29"/>
      <c r="U277" s="40"/>
      <c r="V277" s="232"/>
      <c r="W277" s="40"/>
      <c r="X277" s="232"/>
      <c r="Y277" s="40"/>
      <c r="Z277" s="232"/>
      <c r="AA277" s="232"/>
    </row>
    <row r="278" spans="3:27">
      <c r="C278" s="28"/>
      <c r="D278" s="232"/>
      <c r="E278" s="508"/>
      <c r="F278" s="232"/>
      <c r="G278" s="508"/>
      <c r="H278" s="232"/>
      <c r="I278" s="508"/>
      <c r="J278" s="232"/>
      <c r="K278" s="508"/>
      <c r="L278" s="232"/>
      <c r="M278" s="508"/>
      <c r="N278" s="232"/>
      <c r="O278" s="508"/>
      <c r="P278" s="232"/>
      <c r="Q278" s="29"/>
      <c r="R278" s="29"/>
      <c r="S278" s="29"/>
      <c r="T278" s="29"/>
      <c r="U278" s="40"/>
      <c r="V278" s="232"/>
      <c r="W278" s="40"/>
      <c r="X278" s="232"/>
      <c r="Y278" s="40"/>
      <c r="Z278" s="232"/>
      <c r="AA278" s="232"/>
    </row>
    <row r="281" spans="3:27">
      <c r="C281" s="502" t="s">
        <v>0</v>
      </c>
      <c r="D281" s="502"/>
      <c r="E281" s="502"/>
      <c r="F281" s="502"/>
      <c r="G281" s="502"/>
      <c r="H281" s="502"/>
      <c r="I281" s="502"/>
      <c r="J281" s="502"/>
      <c r="K281" s="502"/>
      <c r="L281" s="502"/>
      <c r="M281" s="502"/>
      <c r="N281" s="502"/>
      <c r="O281" s="502"/>
      <c r="P281" s="502"/>
      <c r="Q281" s="502"/>
      <c r="R281" s="502"/>
      <c r="S281" s="502"/>
      <c r="T281" s="502"/>
      <c r="U281" s="425"/>
      <c r="V281" s="425"/>
      <c r="W281" s="425"/>
      <c r="X281" s="425"/>
      <c r="Y281" s="425"/>
      <c r="Z281" s="425"/>
      <c r="AA281" s="425"/>
    </row>
    <row r="282" spans="3:27">
      <c r="C282" s="502" t="s">
        <v>107</v>
      </c>
      <c r="D282" s="502"/>
      <c r="E282" s="502"/>
      <c r="F282" s="502"/>
      <c r="G282" s="502"/>
      <c r="H282" s="502"/>
      <c r="I282" s="502"/>
      <c r="J282" s="502"/>
      <c r="K282" s="502"/>
      <c r="L282" s="502"/>
      <c r="M282" s="502"/>
      <c r="N282" s="502"/>
      <c r="O282" s="502"/>
      <c r="P282" s="502"/>
      <c r="Q282" s="502"/>
      <c r="R282" s="502"/>
      <c r="S282" s="502"/>
      <c r="T282" s="502"/>
      <c r="U282" s="425"/>
      <c r="V282" s="425"/>
      <c r="W282" s="425"/>
      <c r="X282" s="425"/>
      <c r="Y282" s="425"/>
      <c r="Z282" s="425"/>
      <c r="AA282" s="425"/>
    </row>
    <row r="283" spans="3:27">
      <c r="C283" s="503"/>
      <c r="D283" s="504"/>
      <c r="E283" s="504"/>
      <c r="F283" s="504"/>
      <c r="G283" s="504"/>
      <c r="H283" s="504"/>
      <c r="I283" s="504"/>
      <c r="J283" s="504"/>
      <c r="K283" s="504"/>
      <c r="L283" s="504"/>
      <c r="M283" s="504"/>
      <c r="N283" s="504"/>
      <c r="O283" s="504"/>
      <c r="P283" s="504"/>
      <c r="Q283" s="504"/>
      <c r="R283" s="504"/>
      <c r="S283" s="504"/>
      <c r="T283" s="504"/>
      <c r="U283" s="427"/>
      <c r="V283" s="427"/>
      <c r="W283" s="427"/>
      <c r="X283" s="427"/>
      <c r="Y283" s="427"/>
      <c r="Z283" s="427"/>
      <c r="AA283" s="427"/>
    </row>
    <row r="284" spans="3:27">
      <c r="C284" s="3"/>
      <c r="D284" s="45"/>
      <c r="E284" s="3"/>
      <c r="F284" s="45"/>
      <c r="G284" s="3"/>
      <c r="H284" s="45"/>
      <c r="I284" s="3"/>
      <c r="J284" s="45"/>
      <c r="K284" s="3"/>
      <c r="L284" s="45"/>
      <c r="M284" s="3"/>
      <c r="N284" s="45"/>
      <c r="O284" s="3"/>
      <c r="P284" s="45"/>
      <c r="Q284" s="31"/>
      <c r="R284" s="31"/>
      <c r="S284" s="31"/>
      <c r="T284" s="31"/>
      <c r="U284" s="3"/>
      <c r="V284" s="45"/>
      <c r="W284" s="3"/>
      <c r="X284" s="45"/>
      <c r="Y284" s="3"/>
      <c r="Z284" s="45"/>
      <c r="AA284" s="45"/>
    </row>
    <row r="285" spans="3:27">
      <c r="C285" s="3"/>
      <c r="D285" s="45"/>
      <c r="E285" s="3"/>
      <c r="F285" s="45"/>
      <c r="G285" s="3"/>
      <c r="H285" s="45"/>
      <c r="I285" s="3"/>
      <c r="J285" s="45"/>
      <c r="K285" s="3"/>
      <c r="L285" s="45"/>
      <c r="M285" s="3"/>
      <c r="N285" s="45"/>
      <c r="O285" s="3"/>
      <c r="P285" s="45"/>
      <c r="Q285" s="31"/>
      <c r="R285" s="31"/>
      <c r="S285" s="31"/>
      <c r="T285" s="31"/>
      <c r="U285" s="3"/>
      <c r="V285" s="3"/>
      <c r="W285" s="3"/>
      <c r="X285" s="3"/>
      <c r="Y285" s="3"/>
      <c r="Z285" s="32" t="s">
        <v>1717</v>
      </c>
      <c r="AA285" s="32"/>
    </row>
    <row r="286" spans="3:27" ht="15">
      <c r="C286" s="31"/>
      <c r="D286" s="509" t="s">
        <v>2529</v>
      </c>
      <c r="E286" s="31"/>
      <c r="F286" s="26"/>
      <c r="G286" s="31"/>
      <c r="H286" s="26"/>
      <c r="I286" s="31"/>
      <c r="J286" s="26"/>
      <c r="K286" s="31"/>
      <c r="L286" s="26"/>
      <c r="M286" s="31"/>
      <c r="N286" s="509" t="s">
        <v>2530</v>
      </c>
      <c r="O286" s="31"/>
      <c r="P286" s="509" t="s">
        <v>1718</v>
      </c>
      <c r="Q286" s="31"/>
      <c r="R286" s="34"/>
      <c r="S286" s="34"/>
      <c r="T286" s="436" t="s">
        <v>1718</v>
      </c>
      <c r="U286" s="32"/>
      <c r="V286" s="436" t="s">
        <v>1718</v>
      </c>
      <c r="W286" s="32"/>
      <c r="X286" s="436" t="s">
        <v>1718</v>
      </c>
      <c r="Y286" s="3"/>
      <c r="Z286" s="509" t="s">
        <v>2530</v>
      </c>
      <c r="AA286" s="4"/>
    </row>
    <row r="287" spans="3:27" ht="15">
      <c r="C287" s="31"/>
      <c r="D287" s="33" t="s">
        <v>2</v>
      </c>
      <c r="E287" s="31"/>
      <c r="F287" s="26"/>
      <c r="G287" s="31"/>
      <c r="H287" s="26"/>
      <c r="I287" s="31"/>
      <c r="J287" s="33" t="s">
        <v>3</v>
      </c>
      <c r="K287" s="31"/>
      <c r="L287" s="26"/>
      <c r="M287" s="31"/>
      <c r="N287" s="33" t="s">
        <v>4</v>
      </c>
      <c r="O287" s="31"/>
      <c r="P287" s="33" t="s">
        <v>4</v>
      </c>
      <c r="Q287" s="31"/>
      <c r="R287" s="436" t="s">
        <v>1718</v>
      </c>
      <c r="S287" s="31"/>
      <c r="T287" s="520" t="s">
        <v>5</v>
      </c>
      <c r="U287" s="31"/>
      <c r="V287" s="231" t="s">
        <v>1204</v>
      </c>
      <c r="W287" s="5"/>
      <c r="X287" s="231" t="s">
        <v>11</v>
      </c>
      <c r="Y287" s="5"/>
      <c r="Z287" s="6" t="s">
        <v>4</v>
      </c>
      <c r="AA287" s="6"/>
    </row>
    <row r="288" spans="3:27">
      <c r="C288" s="5"/>
      <c r="D288" s="35" t="s">
        <v>6</v>
      </c>
      <c r="E288" s="31"/>
      <c r="F288" s="35" t="s">
        <v>7</v>
      </c>
      <c r="G288" s="31"/>
      <c r="H288" s="35" t="s">
        <v>8</v>
      </c>
      <c r="I288" s="31"/>
      <c r="J288" s="35" t="s">
        <v>9</v>
      </c>
      <c r="K288" s="31"/>
      <c r="L288" s="35" t="s">
        <v>10</v>
      </c>
      <c r="M288" s="31"/>
      <c r="N288" s="35" t="s">
        <v>6</v>
      </c>
      <c r="O288" s="31"/>
      <c r="P288" s="35" t="s">
        <v>6</v>
      </c>
      <c r="Q288" s="5"/>
      <c r="R288" s="35" t="s">
        <v>11</v>
      </c>
      <c r="S288" s="5"/>
      <c r="T288" s="35" t="s">
        <v>12</v>
      </c>
      <c r="U288" s="31"/>
      <c r="V288" s="10" t="s">
        <v>1205</v>
      </c>
      <c r="W288" s="5"/>
      <c r="X288" s="10" t="s">
        <v>2188</v>
      </c>
      <c r="Y288" s="5"/>
      <c r="Z288" s="10" t="s">
        <v>6</v>
      </c>
      <c r="AA288" s="10" t="s">
        <v>13</v>
      </c>
    </row>
    <row r="289" spans="1:27">
      <c r="C289" s="8" t="s">
        <v>14</v>
      </c>
      <c r="D289" s="36"/>
      <c r="E289" s="31"/>
      <c r="F289" s="36"/>
      <c r="G289" s="31"/>
      <c r="H289" s="36"/>
      <c r="I289" s="31"/>
      <c r="J289" s="36"/>
      <c r="K289" s="31"/>
      <c r="L289" s="36"/>
      <c r="M289" s="31"/>
      <c r="N289" s="36"/>
      <c r="O289" s="31"/>
      <c r="P289" s="36"/>
      <c r="Q289" s="5"/>
      <c r="R289" s="5"/>
      <c r="S289" s="5"/>
      <c r="T289" s="5"/>
      <c r="U289" s="31"/>
      <c r="V289" s="36"/>
      <c r="W289" s="31"/>
      <c r="X289" s="36"/>
      <c r="Y289" s="31"/>
      <c r="Z289" s="36"/>
      <c r="AA289" s="36"/>
    </row>
    <row r="290" spans="1:27">
      <c r="C290" s="34" t="s">
        <v>15</v>
      </c>
      <c r="D290" s="26"/>
      <c r="E290" s="31"/>
      <c r="F290" s="26"/>
      <c r="G290" s="31"/>
      <c r="H290" s="26"/>
      <c r="I290" s="31"/>
      <c r="J290" s="26"/>
      <c r="K290" s="31"/>
      <c r="L290" s="26"/>
      <c r="M290" s="31"/>
      <c r="N290" s="26"/>
      <c r="O290" s="31"/>
      <c r="P290" s="26"/>
      <c r="Q290" s="5"/>
      <c r="R290" s="5"/>
      <c r="S290" s="5"/>
      <c r="T290" s="5"/>
      <c r="U290" s="31"/>
      <c r="V290" s="26"/>
      <c r="W290" s="31"/>
      <c r="X290" s="26"/>
      <c r="Y290" s="31"/>
      <c r="Z290" s="26"/>
      <c r="AA290" s="26"/>
    </row>
    <row r="291" spans="1:27">
      <c r="C291" s="34" t="s">
        <v>16</v>
      </c>
      <c r="D291" s="26"/>
      <c r="E291" s="31"/>
      <c r="F291" s="26"/>
      <c r="G291" s="31"/>
      <c r="H291" s="26"/>
      <c r="I291" s="31"/>
      <c r="J291" s="26"/>
      <c r="K291" s="31"/>
      <c r="L291" s="26"/>
      <c r="M291" s="31"/>
      <c r="N291" s="26"/>
      <c r="O291" s="31"/>
      <c r="P291" s="26"/>
      <c r="Q291" s="31"/>
      <c r="R291" s="31"/>
      <c r="S291" s="31"/>
      <c r="T291" s="31"/>
      <c r="U291" s="31"/>
      <c r="V291" s="26"/>
      <c r="W291" s="31"/>
      <c r="X291" s="26"/>
      <c r="Y291" s="31"/>
      <c r="Z291" s="26"/>
      <c r="AA291" s="26"/>
    </row>
    <row r="292" spans="1:27">
      <c r="A292" s="2" t="s">
        <v>108</v>
      </c>
      <c r="B292" s="2" t="str">
        <f t="shared" ref="B292:B302" si="17">MID(C292,2,3)</f>
        <v>360</v>
      </c>
      <c r="C292" s="31" t="s">
        <v>102</v>
      </c>
      <c r="D292" s="26">
        <v>495040.23</v>
      </c>
      <c r="E292" s="37"/>
      <c r="F292" s="26">
        <v>0</v>
      </c>
      <c r="G292" s="37"/>
      <c r="H292" s="26">
        <v>0</v>
      </c>
      <c r="I292" s="37"/>
      <c r="J292" s="26">
        <v>0</v>
      </c>
      <c r="K292" s="37"/>
      <c r="L292" s="26">
        <v>0</v>
      </c>
      <c r="M292" s="37"/>
      <c r="N292" s="26">
        <v>495040.23</v>
      </c>
      <c r="O292" s="37"/>
      <c r="P292" s="26">
        <v>495040.22999999992</v>
      </c>
      <c r="Q292" s="31"/>
      <c r="R292" s="38">
        <v>-2499.9705653279898</v>
      </c>
      <c r="S292" s="31"/>
      <c r="T292" s="38">
        <v>492540.25943467196</v>
      </c>
      <c r="U292" s="37"/>
      <c r="V292" s="438"/>
      <c r="W292" s="43"/>
      <c r="X292" s="17">
        <v>-2499.9705653279898</v>
      </c>
      <c r="Y292" s="43"/>
      <c r="Z292" s="17">
        <v>495040.23</v>
      </c>
      <c r="AA292" s="17">
        <v>0</v>
      </c>
    </row>
    <row r="293" spans="1:27">
      <c r="A293" s="2" t="s">
        <v>108</v>
      </c>
      <c r="C293" s="31" t="s">
        <v>18</v>
      </c>
      <c r="D293" s="26">
        <v>0</v>
      </c>
      <c r="E293" s="37"/>
      <c r="F293" s="26">
        <v>0</v>
      </c>
      <c r="G293" s="37"/>
      <c r="H293" s="26">
        <v>0</v>
      </c>
      <c r="I293" s="37"/>
      <c r="J293" s="26">
        <v>0</v>
      </c>
      <c r="K293" s="37"/>
      <c r="L293" s="26">
        <v>0</v>
      </c>
      <c r="M293" s="37"/>
      <c r="N293" s="26">
        <v>0</v>
      </c>
      <c r="O293" s="37"/>
      <c r="P293" s="26">
        <v>0</v>
      </c>
      <c r="Q293" s="31"/>
      <c r="R293" s="38">
        <v>0</v>
      </c>
      <c r="S293" s="31"/>
      <c r="T293" s="38">
        <v>0</v>
      </c>
      <c r="U293" s="37"/>
      <c r="V293" s="26"/>
      <c r="W293" s="37"/>
      <c r="X293" s="26">
        <v>0</v>
      </c>
      <c r="Y293" s="37"/>
      <c r="Z293" s="26">
        <v>0</v>
      </c>
      <c r="AA293" s="26">
        <v>0</v>
      </c>
    </row>
    <row r="294" spans="1:27">
      <c r="A294" s="2" t="s">
        <v>108</v>
      </c>
      <c r="B294" s="2" t="str">
        <f t="shared" si="17"/>
        <v>361</v>
      </c>
      <c r="C294" s="31" t="s">
        <v>19</v>
      </c>
      <c r="D294" s="26">
        <v>2545.13</v>
      </c>
      <c r="E294" s="37"/>
      <c r="F294" s="26">
        <v>0</v>
      </c>
      <c r="G294" s="37"/>
      <c r="H294" s="26">
        <v>0</v>
      </c>
      <c r="I294" s="37"/>
      <c r="J294" s="26">
        <v>0</v>
      </c>
      <c r="K294" s="37"/>
      <c r="L294" s="26">
        <v>0</v>
      </c>
      <c r="M294" s="37"/>
      <c r="N294" s="26">
        <v>2545.13</v>
      </c>
      <c r="O294" s="37"/>
      <c r="P294" s="26">
        <v>2545.13</v>
      </c>
      <c r="Q294" s="31"/>
      <c r="R294" s="38">
        <v>-2558.1803933440001</v>
      </c>
      <c r="S294" s="31"/>
      <c r="T294" s="38">
        <v>-13.050393343999986</v>
      </c>
      <c r="U294" s="37"/>
      <c r="V294" s="26"/>
      <c r="W294" s="37"/>
      <c r="X294" s="26">
        <v>-2558.1803933440001</v>
      </c>
      <c r="Y294" s="37"/>
      <c r="Z294" s="26">
        <v>2545.13</v>
      </c>
      <c r="AA294" s="26">
        <v>0</v>
      </c>
    </row>
    <row r="295" spans="1:27">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7"/>
      <c r="P295" s="26">
        <v>66880.14999999998</v>
      </c>
      <c r="Q295" s="31"/>
      <c r="R295" s="38">
        <v>-37255.063913008002</v>
      </c>
      <c r="S295" s="31"/>
      <c r="T295" s="38">
        <v>29625.086086991978</v>
      </c>
      <c r="U295" s="37"/>
      <c r="V295" s="26"/>
      <c r="W295" s="37"/>
      <c r="X295" s="26">
        <v>-37255.063913008002</v>
      </c>
      <c r="Y295" s="37"/>
      <c r="Z295" s="26">
        <v>66880.149999999994</v>
      </c>
      <c r="AA295" s="26">
        <v>0</v>
      </c>
    </row>
    <row r="296" spans="1:27">
      <c r="A296" s="2" t="s">
        <v>108</v>
      </c>
      <c r="B296" s="2" t="str">
        <f t="shared" si="17"/>
        <v>364</v>
      </c>
      <c r="C296" s="31" t="s">
        <v>21</v>
      </c>
      <c r="D296" s="26">
        <v>47785.56</v>
      </c>
      <c r="E296" s="37"/>
      <c r="F296" s="26">
        <v>0</v>
      </c>
      <c r="G296" s="37"/>
      <c r="H296" s="26">
        <v>0</v>
      </c>
      <c r="I296" s="37"/>
      <c r="J296" s="26">
        <v>0</v>
      </c>
      <c r="K296" s="37"/>
      <c r="L296" s="26">
        <v>0</v>
      </c>
      <c r="M296" s="37"/>
      <c r="N296" s="26">
        <v>47785.56</v>
      </c>
      <c r="O296" s="37"/>
      <c r="P296" s="26">
        <v>47785.56</v>
      </c>
      <c r="Q296" s="31"/>
      <c r="R296" s="38">
        <v>-49982.575935999907</v>
      </c>
      <c r="S296" s="31"/>
      <c r="T296" s="38">
        <v>-2197.0159359999088</v>
      </c>
      <c r="U296" s="37"/>
      <c r="V296" s="26"/>
      <c r="W296" s="37"/>
      <c r="X296" s="26">
        <v>-49982.575935999907</v>
      </c>
      <c r="Y296" s="37"/>
      <c r="Z296" s="26">
        <v>47785.56</v>
      </c>
      <c r="AA296" s="26">
        <v>0</v>
      </c>
    </row>
    <row r="297" spans="1:27">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7"/>
      <c r="P297" s="26">
        <v>46763.22</v>
      </c>
      <c r="Q297" s="31"/>
      <c r="R297" s="38">
        <v>-54780.788711999936</v>
      </c>
      <c r="S297" s="31"/>
      <c r="T297" s="38">
        <v>-8017.5687119999347</v>
      </c>
      <c r="U297" s="37"/>
      <c r="V297" s="26"/>
      <c r="W297" s="37"/>
      <c r="X297" s="26">
        <v>-54780.788711999936</v>
      </c>
      <c r="Y297" s="37"/>
      <c r="Z297" s="26">
        <v>46763.219999999994</v>
      </c>
      <c r="AA297" s="26">
        <v>0</v>
      </c>
    </row>
    <row r="298" spans="1:27">
      <c r="A298" s="2" t="s">
        <v>108</v>
      </c>
      <c r="B298" s="2" t="str">
        <f t="shared" si="17"/>
        <v>366</v>
      </c>
      <c r="C298" s="31" t="s">
        <v>23</v>
      </c>
      <c r="D298" s="26">
        <v>0</v>
      </c>
      <c r="E298" s="37"/>
      <c r="F298" s="26">
        <v>0</v>
      </c>
      <c r="G298" s="37"/>
      <c r="H298" s="26">
        <v>0</v>
      </c>
      <c r="I298" s="37"/>
      <c r="J298" s="26">
        <v>0</v>
      </c>
      <c r="K298" s="37"/>
      <c r="L298" s="26">
        <v>0</v>
      </c>
      <c r="M298" s="37"/>
      <c r="N298" s="26">
        <v>0</v>
      </c>
      <c r="O298" s="37"/>
      <c r="P298" s="26">
        <v>0</v>
      </c>
      <c r="Q298" s="31"/>
      <c r="R298" s="38">
        <v>0</v>
      </c>
      <c r="S298" s="31"/>
      <c r="T298" s="38">
        <v>0</v>
      </c>
      <c r="U298" s="37"/>
      <c r="V298" s="26"/>
      <c r="W298" s="37"/>
      <c r="X298" s="26">
        <v>0</v>
      </c>
      <c r="Y298" s="37"/>
      <c r="Z298" s="26">
        <v>0</v>
      </c>
      <c r="AA298" s="26">
        <v>0</v>
      </c>
    </row>
    <row r="299" spans="1:27">
      <c r="A299" s="2" t="s">
        <v>108</v>
      </c>
      <c r="B299" s="2" t="str">
        <f t="shared" si="17"/>
        <v>367</v>
      </c>
      <c r="C299" s="31" t="s">
        <v>109</v>
      </c>
      <c r="D299" s="26">
        <v>0</v>
      </c>
      <c r="E299" s="37"/>
      <c r="F299" s="26">
        <v>0</v>
      </c>
      <c r="G299" s="37"/>
      <c r="H299" s="26">
        <v>0</v>
      </c>
      <c r="I299" s="37"/>
      <c r="J299" s="26">
        <v>0</v>
      </c>
      <c r="K299" s="37"/>
      <c r="L299" s="26">
        <v>0</v>
      </c>
      <c r="M299" s="37"/>
      <c r="N299" s="26">
        <v>0</v>
      </c>
      <c r="O299" s="37"/>
      <c r="P299" s="26">
        <v>0</v>
      </c>
      <c r="Q299" s="31"/>
      <c r="R299" s="38">
        <v>0</v>
      </c>
      <c r="S299" s="31"/>
      <c r="T299" s="38">
        <v>0</v>
      </c>
      <c r="U299" s="37"/>
      <c r="V299" s="26"/>
      <c r="W299" s="37"/>
      <c r="X299" s="26">
        <v>0</v>
      </c>
      <c r="Y299" s="37"/>
      <c r="Z299" s="26">
        <v>0</v>
      </c>
      <c r="AA299" s="26">
        <v>0</v>
      </c>
    </row>
    <row r="300" spans="1:27">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7"/>
      <c r="P300" s="26">
        <v>3118.2799999999988</v>
      </c>
      <c r="Q300" s="31"/>
      <c r="R300" s="38">
        <v>-5301.4329493279893</v>
      </c>
      <c r="S300" s="31"/>
      <c r="T300" s="38">
        <v>-2183.1529493279904</v>
      </c>
      <c r="U300" s="37"/>
      <c r="V300" s="26"/>
      <c r="W300" s="37"/>
      <c r="X300" s="26">
        <v>-5301.4329493279893</v>
      </c>
      <c r="Y300" s="37"/>
      <c r="Z300" s="26">
        <v>3118.2799999999997</v>
      </c>
      <c r="AA300" s="26">
        <v>0</v>
      </c>
    </row>
    <row r="301" spans="1:27">
      <c r="A301" s="2" t="s">
        <v>108</v>
      </c>
      <c r="B301" s="2" t="str">
        <f t="shared" si="17"/>
        <v>369</v>
      </c>
      <c r="C301" s="31" t="s">
        <v>26</v>
      </c>
      <c r="D301" s="26">
        <v>254.62</v>
      </c>
      <c r="E301" s="37"/>
      <c r="F301" s="26">
        <v>0</v>
      </c>
      <c r="G301" s="37"/>
      <c r="H301" s="26">
        <v>0</v>
      </c>
      <c r="I301" s="37"/>
      <c r="J301" s="26">
        <v>0</v>
      </c>
      <c r="K301" s="37"/>
      <c r="L301" s="26">
        <v>0</v>
      </c>
      <c r="M301" s="37"/>
      <c r="N301" s="26">
        <v>254.62</v>
      </c>
      <c r="O301" s="37"/>
      <c r="P301" s="26">
        <v>254.62</v>
      </c>
      <c r="Q301" s="31"/>
      <c r="R301" s="38">
        <v>-1156.7837413279899</v>
      </c>
      <c r="S301" s="31"/>
      <c r="T301" s="38">
        <v>-902.1637413279899</v>
      </c>
      <c r="U301" s="37"/>
      <c r="V301" s="26"/>
      <c r="W301" s="37"/>
      <c r="X301" s="26">
        <v>-1156.7837413279899</v>
      </c>
      <c r="Y301" s="37"/>
      <c r="Z301" s="26">
        <v>254.62</v>
      </c>
      <c r="AA301" s="26">
        <v>0</v>
      </c>
    </row>
    <row r="302" spans="1:27">
      <c r="A302" s="2" t="s">
        <v>108</v>
      </c>
      <c r="B302" s="2" t="str">
        <f t="shared" si="17"/>
        <v>370</v>
      </c>
      <c r="C302" s="31" t="s">
        <v>27</v>
      </c>
      <c r="D302" s="26">
        <v>4199.21</v>
      </c>
      <c r="E302" s="37"/>
      <c r="F302" s="26">
        <v>0</v>
      </c>
      <c r="G302" s="37"/>
      <c r="H302" s="26">
        <v>0</v>
      </c>
      <c r="I302" s="37"/>
      <c r="J302" s="26">
        <v>0</v>
      </c>
      <c r="K302" s="37"/>
      <c r="L302" s="26">
        <v>0</v>
      </c>
      <c r="M302" s="37"/>
      <c r="N302" s="26">
        <v>4199.21</v>
      </c>
      <c r="O302" s="37"/>
      <c r="P302" s="26">
        <v>4199.21</v>
      </c>
      <c r="Q302" s="31"/>
      <c r="R302" s="38">
        <v>-754.98857199999998</v>
      </c>
      <c r="S302" s="31"/>
      <c r="T302" s="38">
        <v>3444.2214279999998</v>
      </c>
      <c r="U302" s="37"/>
      <c r="V302" s="26"/>
      <c r="W302" s="37"/>
      <c r="X302" s="26">
        <v>-754.98857199999998</v>
      </c>
      <c r="Y302" s="37"/>
      <c r="Z302" s="26">
        <v>4199.21</v>
      </c>
      <c r="AA302" s="26">
        <v>0</v>
      </c>
    </row>
    <row r="303" spans="1:27">
      <c r="A303" s="9" t="s">
        <v>108</v>
      </c>
      <c r="B303" s="9"/>
      <c r="C303" s="5" t="s">
        <v>2488</v>
      </c>
      <c r="D303" s="7">
        <v>0</v>
      </c>
      <c r="E303" s="39"/>
      <c r="F303" s="7">
        <v>0</v>
      </c>
      <c r="G303" s="39"/>
      <c r="H303" s="7">
        <v>0</v>
      </c>
      <c r="I303" s="39"/>
      <c r="J303" s="7">
        <v>0</v>
      </c>
      <c r="K303" s="39"/>
      <c r="L303" s="7">
        <v>0</v>
      </c>
      <c r="M303" s="39"/>
      <c r="N303" s="7">
        <v>0</v>
      </c>
      <c r="O303" s="39"/>
      <c r="P303" s="7">
        <v>0</v>
      </c>
      <c r="Q303" s="5"/>
      <c r="R303" s="13">
        <v>0</v>
      </c>
      <c r="S303" s="5"/>
      <c r="T303" s="13">
        <v>0</v>
      </c>
      <c r="U303" s="39"/>
      <c r="V303" s="7"/>
      <c r="W303" s="39"/>
      <c r="X303" s="7">
        <v>0</v>
      </c>
      <c r="Y303" s="39"/>
      <c r="Z303" s="7">
        <v>0</v>
      </c>
      <c r="AA303" s="7">
        <v>0</v>
      </c>
    </row>
    <row r="304" spans="1:27">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0"/>
      <c r="P304" s="41">
        <v>0</v>
      </c>
      <c r="Q304" s="46"/>
      <c r="R304" s="42">
        <v>0</v>
      </c>
      <c r="S304" s="31"/>
      <c r="T304" s="42">
        <v>0</v>
      </c>
      <c r="U304" s="40"/>
      <c r="V304" s="41"/>
      <c r="W304" s="40"/>
      <c r="X304" s="41">
        <v>0</v>
      </c>
      <c r="Y304" s="40"/>
      <c r="Z304" s="41">
        <v>0</v>
      </c>
      <c r="AA304" s="41">
        <v>0</v>
      </c>
    </row>
    <row r="305" spans="1:27">
      <c r="C305" s="31"/>
      <c r="D305" s="24">
        <v>666586.4</v>
      </c>
      <c r="E305" s="40"/>
      <c r="F305" s="24">
        <v>0</v>
      </c>
      <c r="G305" s="40"/>
      <c r="H305" s="24">
        <v>0</v>
      </c>
      <c r="I305" s="40"/>
      <c r="J305" s="24">
        <v>0</v>
      </c>
      <c r="K305" s="40"/>
      <c r="L305" s="24">
        <v>0</v>
      </c>
      <c r="M305" s="40"/>
      <c r="N305" s="24">
        <v>666586.4</v>
      </c>
      <c r="O305" s="40"/>
      <c r="P305" s="24">
        <v>666586.39999999979</v>
      </c>
      <c r="Q305" s="46"/>
      <c r="R305" s="24">
        <v>-154289.7847823358</v>
      </c>
      <c r="S305" s="31"/>
      <c r="T305" s="24">
        <v>512296.6152176641</v>
      </c>
      <c r="U305" s="40"/>
      <c r="V305" s="24"/>
      <c r="W305" s="40"/>
      <c r="X305" s="24">
        <v>-154289.7847823358</v>
      </c>
      <c r="Y305" s="40">
        <v>0</v>
      </c>
      <c r="Z305" s="24">
        <v>666586.4</v>
      </c>
      <c r="AA305" s="24">
        <v>0</v>
      </c>
    </row>
    <row r="306" spans="1:27">
      <c r="C306" s="31"/>
      <c r="D306" s="24"/>
      <c r="E306" s="40"/>
      <c r="F306" s="24"/>
      <c r="G306" s="40"/>
      <c r="H306" s="24"/>
      <c r="I306" s="40"/>
      <c r="J306" s="24"/>
      <c r="K306" s="40"/>
      <c r="L306" s="24"/>
      <c r="M306" s="40"/>
      <c r="N306" s="24"/>
      <c r="O306" s="40"/>
      <c r="P306" s="24"/>
      <c r="Q306" s="46"/>
      <c r="R306" s="31"/>
      <c r="S306" s="31"/>
      <c r="T306" s="31"/>
      <c r="U306" s="40"/>
      <c r="V306" s="24"/>
      <c r="W306" s="40"/>
      <c r="X306" s="24"/>
      <c r="Y306" s="40"/>
      <c r="Z306" s="24"/>
      <c r="AA306" s="24"/>
    </row>
    <row r="307" spans="1:27">
      <c r="C307" s="34" t="s">
        <v>84</v>
      </c>
      <c r="D307" s="24"/>
      <c r="E307" s="40"/>
      <c r="F307" s="24"/>
      <c r="G307" s="40"/>
      <c r="H307" s="24"/>
      <c r="I307" s="40"/>
      <c r="J307" s="24"/>
      <c r="K307" s="40"/>
      <c r="L307" s="24"/>
      <c r="M307" s="40"/>
      <c r="N307" s="24"/>
      <c r="O307" s="40"/>
      <c r="P307" s="24"/>
      <c r="Q307" s="46"/>
      <c r="R307" s="31"/>
      <c r="S307" s="31"/>
      <c r="T307" s="31"/>
      <c r="U307" s="40"/>
      <c r="V307" s="24"/>
      <c r="W307" s="40"/>
      <c r="X307" s="24"/>
      <c r="Y307" s="40"/>
      <c r="Z307" s="24"/>
      <c r="AA307" s="24"/>
    </row>
    <row r="308" spans="1:27">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0"/>
      <c r="P308" s="24">
        <v>439.52999999999992</v>
      </c>
      <c r="Q308" s="46"/>
      <c r="R308" s="38">
        <v>-376.11994399999907</v>
      </c>
      <c r="S308" s="31"/>
      <c r="T308" s="38">
        <v>63.41005600000085</v>
      </c>
      <c r="U308" s="40"/>
      <c r="V308" s="24"/>
      <c r="W308" s="40"/>
      <c r="X308" s="24">
        <v>-376.11994399999907</v>
      </c>
      <c r="Y308" s="40"/>
      <c r="Z308" s="24">
        <v>439.53</v>
      </c>
      <c r="AA308" s="24">
        <v>0</v>
      </c>
    </row>
    <row r="309" spans="1:27">
      <c r="A309" s="2" t="s">
        <v>108</v>
      </c>
      <c r="B309" s="2" t="str">
        <f t="shared" si="19"/>
        <v>355</v>
      </c>
      <c r="C309" s="31" t="s">
        <v>93</v>
      </c>
      <c r="D309" s="24">
        <v>128751.53</v>
      </c>
      <c r="E309" s="40"/>
      <c r="F309" s="24">
        <v>0</v>
      </c>
      <c r="G309" s="40"/>
      <c r="H309" s="24">
        <v>0</v>
      </c>
      <c r="I309" s="40"/>
      <c r="J309" s="24">
        <v>0</v>
      </c>
      <c r="K309" s="40"/>
      <c r="L309" s="24">
        <v>0</v>
      </c>
      <c r="M309" s="40"/>
      <c r="N309" s="24">
        <v>128751.53</v>
      </c>
      <c r="O309" s="40"/>
      <c r="P309" s="24">
        <v>128751.53</v>
      </c>
      <c r="Q309" s="46"/>
      <c r="R309" s="38">
        <v>-95114.443105920072</v>
      </c>
      <c r="S309" s="31"/>
      <c r="T309" s="38">
        <v>33637.086894079926</v>
      </c>
      <c r="U309" s="40"/>
      <c r="V309" s="24"/>
      <c r="W309" s="40"/>
      <c r="X309" s="24">
        <v>-95114.443105920072</v>
      </c>
      <c r="Y309" s="40"/>
      <c r="Z309" s="24">
        <v>128751.53</v>
      </c>
      <c r="AA309" s="24">
        <v>0</v>
      </c>
    </row>
    <row r="310" spans="1:27">
      <c r="A310" s="2" t="s">
        <v>108</v>
      </c>
      <c r="B310" s="2" t="str">
        <f t="shared" si="19"/>
        <v>356</v>
      </c>
      <c r="C310" s="31" t="s">
        <v>94</v>
      </c>
      <c r="D310" s="41">
        <v>80691.329999999987</v>
      </c>
      <c r="E310" s="40"/>
      <c r="F310" s="41">
        <v>0</v>
      </c>
      <c r="G310" s="40"/>
      <c r="H310" s="41">
        <v>0</v>
      </c>
      <c r="I310" s="40"/>
      <c r="J310" s="41">
        <v>0</v>
      </c>
      <c r="K310" s="40"/>
      <c r="L310" s="41">
        <v>0</v>
      </c>
      <c r="M310" s="40"/>
      <c r="N310" s="41">
        <v>80691.329999999987</v>
      </c>
      <c r="O310" s="40"/>
      <c r="P310" s="41">
        <v>80691.33</v>
      </c>
      <c r="Q310" s="46"/>
      <c r="R310" s="42">
        <v>-56359.476376000006</v>
      </c>
      <c r="S310" s="31"/>
      <c r="T310" s="42">
        <v>24331.853623999996</v>
      </c>
      <c r="U310" s="40"/>
      <c r="V310" s="41"/>
      <c r="W310" s="40"/>
      <c r="X310" s="41">
        <v>-56359.476376000006</v>
      </c>
      <c r="Y310" s="40"/>
      <c r="Z310" s="41">
        <v>80691.329999999987</v>
      </c>
      <c r="AA310" s="41">
        <v>0</v>
      </c>
    </row>
    <row r="311" spans="1:27">
      <c r="C311" s="31"/>
      <c r="D311" s="24">
        <v>209882.38999999998</v>
      </c>
      <c r="E311" s="40"/>
      <c r="F311" s="24">
        <v>0</v>
      </c>
      <c r="G311" s="40"/>
      <c r="H311" s="24">
        <v>0</v>
      </c>
      <c r="I311" s="40"/>
      <c r="J311" s="24">
        <v>0</v>
      </c>
      <c r="K311" s="40"/>
      <c r="L311" s="24">
        <v>0</v>
      </c>
      <c r="M311" s="40"/>
      <c r="N311" s="24">
        <v>209882.38999999998</v>
      </c>
      <c r="O311" s="40"/>
      <c r="P311" s="24">
        <v>209882.39</v>
      </c>
      <c r="Q311" s="46"/>
      <c r="R311" s="24">
        <v>-151850.03942592008</v>
      </c>
      <c r="S311" s="31"/>
      <c r="T311" s="24">
        <v>58032.350574079923</v>
      </c>
      <c r="U311" s="40"/>
      <c r="V311" s="24"/>
      <c r="W311" s="40"/>
      <c r="X311" s="24">
        <v>-151850.03942592008</v>
      </c>
      <c r="Y311" s="40">
        <v>0</v>
      </c>
      <c r="Z311" s="24">
        <v>209882.38999999998</v>
      </c>
      <c r="AA311" s="24">
        <v>0</v>
      </c>
    </row>
    <row r="312" spans="1:27">
      <c r="C312" s="31"/>
      <c r="D312" s="24"/>
      <c r="E312" s="40"/>
      <c r="F312" s="24"/>
      <c r="G312" s="40"/>
      <c r="H312" s="24"/>
      <c r="I312" s="40"/>
      <c r="J312" s="24"/>
      <c r="K312" s="40"/>
      <c r="L312" s="24"/>
      <c r="M312" s="40"/>
      <c r="N312" s="24"/>
      <c r="O312" s="40"/>
      <c r="P312" s="24"/>
      <c r="Q312" s="46"/>
      <c r="R312" s="31"/>
      <c r="S312" s="31"/>
      <c r="T312" s="31"/>
      <c r="U312" s="40"/>
      <c r="V312" s="24"/>
      <c r="W312" s="40"/>
      <c r="X312" s="24"/>
      <c r="Y312" s="40"/>
      <c r="Z312" s="24"/>
      <c r="AA312" s="24"/>
    </row>
    <row r="313" spans="1:27">
      <c r="C313" s="31"/>
      <c r="D313" s="26"/>
      <c r="E313" s="37"/>
      <c r="F313" s="26"/>
      <c r="G313" s="37"/>
      <c r="H313" s="26"/>
      <c r="I313" s="37"/>
      <c r="J313" s="26"/>
      <c r="K313" s="37"/>
      <c r="L313" s="26"/>
      <c r="M313" s="37"/>
      <c r="N313" s="26"/>
      <c r="O313" s="37"/>
      <c r="P313" s="26"/>
      <c r="Q313" s="31"/>
      <c r="R313" s="31"/>
      <c r="S313" s="31"/>
      <c r="T313" s="31"/>
      <c r="U313" s="37"/>
      <c r="V313" s="26"/>
      <c r="W313" s="37"/>
      <c r="X313" s="26"/>
      <c r="Y313" s="37"/>
      <c r="Z313" s="26"/>
      <c r="AA313" s="26"/>
    </row>
    <row r="314" spans="1:27" ht="13.5" thickBot="1">
      <c r="C314" s="34" t="s">
        <v>110</v>
      </c>
      <c r="D314" s="44">
        <v>876468.79</v>
      </c>
      <c r="E314" s="37"/>
      <c r="F314" s="44">
        <v>0</v>
      </c>
      <c r="G314" s="37"/>
      <c r="H314" s="44">
        <v>0</v>
      </c>
      <c r="I314" s="37"/>
      <c r="J314" s="44">
        <v>0</v>
      </c>
      <c r="K314" s="37"/>
      <c r="L314" s="44">
        <v>0</v>
      </c>
      <c r="M314" s="37"/>
      <c r="N314" s="44">
        <v>876468.79</v>
      </c>
      <c r="O314" s="37"/>
      <c r="P314" s="44">
        <v>876468.7899999998</v>
      </c>
      <c r="Q314" s="31"/>
      <c r="R314" s="44">
        <v>-306139.82420825586</v>
      </c>
      <c r="S314" s="31"/>
      <c r="T314" s="44">
        <v>570328.96579174406</v>
      </c>
      <c r="U314" s="37"/>
      <c r="V314" s="44">
        <v>0</v>
      </c>
      <c r="W314" s="37"/>
      <c r="X314" s="44">
        <v>-306139.82420825586</v>
      </c>
      <c r="Y314" s="37"/>
      <c r="Z314" s="44">
        <v>876468.79</v>
      </c>
      <c r="AA314" s="44">
        <v>0</v>
      </c>
    </row>
    <row r="315" spans="1:27" ht="13.5" thickTop="1"/>
    <row r="318" spans="1:27">
      <c r="C318" s="510" t="s">
        <v>0</v>
      </c>
      <c r="D318" s="510"/>
      <c r="E318" s="510"/>
      <c r="F318" s="510"/>
      <c r="G318" s="510"/>
      <c r="H318" s="510"/>
      <c r="I318" s="510"/>
      <c r="J318" s="510"/>
      <c r="K318" s="510"/>
      <c r="L318" s="510"/>
      <c r="M318" s="510"/>
      <c r="N318" s="510"/>
      <c r="O318" s="510"/>
      <c r="P318" s="510"/>
    </row>
    <row r="319" spans="1:27">
      <c r="C319" s="510" t="s">
        <v>111</v>
      </c>
      <c r="D319" s="510"/>
      <c r="E319" s="510"/>
      <c r="F319" s="510"/>
      <c r="G319" s="510"/>
      <c r="H319" s="510"/>
      <c r="I319" s="510"/>
      <c r="J319" s="510"/>
      <c r="K319" s="510"/>
      <c r="L319" s="510"/>
      <c r="M319" s="510"/>
      <c r="N319" s="510"/>
      <c r="O319" s="510"/>
      <c r="P319" s="510"/>
    </row>
    <row r="320" spans="1:27">
      <c r="C320" s="521"/>
      <c r="D320" s="511"/>
      <c r="E320" s="511"/>
      <c r="F320" s="511"/>
      <c r="G320" s="511"/>
      <c r="H320" s="511"/>
      <c r="I320" s="511"/>
      <c r="J320" s="511"/>
      <c r="K320" s="511"/>
      <c r="L320" s="511"/>
      <c r="M320" s="511"/>
      <c r="N320" s="511"/>
      <c r="O320" s="511"/>
      <c r="P320" s="511"/>
      <c r="V320" s="2"/>
      <c r="X320" s="2"/>
      <c r="Z320" s="2"/>
      <c r="AA320" s="2"/>
    </row>
    <row r="321" spans="1:27">
      <c r="C321" s="32"/>
      <c r="D321" s="32"/>
      <c r="E321" s="32"/>
      <c r="F321" s="32"/>
      <c r="G321" s="32"/>
      <c r="H321" s="32"/>
      <c r="I321" s="32"/>
      <c r="J321" s="32"/>
      <c r="K321" s="32"/>
      <c r="L321" s="32"/>
      <c r="M321" s="32"/>
      <c r="N321" s="32"/>
      <c r="O321" s="32"/>
      <c r="P321" s="32"/>
      <c r="V321" s="2"/>
      <c r="X321" s="2"/>
      <c r="Z321" s="32" t="s">
        <v>1717</v>
      </c>
      <c r="AA321" s="2"/>
    </row>
    <row r="322" spans="1:27">
      <c r="D322" s="512" t="s">
        <v>2529</v>
      </c>
      <c r="F322" s="2"/>
      <c r="H322" s="2"/>
      <c r="J322" s="2"/>
      <c r="L322" s="2"/>
      <c r="N322" s="512" t="s">
        <v>2530</v>
      </c>
      <c r="P322" s="512" t="s">
        <v>1718</v>
      </c>
      <c r="V322" s="2"/>
      <c r="X322" s="2"/>
      <c r="Z322" s="512" t="s">
        <v>2530</v>
      </c>
      <c r="AA322" s="2"/>
    </row>
    <row r="323" spans="1:27">
      <c r="D323" s="62" t="s">
        <v>2</v>
      </c>
      <c r="J323" s="62" t="s">
        <v>3</v>
      </c>
      <c r="N323" s="62" t="s">
        <v>4</v>
      </c>
      <c r="P323" s="62" t="s">
        <v>4</v>
      </c>
      <c r="U323" s="32"/>
      <c r="V323" s="32"/>
      <c r="W323" s="32"/>
      <c r="X323" s="32"/>
      <c r="Y323" s="32"/>
      <c r="Z323" s="6" t="s">
        <v>4</v>
      </c>
      <c r="AA323" s="32"/>
    </row>
    <row r="324" spans="1:27">
      <c r="C324" s="9"/>
      <c r="D324" s="63" t="s">
        <v>6</v>
      </c>
      <c r="F324" s="63" t="s">
        <v>7</v>
      </c>
      <c r="H324" s="63" t="s">
        <v>8</v>
      </c>
      <c r="J324" s="63" t="s">
        <v>9</v>
      </c>
      <c r="L324" s="63" t="s">
        <v>10</v>
      </c>
      <c r="N324" s="63" t="s">
        <v>6</v>
      </c>
      <c r="P324" s="63" t="s">
        <v>6</v>
      </c>
      <c r="U324" s="3"/>
      <c r="V324" s="439"/>
      <c r="W324" s="439"/>
      <c r="X324" s="439"/>
      <c r="Y324" s="3"/>
      <c r="Z324" s="10" t="s">
        <v>6</v>
      </c>
      <c r="AA324" s="10" t="s">
        <v>13</v>
      </c>
    </row>
    <row r="325" spans="1:27">
      <c r="C325" s="9"/>
      <c r="D325" s="64"/>
      <c r="F325" s="64"/>
      <c r="H325" s="64"/>
      <c r="J325" s="64"/>
      <c r="L325" s="64"/>
      <c r="N325" s="64"/>
      <c r="P325" s="64"/>
      <c r="V325" s="64"/>
      <c r="W325" s="29"/>
      <c r="X325" s="64"/>
      <c r="Z325" s="64"/>
      <c r="AA325" s="64"/>
    </row>
    <row r="326" spans="1:27">
      <c r="C326" s="47" t="s">
        <v>112</v>
      </c>
      <c r="D326" s="2"/>
      <c r="F326" s="2"/>
      <c r="H326" s="2"/>
      <c r="J326" s="2"/>
      <c r="L326" s="2"/>
      <c r="N326" s="2"/>
      <c r="P326" s="2"/>
      <c r="V326" s="64"/>
      <c r="W326" s="29"/>
      <c r="X326" s="64"/>
      <c r="Z326" s="2"/>
      <c r="AA326" s="2"/>
    </row>
    <row r="327" spans="1:27">
      <c r="C327" s="23" t="s">
        <v>16</v>
      </c>
      <c r="D327" s="2"/>
      <c r="F327" s="2"/>
      <c r="H327" s="2"/>
      <c r="J327" s="2"/>
      <c r="L327" s="2"/>
      <c r="N327" s="2"/>
      <c r="P327" s="2"/>
      <c r="V327" s="64"/>
      <c r="W327" s="29"/>
      <c r="X327" s="64"/>
      <c r="Z327" s="2"/>
      <c r="AA327" s="2"/>
    </row>
    <row r="328" spans="1:27">
      <c r="A328" s="9" t="s">
        <v>17</v>
      </c>
      <c r="C328" s="2" t="s">
        <v>18</v>
      </c>
      <c r="D328" s="232">
        <v>906481.46</v>
      </c>
      <c r="E328" s="232"/>
      <c r="F328" s="232"/>
      <c r="G328" s="232"/>
      <c r="H328" s="232"/>
      <c r="I328" s="232"/>
      <c r="J328" s="232"/>
      <c r="K328" s="232"/>
      <c r="L328" s="232"/>
      <c r="M328" s="232"/>
      <c r="N328" s="232">
        <v>906481.46</v>
      </c>
      <c r="O328" s="232"/>
      <c r="P328" s="232">
        <v>906481.46</v>
      </c>
      <c r="V328" s="29"/>
      <c r="W328" s="29"/>
      <c r="X328" s="29"/>
      <c r="Z328" s="232">
        <v>906481.45999999985</v>
      </c>
      <c r="AA328" s="232">
        <v>0</v>
      </c>
    </row>
    <row r="329" spans="1:27">
      <c r="A329" s="9" t="s">
        <v>2494</v>
      </c>
      <c r="C329" s="2" t="s">
        <v>2192</v>
      </c>
      <c r="D329" s="233">
        <v>564941.13</v>
      </c>
      <c r="F329" s="233"/>
      <c r="H329" s="233"/>
      <c r="J329" s="233"/>
      <c r="L329" s="233"/>
      <c r="N329" s="233">
        <v>564941.13</v>
      </c>
      <c r="P329" s="233">
        <v>564941.13</v>
      </c>
      <c r="V329" s="29"/>
      <c r="W329" s="29"/>
      <c r="X329" s="29"/>
      <c r="Z329" s="233">
        <v>564941.12999999989</v>
      </c>
      <c r="AA329" s="233">
        <v>0</v>
      </c>
    </row>
    <row r="330" spans="1:27">
      <c r="D330" s="232">
        <v>1471422.5899999999</v>
      </c>
      <c r="E330" s="232"/>
      <c r="F330" s="232"/>
      <c r="G330" s="232"/>
      <c r="H330" s="232"/>
      <c r="I330" s="232"/>
      <c r="J330" s="232"/>
      <c r="K330" s="232"/>
      <c r="L330" s="232"/>
      <c r="M330" s="232"/>
      <c r="N330" s="232">
        <v>1471422.5899999999</v>
      </c>
      <c r="O330" s="232"/>
      <c r="P330" s="232">
        <v>1471422.5899999999</v>
      </c>
      <c r="U330" s="232"/>
      <c r="V330" s="232"/>
      <c r="W330" s="232"/>
      <c r="X330" s="232"/>
      <c r="Y330" s="232"/>
      <c r="Z330" s="232">
        <v>1471422.5899999999</v>
      </c>
      <c r="AA330" s="232">
        <v>0</v>
      </c>
    </row>
    <row r="331" spans="1:27">
      <c r="C331" s="47"/>
      <c r="D331" s="2"/>
      <c r="F331" s="2"/>
      <c r="H331" s="2"/>
      <c r="J331" s="2"/>
      <c r="L331" s="2"/>
      <c r="N331" s="2"/>
      <c r="P331" s="2"/>
      <c r="V331" s="232"/>
      <c r="W331" s="29"/>
      <c r="X331" s="232"/>
      <c r="Z331" s="2"/>
      <c r="AA331" s="2"/>
    </row>
    <row r="332" spans="1:27" ht="15">
      <c r="C332" s="440" t="s">
        <v>2193</v>
      </c>
      <c r="D332"/>
      <c r="E332"/>
      <c r="F332"/>
      <c r="G332"/>
      <c r="H332"/>
      <c r="I332"/>
      <c r="J332"/>
      <c r="K332"/>
      <c r="L332"/>
      <c r="M332"/>
      <c r="N332"/>
      <c r="O332"/>
      <c r="P332"/>
      <c r="Q332" s="293"/>
      <c r="R332" s="293"/>
      <c r="S332" s="293"/>
      <c r="T332" s="293"/>
      <c r="U332" s="232"/>
      <c r="V332" s="232"/>
      <c r="W332" s="232"/>
      <c r="X332" s="232"/>
      <c r="Y332" s="232"/>
      <c r="Z332"/>
      <c r="AA332"/>
    </row>
    <row r="333" spans="1:27" ht="15">
      <c r="A333" s="2" t="s">
        <v>17</v>
      </c>
      <c r="C333" s="198" t="s">
        <v>62</v>
      </c>
      <c r="D333" s="233">
        <v>309540.84999999998</v>
      </c>
      <c r="F333" s="233"/>
      <c r="H333" s="233"/>
      <c r="J333" s="233"/>
      <c r="L333" s="233"/>
      <c r="N333" s="233">
        <v>309540.84999999998</v>
      </c>
      <c r="P333" s="233">
        <v>309540.84999999998</v>
      </c>
      <c r="Q333" s="293"/>
      <c r="R333" s="293"/>
      <c r="S333" s="293"/>
      <c r="T333" s="293"/>
      <c r="V333" s="29"/>
      <c r="W333" s="29"/>
      <c r="X333" s="29"/>
      <c r="Z333" s="233">
        <v>309540.84999999998</v>
      </c>
      <c r="AA333" s="233">
        <v>0</v>
      </c>
    </row>
    <row r="334" spans="1:27" ht="15">
      <c r="C334" s="440"/>
      <c r="D334" s="232">
        <v>309540.84999999998</v>
      </c>
      <c r="E334" s="232"/>
      <c r="F334" s="232"/>
      <c r="G334" s="232"/>
      <c r="H334" s="232"/>
      <c r="I334" s="232"/>
      <c r="J334" s="232"/>
      <c r="K334" s="232"/>
      <c r="L334" s="232"/>
      <c r="M334" s="232"/>
      <c r="N334" s="232">
        <v>309540.84999999998</v>
      </c>
      <c r="O334" s="232"/>
      <c r="P334" s="232">
        <v>309540.84999999998</v>
      </c>
      <c r="Q334" s="293"/>
      <c r="R334" s="293"/>
      <c r="S334" s="293"/>
      <c r="T334" s="293"/>
      <c r="U334"/>
      <c r="V334" s="441"/>
      <c r="W334" s="441"/>
      <c r="X334" s="441"/>
      <c r="Y334"/>
      <c r="Z334" s="232">
        <v>309540.84999999998</v>
      </c>
      <c r="AA334" s="232">
        <v>0</v>
      </c>
    </row>
    <row r="335" spans="1:27" ht="15">
      <c r="C335" s="440"/>
      <c r="D335"/>
      <c r="E335"/>
      <c r="F335"/>
      <c r="G335"/>
      <c r="H335"/>
      <c r="I335"/>
      <c r="J335"/>
      <c r="K335"/>
      <c r="L335"/>
      <c r="M335"/>
      <c r="N335"/>
      <c r="O335"/>
      <c r="P335"/>
      <c r="Q335" s="293"/>
      <c r="R335" s="293"/>
      <c r="S335" s="293"/>
      <c r="T335" s="293"/>
      <c r="V335" s="232"/>
      <c r="W335" s="29"/>
      <c r="X335" s="232"/>
      <c r="Z335"/>
      <c r="AA335"/>
    </row>
    <row r="336" spans="1:27">
      <c r="C336" s="47"/>
      <c r="D336" s="2"/>
      <c r="F336" s="2"/>
      <c r="H336" s="2"/>
      <c r="J336" s="2"/>
      <c r="L336" s="2"/>
      <c r="N336" s="2"/>
      <c r="P336" s="2"/>
      <c r="U336" s="232"/>
      <c r="V336" s="232"/>
      <c r="W336" s="232"/>
      <c r="X336" s="232"/>
      <c r="Y336" s="232"/>
      <c r="Z336" s="2"/>
      <c r="AA336" s="2"/>
    </row>
    <row r="337" spans="1:27" ht="15">
      <c r="C337" s="23" t="s">
        <v>113</v>
      </c>
      <c r="D337" s="232"/>
      <c r="E337" s="232"/>
      <c r="F337" s="232"/>
      <c r="G337" s="232"/>
      <c r="H337" s="232"/>
      <c r="I337" s="232"/>
      <c r="J337" s="232"/>
      <c r="K337" s="232"/>
      <c r="L337" s="232"/>
      <c r="M337" s="232"/>
      <c r="N337" s="232"/>
      <c r="O337" s="232"/>
      <c r="P337" s="232"/>
      <c r="U337"/>
      <c r="V337" s="441"/>
      <c r="W337" s="441"/>
      <c r="X337" s="441"/>
      <c r="Y337"/>
      <c r="Z337"/>
      <c r="AA337"/>
    </row>
    <row r="338" spans="1:27">
      <c r="C338" s="2" t="s">
        <v>73</v>
      </c>
      <c r="D338" s="232">
        <v>0</v>
      </c>
      <c r="E338" s="232"/>
      <c r="F338" s="232"/>
      <c r="G338" s="232"/>
      <c r="H338" s="232"/>
      <c r="I338" s="232"/>
      <c r="J338" s="232"/>
      <c r="K338" s="232"/>
      <c r="L338" s="232"/>
      <c r="M338" s="232"/>
      <c r="N338" s="232">
        <v>0</v>
      </c>
      <c r="O338" s="232"/>
      <c r="P338" s="232">
        <v>0</v>
      </c>
      <c r="V338" s="29"/>
      <c r="W338" s="29"/>
      <c r="X338" s="29"/>
      <c r="Z338" s="2"/>
      <c r="AA338" s="2"/>
    </row>
    <row r="339" spans="1:27">
      <c r="C339" s="2" t="s">
        <v>74</v>
      </c>
      <c r="D339" s="232">
        <v>0</v>
      </c>
      <c r="E339" s="232"/>
      <c r="F339" s="232"/>
      <c r="G339" s="232"/>
      <c r="H339" s="232"/>
      <c r="I339" s="232"/>
      <c r="J339" s="232"/>
      <c r="K339" s="232"/>
      <c r="L339" s="232"/>
      <c r="M339" s="232"/>
      <c r="N339" s="232">
        <v>0</v>
      </c>
      <c r="O339" s="232"/>
      <c r="P339" s="232">
        <v>0</v>
      </c>
      <c r="U339" s="232"/>
      <c r="V339" s="232"/>
      <c r="W339" s="232"/>
      <c r="X339" s="232"/>
      <c r="Y339" s="232"/>
      <c r="Z339" s="232"/>
      <c r="AA339" s="232"/>
    </row>
    <row r="340" spans="1:27">
      <c r="C340" s="2" t="s">
        <v>76</v>
      </c>
      <c r="D340" s="232">
        <v>0</v>
      </c>
      <c r="E340" s="232"/>
      <c r="F340" s="232"/>
      <c r="G340" s="232"/>
      <c r="H340" s="232"/>
      <c r="I340" s="232"/>
      <c r="J340" s="232"/>
      <c r="K340" s="232"/>
      <c r="L340" s="232"/>
      <c r="M340" s="232"/>
      <c r="N340" s="232">
        <v>0</v>
      </c>
      <c r="O340" s="232"/>
      <c r="P340" s="232">
        <v>0</v>
      </c>
      <c r="U340" s="232"/>
      <c r="V340" s="232"/>
      <c r="W340" s="232"/>
      <c r="X340" s="232"/>
      <c r="Y340" s="232"/>
      <c r="Z340" s="232"/>
      <c r="AA340" s="232"/>
    </row>
    <row r="341" spans="1:27">
      <c r="C341" s="2" t="s">
        <v>78</v>
      </c>
      <c r="D341" s="232">
        <v>0</v>
      </c>
      <c r="E341" s="232"/>
      <c r="F341" s="232"/>
      <c r="G341" s="232"/>
      <c r="H341" s="232"/>
      <c r="I341" s="232"/>
      <c r="J341" s="232"/>
      <c r="K341" s="232"/>
      <c r="L341" s="232"/>
      <c r="M341" s="232"/>
      <c r="N341" s="232">
        <v>0</v>
      </c>
      <c r="O341" s="232"/>
      <c r="P341" s="232">
        <v>0</v>
      </c>
      <c r="U341" s="232"/>
      <c r="V341" s="232"/>
      <c r="W341" s="232"/>
      <c r="X341" s="232"/>
      <c r="Y341" s="232"/>
      <c r="Z341" s="232"/>
      <c r="AA341" s="232"/>
    </row>
    <row r="342" spans="1:27">
      <c r="C342" s="2" t="s">
        <v>114</v>
      </c>
      <c r="D342" s="232">
        <v>0</v>
      </c>
      <c r="E342" s="232"/>
      <c r="F342" s="232"/>
      <c r="G342" s="232"/>
      <c r="H342" s="232"/>
      <c r="I342" s="232"/>
      <c r="J342" s="232"/>
      <c r="K342" s="232"/>
      <c r="L342" s="232"/>
      <c r="M342" s="232"/>
      <c r="N342" s="232">
        <v>0</v>
      </c>
      <c r="O342" s="232"/>
      <c r="P342" s="232">
        <v>0</v>
      </c>
      <c r="U342" s="232"/>
      <c r="V342" s="232"/>
      <c r="W342" s="232"/>
      <c r="X342" s="232"/>
      <c r="Y342" s="232"/>
      <c r="Z342" s="232"/>
      <c r="AA342" s="232"/>
    </row>
    <row r="343" spans="1:27">
      <c r="C343" s="2" t="s">
        <v>82</v>
      </c>
      <c r="D343" s="233">
        <v>0</v>
      </c>
      <c r="E343" s="232"/>
      <c r="F343" s="233"/>
      <c r="G343" s="232"/>
      <c r="H343" s="233"/>
      <c r="I343" s="232"/>
      <c r="J343" s="233"/>
      <c r="K343" s="232"/>
      <c r="L343" s="233"/>
      <c r="M343" s="232"/>
      <c r="N343" s="233">
        <v>0</v>
      </c>
      <c r="O343" s="232"/>
      <c r="P343" s="233">
        <v>0</v>
      </c>
      <c r="U343" s="232"/>
      <c r="V343" s="232"/>
      <c r="W343" s="232"/>
      <c r="X343" s="232"/>
      <c r="Y343" s="232"/>
      <c r="Z343" s="232"/>
      <c r="AA343" s="232"/>
    </row>
    <row r="344" spans="1:27" ht="15">
      <c r="A344" s="48"/>
      <c r="B344" s="48"/>
      <c r="D344" s="232">
        <v>0</v>
      </c>
      <c r="E344" s="232"/>
      <c r="F344" s="232"/>
      <c r="G344" s="232"/>
      <c r="H344" s="232"/>
      <c r="I344" s="232"/>
      <c r="J344" s="232"/>
      <c r="K344" s="232"/>
      <c r="L344" s="232"/>
      <c r="M344" s="232"/>
      <c r="N344" s="232">
        <v>0</v>
      </c>
      <c r="O344" s="232"/>
      <c r="P344" s="232">
        <v>0</v>
      </c>
      <c r="U344" s="232"/>
      <c r="V344" s="232"/>
      <c r="W344" s="232"/>
      <c r="X344" s="232"/>
      <c r="Y344" s="232"/>
      <c r="Z344" s="232"/>
      <c r="AA344" s="232"/>
    </row>
    <row r="345" spans="1:27" ht="15">
      <c r="A345" s="48"/>
      <c r="B345" s="48"/>
      <c r="D345" s="232"/>
      <c r="E345" s="66"/>
      <c r="F345" s="232"/>
      <c r="G345" s="66"/>
      <c r="H345" s="232"/>
      <c r="I345" s="66"/>
      <c r="J345" s="232"/>
      <c r="K345" s="66"/>
      <c r="L345" s="232"/>
      <c r="M345" s="66"/>
      <c r="N345" s="232"/>
      <c r="O345" s="66"/>
      <c r="P345" s="232"/>
      <c r="U345" s="232"/>
      <c r="V345" s="232"/>
      <c r="W345" s="232"/>
      <c r="X345" s="232"/>
      <c r="Y345" s="232"/>
      <c r="Z345" s="233"/>
      <c r="AA345" s="233"/>
    </row>
    <row r="346" spans="1:27">
      <c r="A346" s="49"/>
      <c r="B346" s="49"/>
      <c r="C346" s="2" t="s">
        <v>32</v>
      </c>
      <c r="D346" s="232"/>
      <c r="E346" s="66"/>
      <c r="F346" s="232"/>
      <c r="G346" s="66"/>
      <c r="H346" s="232"/>
      <c r="I346" s="66"/>
      <c r="J346" s="232"/>
      <c r="K346" s="66"/>
      <c r="L346" s="232"/>
      <c r="M346" s="66"/>
      <c r="N346" s="232"/>
      <c r="O346" s="66"/>
      <c r="P346" s="232"/>
      <c r="U346" s="232"/>
      <c r="V346" s="232"/>
      <c r="W346" s="232"/>
      <c r="X346" s="232"/>
      <c r="Y346" s="232"/>
      <c r="Z346" s="232"/>
      <c r="AA346" s="232"/>
    </row>
    <row r="347" spans="1:27" s="48" customFormat="1" ht="15">
      <c r="A347" s="2" t="s">
        <v>17</v>
      </c>
      <c r="B347" s="2"/>
      <c r="C347" s="2" t="s">
        <v>33</v>
      </c>
      <c r="D347" s="232">
        <v>131956.31</v>
      </c>
      <c r="E347" s="66"/>
      <c r="F347" s="232"/>
      <c r="G347" s="66"/>
      <c r="H347" s="232"/>
      <c r="I347" s="66"/>
      <c r="J347" s="232"/>
      <c r="K347" s="66"/>
      <c r="L347" s="232"/>
      <c r="M347" s="66"/>
      <c r="N347" s="232">
        <v>131956.31</v>
      </c>
      <c r="O347" s="66"/>
      <c r="P347" s="232">
        <v>131956.31</v>
      </c>
      <c r="Q347" s="2"/>
      <c r="R347" s="2"/>
      <c r="S347" s="2"/>
      <c r="T347" s="2"/>
      <c r="U347" s="66"/>
      <c r="V347" s="232"/>
      <c r="W347" s="232"/>
      <c r="X347" s="232"/>
      <c r="Y347" s="66"/>
      <c r="Z347" s="233">
        <v>131956.31</v>
      </c>
      <c r="AA347" s="233">
        <v>0</v>
      </c>
    </row>
    <row r="348" spans="1:27" s="48" customFormat="1" ht="15">
      <c r="A348" s="49"/>
      <c r="B348" s="49"/>
      <c r="C348" s="2"/>
      <c r="D348" s="232">
        <v>131956.31</v>
      </c>
      <c r="E348" s="66"/>
      <c r="F348" s="232"/>
      <c r="G348" s="66"/>
      <c r="H348" s="232"/>
      <c r="I348" s="66"/>
      <c r="J348" s="232"/>
      <c r="K348" s="66"/>
      <c r="L348" s="232"/>
      <c r="M348" s="66"/>
      <c r="N348" s="232">
        <v>131956.31</v>
      </c>
      <c r="O348" s="66"/>
      <c r="P348" s="232">
        <v>131956.31</v>
      </c>
      <c r="Q348" s="2"/>
      <c r="R348" s="2"/>
      <c r="S348" s="2"/>
      <c r="T348" s="2"/>
      <c r="U348" s="66"/>
      <c r="V348" s="232"/>
      <c r="W348" s="232"/>
      <c r="X348" s="232"/>
      <c r="Y348" s="66"/>
      <c r="Z348" s="232">
        <v>131956.31</v>
      </c>
      <c r="AA348" s="232">
        <v>0</v>
      </c>
    </row>
    <row r="349" spans="1:27" s="49" customFormat="1">
      <c r="C349" s="2"/>
      <c r="D349" s="66"/>
      <c r="E349" s="66"/>
      <c r="F349" s="66"/>
      <c r="G349" s="66"/>
      <c r="H349" s="66"/>
      <c r="I349" s="66"/>
      <c r="J349" s="66"/>
      <c r="K349" s="66"/>
      <c r="L349" s="66"/>
      <c r="M349" s="66"/>
      <c r="N349" s="66"/>
      <c r="O349" s="66"/>
      <c r="P349" s="66"/>
      <c r="Q349" s="2"/>
      <c r="R349" s="2"/>
      <c r="S349" s="2"/>
      <c r="T349" s="2"/>
      <c r="U349" s="66"/>
      <c r="V349" s="232"/>
      <c r="W349" s="232"/>
      <c r="X349" s="232"/>
      <c r="Y349" s="66"/>
      <c r="Z349" s="66"/>
      <c r="AA349" s="66"/>
    </row>
    <row r="350" spans="1:27" s="49" customFormat="1" ht="13.5" thickBot="1">
      <c r="C350" s="23" t="s">
        <v>115</v>
      </c>
      <c r="D350" s="234">
        <v>1912919.75</v>
      </c>
      <c r="E350" s="66"/>
      <c r="F350" s="234"/>
      <c r="G350" s="66"/>
      <c r="H350" s="234"/>
      <c r="I350" s="66"/>
      <c r="J350" s="234"/>
      <c r="K350" s="66"/>
      <c r="L350" s="234"/>
      <c r="M350" s="66"/>
      <c r="N350" s="234">
        <v>1912919.75</v>
      </c>
      <c r="O350" s="66"/>
      <c r="P350" s="234">
        <v>1912919.75</v>
      </c>
      <c r="Q350" s="2"/>
      <c r="R350" s="2"/>
      <c r="S350" s="2"/>
      <c r="T350" s="2"/>
      <c r="U350" s="2"/>
      <c r="V350" s="232"/>
      <c r="W350" s="29"/>
      <c r="X350" s="232"/>
      <c r="Y350" s="2"/>
      <c r="Z350" s="234">
        <v>1912919.75</v>
      </c>
      <c r="AA350" s="234">
        <v>0</v>
      </c>
    </row>
    <row r="351" spans="1:27" s="49" customFormat="1" ht="13.5" thickTop="1">
      <c r="C351" s="2"/>
      <c r="D351" s="66"/>
      <c r="E351" s="2"/>
      <c r="F351" s="66"/>
      <c r="G351" s="2"/>
      <c r="H351" s="66"/>
      <c r="I351" s="2"/>
      <c r="J351" s="66"/>
      <c r="K351" s="2"/>
      <c r="L351" s="66"/>
      <c r="M351" s="2"/>
      <c r="N351" s="66"/>
      <c r="O351" s="2"/>
      <c r="P351" s="66"/>
      <c r="Q351" s="2"/>
      <c r="R351" s="2"/>
      <c r="S351" s="2"/>
      <c r="T351" s="2"/>
      <c r="U351" s="2"/>
      <c r="V351" s="232"/>
      <c r="W351" s="29"/>
      <c r="X351" s="232"/>
      <c r="Y351" s="2"/>
      <c r="Z351" s="66"/>
      <c r="AA351" s="66"/>
    </row>
    <row r="352" spans="1:27" s="49" customFormat="1">
      <c r="A352" s="53"/>
      <c r="B352" s="53"/>
      <c r="C352" s="2"/>
      <c r="D352" s="66"/>
      <c r="E352" s="2"/>
      <c r="F352" s="66"/>
      <c r="G352" s="2"/>
      <c r="H352" s="66"/>
      <c r="I352" s="2"/>
      <c r="J352" s="66"/>
      <c r="K352" s="2"/>
      <c r="L352" s="66"/>
      <c r="M352" s="2"/>
      <c r="N352" s="66"/>
      <c r="O352" s="2"/>
      <c r="P352" s="66"/>
      <c r="Q352" s="2"/>
      <c r="R352" s="2"/>
      <c r="S352" s="2"/>
      <c r="T352" s="2"/>
      <c r="U352" s="2"/>
      <c r="V352" s="232"/>
      <c r="W352" s="29"/>
      <c r="X352" s="232"/>
      <c r="Y352" s="2"/>
      <c r="Z352" s="66"/>
      <c r="AA352" s="66"/>
    </row>
    <row r="353" spans="1:27" s="53" customFormat="1" ht="15">
      <c r="C353" s="513" t="s">
        <v>0</v>
      </c>
      <c r="D353" s="513"/>
      <c r="E353" s="513"/>
      <c r="F353" s="513"/>
      <c r="G353" s="513"/>
      <c r="H353" s="513"/>
      <c r="I353" s="513"/>
      <c r="J353" s="513"/>
      <c r="K353" s="513"/>
      <c r="L353" s="513"/>
      <c r="M353" s="513"/>
      <c r="N353" s="513"/>
      <c r="O353" s="513"/>
      <c r="P353" s="513"/>
      <c r="Q353" s="48"/>
      <c r="R353" s="48"/>
      <c r="S353" s="48"/>
      <c r="T353" s="48"/>
      <c r="U353" s="2"/>
      <c r="V353" s="232"/>
      <c r="W353" s="29"/>
      <c r="X353" s="232"/>
      <c r="Y353" s="2"/>
      <c r="Z353" s="66"/>
      <c r="AA353" s="66"/>
    </row>
    <row r="354" spans="1:27" s="53" customFormat="1" ht="15">
      <c r="C354" s="513" t="s">
        <v>116</v>
      </c>
      <c r="D354" s="513"/>
      <c r="E354" s="513"/>
      <c r="F354" s="513"/>
      <c r="G354" s="513"/>
      <c r="H354" s="513"/>
      <c r="I354" s="513"/>
      <c r="J354" s="513"/>
      <c r="K354" s="513"/>
      <c r="L354" s="513"/>
      <c r="M354" s="513"/>
      <c r="N354" s="513"/>
      <c r="O354" s="513"/>
      <c r="P354" s="513"/>
      <c r="Q354" s="48"/>
      <c r="R354" s="48"/>
      <c r="S354" s="48"/>
      <c r="T354" s="48"/>
      <c r="U354" s="48"/>
      <c r="V354" s="442"/>
      <c r="W354" s="442"/>
      <c r="X354" s="442"/>
      <c r="Y354" s="48"/>
      <c r="Z354" s="48"/>
      <c r="AA354" s="48"/>
    </row>
    <row r="355" spans="1:27" s="53" customFormat="1" ht="15">
      <c r="A355" s="49"/>
      <c r="B355" s="49"/>
      <c r="C355" s="521"/>
      <c r="D355" s="511"/>
      <c r="E355" s="511"/>
      <c r="F355" s="511"/>
      <c r="G355" s="511"/>
      <c r="H355" s="511"/>
      <c r="I355" s="511"/>
      <c r="J355" s="511"/>
      <c r="K355" s="511"/>
      <c r="L355" s="511"/>
      <c r="M355" s="511"/>
      <c r="N355" s="511"/>
      <c r="O355" s="511"/>
      <c r="P355" s="511"/>
      <c r="Q355" s="49"/>
      <c r="R355" s="49"/>
      <c r="S355" s="49"/>
      <c r="T355" s="49"/>
      <c r="U355" s="48"/>
      <c r="V355" s="442"/>
      <c r="W355" s="442"/>
      <c r="X355" s="442"/>
      <c r="Y355" s="48"/>
      <c r="Z355" s="48"/>
      <c r="AA355" s="48"/>
    </row>
    <row r="356" spans="1:27" s="49" customFormat="1">
      <c r="C356" s="50"/>
      <c r="D356" s="50"/>
      <c r="E356" s="50"/>
      <c r="F356" s="50"/>
      <c r="G356" s="50"/>
      <c r="H356" s="50"/>
      <c r="I356" s="50"/>
      <c r="J356" s="50"/>
      <c r="K356" s="50"/>
      <c r="L356" s="50"/>
      <c r="M356" s="50"/>
      <c r="N356" s="50"/>
      <c r="O356" s="50"/>
      <c r="P356" s="50"/>
      <c r="V356" s="59"/>
      <c r="W356" s="59"/>
      <c r="X356" s="59"/>
    </row>
    <row r="357" spans="1:27">
      <c r="D357" s="512" t="s">
        <v>2529</v>
      </c>
      <c r="F357" s="2"/>
      <c r="H357" s="2"/>
      <c r="J357" s="2"/>
      <c r="L357" s="2"/>
      <c r="N357" s="512" t="s">
        <v>2530</v>
      </c>
      <c r="P357" s="512" t="s">
        <v>1718</v>
      </c>
      <c r="V357" s="2"/>
      <c r="X357" s="2"/>
      <c r="Z357" s="512" t="s">
        <v>2530</v>
      </c>
      <c r="AA357" s="2"/>
    </row>
    <row r="358" spans="1:27" s="49" customFormat="1">
      <c r="D358" s="51" t="s">
        <v>2</v>
      </c>
      <c r="F358" s="52"/>
      <c r="H358" s="52"/>
      <c r="J358" s="51" t="s">
        <v>3</v>
      </c>
      <c r="L358" s="52"/>
      <c r="N358" s="51" t="s">
        <v>4</v>
      </c>
      <c r="P358" s="51" t="s">
        <v>4</v>
      </c>
      <c r="U358" s="3"/>
      <c r="V358" s="439"/>
      <c r="W358" s="439"/>
      <c r="X358" s="439"/>
      <c r="Y358" s="3"/>
      <c r="Z358" s="6" t="s">
        <v>4</v>
      </c>
      <c r="AA358" s="62"/>
    </row>
    <row r="359" spans="1:27" s="49" customFormat="1">
      <c r="C359" s="53"/>
      <c r="D359" s="54" t="s">
        <v>6</v>
      </c>
      <c r="F359" s="54" t="s">
        <v>7</v>
      </c>
      <c r="H359" s="54" t="s">
        <v>8</v>
      </c>
      <c r="J359" s="54" t="s">
        <v>9</v>
      </c>
      <c r="L359" s="54" t="s">
        <v>10</v>
      </c>
      <c r="N359" s="54" t="s">
        <v>6</v>
      </c>
      <c r="P359" s="54" t="s">
        <v>6</v>
      </c>
      <c r="Q359" s="53"/>
      <c r="R359" s="53"/>
      <c r="S359" s="53"/>
      <c r="T359" s="53"/>
      <c r="V359" s="55"/>
      <c r="W359" s="59"/>
      <c r="X359" s="55"/>
      <c r="Z359" s="10" t="s">
        <v>6</v>
      </c>
      <c r="AA359" s="10" t="s">
        <v>13</v>
      </c>
    </row>
    <row r="360" spans="1:27" s="49" customFormat="1">
      <c r="A360" s="59"/>
      <c r="B360" s="59"/>
      <c r="C360" s="53"/>
      <c r="D360" s="55"/>
      <c r="F360" s="55"/>
      <c r="H360" s="55"/>
      <c r="J360" s="55"/>
      <c r="L360" s="55"/>
      <c r="N360" s="55"/>
      <c r="P360" s="55"/>
      <c r="Q360" s="53"/>
      <c r="R360" s="53"/>
      <c r="S360" s="53"/>
      <c r="T360" s="53"/>
      <c r="V360" s="55"/>
      <c r="W360" s="59"/>
      <c r="X360" s="55"/>
      <c r="Z360" s="55"/>
      <c r="AA360" s="55"/>
    </row>
    <row r="361" spans="1:27" s="59" customFormat="1">
      <c r="A361" s="49"/>
      <c r="B361" s="49"/>
      <c r="C361" s="56" t="s">
        <v>117</v>
      </c>
      <c r="D361" s="49"/>
      <c r="E361" s="49"/>
      <c r="F361" s="49"/>
      <c r="G361" s="49"/>
      <c r="H361" s="49"/>
      <c r="I361" s="49"/>
      <c r="J361" s="49"/>
      <c r="K361" s="49"/>
      <c r="L361" s="49"/>
      <c r="M361" s="49"/>
      <c r="N361" s="49"/>
      <c r="O361" s="49"/>
      <c r="P361" s="49"/>
      <c r="Q361" s="53"/>
      <c r="R361" s="53"/>
      <c r="S361" s="53"/>
      <c r="T361" s="53"/>
      <c r="U361" s="49"/>
      <c r="V361" s="55"/>
      <c r="X361" s="55"/>
      <c r="Y361" s="49"/>
      <c r="Z361" s="49"/>
      <c r="AA361" s="49"/>
    </row>
    <row r="362" spans="1:27" s="49" customFormat="1">
      <c r="C362" s="57" t="s">
        <v>113</v>
      </c>
      <c r="D362" s="58"/>
      <c r="E362" s="58"/>
      <c r="F362" s="58"/>
      <c r="G362" s="58"/>
      <c r="H362" s="58"/>
      <c r="I362" s="58"/>
      <c r="J362" s="58"/>
      <c r="K362" s="58"/>
      <c r="L362" s="58"/>
      <c r="M362" s="58"/>
      <c r="N362" s="58"/>
      <c r="O362" s="58"/>
      <c r="P362" s="58"/>
      <c r="Q362" s="40"/>
      <c r="R362" s="37"/>
      <c r="V362" s="59"/>
      <c r="W362" s="59"/>
      <c r="X362" s="59"/>
      <c r="Z362" s="58"/>
      <c r="AA362" s="58"/>
    </row>
    <row r="363" spans="1:27" s="49" customFormat="1">
      <c r="C363" s="49" t="s">
        <v>118</v>
      </c>
      <c r="D363" s="58">
        <v>0</v>
      </c>
      <c r="E363" s="58"/>
      <c r="F363" s="58">
        <v>0</v>
      </c>
      <c r="G363" s="58"/>
      <c r="H363" s="58">
        <v>0</v>
      </c>
      <c r="I363" s="58"/>
      <c r="J363" s="58">
        <v>0</v>
      </c>
      <c r="K363" s="58"/>
      <c r="L363" s="58">
        <v>0</v>
      </c>
      <c r="M363" s="58"/>
      <c r="N363" s="58">
        <v>0</v>
      </c>
      <c r="O363" s="58"/>
      <c r="P363" s="58">
        <v>0</v>
      </c>
      <c r="Q363" s="40"/>
      <c r="R363" s="37"/>
      <c r="U363" s="58"/>
      <c r="V363" s="58"/>
      <c r="W363" s="58"/>
      <c r="X363" s="58"/>
      <c r="Y363" s="58"/>
      <c r="Z363" s="58"/>
      <c r="AA363" s="58">
        <v>0</v>
      </c>
    </row>
    <row r="364" spans="1:27" s="49" customFormat="1">
      <c r="C364" s="49" t="s">
        <v>74</v>
      </c>
      <c r="D364" s="58">
        <v>0</v>
      </c>
      <c r="E364" s="58"/>
      <c r="F364" s="58">
        <v>0</v>
      </c>
      <c r="G364" s="58"/>
      <c r="H364" s="58">
        <v>0</v>
      </c>
      <c r="I364" s="58"/>
      <c r="J364" s="58">
        <v>0</v>
      </c>
      <c r="K364" s="58"/>
      <c r="L364" s="58">
        <v>0</v>
      </c>
      <c r="M364" s="58"/>
      <c r="N364" s="58">
        <v>0</v>
      </c>
      <c r="O364" s="58"/>
      <c r="P364" s="58">
        <v>0</v>
      </c>
      <c r="Q364" s="40"/>
      <c r="R364" s="37"/>
      <c r="U364" s="58"/>
      <c r="V364" s="58"/>
      <c r="W364" s="58"/>
      <c r="X364" s="58"/>
      <c r="Y364" s="58"/>
      <c r="Z364" s="58"/>
      <c r="AA364" s="58">
        <v>0</v>
      </c>
    </row>
    <row r="365" spans="1:27" s="49" customFormat="1">
      <c r="C365" s="49" t="s">
        <v>76</v>
      </c>
      <c r="D365" s="58">
        <v>0</v>
      </c>
      <c r="E365" s="58"/>
      <c r="F365" s="58">
        <v>0</v>
      </c>
      <c r="G365" s="58"/>
      <c r="H365" s="58">
        <v>0</v>
      </c>
      <c r="I365" s="58"/>
      <c r="J365" s="58">
        <v>0</v>
      </c>
      <c r="K365" s="58"/>
      <c r="L365" s="58">
        <v>0</v>
      </c>
      <c r="M365" s="58"/>
      <c r="N365" s="58">
        <v>0</v>
      </c>
      <c r="O365" s="58"/>
      <c r="P365" s="58">
        <v>0</v>
      </c>
      <c r="Q365" s="40"/>
      <c r="R365" s="37"/>
      <c r="U365" s="58"/>
      <c r="V365" s="58"/>
      <c r="W365" s="58"/>
      <c r="X365" s="58"/>
      <c r="Y365" s="58"/>
      <c r="Z365" s="58"/>
      <c r="AA365" s="58">
        <v>0</v>
      </c>
    </row>
    <row r="366" spans="1:27" s="49" customFormat="1">
      <c r="A366" s="2"/>
      <c r="B366" s="2"/>
      <c r="C366" s="49" t="s">
        <v>78</v>
      </c>
      <c r="D366" s="58">
        <v>0</v>
      </c>
      <c r="E366" s="58"/>
      <c r="F366" s="58">
        <v>0</v>
      </c>
      <c r="G366" s="58"/>
      <c r="H366" s="58">
        <v>0</v>
      </c>
      <c r="I366" s="58"/>
      <c r="J366" s="58">
        <v>0</v>
      </c>
      <c r="K366" s="58"/>
      <c r="L366" s="58">
        <v>0</v>
      </c>
      <c r="M366" s="58"/>
      <c r="N366" s="58">
        <v>0</v>
      </c>
      <c r="O366" s="58"/>
      <c r="P366" s="58">
        <v>0</v>
      </c>
      <c r="Q366" s="40"/>
      <c r="R366" s="37"/>
      <c r="U366" s="58"/>
      <c r="V366" s="58"/>
      <c r="W366" s="58"/>
      <c r="X366" s="58"/>
      <c r="Y366" s="58"/>
      <c r="Z366" s="58"/>
      <c r="AA366" s="58">
        <v>0</v>
      </c>
    </row>
    <row r="367" spans="1:27">
      <c r="C367" s="59" t="s">
        <v>114</v>
      </c>
      <c r="D367" s="58">
        <v>0</v>
      </c>
      <c r="E367" s="58"/>
      <c r="F367" s="58">
        <v>0</v>
      </c>
      <c r="G367" s="58"/>
      <c r="H367" s="58">
        <v>0</v>
      </c>
      <c r="I367" s="58"/>
      <c r="J367" s="58">
        <v>0</v>
      </c>
      <c r="K367" s="58"/>
      <c r="L367" s="58">
        <v>0</v>
      </c>
      <c r="M367" s="58"/>
      <c r="N367" s="58">
        <v>0</v>
      </c>
      <c r="O367" s="58"/>
      <c r="P367" s="58">
        <v>0</v>
      </c>
      <c r="Q367" s="40"/>
      <c r="R367" s="40"/>
      <c r="S367" s="59"/>
      <c r="T367" s="59"/>
      <c r="U367" s="58"/>
      <c r="V367" s="58"/>
      <c r="W367" s="58"/>
      <c r="X367" s="58"/>
      <c r="Y367" s="58"/>
      <c r="Z367" s="58"/>
      <c r="AA367" s="58">
        <v>0</v>
      </c>
    </row>
    <row r="368" spans="1:27">
      <c r="C368" s="49" t="s">
        <v>82</v>
      </c>
      <c r="D368" s="60">
        <v>0</v>
      </c>
      <c r="E368" s="58"/>
      <c r="F368" s="60">
        <v>0</v>
      </c>
      <c r="G368" s="58"/>
      <c r="H368" s="60">
        <v>0</v>
      </c>
      <c r="I368" s="58"/>
      <c r="J368" s="60">
        <v>0</v>
      </c>
      <c r="K368" s="58"/>
      <c r="L368" s="60">
        <v>0</v>
      </c>
      <c r="M368" s="58"/>
      <c r="N368" s="60">
        <v>0</v>
      </c>
      <c r="O368" s="58"/>
      <c r="P368" s="60">
        <v>0</v>
      </c>
      <c r="Q368" s="40"/>
      <c r="R368" s="37"/>
      <c r="S368" s="49"/>
      <c r="T368" s="49"/>
      <c r="U368" s="58"/>
      <c r="V368" s="58"/>
      <c r="W368" s="58"/>
      <c r="X368" s="58"/>
      <c r="Y368" s="58"/>
      <c r="Z368" s="60"/>
      <c r="AA368" s="60">
        <v>0</v>
      </c>
    </row>
    <row r="369" spans="3:27">
      <c r="C369" s="49"/>
      <c r="D369" s="58">
        <v>0</v>
      </c>
      <c r="E369" s="58"/>
      <c r="F369" s="58">
        <v>0</v>
      </c>
      <c r="G369" s="58"/>
      <c r="H369" s="58">
        <v>0</v>
      </c>
      <c r="I369" s="58"/>
      <c r="J369" s="58">
        <v>0</v>
      </c>
      <c r="K369" s="58"/>
      <c r="L369" s="58">
        <v>0</v>
      </c>
      <c r="M369" s="58"/>
      <c r="N369" s="58">
        <v>0</v>
      </c>
      <c r="O369" s="58"/>
      <c r="P369" s="58">
        <v>0</v>
      </c>
      <c r="Q369" s="40"/>
      <c r="R369" s="37"/>
      <c r="S369" s="49"/>
      <c r="T369" s="49"/>
      <c r="U369" s="58"/>
      <c r="V369" s="58"/>
      <c r="W369" s="58"/>
      <c r="X369" s="58"/>
      <c r="Y369" s="58"/>
      <c r="Z369" s="58"/>
      <c r="AA369" s="58"/>
    </row>
    <row r="370" spans="3:27">
      <c r="C370" s="49"/>
      <c r="D370" s="58"/>
      <c r="E370" s="52"/>
      <c r="F370" s="58"/>
      <c r="G370" s="52"/>
      <c r="H370" s="58"/>
      <c r="I370" s="52"/>
      <c r="J370" s="58"/>
      <c r="K370" s="52"/>
      <c r="L370" s="58"/>
      <c r="M370" s="52"/>
      <c r="N370" s="58"/>
      <c r="O370" s="52"/>
      <c r="P370" s="58"/>
      <c r="Q370" s="37"/>
      <c r="R370" s="37"/>
      <c r="S370" s="49"/>
      <c r="T370" s="49"/>
      <c r="U370" s="58"/>
      <c r="V370" s="58"/>
      <c r="W370" s="58"/>
      <c r="X370" s="58"/>
      <c r="Y370" s="58"/>
      <c r="Z370" s="58"/>
      <c r="AA370" s="58"/>
    </row>
    <row r="371" spans="3:27">
      <c r="C371" s="49"/>
      <c r="D371" s="52"/>
      <c r="E371" s="52"/>
      <c r="F371" s="52"/>
      <c r="G371" s="52"/>
      <c r="H371" s="52"/>
      <c r="I371" s="52"/>
      <c r="J371" s="52"/>
      <c r="K371" s="52"/>
      <c r="L371" s="52"/>
      <c r="M371" s="52"/>
      <c r="N371" s="52"/>
      <c r="O371" s="52"/>
      <c r="P371" s="52"/>
      <c r="Q371" s="37"/>
      <c r="R371" s="37"/>
      <c r="S371" s="49"/>
      <c r="T371" s="49"/>
      <c r="U371" s="52"/>
      <c r="V371" s="58"/>
      <c r="W371" s="58"/>
      <c r="X371" s="58"/>
      <c r="Y371" s="52"/>
      <c r="Z371" s="52"/>
      <c r="AA371" s="52"/>
    </row>
    <row r="372" spans="3:27" ht="13.5" thickBot="1">
      <c r="C372" s="57" t="s">
        <v>119</v>
      </c>
      <c r="D372" s="61">
        <v>0</v>
      </c>
      <c r="E372" s="52"/>
      <c r="F372" s="61">
        <v>0</v>
      </c>
      <c r="G372" s="52"/>
      <c r="H372" s="61">
        <v>0</v>
      </c>
      <c r="I372" s="52"/>
      <c r="J372" s="61">
        <v>0</v>
      </c>
      <c r="K372" s="52"/>
      <c r="L372" s="61">
        <v>0</v>
      </c>
      <c r="M372" s="52"/>
      <c r="N372" s="61">
        <v>0</v>
      </c>
      <c r="O372" s="52"/>
      <c r="P372" s="61">
        <v>0</v>
      </c>
      <c r="Q372" s="37"/>
      <c r="R372" s="37"/>
      <c r="S372" s="49"/>
      <c r="T372" s="49"/>
      <c r="U372" s="52"/>
      <c r="V372" s="58"/>
      <c r="W372" s="58"/>
      <c r="X372" s="58"/>
      <c r="Y372" s="52"/>
      <c r="Z372" s="61">
        <v>0</v>
      </c>
      <c r="AA372" s="61">
        <v>0</v>
      </c>
    </row>
    <row r="373" spans="3:27" ht="13.5" thickTop="1">
      <c r="U373" s="52"/>
      <c r="V373" s="58"/>
      <c r="W373" s="58"/>
      <c r="X373" s="58"/>
      <c r="Y373" s="52"/>
    </row>
    <row r="374" spans="3:27">
      <c r="V374" s="232"/>
      <c r="W374" s="29"/>
      <c r="X374" s="232"/>
    </row>
  </sheetData>
  <pageMargins left="0.75" right="0.75" top="1" bottom="1" header="0.5" footer="0.5"/>
  <pageSetup scale="44"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653"/>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429" customWidth="1"/>
    <col min="2" max="2" width="4.21875" style="429" customWidth="1"/>
    <col min="3" max="3" width="6.44140625" style="429" customWidth="1"/>
    <col min="4" max="4" width="58.33203125" style="430" bestFit="1" customWidth="1"/>
    <col min="5" max="5" width="13.6640625" style="428" customWidth="1"/>
    <col min="6" max="18" width="9.33203125" style="429" customWidth="1"/>
    <col min="19" max="19" width="12.21875" style="429" customWidth="1"/>
    <col min="20" max="20" width="16.21875" style="429" customWidth="1"/>
    <col min="21" max="22" width="10.33203125" style="235" bestFit="1" customWidth="1"/>
    <col min="23" max="16384" width="7.77734375" style="235"/>
  </cols>
  <sheetData>
    <row r="1" spans="1:20" s="401" customFormat="1" ht="18.75">
      <c r="A1" s="432"/>
      <c r="B1" s="433"/>
      <c r="C1" s="433"/>
      <c r="D1" s="434"/>
      <c r="E1" s="435"/>
      <c r="F1" s="433"/>
      <c r="G1" s="433"/>
      <c r="H1" s="433"/>
      <c r="I1" s="433"/>
      <c r="J1" s="433"/>
      <c r="K1" s="433"/>
      <c r="L1" s="433"/>
      <c r="M1" s="433"/>
      <c r="N1" s="433"/>
      <c r="O1" s="433"/>
      <c r="P1" s="433"/>
      <c r="Q1" s="433"/>
      <c r="R1" s="433"/>
      <c r="S1" s="433"/>
      <c r="T1" s="433"/>
    </row>
    <row r="2" spans="1:20" s="401" customFormat="1" ht="30">
      <c r="A2" s="433" t="s">
        <v>1719</v>
      </c>
      <c r="B2" s="433" t="s">
        <v>1720</v>
      </c>
      <c r="C2" s="433" t="s">
        <v>1721</v>
      </c>
      <c r="D2" s="434" t="s">
        <v>2531</v>
      </c>
      <c r="E2" s="435"/>
      <c r="F2" s="433" t="s">
        <v>2532</v>
      </c>
      <c r="G2" s="433" t="s">
        <v>2533</v>
      </c>
      <c r="H2" s="433" t="s">
        <v>2534</v>
      </c>
      <c r="I2" s="433" t="s">
        <v>2535</v>
      </c>
      <c r="J2" s="433" t="s">
        <v>2536</v>
      </c>
      <c r="K2" s="433" t="s">
        <v>2537</v>
      </c>
      <c r="L2" s="433" t="s">
        <v>2538</v>
      </c>
      <c r="M2" s="433" t="s">
        <v>2539</v>
      </c>
      <c r="N2" s="433" t="s">
        <v>2540</v>
      </c>
      <c r="O2" s="433" t="s">
        <v>2541</v>
      </c>
      <c r="P2" s="433" t="s">
        <v>2542</v>
      </c>
      <c r="Q2" s="433" t="s">
        <v>2543</v>
      </c>
      <c r="R2" s="433" t="s">
        <v>2544</v>
      </c>
      <c r="S2" s="433" t="s">
        <v>2545</v>
      </c>
      <c r="T2" s="433" t="s">
        <v>2217</v>
      </c>
    </row>
    <row r="3" spans="1:20" s="401" customFormat="1">
      <c r="A3" s="433"/>
      <c r="B3" s="433"/>
      <c r="C3" s="433"/>
      <c r="D3" s="434" t="s">
        <v>2546</v>
      </c>
      <c r="E3" s="435"/>
      <c r="F3" s="433"/>
      <c r="G3" s="433"/>
      <c r="H3" s="433"/>
      <c r="I3" s="433"/>
      <c r="J3" s="433"/>
      <c r="K3" s="433"/>
      <c r="L3" s="433"/>
      <c r="M3" s="433"/>
      <c r="N3" s="433"/>
      <c r="O3" s="433"/>
      <c r="P3" s="433"/>
      <c r="Q3" s="433"/>
      <c r="R3" s="433"/>
      <c r="S3" s="433"/>
      <c r="T3" s="433"/>
    </row>
    <row r="5" spans="1:20">
      <c r="D5" s="721" t="s">
        <v>1722</v>
      </c>
      <c r="E5" s="722"/>
    </row>
    <row r="6" spans="1:20">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c r="T6" s="429">
        <f>SUM(F6:R6)/13</f>
        <v>39.116890000000005</v>
      </c>
    </row>
    <row r="7" spans="1:20">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c r="T7" s="429">
        <f t="shared" ref="T7:T70" si="4">SUM(F7:R7)/13</f>
        <v>5.3386899999999997</v>
      </c>
    </row>
    <row r="8" spans="1:20">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c r="T8" s="429">
        <f t="shared" si="4"/>
        <v>55.918829999999993</v>
      </c>
    </row>
    <row r="9" spans="1:20">
      <c r="A9" s="429" t="str">
        <f t="shared" si="0"/>
        <v>KU</v>
      </c>
      <c r="B9" s="429" t="str">
        <f t="shared" si="1"/>
        <v>KY</v>
      </c>
      <c r="C9" s="429" t="str">
        <f t="shared" si="2"/>
        <v>303</v>
      </c>
      <c r="D9" s="430" t="s">
        <v>1726</v>
      </c>
      <c r="E9" s="428" t="str">
        <f t="shared" si="3"/>
        <v/>
      </c>
      <c r="F9" s="429">
        <v>73319.540640000007</v>
      </c>
      <c r="G9" s="429">
        <v>73538.088159999999</v>
      </c>
      <c r="H9" s="429">
        <v>79938.438200000004</v>
      </c>
      <c r="I9" s="429">
        <v>80449.984880000004</v>
      </c>
      <c r="J9" s="429">
        <v>80021.994229999997</v>
      </c>
      <c r="K9" s="429">
        <v>80184.022330000007</v>
      </c>
      <c r="L9" s="429">
        <v>78921.739820000003</v>
      </c>
      <c r="M9" s="429">
        <v>76594.238289999994</v>
      </c>
      <c r="N9" s="429">
        <v>78612.585470000005</v>
      </c>
      <c r="O9" s="429">
        <v>77689.51801</v>
      </c>
      <c r="P9" s="429">
        <v>75053.611359999995</v>
      </c>
      <c r="Q9" s="429">
        <v>83302.449229999998</v>
      </c>
      <c r="R9" s="429">
        <v>84306.194409999996</v>
      </c>
      <c r="T9" s="429">
        <f t="shared" si="4"/>
        <v>78610.185002307699</v>
      </c>
    </row>
    <row r="10" spans="1:20">
      <c r="A10" s="429" t="str">
        <f t="shared" si="0"/>
        <v>KU</v>
      </c>
      <c r="B10" s="429" t="str">
        <f t="shared" si="1"/>
        <v>KY</v>
      </c>
      <c r="C10" s="429" t="str">
        <f t="shared" si="2"/>
        <v>303</v>
      </c>
      <c r="D10" s="430" t="s">
        <v>1727</v>
      </c>
      <c r="E10" s="428" t="str">
        <f t="shared" si="3"/>
        <v/>
      </c>
      <c r="F10" s="429">
        <v>19162.703549999998</v>
      </c>
      <c r="G10" s="429">
        <v>19218.703549999998</v>
      </c>
      <c r="H10" s="429">
        <v>19218.703549999998</v>
      </c>
      <c r="I10" s="429">
        <v>19218.703549999998</v>
      </c>
      <c r="J10" s="429">
        <v>19218.703549999998</v>
      </c>
      <c r="K10" s="429">
        <v>19218.703549999998</v>
      </c>
      <c r="L10" s="429">
        <v>19218.703549999998</v>
      </c>
      <c r="M10" s="429">
        <v>19218.703549999998</v>
      </c>
      <c r="N10" s="429">
        <v>19329.490549999999</v>
      </c>
      <c r="O10" s="429">
        <v>19329.490549999999</v>
      </c>
      <c r="P10" s="429">
        <v>19429.490549999999</v>
      </c>
      <c r="Q10" s="429">
        <v>19429.490549999999</v>
      </c>
      <c r="R10" s="429">
        <v>19597.490549999999</v>
      </c>
      <c r="T10" s="429">
        <f t="shared" si="4"/>
        <v>19293.006242307689</v>
      </c>
    </row>
    <row r="11" spans="1:20">
      <c r="A11" s="429" t="str">
        <f t="shared" si="0"/>
        <v>KU</v>
      </c>
      <c r="B11" s="429" t="str">
        <f t="shared" si="1"/>
        <v>KY</v>
      </c>
      <c r="C11" s="429" t="str">
        <f t="shared" si="2"/>
        <v>310</v>
      </c>
      <c r="D11" s="430" t="s">
        <v>1728</v>
      </c>
      <c r="E11" s="428" t="str">
        <f t="shared" si="3"/>
        <v>ECR</v>
      </c>
      <c r="F11" s="429">
        <v>11621.0685599999</v>
      </c>
      <c r="G11" s="429">
        <v>11621.0685599999</v>
      </c>
      <c r="H11" s="429">
        <v>11621.0685599999</v>
      </c>
      <c r="I11" s="429">
        <v>11621.0685599999</v>
      </c>
      <c r="J11" s="429">
        <v>11621.0685599999</v>
      </c>
      <c r="K11" s="429">
        <v>11621.0685599999</v>
      </c>
      <c r="L11" s="429">
        <v>11621.0685599999</v>
      </c>
      <c r="M11" s="429">
        <v>11621.0685599999</v>
      </c>
      <c r="N11" s="429">
        <v>11621.0685599999</v>
      </c>
      <c r="O11" s="429">
        <v>11621.0685599999</v>
      </c>
      <c r="P11" s="429">
        <v>11621.0685599999</v>
      </c>
      <c r="Q11" s="429">
        <v>11621.0685599999</v>
      </c>
      <c r="R11" s="429">
        <v>11621.0685599999</v>
      </c>
      <c r="T11" s="429">
        <f t="shared" si="4"/>
        <v>11621.0685599999</v>
      </c>
    </row>
    <row r="12" spans="1:20">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c r="T12" s="429">
        <f t="shared" si="4"/>
        <v>1406.9974500000003</v>
      </c>
    </row>
    <row r="13" spans="1:20">
      <c r="A13" s="429" t="str">
        <f t="shared" si="0"/>
        <v>KU</v>
      </c>
      <c r="B13" s="429" t="str">
        <f t="shared" si="1"/>
        <v>KY</v>
      </c>
      <c r="C13" s="429" t="str">
        <f t="shared" si="2"/>
        <v>310</v>
      </c>
      <c r="D13" s="430" t="s">
        <v>2506</v>
      </c>
      <c r="E13" s="428" t="str">
        <f t="shared" si="3"/>
        <v>ECR</v>
      </c>
      <c r="F13" s="429">
        <v>12.94003</v>
      </c>
      <c r="G13" s="429">
        <v>12.94003</v>
      </c>
      <c r="H13" s="429">
        <v>12.94003</v>
      </c>
      <c r="I13" s="429">
        <v>12.94003</v>
      </c>
      <c r="J13" s="429">
        <v>12.94003</v>
      </c>
      <c r="K13" s="429">
        <v>12.94003</v>
      </c>
      <c r="L13" s="429">
        <v>12.94003</v>
      </c>
      <c r="M13" s="429">
        <v>12.94003</v>
      </c>
      <c r="N13" s="429">
        <v>12.94003</v>
      </c>
      <c r="O13" s="429">
        <v>12.94003</v>
      </c>
      <c r="P13" s="429">
        <v>12.94003</v>
      </c>
      <c r="Q13" s="429">
        <v>12.94003</v>
      </c>
      <c r="R13" s="429">
        <v>12.94003</v>
      </c>
      <c r="T13" s="429">
        <f t="shared" si="4"/>
        <v>12.940030000000005</v>
      </c>
    </row>
    <row r="14" spans="1:20">
      <c r="A14" s="429" t="str">
        <f t="shared" si="0"/>
        <v>KU</v>
      </c>
      <c r="B14" s="429" t="str">
        <f t="shared" si="1"/>
        <v>KY</v>
      </c>
      <c r="C14" s="429" t="str">
        <f t="shared" si="2"/>
        <v>310</v>
      </c>
      <c r="D14" s="430" t="s">
        <v>1730</v>
      </c>
      <c r="E14" s="428" t="str">
        <f t="shared" si="3"/>
        <v/>
      </c>
      <c r="F14" s="429">
        <v>11406.341850000001</v>
      </c>
      <c r="G14" s="429">
        <v>11406.341850000001</v>
      </c>
      <c r="H14" s="429">
        <v>11406.341850000001</v>
      </c>
      <c r="I14" s="429">
        <v>11406.341850000001</v>
      </c>
      <c r="J14" s="429">
        <v>11406.341850000001</v>
      </c>
      <c r="K14" s="429">
        <v>11406.341850000001</v>
      </c>
      <c r="L14" s="429">
        <v>11406.341850000001</v>
      </c>
      <c r="M14" s="429">
        <v>11406.341850000001</v>
      </c>
      <c r="N14" s="429">
        <v>11406.341850000001</v>
      </c>
      <c r="O14" s="429">
        <v>11406.341850000001</v>
      </c>
      <c r="P14" s="429">
        <v>11406.341850000001</v>
      </c>
      <c r="Q14" s="429">
        <v>11406.341850000001</v>
      </c>
      <c r="R14" s="429">
        <v>11406.341850000001</v>
      </c>
      <c r="T14" s="429">
        <f t="shared" si="4"/>
        <v>11406.341849999999</v>
      </c>
    </row>
    <row r="15" spans="1:20">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c r="T15" s="429">
        <f t="shared" si="4"/>
        <v>10539.653909999997</v>
      </c>
    </row>
    <row r="16" spans="1:20">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c r="T16" s="429">
        <f t="shared" si="4"/>
        <v>14263.553749999994</v>
      </c>
    </row>
    <row r="17" spans="1:20">
      <c r="A17" s="429" t="str">
        <f t="shared" si="0"/>
        <v>KU</v>
      </c>
      <c r="B17" s="429" t="str">
        <f t="shared" si="1"/>
        <v>KY</v>
      </c>
      <c r="C17" s="429" t="str">
        <f t="shared" si="2"/>
        <v>311</v>
      </c>
      <c r="D17" s="430" t="s">
        <v>1732</v>
      </c>
      <c r="E17" s="428" t="str">
        <f t="shared" si="3"/>
        <v/>
      </c>
      <c r="F17" s="429">
        <v>333381.54500999901</v>
      </c>
      <c r="G17" s="429">
        <v>333892.19051999901</v>
      </c>
      <c r="H17" s="429">
        <v>334267.90070999903</v>
      </c>
      <c r="I17" s="429">
        <v>335442.58333999902</v>
      </c>
      <c r="J17" s="429">
        <v>335877.38069999998</v>
      </c>
      <c r="K17" s="429">
        <v>335898.70762</v>
      </c>
      <c r="L17" s="429">
        <v>336122.11200000002</v>
      </c>
      <c r="M17" s="429">
        <v>336504.09467000002</v>
      </c>
      <c r="N17" s="429">
        <v>325828.58966</v>
      </c>
      <c r="O17" s="429">
        <v>325828.58966</v>
      </c>
      <c r="P17" s="429">
        <v>325828.58966</v>
      </c>
      <c r="Q17" s="429">
        <v>326024.73765999998</v>
      </c>
      <c r="R17" s="429">
        <v>326077.73284999997</v>
      </c>
      <c r="T17" s="429">
        <f t="shared" si="4"/>
        <v>331613.44261999975</v>
      </c>
    </row>
    <row r="18" spans="1:20">
      <c r="A18" s="429" t="str">
        <f t="shared" si="0"/>
        <v>KU</v>
      </c>
      <c r="B18" s="429" t="str">
        <f t="shared" si="1"/>
        <v>KY</v>
      </c>
      <c r="C18" s="429" t="str">
        <f t="shared" si="2"/>
        <v>312</v>
      </c>
      <c r="D18" s="430" t="s">
        <v>1733</v>
      </c>
      <c r="E18" s="428" t="str">
        <f t="shared" si="3"/>
        <v/>
      </c>
      <c r="F18" s="429">
        <v>2682180.08331999</v>
      </c>
      <c r="G18" s="429">
        <v>2685205.23425999</v>
      </c>
      <c r="H18" s="429">
        <v>2699860.6513999901</v>
      </c>
      <c r="I18" s="429">
        <v>2702454.7065499998</v>
      </c>
      <c r="J18" s="429">
        <v>2703223.57640999</v>
      </c>
      <c r="K18" s="429">
        <v>2704216.6520799999</v>
      </c>
      <c r="L18" s="429">
        <v>2705547.92979</v>
      </c>
      <c r="M18" s="429">
        <v>2717977.3128899899</v>
      </c>
      <c r="N18" s="429">
        <v>2718566.0343699902</v>
      </c>
      <c r="O18" s="429">
        <v>2718502.96363999</v>
      </c>
      <c r="P18" s="429">
        <v>2714509.0808399902</v>
      </c>
      <c r="Q18" s="429">
        <v>2721156.7894699899</v>
      </c>
      <c r="R18" s="429">
        <v>2724620.8852300001</v>
      </c>
      <c r="T18" s="429">
        <f t="shared" si="4"/>
        <v>2707540.1461730702</v>
      </c>
    </row>
    <row r="19" spans="1:20">
      <c r="A19" s="429" t="str">
        <f t="shared" si="0"/>
        <v>KU</v>
      </c>
      <c r="B19" s="429" t="str">
        <f t="shared" si="1"/>
        <v>KY</v>
      </c>
      <c r="C19" s="429" t="str">
        <f t="shared" si="2"/>
        <v>312</v>
      </c>
      <c r="D19" s="430" t="s">
        <v>1734</v>
      </c>
      <c r="E19" s="428" t="str">
        <f t="shared" si="3"/>
        <v>ECR</v>
      </c>
      <c r="F19" s="429">
        <v>517380.45497999998</v>
      </c>
      <c r="G19" s="429">
        <v>517405.95497999998</v>
      </c>
      <c r="H19" s="429">
        <v>517431.45497999998</v>
      </c>
      <c r="I19" s="429">
        <v>517456.95497999998</v>
      </c>
      <c r="J19" s="429">
        <v>517482.45497999998</v>
      </c>
      <c r="K19" s="429">
        <v>517507.95497999998</v>
      </c>
      <c r="L19" s="429">
        <v>517533.45497999998</v>
      </c>
      <c r="M19" s="429">
        <v>541070.73806</v>
      </c>
      <c r="N19" s="429">
        <v>580593.66137999995</v>
      </c>
      <c r="O19" s="429">
        <v>581068.98137999896</v>
      </c>
      <c r="P19" s="429">
        <v>582539.58137999906</v>
      </c>
      <c r="Q19" s="429">
        <v>582603.78137999901</v>
      </c>
      <c r="R19" s="429">
        <v>582743.18137999903</v>
      </c>
      <c r="T19" s="429">
        <f t="shared" si="4"/>
        <v>544062.96998615353</v>
      </c>
    </row>
    <row r="20" spans="1:20">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823225.25812999997</v>
      </c>
      <c r="G20" s="429">
        <v>823225.25812999997</v>
      </c>
      <c r="H20" s="429">
        <v>823225.25812999997</v>
      </c>
      <c r="I20" s="429">
        <v>823225.25812999997</v>
      </c>
      <c r="J20" s="429">
        <v>823225.25812999997</v>
      </c>
      <c r="K20" s="429">
        <v>823225.25812999997</v>
      </c>
      <c r="L20" s="429">
        <v>823225.25812999997</v>
      </c>
      <c r="M20" s="429">
        <v>823225.25812999997</v>
      </c>
      <c r="N20" s="429">
        <v>824691.69634000002</v>
      </c>
      <c r="O20" s="429">
        <v>824691.69634000002</v>
      </c>
      <c r="P20" s="429">
        <v>824691.69634000002</v>
      </c>
      <c r="Q20" s="429">
        <v>825184.45545999997</v>
      </c>
      <c r="R20" s="429">
        <v>825184.45545999997</v>
      </c>
      <c r="T20" s="429">
        <f t="shared" si="4"/>
        <v>823865.08192153857</v>
      </c>
    </row>
    <row r="21" spans="1:20">
      <c r="A21" s="429" t="str">
        <f t="shared" si="0"/>
        <v>KU</v>
      </c>
      <c r="B21" s="429" t="str">
        <f t="shared" si="1"/>
        <v>KY</v>
      </c>
      <c r="C21" s="429" t="str">
        <f t="shared" si="2"/>
        <v>312</v>
      </c>
      <c r="D21" s="430" t="s">
        <v>2195</v>
      </c>
      <c r="E21" s="428" t="str">
        <f t="shared" ref="E21:E84" si="5">IF(ISTEXT(MID($D21,SEARCH("FUTURE USE",$D21),3)),"FUTURE USE",IF(ISTEXT(MID($D21,SEARCH("ECR",$D21),3)),"ECR",IF(ISTEXT(MID($D21,SEARCH("ARO",$D21),3)),"ARO",IF(ISTEXT(MID($D21,SEARCH("DSM",$D21),3)),"DSM",""))))</f>
        <v>ECR</v>
      </c>
      <c r="F21" s="429">
        <v>44741.62672</v>
      </c>
      <c r="G21" s="429">
        <v>177691.90109</v>
      </c>
      <c r="H21" s="429">
        <v>181979.82633000001</v>
      </c>
      <c r="I21" s="429">
        <v>182986.82743999999</v>
      </c>
      <c r="J21" s="429">
        <v>184054.82858</v>
      </c>
      <c r="K21" s="429">
        <v>184972.82954999999</v>
      </c>
      <c r="L21" s="429">
        <v>202710.68168000001</v>
      </c>
      <c r="M21" s="429">
        <v>203591.83165000001</v>
      </c>
      <c r="N21" s="429">
        <v>235664.02953999999</v>
      </c>
      <c r="O21" s="429">
        <v>235664.02953999999</v>
      </c>
      <c r="P21" s="429">
        <v>235764.02953999999</v>
      </c>
      <c r="Q21" s="429">
        <v>235864.02953999999</v>
      </c>
      <c r="R21" s="429">
        <v>236064.02953999999</v>
      </c>
      <c r="T21" s="429">
        <f t="shared" si="4"/>
        <v>195519.26928769232</v>
      </c>
    </row>
    <row r="22" spans="1:20">
      <c r="A22" s="429" t="str">
        <f t="shared" si="0"/>
        <v>KU</v>
      </c>
      <c r="B22" s="429" t="str">
        <f t="shared" si="1"/>
        <v>KY</v>
      </c>
      <c r="C22" s="429" t="str">
        <f t="shared" si="2"/>
        <v>314</v>
      </c>
      <c r="D22" s="430" t="s">
        <v>1737</v>
      </c>
      <c r="E22" s="428" t="str">
        <f t="shared" si="5"/>
        <v/>
      </c>
      <c r="F22" s="429">
        <v>330679.34114999999</v>
      </c>
      <c r="G22" s="429">
        <v>331214.79430999898</v>
      </c>
      <c r="H22" s="429">
        <v>332270.50769999903</v>
      </c>
      <c r="I22" s="429">
        <v>332447.13998999901</v>
      </c>
      <c r="J22" s="429">
        <v>332447.13998999901</v>
      </c>
      <c r="K22" s="429">
        <v>332447.13998999901</v>
      </c>
      <c r="L22" s="429">
        <v>332447.13998999901</v>
      </c>
      <c r="M22" s="429">
        <v>334598.88207999902</v>
      </c>
      <c r="N22" s="429">
        <v>341134.08591999998</v>
      </c>
      <c r="O22" s="429">
        <v>341134.08591999998</v>
      </c>
      <c r="P22" s="429">
        <v>341134.08591999998</v>
      </c>
      <c r="Q22" s="429">
        <v>341134.08591999998</v>
      </c>
      <c r="R22" s="429">
        <v>334004.06553999998</v>
      </c>
      <c r="T22" s="429">
        <f t="shared" si="4"/>
        <v>335160.96110923024</v>
      </c>
    </row>
    <row r="23" spans="1:20">
      <c r="A23" s="429" t="str">
        <f t="shared" si="0"/>
        <v>KU</v>
      </c>
      <c r="B23" s="429" t="str">
        <f t="shared" si="1"/>
        <v>KY</v>
      </c>
      <c r="C23" s="429" t="str">
        <f t="shared" si="2"/>
        <v>315</v>
      </c>
      <c r="D23" s="430" t="s">
        <v>1738</v>
      </c>
      <c r="E23" s="428" t="str">
        <f t="shared" si="5"/>
        <v/>
      </c>
      <c r="F23" s="429">
        <v>214028.71336999899</v>
      </c>
      <c r="G23" s="429">
        <v>214102.63697999899</v>
      </c>
      <c r="H23" s="429">
        <v>214102.63697999899</v>
      </c>
      <c r="I23" s="429">
        <v>214102.63697999899</v>
      </c>
      <c r="J23" s="429">
        <v>214102.63697999899</v>
      </c>
      <c r="K23" s="429">
        <v>214102.63697999899</v>
      </c>
      <c r="L23" s="429">
        <v>214102.63697999899</v>
      </c>
      <c r="M23" s="429">
        <v>221156.16747999901</v>
      </c>
      <c r="N23" s="429">
        <v>221566.09624999901</v>
      </c>
      <c r="O23" s="429">
        <v>221566.09624999901</v>
      </c>
      <c r="P23" s="429">
        <v>221566.09624999901</v>
      </c>
      <c r="Q23" s="429">
        <v>221566.09624999901</v>
      </c>
      <c r="R23" s="429">
        <v>221177.529509999</v>
      </c>
      <c r="T23" s="429">
        <f t="shared" si="4"/>
        <v>217480.20132615283</v>
      </c>
    </row>
    <row r="24" spans="1:20">
      <c r="A24" s="429" t="str">
        <f t="shared" si="0"/>
        <v>KU</v>
      </c>
      <c r="B24" s="429" t="str">
        <f t="shared" si="1"/>
        <v>KY</v>
      </c>
      <c r="C24" s="429" t="str">
        <f t="shared" si="2"/>
        <v>315</v>
      </c>
      <c r="D24" s="430" t="s">
        <v>2196</v>
      </c>
      <c r="E24" s="428" t="str">
        <f t="shared" si="5"/>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c r="T24" s="429">
        <f t="shared" si="4"/>
        <v>21548.085610000002</v>
      </c>
    </row>
    <row r="25" spans="1:20">
      <c r="A25" s="429" t="str">
        <f t="shared" si="0"/>
        <v>KU</v>
      </c>
      <c r="B25" s="429" t="str">
        <f t="shared" si="1"/>
        <v>KY</v>
      </c>
      <c r="C25" s="429" t="str">
        <f t="shared" si="2"/>
        <v>315</v>
      </c>
      <c r="D25" s="430" t="s">
        <v>1739</v>
      </c>
      <c r="E25" s="428" t="str">
        <f t="shared" si="5"/>
        <v>ECR</v>
      </c>
      <c r="F25" s="429">
        <v>14764.05416</v>
      </c>
      <c r="G25" s="429">
        <v>14764.05416</v>
      </c>
      <c r="H25" s="429">
        <v>14764.05416</v>
      </c>
      <c r="I25" s="429">
        <v>14764.05416</v>
      </c>
      <c r="J25" s="429">
        <v>14764.05416</v>
      </c>
      <c r="K25" s="429">
        <v>14764.05416</v>
      </c>
      <c r="L25" s="429">
        <v>14764.05416</v>
      </c>
      <c r="M25" s="429">
        <v>14764.05416</v>
      </c>
      <c r="N25" s="429">
        <v>14764.05416</v>
      </c>
      <c r="O25" s="429">
        <v>14764.05416</v>
      </c>
      <c r="P25" s="429">
        <v>14764.05416</v>
      </c>
      <c r="Q25" s="429">
        <v>14764.05416</v>
      </c>
      <c r="R25" s="429">
        <v>14764.05416</v>
      </c>
      <c r="T25" s="429">
        <f t="shared" si="4"/>
        <v>14764.05416</v>
      </c>
    </row>
    <row r="26" spans="1:20">
      <c r="A26" s="429" t="str">
        <f t="shared" si="0"/>
        <v>KU</v>
      </c>
      <c r="B26" s="429" t="str">
        <f t="shared" si="1"/>
        <v>KY</v>
      </c>
      <c r="C26" s="429" t="str">
        <f t="shared" si="2"/>
        <v>316</v>
      </c>
      <c r="D26" s="430" t="s">
        <v>2197</v>
      </c>
      <c r="E26" s="428" t="str">
        <f t="shared" si="5"/>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c r="T26" s="429">
        <f t="shared" si="4"/>
        <v>824.92338000000007</v>
      </c>
    </row>
    <row r="27" spans="1:20">
      <c r="A27" s="429" t="str">
        <f t="shared" si="0"/>
        <v>KU</v>
      </c>
      <c r="B27" s="429" t="str">
        <f t="shared" si="1"/>
        <v>KY</v>
      </c>
      <c r="C27" s="429" t="str">
        <f t="shared" si="2"/>
        <v>316</v>
      </c>
      <c r="D27" s="430" t="s">
        <v>1740</v>
      </c>
      <c r="E27" s="428" t="str">
        <f t="shared" si="5"/>
        <v/>
      </c>
      <c r="F27" s="429">
        <v>38978.747499999903</v>
      </c>
      <c r="G27" s="429">
        <v>40983.726199999903</v>
      </c>
      <c r="H27" s="429">
        <v>41050.745029999904</v>
      </c>
      <c r="I27" s="429">
        <v>41050.745029999904</v>
      </c>
      <c r="J27" s="429">
        <v>41475.669619999899</v>
      </c>
      <c r="K27" s="429">
        <v>41475.669619999899</v>
      </c>
      <c r="L27" s="429">
        <v>41889.252079999897</v>
      </c>
      <c r="M27" s="429">
        <v>42330.9323699999</v>
      </c>
      <c r="N27" s="429">
        <v>45335.639389999902</v>
      </c>
      <c r="O27" s="429">
        <v>45335.639389999902</v>
      </c>
      <c r="P27" s="429">
        <v>45335.639389999902</v>
      </c>
      <c r="Q27" s="429">
        <v>45554.239449999899</v>
      </c>
      <c r="R27" s="429">
        <v>45877.650639999898</v>
      </c>
      <c r="T27" s="429">
        <f t="shared" si="4"/>
        <v>42821.099669999901</v>
      </c>
    </row>
    <row r="28" spans="1:20">
      <c r="A28" s="429" t="str">
        <f t="shared" si="0"/>
        <v>KU</v>
      </c>
      <c r="B28" s="429" t="str">
        <f t="shared" si="1"/>
        <v>KY</v>
      </c>
      <c r="C28" s="429" t="str">
        <f t="shared" si="2"/>
        <v>317</v>
      </c>
      <c r="D28" s="430" t="s">
        <v>1741</v>
      </c>
      <c r="E28" s="428" t="str">
        <f t="shared" si="5"/>
        <v>ARO</v>
      </c>
      <c r="F28" s="429">
        <v>32810.029009999998</v>
      </c>
      <c r="G28" s="429">
        <v>32810.029009999998</v>
      </c>
      <c r="H28" s="429">
        <v>32810.029009999998</v>
      </c>
      <c r="I28" s="429">
        <v>32810.029009999998</v>
      </c>
      <c r="J28" s="429">
        <v>32810.029009999998</v>
      </c>
      <c r="K28" s="429">
        <v>32810.029009999998</v>
      </c>
      <c r="L28" s="429">
        <v>32810.029009999998</v>
      </c>
      <c r="M28" s="429">
        <v>32810.029009999998</v>
      </c>
      <c r="N28" s="429">
        <v>32810.029009999998</v>
      </c>
      <c r="O28" s="429">
        <v>19190.190600000002</v>
      </c>
      <c r="P28" s="429">
        <v>19190.190600000002</v>
      </c>
      <c r="Q28" s="429">
        <v>19190.190600000002</v>
      </c>
      <c r="R28" s="429">
        <v>19190.190600000002</v>
      </c>
      <c r="T28" s="429">
        <f t="shared" si="4"/>
        <v>28619.309499230763</v>
      </c>
    </row>
    <row r="29" spans="1:20">
      <c r="A29" s="429" t="str">
        <f t="shared" si="0"/>
        <v>KU</v>
      </c>
      <c r="B29" s="429" t="str">
        <f t="shared" si="1"/>
        <v>KY</v>
      </c>
      <c r="C29" s="429" t="str">
        <f t="shared" si="2"/>
        <v>317</v>
      </c>
      <c r="D29" s="430" t="s">
        <v>2507</v>
      </c>
      <c r="E29" s="428" t="str">
        <f t="shared" si="5"/>
        <v>ARO</v>
      </c>
      <c r="F29" s="429">
        <v>164566.70180000001</v>
      </c>
      <c r="G29" s="429">
        <v>164566.70180000001</v>
      </c>
      <c r="H29" s="429">
        <v>164566.70180000001</v>
      </c>
      <c r="I29" s="429">
        <v>164566.70180000001</v>
      </c>
      <c r="J29" s="429">
        <v>164566.70180000001</v>
      </c>
      <c r="K29" s="429">
        <v>164566.70180000001</v>
      </c>
      <c r="L29" s="429">
        <v>164566.70180000001</v>
      </c>
      <c r="M29" s="429">
        <v>164566.70180000001</v>
      </c>
      <c r="N29" s="429">
        <v>164566.70180000001</v>
      </c>
      <c r="O29" s="429">
        <v>116221.78539</v>
      </c>
      <c r="P29" s="429">
        <v>116221.78539</v>
      </c>
      <c r="Q29" s="429">
        <v>116221.78539</v>
      </c>
      <c r="R29" s="429">
        <v>116221.78539</v>
      </c>
      <c r="T29" s="429">
        <f t="shared" si="4"/>
        <v>149691.34290461542</v>
      </c>
    </row>
    <row r="30" spans="1:20">
      <c r="A30" s="429" t="str">
        <f t="shared" si="0"/>
        <v>KU</v>
      </c>
      <c r="B30" s="429" t="str">
        <f t="shared" si="1"/>
        <v>KY</v>
      </c>
      <c r="C30" s="429" t="str">
        <f t="shared" si="2"/>
        <v>330</v>
      </c>
      <c r="D30" s="430" t="s">
        <v>1742</v>
      </c>
      <c r="E30" s="428" t="str">
        <f t="shared" si="5"/>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c r="T30" s="429">
        <f t="shared" si="4"/>
        <v>855.63647000000003</v>
      </c>
    </row>
    <row r="31" spans="1:20">
      <c r="A31" s="429" t="str">
        <f t="shared" si="0"/>
        <v>KU</v>
      </c>
      <c r="B31" s="429" t="str">
        <f t="shared" si="1"/>
        <v>KY</v>
      </c>
      <c r="C31" s="429" t="str">
        <f t="shared" si="2"/>
        <v>331</v>
      </c>
      <c r="D31" s="430" t="s">
        <v>1743</v>
      </c>
      <c r="E31" s="428" t="str">
        <f t="shared" si="5"/>
        <v/>
      </c>
      <c r="F31" s="429">
        <v>4409.8383400000002</v>
      </c>
      <c r="G31" s="429">
        <v>4409.8383400000002</v>
      </c>
      <c r="H31" s="429">
        <v>4507.21234</v>
      </c>
      <c r="I31" s="429">
        <v>4507.21234</v>
      </c>
      <c r="J31" s="429">
        <v>4507.21234</v>
      </c>
      <c r="K31" s="429">
        <v>4507.21234</v>
      </c>
      <c r="L31" s="429">
        <v>4507.21234</v>
      </c>
      <c r="M31" s="429">
        <v>4507.21234</v>
      </c>
      <c r="N31" s="429">
        <v>4507.21234</v>
      </c>
      <c r="O31" s="429">
        <v>4507.21234</v>
      </c>
      <c r="P31" s="429">
        <v>4507.21234</v>
      </c>
      <c r="Q31" s="429">
        <v>4507.21234</v>
      </c>
      <c r="R31" s="429">
        <v>4507.21234</v>
      </c>
      <c r="T31" s="429">
        <f t="shared" si="4"/>
        <v>4492.2317246153834</v>
      </c>
    </row>
    <row r="32" spans="1:20">
      <c r="A32" s="429" t="str">
        <f t="shared" si="0"/>
        <v>KU</v>
      </c>
      <c r="B32" s="429" t="str">
        <f t="shared" si="1"/>
        <v>KY</v>
      </c>
      <c r="C32" s="429" t="str">
        <f t="shared" si="2"/>
        <v>332</v>
      </c>
      <c r="D32" s="430" t="s">
        <v>1744</v>
      </c>
      <c r="E32" s="428" t="str">
        <f t="shared" si="5"/>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c r="T32" s="429">
        <f t="shared" si="4"/>
        <v>21885.646369999995</v>
      </c>
    </row>
    <row r="33" spans="1:20">
      <c r="A33" s="429" t="str">
        <f t="shared" si="0"/>
        <v>KU</v>
      </c>
      <c r="B33" s="429" t="str">
        <f t="shared" si="1"/>
        <v>KY</v>
      </c>
      <c r="C33" s="429" t="str">
        <f t="shared" si="2"/>
        <v>333</v>
      </c>
      <c r="D33" s="430" t="s">
        <v>1745</v>
      </c>
      <c r="E33" s="428" t="str">
        <f t="shared" si="5"/>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c r="T33" s="429">
        <f t="shared" si="4"/>
        <v>14046.74158</v>
      </c>
    </row>
    <row r="34" spans="1:20">
      <c r="A34" s="429" t="str">
        <f t="shared" si="0"/>
        <v>KU</v>
      </c>
      <c r="B34" s="429" t="str">
        <f t="shared" si="1"/>
        <v>KY</v>
      </c>
      <c r="C34" s="429" t="str">
        <f t="shared" si="2"/>
        <v>334</v>
      </c>
      <c r="D34" s="430" t="s">
        <v>1746</v>
      </c>
      <c r="E34" s="428" t="str">
        <f t="shared" si="5"/>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c r="T34" s="429">
        <f t="shared" si="4"/>
        <v>1381.87067</v>
      </c>
    </row>
    <row r="35" spans="1:20">
      <c r="A35" s="429" t="str">
        <f t="shared" si="0"/>
        <v>KU</v>
      </c>
      <c r="B35" s="429" t="str">
        <f t="shared" si="1"/>
        <v>KY</v>
      </c>
      <c r="C35" s="429" t="str">
        <f t="shared" si="2"/>
        <v>335</v>
      </c>
      <c r="D35" s="430" t="s">
        <v>1747</v>
      </c>
      <c r="E35" s="428" t="str">
        <f t="shared" si="5"/>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c r="T35" s="429">
        <f t="shared" si="4"/>
        <v>329.37417999999991</v>
      </c>
    </row>
    <row r="36" spans="1:20">
      <c r="A36" s="429" t="str">
        <f t="shared" si="0"/>
        <v>KU</v>
      </c>
      <c r="B36" s="429" t="str">
        <f t="shared" si="1"/>
        <v>KY</v>
      </c>
      <c r="C36" s="429" t="str">
        <f t="shared" si="2"/>
        <v>336</v>
      </c>
      <c r="D36" s="430" t="s">
        <v>1748</v>
      </c>
      <c r="E36" s="428" t="str">
        <f t="shared" si="5"/>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c r="T36" s="429">
        <f t="shared" si="4"/>
        <v>234.50912999999994</v>
      </c>
    </row>
    <row r="37" spans="1:20">
      <c r="A37" s="429" t="str">
        <f t="shared" si="0"/>
        <v>KU</v>
      </c>
      <c r="B37" s="429" t="str">
        <f t="shared" si="1"/>
        <v>KY</v>
      </c>
      <c r="C37" s="429" t="str">
        <f t="shared" si="2"/>
        <v>337</v>
      </c>
      <c r="D37" s="430" t="s">
        <v>1749</v>
      </c>
      <c r="E37" s="428" t="str">
        <f t="shared" si="5"/>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c r="T37" s="429">
        <f t="shared" si="4"/>
        <v>645.78798999999992</v>
      </c>
    </row>
    <row r="38" spans="1:20">
      <c r="A38" s="429" t="str">
        <f t="shared" si="0"/>
        <v>KU</v>
      </c>
      <c r="B38" s="429" t="str">
        <f t="shared" si="1"/>
        <v>KY</v>
      </c>
      <c r="C38" s="429" t="str">
        <f t="shared" si="2"/>
        <v>340</v>
      </c>
      <c r="D38" s="430" t="s">
        <v>2198</v>
      </c>
      <c r="E38" s="428" t="str">
        <f t="shared" si="5"/>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c r="T38" s="429">
        <f t="shared" si="4"/>
        <v>309.54084999999992</v>
      </c>
    </row>
    <row r="39" spans="1:20">
      <c r="A39" s="429" t="str">
        <f t="shared" si="0"/>
        <v>KU</v>
      </c>
      <c r="B39" s="429" t="str">
        <f t="shared" si="1"/>
        <v>KY</v>
      </c>
      <c r="C39" s="429" t="str">
        <f t="shared" si="2"/>
        <v>340</v>
      </c>
      <c r="D39" s="430" t="s">
        <v>2199</v>
      </c>
      <c r="E39" s="428" t="str">
        <f t="shared" si="5"/>
        <v/>
      </c>
      <c r="F39" s="429">
        <v>236.73195999999999</v>
      </c>
      <c r="G39" s="429">
        <v>236.73195999999999</v>
      </c>
      <c r="H39" s="429">
        <v>236.73195999999999</v>
      </c>
      <c r="I39" s="429">
        <v>236.73195999999999</v>
      </c>
      <c r="J39" s="429">
        <v>236.73195999999999</v>
      </c>
      <c r="K39" s="429">
        <v>236.73195999999999</v>
      </c>
      <c r="L39" s="429">
        <v>236.73195999999999</v>
      </c>
      <c r="M39" s="429">
        <v>236.73195999999999</v>
      </c>
      <c r="N39" s="429">
        <v>236.73195999999999</v>
      </c>
      <c r="O39" s="429">
        <v>236.73195999999999</v>
      </c>
      <c r="P39" s="429">
        <v>236.73195999999999</v>
      </c>
      <c r="Q39" s="429">
        <v>236.73195999999999</v>
      </c>
      <c r="R39" s="429">
        <v>236.73195999999999</v>
      </c>
      <c r="T39" s="429">
        <f t="shared" si="4"/>
        <v>236.73196000000004</v>
      </c>
    </row>
    <row r="40" spans="1:20">
      <c r="A40" s="429" t="str">
        <f t="shared" si="0"/>
        <v>KU</v>
      </c>
      <c r="B40" s="429" t="str">
        <f t="shared" si="1"/>
        <v>KY</v>
      </c>
      <c r="C40" s="429" t="str">
        <f t="shared" si="2"/>
        <v>340</v>
      </c>
      <c r="D40" s="430" t="s">
        <v>1750</v>
      </c>
      <c r="E40" s="428" t="str">
        <f t="shared" si="5"/>
        <v/>
      </c>
      <c r="F40" s="429">
        <v>666.76921000000004</v>
      </c>
      <c r="G40" s="429">
        <v>666.76921000000004</v>
      </c>
      <c r="H40" s="429">
        <v>666.76921000000004</v>
      </c>
      <c r="I40" s="429">
        <v>666.76921000000004</v>
      </c>
      <c r="J40" s="429">
        <v>666.76921000000004</v>
      </c>
      <c r="K40" s="429">
        <v>666.76921000000004</v>
      </c>
      <c r="L40" s="429">
        <v>666.76921000000004</v>
      </c>
      <c r="M40" s="429">
        <v>666.76921000000004</v>
      </c>
      <c r="N40" s="429">
        <v>666.76921000000004</v>
      </c>
      <c r="O40" s="429">
        <v>666.76921000000004</v>
      </c>
      <c r="P40" s="429">
        <v>666.76921000000004</v>
      </c>
      <c r="Q40" s="429">
        <v>666.76921000000004</v>
      </c>
      <c r="R40" s="429">
        <v>666.76921000000004</v>
      </c>
      <c r="T40" s="429">
        <f t="shared" si="4"/>
        <v>666.76921000000016</v>
      </c>
    </row>
    <row r="41" spans="1:20">
      <c r="A41" s="429" t="str">
        <f t="shared" si="0"/>
        <v>KU</v>
      </c>
      <c r="B41" s="429" t="str">
        <f t="shared" si="1"/>
        <v>KY</v>
      </c>
      <c r="C41" s="429" t="str">
        <f t="shared" si="2"/>
        <v>341</v>
      </c>
      <c r="D41" s="430" t="s">
        <v>1751</v>
      </c>
      <c r="E41" s="428" t="str">
        <f t="shared" si="5"/>
        <v/>
      </c>
      <c r="F41" s="429">
        <v>36521.971559999998</v>
      </c>
      <c r="G41" s="429">
        <v>36521.971559999998</v>
      </c>
      <c r="H41" s="429">
        <v>36521.971559999998</v>
      </c>
      <c r="I41" s="429">
        <v>36521.971559999998</v>
      </c>
      <c r="J41" s="429">
        <v>36521.971559999998</v>
      </c>
      <c r="K41" s="429">
        <v>36521.971559999998</v>
      </c>
      <c r="L41" s="429">
        <v>36521.971559999998</v>
      </c>
      <c r="M41" s="429">
        <v>36521.971559999998</v>
      </c>
      <c r="N41" s="429">
        <v>36521.971559999998</v>
      </c>
      <c r="O41" s="429">
        <v>36521.971559999998</v>
      </c>
      <c r="P41" s="429">
        <v>36521.971559999998</v>
      </c>
      <c r="Q41" s="429">
        <v>36521.971559999998</v>
      </c>
      <c r="R41" s="429">
        <v>36521.971559999998</v>
      </c>
      <c r="T41" s="429">
        <f t="shared" si="4"/>
        <v>36521.971559999991</v>
      </c>
    </row>
    <row r="42" spans="1:20">
      <c r="A42" s="429" t="str">
        <f t="shared" si="0"/>
        <v>KU</v>
      </c>
      <c r="B42" s="429" t="str">
        <f t="shared" si="1"/>
        <v>KY</v>
      </c>
      <c r="C42" s="429" t="str">
        <f t="shared" si="2"/>
        <v>341</v>
      </c>
      <c r="D42" s="430" t="s">
        <v>2200</v>
      </c>
      <c r="E42" s="428" t="str">
        <f t="shared" si="5"/>
        <v/>
      </c>
      <c r="F42" s="429">
        <v>49185.817409999901</v>
      </c>
      <c r="G42" s="429">
        <v>49185.817409999901</v>
      </c>
      <c r="H42" s="429">
        <v>49185.817409999901</v>
      </c>
      <c r="I42" s="429">
        <v>49185.817409999901</v>
      </c>
      <c r="J42" s="429">
        <v>49185.817409999901</v>
      </c>
      <c r="K42" s="429">
        <v>49185.817409999901</v>
      </c>
      <c r="L42" s="429">
        <v>49185.817409999901</v>
      </c>
      <c r="M42" s="429">
        <v>49185.817409999901</v>
      </c>
      <c r="N42" s="429">
        <v>49185.817409999901</v>
      </c>
      <c r="O42" s="429">
        <v>49185.817409999901</v>
      </c>
      <c r="P42" s="429">
        <v>49185.817409999901</v>
      </c>
      <c r="Q42" s="429">
        <v>49185.817409999901</v>
      </c>
      <c r="R42" s="429">
        <v>49185.817409999901</v>
      </c>
      <c r="T42" s="429">
        <f t="shared" si="4"/>
        <v>49185.817409999901</v>
      </c>
    </row>
    <row r="43" spans="1:20">
      <c r="A43" s="429" t="str">
        <f t="shared" si="0"/>
        <v>KU</v>
      </c>
      <c r="B43" s="429" t="str">
        <f t="shared" si="1"/>
        <v>KY</v>
      </c>
      <c r="C43" s="429" t="str">
        <f t="shared" si="2"/>
        <v>341</v>
      </c>
      <c r="D43" s="430" t="s">
        <v>2201</v>
      </c>
      <c r="E43" s="428" t="str">
        <f t="shared" si="5"/>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c r="T43" s="429">
        <f t="shared" si="4"/>
        <v>1443.8100400000001</v>
      </c>
    </row>
    <row r="44" spans="1:20">
      <c r="A44" s="429" t="str">
        <f t="shared" si="0"/>
        <v>KU</v>
      </c>
      <c r="B44" s="429" t="str">
        <f t="shared" si="1"/>
        <v>KY</v>
      </c>
      <c r="C44" s="429" t="str">
        <f t="shared" si="2"/>
        <v>342</v>
      </c>
      <c r="D44" s="430" t="s">
        <v>1752</v>
      </c>
      <c r="E44" s="428" t="str">
        <f t="shared" si="5"/>
        <v/>
      </c>
      <c r="F44" s="429">
        <v>12299.99699</v>
      </c>
      <c r="G44" s="429">
        <v>12299.99699</v>
      </c>
      <c r="H44" s="429">
        <v>12299.99699</v>
      </c>
      <c r="I44" s="429">
        <v>12299.99699</v>
      </c>
      <c r="J44" s="429">
        <v>12299.99699</v>
      </c>
      <c r="K44" s="429">
        <v>12299.99699</v>
      </c>
      <c r="L44" s="429">
        <v>12299.99699</v>
      </c>
      <c r="M44" s="429">
        <v>12299.99699</v>
      </c>
      <c r="N44" s="429">
        <v>12299.99699</v>
      </c>
      <c r="O44" s="429">
        <v>12299.99699</v>
      </c>
      <c r="P44" s="429">
        <v>12299.99699</v>
      </c>
      <c r="Q44" s="429">
        <v>12299.99699</v>
      </c>
      <c r="R44" s="429">
        <v>12299.99699</v>
      </c>
      <c r="T44" s="429">
        <f t="shared" si="4"/>
        <v>12299.996990000001</v>
      </c>
    </row>
    <row r="45" spans="1:20">
      <c r="A45" s="429" t="str">
        <f t="shared" si="0"/>
        <v>KU</v>
      </c>
      <c r="B45" s="429" t="str">
        <f t="shared" si="1"/>
        <v>KY</v>
      </c>
      <c r="C45" s="429" t="str">
        <f t="shared" si="2"/>
        <v>342</v>
      </c>
      <c r="D45" s="430" t="s">
        <v>2202</v>
      </c>
      <c r="E45" s="428" t="str">
        <f t="shared" si="5"/>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c r="T45" s="429">
        <f t="shared" si="4"/>
        <v>6319.3980999999903</v>
      </c>
    </row>
    <row r="46" spans="1:20">
      <c r="A46" s="429" t="str">
        <f t="shared" si="0"/>
        <v>KU</v>
      </c>
      <c r="B46" s="429" t="str">
        <f t="shared" si="1"/>
        <v>KY</v>
      </c>
      <c r="C46" s="429" t="str">
        <f t="shared" si="2"/>
        <v>342</v>
      </c>
      <c r="D46" s="430" t="s">
        <v>2203</v>
      </c>
      <c r="E46" s="428" t="str">
        <f t="shared" si="5"/>
        <v/>
      </c>
      <c r="F46" s="429">
        <v>44486.553119999997</v>
      </c>
      <c r="G46" s="429">
        <v>44486.553119999997</v>
      </c>
      <c r="H46" s="429">
        <v>44486.553119999997</v>
      </c>
      <c r="I46" s="429">
        <v>44486.553119999997</v>
      </c>
      <c r="J46" s="429">
        <v>44486.553119999997</v>
      </c>
      <c r="K46" s="429">
        <v>63702.909899999999</v>
      </c>
      <c r="L46" s="429">
        <v>65237.909899999999</v>
      </c>
      <c r="M46" s="429">
        <v>65237.909899999999</v>
      </c>
      <c r="N46" s="429">
        <v>65237.909899999999</v>
      </c>
      <c r="O46" s="429">
        <v>65237.909899999999</v>
      </c>
      <c r="P46" s="429">
        <v>65237.909899999999</v>
      </c>
      <c r="Q46" s="429">
        <v>65237.909899999999</v>
      </c>
      <c r="R46" s="429">
        <v>65237.909899999999</v>
      </c>
      <c r="T46" s="429">
        <f t="shared" si="4"/>
        <v>57138.541907692292</v>
      </c>
    </row>
    <row r="47" spans="1:20">
      <c r="A47" s="429" t="str">
        <f t="shared" si="0"/>
        <v>KU</v>
      </c>
      <c r="B47" s="429" t="str">
        <f t="shared" si="1"/>
        <v>KY</v>
      </c>
      <c r="C47" s="429" t="str">
        <f t="shared" si="2"/>
        <v>343</v>
      </c>
      <c r="D47" s="430" t="s">
        <v>1753</v>
      </c>
      <c r="E47" s="428" t="str">
        <f t="shared" si="5"/>
        <v/>
      </c>
      <c r="F47" s="429">
        <v>404141.42622999899</v>
      </c>
      <c r="G47" s="429">
        <v>417405.463419999</v>
      </c>
      <c r="H47" s="429">
        <v>417405.463419999</v>
      </c>
      <c r="I47" s="429">
        <v>417405.463419999</v>
      </c>
      <c r="J47" s="429">
        <v>417405.463419999</v>
      </c>
      <c r="K47" s="429">
        <v>417948.17691999901</v>
      </c>
      <c r="L47" s="429">
        <v>418141.953979999</v>
      </c>
      <c r="M47" s="429">
        <v>418398.47910999903</v>
      </c>
      <c r="N47" s="429">
        <v>419372.44278999901</v>
      </c>
      <c r="O47" s="429">
        <v>419372.44278999901</v>
      </c>
      <c r="P47" s="429">
        <v>419372.44278999901</v>
      </c>
      <c r="Q47" s="429">
        <v>419372.44278999901</v>
      </c>
      <c r="R47" s="429">
        <v>419372.44278999901</v>
      </c>
      <c r="T47" s="429">
        <f t="shared" si="4"/>
        <v>417316.46952846047</v>
      </c>
    </row>
    <row r="48" spans="1:20">
      <c r="A48" s="429" t="str">
        <f t="shared" si="0"/>
        <v>KU</v>
      </c>
      <c r="B48" s="429" t="str">
        <f t="shared" si="1"/>
        <v>KY</v>
      </c>
      <c r="C48" s="429" t="str">
        <f t="shared" si="2"/>
        <v>343</v>
      </c>
      <c r="D48" s="430" t="s">
        <v>2204</v>
      </c>
      <c r="E48" s="428" t="str">
        <f t="shared" si="5"/>
        <v/>
      </c>
      <c r="F48" s="429">
        <v>261977.94883000001</v>
      </c>
      <c r="G48" s="429">
        <v>261977.94883000001</v>
      </c>
      <c r="H48" s="429">
        <v>262080.81135999999</v>
      </c>
      <c r="I48" s="429">
        <v>262080.81135999999</v>
      </c>
      <c r="J48" s="429">
        <v>262080.81135999999</v>
      </c>
      <c r="K48" s="429">
        <v>262183.67388999998</v>
      </c>
      <c r="L48" s="429">
        <v>262254.98635999998</v>
      </c>
      <c r="M48" s="429">
        <v>262254.98635999998</v>
      </c>
      <c r="N48" s="429">
        <v>262357.84889000002</v>
      </c>
      <c r="O48" s="429">
        <v>262357.84889000002</v>
      </c>
      <c r="P48" s="429">
        <v>262357.84889000002</v>
      </c>
      <c r="Q48" s="429">
        <v>262460.94988999999</v>
      </c>
      <c r="R48" s="429">
        <v>276098.60541000002</v>
      </c>
      <c r="T48" s="429">
        <f t="shared" si="4"/>
        <v>263271.16002461535</v>
      </c>
    </row>
    <row r="49" spans="1:20">
      <c r="A49" s="429" t="str">
        <f t="shared" si="0"/>
        <v>KU</v>
      </c>
      <c r="B49" s="429" t="str">
        <f t="shared" si="1"/>
        <v>KY</v>
      </c>
      <c r="C49" s="429" t="str">
        <f t="shared" si="2"/>
        <v>344</v>
      </c>
      <c r="D49" s="430" t="s">
        <v>1754</v>
      </c>
      <c r="E49" s="428" t="str">
        <f t="shared" si="5"/>
        <v/>
      </c>
      <c r="F49" s="429">
        <v>61117.12199</v>
      </c>
      <c r="G49" s="429">
        <v>61117.12199</v>
      </c>
      <c r="H49" s="429">
        <v>61117.12199</v>
      </c>
      <c r="I49" s="429">
        <v>61117.12199</v>
      </c>
      <c r="J49" s="429">
        <v>61117.12199</v>
      </c>
      <c r="K49" s="429">
        <v>61117.12199</v>
      </c>
      <c r="L49" s="429">
        <v>61117.12199</v>
      </c>
      <c r="M49" s="429">
        <v>61117.12199</v>
      </c>
      <c r="N49" s="429">
        <v>61117.12199</v>
      </c>
      <c r="O49" s="429">
        <v>61117.12199</v>
      </c>
      <c r="P49" s="429">
        <v>61117.12199</v>
      </c>
      <c r="Q49" s="429">
        <v>61117.12199</v>
      </c>
      <c r="R49" s="429">
        <v>61945.402219999902</v>
      </c>
      <c r="T49" s="429">
        <f t="shared" si="4"/>
        <v>61180.835853846154</v>
      </c>
    </row>
    <row r="50" spans="1:20">
      <c r="A50" s="429" t="str">
        <f t="shared" si="0"/>
        <v>KU</v>
      </c>
      <c r="B50" s="429" t="str">
        <f t="shared" si="1"/>
        <v>KY</v>
      </c>
      <c r="C50" s="429" t="str">
        <f t="shared" si="2"/>
        <v>344</v>
      </c>
      <c r="D50" s="430" t="s">
        <v>2205</v>
      </c>
      <c r="E50" s="428" t="str">
        <f t="shared" si="5"/>
        <v/>
      </c>
      <c r="F50" s="429">
        <v>58194.056089999998</v>
      </c>
      <c r="G50" s="429">
        <v>58194.056089999998</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c r="T50" s="429">
        <f t="shared" si="4"/>
        <v>58194.056089999976</v>
      </c>
    </row>
    <row r="51" spans="1:20">
      <c r="A51" s="429" t="str">
        <f t="shared" si="0"/>
        <v>KU</v>
      </c>
      <c r="B51" s="429" t="str">
        <f t="shared" si="1"/>
        <v>KY</v>
      </c>
      <c r="C51" s="429" t="str">
        <f t="shared" si="2"/>
        <v>344</v>
      </c>
      <c r="D51" s="430" t="s">
        <v>2206</v>
      </c>
      <c r="E51" s="428" t="str">
        <f t="shared" si="5"/>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c r="T51" s="429">
        <f t="shared" si="4"/>
        <v>13068.659229999999</v>
      </c>
    </row>
    <row r="52" spans="1:20">
      <c r="A52" s="429" t="str">
        <f t="shared" si="0"/>
        <v>KU</v>
      </c>
      <c r="B52" s="429" t="str">
        <f t="shared" si="1"/>
        <v>KY</v>
      </c>
      <c r="C52" s="429" t="str">
        <f t="shared" si="2"/>
        <v>345</v>
      </c>
      <c r="D52" s="430" t="s">
        <v>1755</v>
      </c>
      <c r="E52" s="428" t="str">
        <f t="shared" si="5"/>
        <v/>
      </c>
      <c r="F52" s="429">
        <v>52042.198829999899</v>
      </c>
      <c r="G52" s="429">
        <v>52042.198829999899</v>
      </c>
      <c r="H52" s="429">
        <v>52042.198829999899</v>
      </c>
      <c r="I52" s="429">
        <v>52042.198829999899</v>
      </c>
      <c r="J52" s="429">
        <v>52042.198829999899</v>
      </c>
      <c r="K52" s="429">
        <v>52042.198829999899</v>
      </c>
      <c r="L52" s="429">
        <v>52042.198829999899</v>
      </c>
      <c r="M52" s="429">
        <v>52042.198829999899</v>
      </c>
      <c r="N52" s="429">
        <v>52042.198829999899</v>
      </c>
      <c r="O52" s="429">
        <v>52042.198829999899</v>
      </c>
      <c r="P52" s="429">
        <v>52042.198829999899</v>
      </c>
      <c r="Q52" s="429">
        <v>52042.198829999899</v>
      </c>
      <c r="R52" s="429">
        <v>52337.892259999899</v>
      </c>
      <c r="T52" s="429">
        <f t="shared" si="4"/>
        <v>52064.944478461439</v>
      </c>
    </row>
    <row r="53" spans="1:20">
      <c r="A53" s="429" t="str">
        <f t="shared" si="0"/>
        <v>KU</v>
      </c>
      <c r="B53" s="429" t="str">
        <f t="shared" si="1"/>
        <v>KY</v>
      </c>
      <c r="C53" s="429" t="str">
        <f t="shared" si="2"/>
        <v>345</v>
      </c>
      <c r="D53" s="430" t="s">
        <v>2207</v>
      </c>
      <c r="E53" s="428" t="str">
        <f t="shared" si="5"/>
        <v/>
      </c>
      <c r="F53" s="429">
        <v>26412.3144599999</v>
      </c>
      <c r="G53" s="429">
        <v>26412.3144599999</v>
      </c>
      <c r="H53" s="429">
        <v>26412.3144599999</v>
      </c>
      <c r="I53" s="429">
        <v>26412.3144599999</v>
      </c>
      <c r="J53" s="429">
        <v>26412.3144599999</v>
      </c>
      <c r="K53" s="429">
        <v>26412.3144599999</v>
      </c>
      <c r="L53" s="429">
        <v>26412.3144599999</v>
      </c>
      <c r="M53" s="429">
        <v>26412.3144599999</v>
      </c>
      <c r="N53" s="429">
        <v>26412.3144599999</v>
      </c>
      <c r="O53" s="429">
        <v>26412.3144599999</v>
      </c>
      <c r="P53" s="429">
        <v>26412.3144599999</v>
      </c>
      <c r="Q53" s="429">
        <v>26412.3144599999</v>
      </c>
      <c r="R53" s="429">
        <v>26412.3144599999</v>
      </c>
      <c r="T53" s="429">
        <f t="shared" si="4"/>
        <v>26412.314459999903</v>
      </c>
    </row>
    <row r="54" spans="1:20">
      <c r="A54" s="429" t="str">
        <f t="shared" si="0"/>
        <v>KU</v>
      </c>
      <c r="B54" s="429" t="str">
        <f t="shared" si="1"/>
        <v>KY</v>
      </c>
      <c r="C54" s="429" t="str">
        <f t="shared" si="2"/>
        <v>345</v>
      </c>
      <c r="D54" s="430" t="s">
        <v>2208</v>
      </c>
      <c r="E54" s="428" t="str">
        <f t="shared" si="5"/>
        <v/>
      </c>
      <c r="F54" s="429">
        <v>445.46972</v>
      </c>
      <c r="G54" s="429">
        <v>445.46972</v>
      </c>
      <c r="H54" s="429">
        <v>445.46972</v>
      </c>
      <c r="I54" s="429">
        <v>445.46972</v>
      </c>
      <c r="J54" s="429">
        <v>445.46972</v>
      </c>
      <c r="K54" s="429">
        <v>445.46972</v>
      </c>
      <c r="L54" s="429">
        <v>445.46972</v>
      </c>
      <c r="M54" s="429">
        <v>445.46972</v>
      </c>
      <c r="N54" s="429">
        <v>1517.96172</v>
      </c>
      <c r="O54" s="429">
        <v>1560.6284599999999</v>
      </c>
      <c r="P54" s="429">
        <v>1603.29512</v>
      </c>
      <c r="Q54" s="429">
        <v>1645.9617800000001</v>
      </c>
      <c r="R54" s="429">
        <v>1688.62844</v>
      </c>
      <c r="T54" s="429">
        <f t="shared" si="4"/>
        <v>890.78717538461547</v>
      </c>
    </row>
    <row r="55" spans="1:20">
      <c r="A55" s="429" t="str">
        <f t="shared" si="0"/>
        <v>KU</v>
      </c>
      <c r="B55" s="429" t="str">
        <f t="shared" si="1"/>
        <v>KY</v>
      </c>
      <c r="C55" s="429" t="str">
        <f t="shared" si="2"/>
        <v>346</v>
      </c>
      <c r="D55" s="430" t="s">
        <v>1756</v>
      </c>
      <c r="E55" s="428" t="str">
        <f t="shared" si="5"/>
        <v/>
      </c>
      <c r="F55" s="429">
        <v>6074.17677</v>
      </c>
      <c r="G55" s="429">
        <v>6074.17677</v>
      </c>
      <c r="H55" s="429">
        <v>6085.8220300000003</v>
      </c>
      <c r="I55" s="429">
        <v>6085.8220300000003</v>
      </c>
      <c r="J55" s="429">
        <v>6085.8220300000003</v>
      </c>
      <c r="K55" s="429">
        <v>9078.6998299999996</v>
      </c>
      <c r="L55" s="429">
        <v>9078.6998299999996</v>
      </c>
      <c r="M55" s="429">
        <v>9078.6998299999996</v>
      </c>
      <c r="N55" s="429">
        <v>9078.6998299999996</v>
      </c>
      <c r="O55" s="429">
        <v>9078.6998299999996</v>
      </c>
      <c r="P55" s="429">
        <v>9642.6119500000004</v>
      </c>
      <c r="Q55" s="429">
        <v>9642.6119500000004</v>
      </c>
      <c r="R55" s="429">
        <v>10171.825500000001</v>
      </c>
      <c r="T55" s="429">
        <f t="shared" si="4"/>
        <v>8096.6437061538463</v>
      </c>
    </row>
    <row r="56" spans="1:20">
      <c r="A56" s="429" t="str">
        <f t="shared" si="0"/>
        <v>KU</v>
      </c>
      <c r="B56" s="429" t="str">
        <f t="shared" si="1"/>
        <v>KY</v>
      </c>
      <c r="C56" s="429" t="str">
        <f t="shared" si="2"/>
        <v>346</v>
      </c>
      <c r="D56" s="430" t="s">
        <v>2209</v>
      </c>
      <c r="E56" s="428" t="str">
        <f t="shared" si="5"/>
        <v/>
      </c>
      <c r="F56" s="429">
        <v>3826.5052999999898</v>
      </c>
      <c r="G56" s="429">
        <v>3826.5052999999898</v>
      </c>
      <c r="H56" s="429">
        <v>4104.9717499999997</v>
      </c>
      <c r="I56" s="429">
        <v>4104.9717499999997</v>
      </c>
      <c r="J56" s="429">
        <v>4104.9717499999997</v>
      </c>
      <c r="K56" s="429">
        <v>4282.7725099999998</v>
      </c>
      <c r="L56" s="429">
        <v>4282.7725099999998</v>
      </c>
      <c r="M56" s="429">
        <v>4282.7725099999998</v>
      </c>
      <c r="N56" s="429">
        <v>4282.7725099999998</v>
      </c>
      <c r="O56" s="429">
        <v>4282.7725099999998</v>
      </c>
      <c r="P56" s="429">
        <v>4282.7725099999998</v>
      </c>
      <c r="Q56" s="429">
        <v>4564.9345699999903</v>
      </c>
      <c r="R56" s="429">
        <v>4564.9345699999903</v>
      </c>
      <c r="T56" s="429">
        <f t="shared" si="4"/>
        <v>4214.9561576923052</v>
      </c>
    </row>
    <row r="57" spans="1:20">
      <c r="A57" s="429" t="str">
        <f t="shared" si="0"/>
        <v>KU</v>
      </c>
      <c r="B57" s="429" t="str">
        <f t="shared" si="1"/>
        <v>KY</v>
      </c>
      <c r="C57" s="429" t="str">
        <f t="shared" si="2"/>
        <v>346</v>
      </c>
      <c r="D57" s="430" t="s">
        <v>2210</v>
      </c>
      <c r="E57" s="428" t="str">
        <f t="shared" si="5"/>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c r="T57" s="429">
        <f t="shared" si="4"/>
        <v>424.77828000000005</v>
      </c>
    </row>
    <row r="58" spans="1:20">
      <c r="A58" s="429" t="str">
        <f t="shared" si="0"/>
        <v>KU</v>
      </c>
      <c r="B58" s="429" t="str">
        <f t="shared" si="1"/>
        <v>KY</v>
      </c>
      <c r="C58" s="429" t="str">
        <f t="shared" si="2"/>
        <v>347</v>
      </c>
      <c r="D58" s="430" t="s">
        <v>2211</v>
      </c>
      <c r="E58" s="428" t="str">
        <f t="shared" si="5"/>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c r="T58" s="429">
        <f t="shared" si="4"/>
        <v>406.99112000000002</v>
      </c>
    </row>
    <row r="59" spans="1:20">
      <c r="A59" s="429" t="str">
        <f t="shared" si="0"/>
        <v>KU</v>
      </c>
      <c r="B59" s="429" t="str">
        <f t="shared" si="1"/>
        <v>KY</v>
      </c>
      <c r="C59" s="429" t="str">
        <f t="shared" si="2"/>
        <v>350</v>
      </c>
      <c r="D59" s="430" t="s">
        <v>1757</v>
      </c>
      <c r="E59" s="428" t="str">
        <f t="shared" si="5"/>
        <v/>
      </c>
      <c r="F59" s="429">
        <v>29761.602849999999</v>
      </c>
      <c r="G59" s="429">
        <v>29761.602849999999</v>
      </c>
      <c r="H59" s="429">
        <v>29761.602849999999</v>
      </c>
      <c r="I59" s="429">
        <v>29761.602849999999</v>
      </c>
      <c r="J59" s="429">
        <v>29761.602849999999</v>
      </c>
      <c r="K59" s="429">
        <v>29761.602849999999</v>
      </c>
      <c r="L59" s="429">
        <v>29761.602849999999</v>
      </c>
      <c r="M59" s="429">
        <v>29761.602849999999</v>
      </c>
      <c r="N59" s="429">
        <v>29761.602849999999</v>
      </c>
      <c r="O59" s="429">
        <v>29761.602849999999</v>
      </c>
      <c r="P59" s="429">
        <v>29761.602849999999</v>
      </c>
      <c r="Q59" s="429">
        <v>29761.602849999999</v>
      </c>
      <c r="R59" s="429">
        <v>29761.602849999999</v>
      </c>
      <c r="T59" s="429">
        <f t="shared" si="4"/>
        <v>29761.602850000007</v>
      </c>
    </row>
    <row r="60" spans="1:20">
      <c r="A60" s="429" t="str">
        <f t="shared" si="0"/>
        <v>KU</v>
      </c>
      <c r="B60" s="429" t="str">
        <f t="shared" si="1"/>
        <v>TN</v>
      </c>
      <c r="C60" s="429" t="str">
        <f t="shared" si="2"/>
        <v>350</v>
      </c>
      <c r="D60" s="430" t="s">
        <v>1758</v>
      </c>
      <c r="E60" s="428" t="str">
        <f t="shared" si="5"/>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c r="T60" s="429">
        <f t="shared" si="4"/>
        <v>0.43952999999999992</v>
      </c>
    </row>
    <row r="61" spans="1:20">
      <c r="A61" s="429" t="str">
        <f t="shared" si="0"/>
        <v>KU</v>
      </c>
      <c r="B61" s="429" t="str">
        <f t="shared" si="1"/>
        <v>VA</v>
      </c>
      <c r="C61" s="429" t="str">
        <f t="shared" si="2"/>
        <v>350</v>
      </c>
      <c r="D61" s="430" t="s">
        <v>1759</v>
      </c>
      <c r="E61" s="428" t="str">
        <f t="shared" si="5"/>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2581.0469600000001</v>
      </c>
      <c r="O61" s="429">
        <v>2581.0469600000001</v>
      </c>
      <c r="P61" s="429">
        <v>2581.0469600000001</v>
      </c>
      <c r="Q61" s="429">
        <v>2581.0469600000001</v>
      </c>
      <c r="R61" s="429">
        <v>2581.0469600000001</v>
      </c>
      <c r="T61" s="429">
        <f t="shared" si="4"/>
        <v>2386.6648923076923</v>
      </c>
    </row>
    <row r="62" spans="1:20">
      <c r="A62" s="429" t="str">
        <f t="shared" si="0"/>
        <v>KU</v>
      </c>
      <c r="B62" s="429" t="str">
        <f t="shared" si="1"/>
        <v>KY</v>
      </c>
      <c r="C62" s="429" t="str">
        <f t="shared" si="2"/>
        <v>352</v>
      </c>
      <c r="D62" s="430" t="s">
        <v>1760</v>
      </c>
      <c r="E62" s="428" t="str">
        <f t="shared" si="5"/>
        <v/>
      </c>
      <c r="F62" s="429">
        <v>1332.49217</v>
      </c>
      <c r="G62" s="429">
        <v>1332.49217</v>
      </c>
      <c r="H62" s="429">
        <v>1332.49217</v>
      </c>
      <c r="I62" s="429">
        <v>1332.49217</v>
      </c>
      <c r="J62" s="429">
        <v>1332.49217</v>
      </c>
      <c r="K62" s="429">
        <v>1332.49217</v>
      </c>
      <c r="L62" s="429">
        <v>1413.50009</v>
      </c>
      <c r="M62" s="429">
        <v>1413.50009</v>
      </c>
      <c r="N62" s="429">
        <v>1413.50009</v>
      </c>
      <c r="O62" s="429">
        <v>1413.50009</v>
      </c>
      <c r="P62" s="429">
        <v>1413.50009</v>
      </c>
      <c r="Q62" s="429">
        <v>1413.50009</v>
      </c>
      <c r="R62" s="429">
        <v>1413.50009</v>
      </c>
      <c r="T62" s="429">
        <f t="shared" si="4"/>
        <v>1376.1118192307692</v>
      </c>
    </row>
    <row r="63" spans="1:20">
      <c r="A63" s="429" t="str">
        <f t="shared" si="0"/>
        <v>KU</v>
      </c>
      <c r="B63" s="429" t="str">
        <f t="shared" si="1"/>
        <v>KY</v>
      </c>
      <c r="C63" s="429" t="str">
        <f t="shared" si="2"/>
        <v>352</v>
      </c>
      <c r="D63" s="430" t="s">
        <v>1761</v>
      </c>
      <c r="E63" s="428" t="str">
        <f t="shared" si="5"/>
        <v/>
      </c>
      <c r="F63" s="429">
        <v>26550.403569999999</v>
      </c>
      <c r="G63" s="429">
        <v>26550.403569999999</v>
      </c>
      <c r="H63" s="429">
        <v>26550.403569999999</v>
      </c>
      <c r="I63" s="429">
        <v>26550.403569999999</v>
      </c>
      <c r="J63" s="429">
        <v>26550.403569999999</v>
      </c>
      <c r="K63" s="429">
        <v>26550.403569999999</v>
      </c>
      <c r="L63" s="429">
        <v>26550.403569999999</v>
      </c>
      <c r="M63" s="429">
        <v>26550.403569999999</v>
      </c>
      <c r="N63" s="429">
        <v>26550.403569999999</v>
      </c>
      <c r="O63" s="429">
        <v>26550.403569999999</v>
      </c>
      <c r="P63" s="429">
        <v>26550.403569999999</v>
      </c>
      <c r="Q63" s="429">
        <v>26550.403569999999</v>
      </c>
      <c r="R63" s="429">
        <v>26550.403569999999</v>
      </c>
      <c r="T63" s="429">
        <f t="shared" si="4"/>
        <v>26550.403570000006</v>
      </c>
    </row>
    <row r="64" spans="1:20">
      <c r="A64" s="429" t="str">
        <f t="shared" si="0"/>
        <v>KU</v>
      </c>
      <c r="B64" s="429" t="str">
        <f t="shared" si="1"/>
        <v>VA</v>
      </c>
      <c r="C64" s="429" t="str">
        <f t="shared" si="2"/>
        <v>352</v>
      </c>
      <c r="D64" s="430" t="s">
        <v>1762</v>
      </c>
      <c r="E64" s="428" t="str">
        <f t="shared" si="5"/>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c r="T64" s="429">
        <f t="shared" si="4"/>
        <v>1743.1988799999999</v>
      </c>
    </row>
    <row r="65" spans="1:20">
      <c r="A65" s="429" t="str">
        <f t="shared" si="0"/>
        <v>KU</v>
      </c>
      <c r="B65" s="429" t="str">
        <f t="shared" si="1"/>
        <v>KY</v>
      </c>
      <c r="C65" s="429" t="str">
        <f t="shared" si="2"/>
        <v>353</v>
      </c>
      <c r="D65" s="430" t="s">
        <v>1763</v>
      </c>
      <c r="E65" s="428" t="str">
        <f t="shared" si="5"/>
        <v/>
      </c>
      <c r="F65" s="429">
        <v>331658.19375999999</v>
      </c>
      <c r="G65" s="429">
        <v>331987.96649999998</v>
      </c>
      <c r="H65" s="429">
        <v>334159.60233999998</v>
      </c>
      <c r="I65" s="429">
        <v>336798.98397999897</v>
      </c>
      <c r="J65" s="429">
        <v>336746.69536999997</v>
      </c>
      <c r="K65" s="429">
        <v>337222.29645999998</v>
      </c>
      <c r="L65" s="429">
        <v>337294.14241999999</v>
      </c>
      <c r="M65" s="429">
        <v>337349.22454999998</v>
      </c>
      <c r="N65" s="429">
        <v>356551.79667000001</v>
      </c>
      <c r="O65" s="429">
        <v>356803.43287000002</v>
      </c>
      <c r="P65" s="429">
        <v>357197.21247000003</v>
      </c>
      <c r="Q65" s="429">
        <v>359578.7242</v>
      </c>
      <c r="R65" s="429">
        <v>360695.32847000001</v>
      </c>
      <c r="T65" s="429">
        <f t="shared" si="4"/>
        <v>344157.2000046153</v>
      </c>
    </row>
    <row r="66" spans="1:20">
      <c r="A66" s="429" t="str">
        <f t="shared" si="0"/>
        <v>KU</v>
      </c>
      <c r="B66" s="429" t="s">
        <v>17</v>
      </c>
      <c r="C66" s="429" t="str">
        <f t="shared" si="2"/>
        <v>353</v>
      </c>
      <c r="D66" s="430" t="s">
        <v>1764</v>
      </c>
      <c r="E66" s="428" t="str">
        <f t="shared" si="5"/>
        <v/>
      </c>
      <c r="F66" s="429">
        <v>3159.4407200000001</v>
      </c>
      <c r="G66" s="429">
        <v>3159.4407200000001</v>
      </c>
      <c r="H66" s="429">
        <v>3159.4407200000001</v>
      </c>
      <c r="I66" s="429">
        <v>3159.4407200000001</v>
      </c>
      <c r="J66" s="429">
        <v>3159.4407200000001</v>
      </c>
      <c r="K66" s="429">
        <v>3159.4407200000001</v>
      </c>
      <c r="L66" s="429">
        <v>3159.4407200000001</v>
      </c>
      <c r="M66" s="429">
        <v>3159.4407200000001</v>
      </c>
      <c r="N66" s="429">
        <v>3159.4407200000001</v>
      </c>
      <c r="O66" s="429">
        <v>3159.4407200000001</v>
      </c>
      <c r="P66" s="429">
        <v>3159.4407200000001</v>
      </c>
      <c r="Q66" s="429">
        <v>3159.4407200000001</v>
      </c>
      <c r="R66" s="429">
        <v>3159.4407200000001</v>
      </c>
      <c r="T66" s="429">
        <f t="shared" si="4"/>
        <v>3159.4407199999991</v>
      </c>
    </row>
    <row r="67" spans="1:20">
      <c r="A67" s="429" t="str">
        <f t="shared" si="0"/>
        <v>KU</v>
      </c>
      <c r="B67" s="429" t="str">
        <f t="shared" si="1"/>
        <v>VA</v>
      </c>
      <c r="C67" s="429" t="str">
        <f t="shared" si="2"/>
        <v>353</v>
      </c>
      <c r="D67" s="430" t="s">
        <v>1765</v>
      </c>
      <c r="E67" s="428" t="str">
        <f t="shared" si="5"/>
        <v/>
      </c>
      <c r="F67" s="429">
        <v>22952.135109999999</v>
      </c>
      <c r="G67" s="429">
        <v>22952.135109999999</v>
      </c>
      <c r="H67" s="429">
        <v>22952.135109999999</v>
      </c>
      <c r="I67" s="429">
        <v>22952.135109999999</v>
      </c>
      <c r="J67" s="429">
        <v>22952.135109999999</v>
      </c>
      <c r="K67" s="429">
        <v>22952.135109999999</v>
      </c>
      <c r="L67" s="429">
        <v>22952.135109999999</v>
      </c>
      <c r="M67" s="429">
        <v>22952.135109999999</v>
      </c>
      <c r="N67" s="429">
        <v>22952.135109999999</v>
      </c>
      <c r="O67" s="429">
        <v>22952.135109999999</v>
      </c>
      <c r="P67" s="429">
        <v>22952.135109999999</v>
      </c>
      <c r="Q67" s="429">
        <v>22952.135109999999</v>
      </c>
      <c r="R67" s="429">
        <v>22952.135109999999</v>
      </c>
      <c r="T67" s="429">
        <f t="shared" si="4"/>
        <v>22952.135109999996</v>
      </c>
    </row>
    <row r="68" spans="1:20">
      <c r="A68" s="429" t="str">
        <f t="shared" si="0"/>
        <v>KU</v>
      </c>
      <c r="B68" s="429" t="str">
        <f t="shared" si="1"/>
        <v>KY</v>
      </c>
      <c r="C68" s="429" t="str">
        <f t="shared" si="2"/>
        <v>354</v>
      </c>
      <c r="D68" s="430" t="s">
        <v>1766</v>
      </c>
      <c r="E68" s="428" t="str">
        <f t="shared" si="5"/>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c r="T68" s="429">
        <f t="shared" si="4"/>
        <v>70852.012850000028</v>
      </c>
    </row>
    <row r="69" spans="1:20">
      <c r="A69" s="429" t="str">
        <f t="shared" si="0"/>
        <v>KU</v>
      </c>
      <c r="B69" s="429" t="str">
        <f t="shared" si="1"/>
        <v>VA</v>
      </c>
      <c r="C69" s="429" t="str">
        <f t="shared" si="2"/>
        <v>354</v>
      </c>
      <c r="D69" s="430" t="s">
        <v>1767</v>
      </c>
      <c r="E69" s="428" t="str">
        <f t="shared" si="5"/>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c r="T69" s="429">
        <f t="shared" si="4"/>
        <v>7181.0813000000007</v>
      </c>
    </row>
    <row r="70" spans="1:20">
      <c r="A70" s="429" t="str">
        <f t="shared" ref="A70:A156" si="6">MID($D70,4,2)</f>
        <v>KU</v>
      </c>
      <c r="B70" s="429" t="str">
        <f t="shared" ref="B70:B156" si="7">IF(MID($D70,12,2)="- ","KY",MID($D70,12,2))</f>
        <v>KY</v>
      </c>
      <c r="C70" s="429" t="str">
        <f t="shared" ref="C70:C156" si="8">MID($D70,8,3)</f>
        <v>355</v>
      </c>
      <c r="D70" s="430" t="s">
        <v>1768</v>
      </c>
      <c r="E70" s="428" t="str">
        <f t="shared" si="5"/>
        <v/>
      </c>
      <c r="F70" s="429">
        <v>390868.60626999999</v>
      </c>
      <c r="G70" s="429">
        <v>397146.94072999997</v>
      </c>
      <c r="H70" s="429">
        <v>400332.31889</v>
      </c>
      <c r="I70" s="429">
        <v>404472.50224</v>
      </c>
      <c r="J70" s="429">
        <v>407655.17011000001</v>
      </c>
      <c r="K70" s="429">
        <v>410494.56401999999</v>
      </c>
      <c r="L70" s="429">
        <v>414121.24489999999</v>
      </c>
      <c r="M70" s="429">
        <v>416678.25770999998</v>
      </c>
      <c r="N70" s="429">
        <v>442057.83742</v>
      </c>
      <c r="O70" s="429">
        <v>442047.60684999998</v>
      </c>
      <c r="P70" s="429">
        <v>446633.64478999999</v>
      </c>
      <c r="Q70" s="429">
        <v>447167.37826000003</v>
      </c>
      <c r="R70" s="429">
        <v>451835.74280000001</v>
      </c>
      <c r="T70" s="429">
        <f t="shared" si="4"/>
        <v>420885.52422999998</v>
      </c>
    </row>
    <row r="71" spans="1:20">
      <c r="A71" s="429" t="str">
        <f t="shared" si="6"/>
        <v>KU</v>
      </c>
      <c r="B71" s="429" t="str">
        <f t="shared" si="7"/>
        <v>TN</v>
      </c>
      <c r="C71" s="429" t="str">
        <f t="shared" si="8"/>
        <v>355</v>
      </c>
      <c r="D71" s="430" t="s">
        <v>1769</v>
      </c>
      <c r="E71" s="428" t="str">
        <f t="shared" si="5"/>
        <v/>
      </c>
      <c r="F71" s="429">
        <v>128.75153</v>
      </c>
      <c r="G71" s="429">
        <v>128.75153</v>
      </c>
      <c r="H71" s="429">
        <v>128.75153</v>
      </c>
      <c r="I71" s="429">
        <v>128.75153</v>
      </c>
      <c r="J71" s="429">
        <v>128.75153</v>
      </c>
      <c r="K71" s="429">
        <v>128.75153</v>
      </c>
      <c r="L71" s="429">
        <v>128.75153</v>
      </c>
      <c r="M71" s="429">
        <v>128.75153</v>
      </c>
      <c r="N71" s="429">
        <v>128.75153</v>
      </c>
      <c r="O71" s="429">
        <v>128.75153</v>
      </c>
      <c r="P71" s="429">
        <v>128.75153</v>
      </c>
      <c r="Q71" s="429">
        <v>128.75153</v>
      </c>
      <c r="R71" s="429">
        <v>128.75153</v>
      </c>
      <c r="T71" s="429">
        <f t="shared" ref="T71:T135" si="9">SUM(F71:R71)/13</f>
        <v>128.75153</v>
      </c>
    </row>
    <row r="72" spans="1:20">
      <c r="A72" s="429" t="str">
        <f t="shared" si="6"/>
        <v>KU</v>
      </c>
      <c r="B72" s="429" t="str">
        <f t="shared" si="7"/>
        <v>VA</v>
      </c>
      <c r="C72" s="429" t="str">
        <f t="shared" si="8"/>
        <v>355</v>
      </c>
      <c r="D72" s="430" t="s">
        <v>1770</v>
      </c>
      <c r="E72" s="428" t="str">
        <f t="shared" si="5"/>
        <v/>
      </c>
      <c r="F72" s="429">
        <v>14620.662340000001</v>
      </c>
      <c r="G72" s="429">
        <v>14620.662340000001</v>
      </c>
      <c r="H72" s="429">
        <v>15125.15869</v>
      </c>
      <c r="I72" s="429">
        <v>15125.15869</v>
      </c>
      <c r="J72" s="429">
        <v>15125.15869</v>
      </c>
      <c r="K72" s="429">
        <v>15125.15869</v>
      </c>
      <c r="L72" s="429">
        <v>15125.15869</v>
      </c>
      <c r="M72" s="429">
        <v>15125.15869</v>
      </c>
      <c r="N72" s="429">
        <v>15125.15869</v>
      </c>
      <c r="O72" s="429">
        <v>15125.15869</v>
      </c>
      <c r="P72" s="429">
        <v>15125.15869</v>
      </c>
      <c r="Q72" s="429">
        <v>15125.15869</v>
      </c>
      <c r="R72" s="429">
        <v>15125.15869</v>
      </c>
      <c r="T72" s="429">
        <f t="shared" si="9"/>
        <v>15047.543866923079</v>
      </c>
    </row>
    <row r="73" spans="1:20">
      <c r="A73" s="429" t="str">
        <f t="shared" si="6"/>
        <v>KU</v>
      </c>
      <c r="B73" s="429" t="str">
        <f t="shared" si="7"/>
        <v>KY</v>
      </c>
      <c r="C73" s="429" t="str">
        <f t="shared" si="8"/>
        <v>356</v>
      </c>
      <c r="D73" s="430" t="s">
        <v>1771</v>
      </c>
      <c r="E73" s="428" t="str">
        <f t="shared" si="5"/>
        <v/>
      </c>
      <c r="F73" s="429">
        <v>170863.48470999999</v>
      </c>
      <c r="G73" s="429">
        <v>170822.66452999899</v>
      </c>
      <c r="H73" s="429">
        <v>170684.26049999901</v>
      </c>
      <c r="I73" s="429">
        <v>170698.23992999899</v>
      </c>
      <c r="J73" s="429">
        <v>170606.076769999</v>
      </c>
      <c r="K73" s="429">
        <v>170640.58966999999</v>
      </c>
      <c r="L73" s="429">
        <v>170563.15871999899</v>
      </c>
      <c r="M73" s="429">
        <v>170542.030239999</v>
      </c>
      <c r="N73" s="429">
        <v>170432.831609999</v>
      </c>
      <c r="O73" s="429">
        <v>170488.10861999899</v>
      </c>
      <c r="P73" s="429">
        <v>170476.73388999901</v>
      </c>
      <c r="Q73" s="429">
        <v>170490.34021999899</v>
      </c>
      <c r="R73" s="429">
        <v>175148.67570999899</v>
      </c>
      <c r="T73" s="429">
        <f t="shared" si="9"/>
        <v>170958.2457784607</v>
      </c>
    </row>
    <row r="74" spans="1:20">
      <c r="A74" s="429" t="str">
        <f t="shared" si="6"/>
        <v>KU</v>
      </c>
      <c r="B74" s="429" t="str">
        <f t="shared" si="7"/>
        <v>TN</v>
      </c>
      <c r="C74" s="429" t="str">
        <f t="shared" si="8"/>
        <v>356</v>
      </c>
      <c r="D74" s="430" t="s">
        <v>1772</v>
      </c>
      <c r="E74" s="428" t="str">
        <f t="shared" si="5"/>
        <v/>
      </c>
      <c r="F74" s="429">
        <v>80.691329999999994</v>
      </c>
      <c r="G74" s="429">
        <v>80.691329999999994</v>
      </c>
      <c r="H74" s="429">
        <v>80.691329999999994</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c r="T74" s="429">
        <f t="shared" si="9"/>
        <v>80.691330000000008</v>
      </c>
    </row>
    <row r="75" spans="1:20">
      <c r="A75" s="429" t="str">
        <f t="shared" si="6"/>
        <v>KU</v>
      </c>
      <c r="B75" s="429" t="str">
        <f t="shared" si="7"/>
        <v>VA</v>
      </c>
      <c r="C75" s="429" t="str">
        <f t="shared" si="8"/>
        <v>356</v>
      </c>
      <c r="D75" s="430" t="s">
        <v>1773</v>
      </c>
      <c r="E75" s="428" t="str">
        <f t="shared" si="5"/>
        <v/>
      </c>
      <c r="F75" s="429">
        <v>18696.27954</v>
      </c>
      <c r="G75" s="429">
        <v>18696.27954</v>
      </c>
      <c r="H75" s="429">
        <v>18696.27954</v>
      </c>
      <c r="I75" s="429">
        <v>18696.27954</v>
      </c>
      <c r="J75" s="429">
        <v>18696.27954</v>
      </c>
      <c r="K75" s="429">
        <v>18696.27954</v>
      </c>
      <c r="L75" s="429">
        <v>18696.27954</v>
      </c>
      <c r="M75" s="429">
        <v>18696.27954</v>
      </c>
      <c r="N75" s="429">
        <v>18696.27954</v>
      </c>
      <c r="O75" s="429">
        <v>18696.27954</v>
      </c>
      <c r="P75" s="429">
        <v>18696.27954</v>
      </c>
      <c r="Q75" s="429">
        <v>18696.27954</v>
      </c>
      <c r="R75" s="429">
        <v>18696.27954</v>
      </c>
      <c r="T75" s="429">
        <f t="shared" si="9"/>
        <v>18696.279539999996</v>
      </c>
    </row>
    <row r="76" spans="1:20">
      <c r="A76" s="429" t="str">
        <f t="shared" si="6"/>
        <v>KU</v>
      </c>
      <c r="B76" s="429" t="str">
        <f t="shared" si="7"/>
        <v>KY</v>
      </c>
      <c r="C76" s="429" t="str">
        <f t="shared" si="8"/>
        <v>357</v>
      </c>
      <c r="D76" s="430" t="s">
        <v>1774</v>
      </c>
      <c r="E76" s="428" t="str">
        <f t="shared" si="5"/>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c r="T76" s="429">
        <f t="shared" si="9"/>
        <v>448.76026000000002</v>
      </c>
    </row>
    <row r="77" spans="1:20">
      <c r="A77" s="429" t="str">
        <f t="shared" si="6"/>
        <v>KU</v>
      </c>
      <c r="B77" s="429" t="str">
        <f t="shared" si="7"/>
        <v>KY</v>
      </c>
      <c r="C77" s="429" t="str">
        <f t="shared" si="8"/>
        <v>358</v>
      </c>
      <c r="D77" s="430" t="s">
        <v>1775</v>
      </c>
      <c r="E77" s="428" t="str">
        <f t="shared" si="5"/>
        <v/>
      </c>
      <c r="F77" s="429">
        <v>1299.5925500000001</v>
      </c>
      <c r="G77" s="429">
        <v>1299.5925500000001</v>
      </c>
      <c r="H77" s="429">
        <v>1299.5925500000001</v>
      </c>
      <c r="I77" s="429">
        <v>1299.5925500000001</v>
      </c>
      <c r="J77" s="429">
        <v>1299.5925500000001</v>
      </c>
      <c r="K77" s="429">
        <v>1299.5925500000001</v>
      </c>
      <c r="L77" s="429">
        <v>1299.5925500000001</v>
      </c>
      <c r="M77" s="429">
        <v>1299.5925500000001</v>
      </c>
      <c r="N77" s="429">
        <v>10503.5699199999</v>
      </c>
      <c r="O77" s="429">
        <v>10653.0773999999</v>
      </c>
      <c r="P77" s="429">
        <v>10927.5848799999</v>
      </c>
      <c r="Q77" s="429">
        <v>11202.092359999901</v>
      </c>
      <c r="R77" s="429">
        <v>11202.092359999901</v>
      </c>
      <c r="T77" s="429">
        <f t="shared" si="9"/>
        <v>4991.1659476922696</v>
      </c>
    </row>
    <row r="78" spans="1:20">
      <c r="A78" s="429" t="str">
        <f t="shared" si="6"/>
        <v>KU</v>
      </c>
      <c r="B78" s="429" t="str">
        <f t="shared" si="7"/>
        <v>KY</v>
      </c>
      <c r="C78" s="429" t="str">
        <f t="shared" si="8"/>
        <v>359</v>
      </c>
      <c r="D78" s="430" t="s">
        <v>1776</v>
      </c>
      <c r="E78" s="428" t="str">
        <f t="shared" si="5"/>
        <v>ARO</v>
      </c>
      <c r="F78" s="429">
        <v>551.32388000000003</v>
      </c>
      <c r="G78" s="429">
        <v>551.32388000000003</v>
      </c>
      <c r="H78" s="429">
        <v>551.32388000000003</v>
      </c>
      <c r="I78" s="429">
        <v>551.32388000000003</v>
      </c>
      <c r="J78" s="429">
        <v>551.32388000000003</v>
      </c>
      <c r="K78" s="429">
        <v>551.32388000000003</v>
      </c>
      <c r="L78" s="429">
        <v>551.32388000000003</v>
      </c>
      <c r="M78" s="429">
        <v>551.32388000000003</v>
      </c>
      <c r="N78" s="429">
        <v>551.32388000000003</v>
      </c>
      <c r="O78" s="429">
        <v>551.32388000000003</v>
      </c>
      <c r="P78" s="429">
        <v>551.32388000000003</v>
      </c>
      <c r="Q78" s="429">
        <v>551.32388000000003</v>
      </c>
      <c r="R78" s="429">
        <v>551.32388000000003</v>
      </c>
      <c r="T78" s="429">
        <f t="shared" si="9"/>
        <v>551.32388000000003</v>
      </c>
    </row>
    <row r="79" spans="1:20">
      <c r="A79" s="429" t="str">
        <f t="shared" si="6"/>
        <v>KU</v>
      </c>
      <c r="B79" s="429" t="str">
        <f t="shared" si="7"/>
        <v>KY</v>
      </c>
      <c r="C79" s="429" t="str">
        <f t="shared" si="8"/>
        <v>360</v>
      </c>
      <c r="D79" s="430" t="s">
        <v>1777</v>
      </c>
      <c r="E79" s="428" t="str">
        <f t="shared" si="5"/>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c r="T79" s="429">
        <f t="shared" si="9"/>
        <v>1471.4225899999997</v>
      </c>
    </row>
    <row r="80" spans="1:20">
      <c r="A80" s="429" t="str">
        <f t="shared" si="6"/>
        <v>KU</v>
      </c>
      <c r="B80" s="429" t="str">
        <f t="shared" si="7"/>
        <v>KY</v>
      </c>
      <c r="C80" s="429" t="str">
        <f t="shared" si="8"/>
        <v>360</v>
      </c>
      <c r="D80" s="430" t="s">
        <v>1778</v>
      </c>
      <c r="E80" s="428" t="str">
        <f t="shared" si="5"/>
        <v/>
      </c>
      <c r="F80" s="429">
        <v>9179.4693999999909</v>
      </c>
      <c r="G80" s="429">
        <v>9179.4693999999909</v>
      </c>
      <c r="H80" s="429">
        <v>9179.4693999999909</v>
      </c>
      <c r="I80" s="429">
        <v>9179.4693999999909</v>
      </c>
      <c r="J80" s="429">
        <v>9179.4693999999909</v>
      </c>
      <c r="K80" s="429">
        <v>9179.4693999999909</v>
      </c>
      <c r="L80" s="429">
        <v>9179.4693999999909</v>
      </c>
      <c r="M80" s="429">
        <v>9179.4693999999909</v>
      </c>
      <c r="N80" s="429">
        <v>9479.47000999999</v>
      </c>
      <c r="O80" s="429">
        <v>9479.47000999999</v>
      </c>
      <c r="P80" s="429">
        <v>9479.47000999999</v>
      </c>
      <c r="Q80" s="429">
        <v>9479.47000999999</v>
      </c>
      <c r="R80" s="429">
        <v>9479.47000999999</v>
      </c>
      <c r="T80" s="429">
        <f t="shared" si="9"/>
        <v>9294.8542499999894</v>
      </c>
    </row>
    <row r="81" spans="1:20">
      <c r="A81" s="429" t="str">
        <f t="shared" si="6"/>
        <v>KU</v>
      </c>
      <c r="B81" s="429" t="str">
        <f t="shared" si="7"/>
        <v>TN</v>
      </c>
      <c r="C81" s="429" t="str">
        <f t="shared" si="8"/>
        <v>360</v>
      </c>
      <c r="D81" s="430" t="s">
        <v>1779</v>
      </c>
      <c r="E81" s="428" t="str">
        <f t="shared" si="5"/>
        <v/>
      </c>
      <c r="F81" s="429">
        <v>495.04023000000001</v>
      </c>
      <c r="G81" s="429">
        <v>495.04023000000001</v>
      </c>
      <c r="H81" s="429">
        <v>495.04023000000001</v>
      </c>
      <c r="I81" s="429">
        <v>495.04023000000001</v>
      </c>
      <c r="J81" s="429">
        <v>495.04023000000001</v>
      </c>
      <c r="K81" s="429">
        <v>495.04023000000001</v>
      </c>
      <c r="L81" s="429">
        <v>495.04023000000001</v>
      </c>
      <c r="M81" s="429">
        <v>495.04023000000001</v>
      </c>
      <c r="N81" s="429">
        <v>495.04023000000001</v>
      </c>
      <c r="O81" s="429">
        <v>495.04023000000001</v>
      </c>
      <c r="P81" s="429">
        <v>495.04023000000001</v>
      </c>
      <c r="Q81" s="429">
        <v>495.04023000000001</v>
      </c>
      <c r="R81" s="429">
        <v>495.04023000000001</v>
      </c>
      <c r="T81" s="429">
        <f t="shared" si="9"/>
        <v>495.04022999999989</v>
      </c>
    </row>
    <row r="82" spans="1:20">
      <c r="A82" s="429" t="str">
        <f t="shared" si="6"/>
        <v>KU</v>
      </c>
      <c r="B82" s="429" t="str">
        <f t="shared" si="7"/>
        <v>VA</v>
      </c>
      <c r="C82" s="429" t="str">
        <f t="shared" si="8"/>
        <v>360</v>
      </c>
      <c r="D82" s="430" t="s">
        <v>1780</v>
      </c>
      <c r="E82" s="428" t="str">
        <f t="shared" si="5"/>
        <v/>
      </c>
      <c r="F82" s="429">
        <v>318.25044000000003</v>
      </c>
      <c r="G82" s="429">
        <v>318.25044000000003</v>
      </c>
      <c r="H82" s="429">
        <v>318.25044000000003</v>
      </c>
      <c r="I82" s="429">
        <v>318.25044000000003</v>
      </c>
      <c r="J82" s="429">
        <v>318.25044000000003</v>
      </c>
      <c r="K82" s="429">
        <v>318.25044000000003</v>
      </c>
      <c r="L82" s="429">
        <v>318.25044000000003</v>
      </c>
      <c r="M82" s="429">
        <v>318.25044000000003</v>
      </c>
      <c r="N82" s="429">
        <v>318.25044000000003</v>
      </c>
      <c r="O82" s="429">
        <v>318.25044000000003</v>
      </c>
      <c r="P82" s="429">
        <v>318.25044000000003</v>
      </c>
      <c r="Q82" s="429">
        <v>318.25044000000003</v>
      </c>
      <c r="R82" s="429">
        <v>318.25044000000003</v>
      </c>
      <c r="T82" s="429">
        <f t="shared" si="9"/>
        <v>318.25043999999991</v>
      </c>
    </row>
    <row r="83" spans="1:20">
      <c r="A83" s="429" t="str">
        <f t="shared" si="6"/>
        <v>KU</v>
      </c>
      <c r="B83" s="429" t="str">
        <f t="shared" si="7"/>
        <v>KY</v>
      </c>
      <c r="C83" s="429" t="str">
        <f t="shared" si="8"/>
        <v>361</v>
      </c>
      <c r="D83" s="430" t="s">
        <v>1781</v>
      </c>
      <c r="E83" s="428" t="str">
        <f t="shared" si="5"/>
        <v/>
      </c>
      <c r="F83" s="429">
        <v>23392.1453</v>
      </c>
      <c r="G83" s="429">
        <v>24186.554690000001</v>
      </c>
      <c r="H83" s="429">
        <v>24980.976869999999</v>
      </c>
      <c r="I83" s="429">
        <v>25775.38192</v>
      </c>
      <c r="J83" s="429">
        <v>26569.788479999999</v>
      </c>
      <c r="K83" s="429">
        <v>27364.213189999999</v>
      </c>
      <c r="L83" s="429">
        <v>28158.629430000001</v>
      </c>
      <c r="M83" s="429">
        <v>28953.048289999999</v>
      </c>
      <c r="N83" s="429">
        <v>30433.40998</v>
      </c>
      <c r="O83" s="429">
        <v>31141.786749999999</v>
      </c>
      <c r="P83" s="429">
        <v>31850.16994</v>
      </c>
      <c r="Q83" s="429">
        <v>32558.54667</v>
      </c>
      <c r="R83" s="429">
        <v>33318.79954</v>
      </c>
      <c r="T83" s="429">
        <f t="shared" si="9"/>
        <v>28360.265465384615</v>
      </c>
    </row>
    <row r="84" spans="1:20">
      <c r="A84" s="429" t="str">
        <f t="shared" si="6"/>
        <v>KU</v>
      </c>
      <c r="B84" s="429" t="str">
        <f t="shared" si="7"/>
        <v>TN</v>
      </c>
      <c r="C84" s="429" t="str">
        <f t="shared" si="8"/>
        <v>361</v>
      </c>
      <c r="D84" s="430" t="s">
        <v>1782</v>
      </c>
      <c r="E84" s="428" t="str">
        <f t="shared" si="5"/>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c r="T84" s="429">
        <f t="shared" si="9"/>
        <v>2.5451299999999999</v>
      </c>
    </row>
    <row r="85" spans="1:20">
      <c r="A85" s="429" t="str">
        <f t="shared" si="6"/>
        <v>KU</v>
      </c>
      <c r="B85" s="429" t="str">
        <f t="shared" si="7"/>
        <v>VA</v>
      </c>
      <c r="C85" s="429" t="str">
        <f t="shared" si="8"/>
        <v>361</v>
      </c>
      <c r="D85" s="430" t="s">
        <v>1783</v>
      </c>
      <c r="E85" s="428" t="str">
        <f t="shared" ref="E85:E152" si="10">IF(ISTEXT(MID($D85,SEARCH("FUTURE USE",$D85),3)),"FUTURE USE",IF(ISTEXT(MID($D85,SEARCH("ECR",$D85),3)),"ECR",IF(ISTEXT(MID($D85,SEARCH("ARO",$D85),3)),"ARO",IF(ISTEXT(MID($D85,SEARCH("DSM",$D85),3)),"DSM",""))))</f>
        <v/>
      </c>
      <c r="F85" s="429">
        <v>774.87902999999994</v>
      </c>
      <c r="G85" s="429">
        <v>774.87902999999994</v>
      </c>
      <c r="H85" s="429">
        <v>774.87902999999994</v>
      </c>
      <c r="I85" s="429">
        <v>774.87902999999994</v>
      </c>
      <c r="J85" s="429">
        <v>774.87902999999994</v>
      </c>
      <c r="K85" s="429">
        <v>774.87902999999994</v>
      </c>
      <c r="L85" s="429">
        <v>774.87902999999994</v>
      </c>
      <c r="M85" s="429">
        <v>774.87902999999994</v>
      </c>
      <c r="N85" s="429">
        <v>774.87902999999994</v>
      </c>
      <c r="O85" s="429">
        <v>774.87902999999994</v>
      </c>
      <c r="P85" s="429">
        <v>774.87902999999994</v>
      </c>
      <c r="Q85" s="429">
        <v>774.87902999999994</v>
      </c>
      <c r="R85" s="429">
        <v>774.87902999999994</v>
      </c>
      <c r="T85" s="429">
        <f t="shared" si="9"/>
        <v>774.87902999999994</v>
      </c>
    </row>
    <row r="86" spans="1:20">
      <c r="A86" s="429" t="str">
        <f t="shared" si="6"/>
        <v>KU</v>
      </c>
      <c r="B86" s="429" t="str">
        <f t="shared" si="7"/>
        <v>KY</v>
      </c>
      <c r="C86" s="429" t="str">
        <f t="shared" si="8"/>
        <v>362</v>
      </c>
      <c r="D86" s="430" t="s">
        <v>1784</v>
      </c>
      <c r="E86" s="428" t="str">
        <f t="shared" si="10"/>
        <v/>
      </c>
      <c r="F86" s="429">
        <v>233958.56538999901</v>
      </c>
      <c r="G86" s="429">
        <v>234376.59710999901</v>
      </c>
      <c r="H86" s="429">
        <v>237516.40045999899</v>
      </c>
      <c r="I86" s="429">
        <v>238116.842199999</v>
      </c>
      <c r="J86" s="429">
        <v>238761.58948999899</v>
      </c>
      <c r="K86" s="429">
        <v>240850.51185999901</v>
      </c>
      <c r="L86" s="429">
        <v>241368.80221999899</v>
      </c>
      <c r="M86" s="429">
        <v>241895.04803999999</v>
      </c>
      <c r="N86" s="429">
        <v>257724.14347000001</v>
      </c>
      <c r="O86" s="429">
        <v>257983.98262</v>
      </c>
      <c r="P86" s="429">
        <v>258278.58939000001</v>
      </c>
      <c r="Q86" s="429">
        <v>260057.82083000001</v>
      </c>
      <c r="R86" s="429">
        <v>260642.32670000001</v>
      </c>
      <c r="T86" s="429">
        <f t="shared" si="9"/>
        <v>246271.63229076873</v>
      </c>
    </row>
    <row r="87" spans="1:20">
      <c r="A87" s="429" t="str">
        <f t="shared" si="6"/>
        <v>KU</v>
      </c>
      <c r="B87" s="429" t="str">
        <f t="shared" si="7"/>
        <v>TN</v>
      </c>
      <c r="C87" s="429" t="str">
        <f t="shared" si="8"/>
        <v>362</v>
      </c>
      <c r="D87" s="430" t="s">
        <v>1785</v>
      </c>
      <c r="E87" s="428" t="str">
        <f t="shared" si="10"/>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c r="T87" s="429">
        <f t="shared" si="9"/>
        <v>66.880149999999986</v>
      </c>
    </row>
    <row r="88" spans="1:20">
      <c r="A88" s="429" t="str">
        <f t="shared" si="6"/>
        <v>KU</v>
      </c>
      <c r="B88" s="429" t="str">
        <f t="shared" si="7"/>
        <v>VA</v>
      </c>
      <c r="C88" s="429" t="str">
        <f t="shared" si="8"/>
        <v>362</v>
      </c>
      <c r="D88" s="430" t="s">
        <v>1786</v>
      </c>
      <c r="E88" s="428" t="str">
        <f t="shared" si="10"/>
        <v/>
      </c>
      <c r="F88" s="429">
        <v>8513.2319299999999</v>
      </c>
      <c r="G88" s="429">
        <v>8513.2319299999999</v>
      </c>
      <c r="H88" s="429">
        <v>8513.2319299999999</v>
      </c>
      <c r="I88" s="429">
        <v>8513.2319299999999</v>
      </c>
      <c r="J88" s="429">
        <v>8513.2319299999999</v>
      </c>
      <c r="K88" s="429">
        <v>8513.2319299999999</v>
      </c>
      <c r="L88" s="429">
        <v>8513.2319299999999</v>
      </c>
      <c r="M88" s="429">
        <v>8513.2319299999999</v>
      </c>
      <c r="N88" s="429">
        <v>8513.2319299999999</v>
      </c>
      <c r="O88" s="429">
        <v>8513.2319299999999</v>
      </c>
      <c r="P88" s="429">
        <v>8513.2319299999999</v>
      </c>
      <c r="Q88" s="429">
        <v>8513.2319299999999</v>
      </c>
      <c r="R88" s="429">
        <v>8513.2319299999999</v>
      </c>
      <c r="T88" s="429">
        <f t="shared" si="9"/>
        <v>8513.2319299999981</v>
      </c>
    </row>
    <row r="89" spans="1:20">
      <c r="A89" s="429" t="str">
        <f t="shared" si="6"/>
        <v>KU</v>
      </c>
      <c r="B89" s="429" t="str">
        <f t="shared" si="7"/>
        <v>KY</v>
      </c>
      <c r="C89" s="429" t="str">
        <f t="shared" si="8"/>
        <v>364</v>
      </c>
      <c r="D89" s="430" t="s">
        <v>2212</v>
      </c>
      <c r="E89" s="428" t="str">
        <f t="shared" si="10"/>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c r="T89" s="429">
        <f t="shared" si="9"/>
        <v>26.531200000000009</v>
      </c>
    </row>
    <row r="90" spans="1:20">
      <c r="A90" s="429" t="str">
        <f t="shared" si="6"/>
        <v>KU</v>
      </c>
      <c r="B90" s="429" t="str">
        <f t="shared" si="7"/>
        <v>KY</v>
      </c>
      <c r="C90" s="429" t="str">
        <f t="shared" si="8"/>
        <v>364</v>
      </c>
      <c r="D90" s="430" t="s">
        <v>1787</v>
      </c>
      <c r="E90" s="428" t="str">
        <f t="shared" si="10"/>
        <v/>
      </c>
      <c r="F90" s="429">
        <v>388375.99853999901</v>
      </c>
      <c r="G90" s="429">
        <v>390050.14078999899</v>
      </c>
      <c r="H90" s="429">
        <v>391795.95315999899</v>
      </c>
      <c r="I90" s="429">
        <v>393409.55242999899</v>
      </c>
      <c r="J90" s="429">
        <v>395298.61860999902</v>
      </c>
      <c r="K90" s="429">
        <v>397493.71726999898</v>
      </c>
      <c r="L90" s="429">
        <v>399178.65829999902</v>
      </c>
      <c r="M90" s="429">
        <v>400543.40133999998</v>
      </c>
      <c r="N90" s="429">
        <v>401713.36443999998</v>
      </c>
      <c r="O90" s="429">
        <v>403084.49595999997</v>
      </c>
      <c r="P90" s="429">
        <v>404317.73395999998</v>
      </c>
      <c r="Q90" s="429">
        <v>405937.11671999999</v>
      </c>
      <c r="R90" s="429">
        <v>407641.95972999901</v>
      </c>
      <c r="T90" s="429">
        <f t="shared" si="9"/>
        <v>398372.36240384553</v>
      </c>
    </row>
    <row r="91" spans="1:20">
      <c r="A91" s="429" t="str">
        <f t="shared" si="6"/>
        <v>KU</v>
      </c>
      <c r="B91" s="429" t="str">
        <f t="shared" si="7"/>
        <v>TN</v>
      </c>
      <c r="C91" s="429" t="str">
        <f t="shared" si="8"/>
        <v>364</v>
      </c>
      <c r="D91" s="430" t="s">
        <v>1788</v>
      </c>
      <c r="E91" s="428" t="str">
        <f t="shared" si="10"/>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c r="T91" s="429">
        <f t="shared" si="9"/>
        <v>47.785559999999997</v>
      </c>
    </row>
    <row r="92" spans="1:20">
      <c r="A92" s="429" t="str">
        <f t="shared" si="6"/>
        <v>KU</v>
      </c>
      <c r="B92" s="429" t="str">
        <f t="shared" si="7"/>
        <v>VA</v>
      </c>
      <c r="C92" s="429" t="str">
        <f t="shared" si="8"/>
        <v>364</v>
      </c>
      <c r="D92" s="430" t="s">
        <v>1789</v>
      </c>
      <c r="E92" s="428" t="str">
        <f t="shared" si="10"/>
        <v/>
      </c>
      <c r="F92" s="429">
        <v>30536.653399999901</v>
      </c>
      <c r="G92" s="429">
        <v>30573.653749999899</v>
      </c>
      <c r="H92" s="429">
        <v>30601.461279999901</v>
      </c>
      <c r="I92" s="429">
        <v>30643.292609999899</v>
      </c>
      <c r="J92" s="429">
        <v>30675.508309999899</v>
      </c>
      <c r="K92" s="429">
        <v>30707.0360899999</v>
      </c>
      <c r="L92" s="429">
        <v>30740.284119999898</v>
      </c>
      <c r="M92" s="429">
        <v>30768.387199999899</v>
      </c>
      <c r="N92" s="429">
        <v>30792.501689999899</v>
      </c>
      <c r="O92" s="429">
        <v>30825.995349999899</v>
      </c>
      <c r="P92" s="429">
        <v>30853.338159999901</v>
      </c>
      <c r="Q92" s="429">
        <v>30884.103139999901</v>
      </c>
      <c r="R92" s="429">
        <v>30918.4983299999</v>
      </c>
      <c r="T92" s="429">
        <f t="shared" si="9"/>
        <v>30732.362571538368</v>
      </c>
    </row>
    <row r="93" spans="1:20">
      <c r="A93" s="429" t="str">
        <f t="shared" si="6"/>
        <v>KU</v>
      </c>
      <c r="B93" s="429" t="str">
        <f t="shared" si="7"/>
        <v>KY</v>
      </c>
      <c r="C93" s="429" t="str">
        <f t="shared" si="8"/>
        <v>365</v>
      </c>
      <c r="D93" s="430" t="s">
        <v>2213</v>
      </c>
      <c r="E93" s="428" t="str">
        <f t="shared" si="10"/>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c r="T93" s="429">
        <f t="shared" si="9"/>
        <v>23.599409999999999</v>
      </c>
    </row>
    <row r="94" spans="1:20">
      <c r="A94" s="429" t="str">
        <f t="shared" si="6"/>
        <v>KU</v>
      </c>
      <c r="B94" s="429" t="str">
        <f t="shared" si="7"/>
        <v>KY</v>
      </c>
      <c r="C94" s="429" t="str">
        <f t="shared" si="8"/>
        <v>365</v>
      </c>
      <c r="D94" s="430" t="s">
        <v>1790</v>
      </c>
      <c r="E94" s="428" t="str">
        <f t="shared" si="10"/>
        <v/>
      </c>
      <c r="F94" s="429">
        <v>387914.44445000001</v>
      </c>
      <c r="G94" s="429">
        <v>389902.09265000001</v>
      </c>
      <c r="H94" s="429">
        <v>392230.43492000003</v>
      </c>
      <c r="I94" s="429">
        <v>393554.72518000001</v>
      </c>
      <c r="J94" s="429">
        <v>396612.83176999999</v>
      </c>
      <c r="K94" s="429">
        <v>398719.35116999998</v>
      </c>
      <c r="L94" s="429">
        <v>400309.20439000003</v>
      </c>
      <c r="M94" s="429">
        <v>402232.30015000002</v>
      </c>
      <c r="N94" s="429">
        <v>405568.12106999999</v>
      </c>
      <c r="O94" s="429">
        <v>407508.25374999997</v>
      </c>
      <c r="P94" s="429">
        <v>408873.94140000001</v>
      </c>
      <c r="Q94" s="429">
        <v>410764.00915</v>
      </c>
      <c r="R94" s="429">
        <v>412345.04005000001</v>
      </c>
      <c r="T94" s="429">
        <f t="shared" si="9"/>
        <v>400502.67308461544</v>
      </c>
    </row>
    <row r="95" spans="1:20">
      <c r="A95" s="429" t="str">
        <f t="shared" si="6"/>
        <v>KU</v>
      </c>
      <c r="B95" s="429" t="str">
        <f t="shared" si="7"/>
        <v>TN</v>
      </c>
      <c r="C95" s="429" t="str">
        <f t="shared" si="8"/>
        <v>365</v>
      </c>
      <c r="D95" s="430" t="s">
        <v>1791</v>
      </c>
      <c r="E95" s="428" t="str">
        <f t="shared" si="10"/>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c r="T95" s="429">
        <f t="shared" si="9"/>
        <v>46.763220000000004</v>
      </c>
    </row>
    <row r="96" spans="1:20">
      <c r="A96" s="429" t="str">
        <f t="shared" si="6"/>
        <v>KU</v>
      </c>
      <c r="B96" s="429" t="str">
        <f t="shared" si="7"/>
        <v>VA</v>
      </c>
      <c r="C96" s="429" t="str">
        <f t="shared" si="8"/>
        <v>365</v>
      </c>
      <c r="D96" s="430" t="s">
        <v>1792</v>
      </c>
      <c r="E96" s="428" t="str">
        <f t="shared" si="10"/>
        <v/>
      </c>
      <c r="F96" s="429">
        <v>28438.573599999901</v>
      </c>
      <c r="G96" s="429">
        <v>28568.726049999899</v>
      </c>
      <c r="H96" s="429">
        <v>28705.881209999901</v>
      </c>
      <c r="I96" s="429">
        <v>29082.352519999899</v>
      </c>
      <c r="J96" s="429">
        <v>29214.442529999898</v>
      </c>
      <c r="K96" s="429">
        <v>29324.1676799999</v>
      </c>
      <c r="L96" s="429">
        <v>29454.236759999902</v>
      </c>
      <c r="M96" s="429">
        <v>29547.640989999902</v>
      </c>
      <c r="N96" s="429">
        <v>29629.113059999901</v>
      </c>
      <c r="O96" s="429">
        <v>29765.739669999901</v>
      </c>
      <c r="P96" s="429">
        <v>29882.165029999898</v>
      </c>
      <c r="Q96" s="429">
        <v>29979.467709999899</v>
      </c>
      <c r="R96" s="429">
        <v>30086.980669999899</v>
      </c>
      <c r="T96" s="429">
        <f t="shared" si="9"/>
        <v>29359.960575384517</v>
      </c>
    </row>
    <row r="97" spans="1:20">
      <c r="A97" s="429" t="str">
        <f t="shared" si="6"/>
        <v>KU</v>
      </c>
      <c r="B97" s="429" t="str">
        <f t="shared" si="7"/>
        <v>KY</v>
      </c>
      <c r="C97" s="429" t="str">
        <f t="shared" si="8"/>
        <v>366</v>
      </c>
      <c r="D97" s="430" t="s">
        <v>2214</v>
      </c>
      <c r="E97" s="428" t="str">
        <f t="shared" si="10"/>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c r="T97" s="429">
        <f t="shared" si="9"/>
        <v>171.00252</v>
      </c>
    </row>
    <row r="98" spans="1:20">
      <c r="A98" s="429" t="str">
        <f t="shared" si="6"/>
        <v>KU</v>
      </c>
      <c r="B98" s="429" t="str">
        <f t="shared" si="7"/>
        <v>KY</v>
      </c>
      <c r="C98" s="429" t="str">
        <f t="shared" si="8"/>
        <v>366</v>
      </c>
      <c r="D98" s="430" t="s">
        <v>1793</v>
      </c>
      <c r="E98" s="428" t="str">
        <f t="shared" si="10"/>
        <v/>
      </c>
      <c r="F98" s="429">
        <v>2219.1035200000001</v>
      </c>
      <c r="G98" s="429">
        <v>2219.1035200000001</v>
      </c>
      <c r="H98" s="429">
        <v>2219.1035200000001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c r="T98" s="429">
        <f t="shared" si="9"/>
        <v>2219.1035200000001</v>
      </c>
    </row>
    <row r="99" spans="1:20">
      <c r="A99" s="429" t="str">
        <f t="shared" si="6"/>
        <v>KU</v>
      </c>
      <c r="B99" s="429" t="str">
        <f t="shared" si="7"/>
        <v>KY</v>
      </c>
      <c r="C99" s="429" t="str">
        <f t="shared" si="8"/>
        <v>367</v>
      </c>
      <c r="D99" s="430" t="s">
        <v>2215</v>
      </c>
      <c r="E99" s="428" t="str">
        <f t="shared" si="10"/>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c r="T99" s="429">
        <f t="shared" si="9"/>
        <v>1326.1153699999998</v>
      </c>
    </row>
    <row r="100" spans="1:20">
      <c r="A100" s="429" t="str">
        <f t="shared" si="6"/>
        <v>KU</v>
      </c>
      <c r="B100" s="429" t="str">
        <f t="shared" si="7"/>
        <v>KY</v>
      </c>
      <c r="C100" s="429" t="str">
        <f t="shared" si="8"/>
        <v>367</v>
      </c>
      <c r="D100" s="430" t="s">
        <v>1794</v>
      </c>
      <c r="E100" s="428" t="str">
        <f t="shared" si="10"/>
        <v/>
      </c>
      <c r="F100" s="429">
        <v>207081.45142</v>
      </c>
      <c r="G100" s="429">
        <v>208493.13292</v>
      </c>
      <c r="H100" s="429">
        <v>209720.03946</v>
      </c>
      <c r="I100" s="429">
        <v>211187.10399999999</v>
      </c>
      <c r="J100" s="429">
        <v>212588.08539999899</v>
      </c>
      <c r="K100" s="429">
        <v>213849.38394999999</v>
      </c>
      <c r="L100" s="429">
        <v>216531.78597</v>
      </c>
      <c r="M100" s="429">
        <v>217687.82490000001</v>
      </c>
      <c r="N100" s="429">
        <v>219787.61079999999</v>
      </c>
      <c r="O100" s="429">
        <v>221144.92001999999</v>
      </c>
      <c r="P100" s="429">
        <v>222360.29861</v>
      </c>
      <c r="Q100" s="429">
        <v>223659.16161000001</v>
      </c>
      <c r="R100" s="429">
        <v>224923.46221999999</v>
      </c>
      <c r="T100" s="429">
        <f t="shared" si="9"/>
        <v>216078.02009846145</v>
      </c>
    </row>
    <row r="101" spans="1:20">
      <c r="A101" s="429" t="str">
        <f t="shared" si="6"/>
        <v>KU</v>
      </c>
      <c r="B101" s="429" t="str">
        <f t="shared" si="7"/>
        <v>VA</v>
      </c>
      <c r="C101" s="429" t="str">
        <f t="shared" si="8"/>
        <v>367</v>
      </c>
      <c r="D101" s="430" t="s">
        <v>1795</v>
      </c>
      <c r="E101" s="428" t="str">
        <f t="shared" si="10"/>
        <v/>
      </c>
      <c r="F101" s="429">
        <v>4873.6268399999999</v>
      </c>
      <c r="G101" s="429">
        <v>4925.9931800000004</v>
      </c>
      <c r="H101" s="429">
        <v>4956.28024</v>
      </c>
      <c r="I101" s="429">
        <v>5010.5336600000001</v>
      </c>
      <c r="J101" s="429">
        <v>5071.5582199999999</v>
      </c>
      <c r="K101" s="429">
        <v>5110.5100400000001</v>
      </c>
      <c r="L101" s="429">
        <v>5171.9275399999997</v>
      </c>
      <c r="M101" s="429">
        <v>5201.4780700000001</v>
      </c>
      <c r="N101" s="429">
        <v>5220.1812</v>
      </c>
      <c r="O101" s="429">
        <v>5279.0039500000003</v>
      </c>
      <c r="P101" s="429">
        <v>5323.9393099999998</v>
      </c>
      <c r="Q101" s="429">
        <v>5375.20777</v>
      </c>
      <c r="R101" s="429">
        <v>5412.4650099999999</v>
      </c>
      <c r="T101" s="429">
        <f t="shared" si="9"/>
        <v>5148.6696176923078</v>
      </c>
    </row>
    <row r="102" spans="1:20">
      <c r="A102" s="429" t="str">
        <f t="shared" si="6"/>
        <v>KU</v>
      </c>
      <c r="B102" s="429" t="str">
        <f t="shared" si="7"/>
        <v>KY</v>
      </c>
      <c r="C102" s="429" t="str">
        <f t="shared" si="8"/>
        <v>368</v>
      </c>
      <c r="D102" s="430" t="s">
        <v>1796</v>
      </c>
      <c r="E102" s="428" t="str">
        <f t="shared" si="10"/>
        <v/>
      </c>
      <c r="F102" s="429">
        <v>312510.94673999998</v>
      </c>
      <c r="G102" s="429">
        <v>313101.38079000002</v>
      </c>
      <c r="H102" s="429">
        <v>313878.84847000003</v>
      </c>
      <c r="I102" s="429">
        <v>313894.33854000003</v>
      </c>
      <c r="J102" s="429">
        <v>314117.56180999998</v>
      </c>
      <c r="K102" s="429">
        <v>315043.36674000003</v>
      </c>
      <c r="L102" s="429">
        <v>316007.68982999999</v>
      </c>
      <c r="M102" s="429">
        <v>316831.37562000001</v>
      </c>
      <c r="N102" s="429">
        <v>317384.26266000001</v>
      </c>
      <c r="O102" s="429">
        <v>317790.24089999998</v>
      </c>
      <c r="P102" s="429">
        <v>318406.19906999997</v>
      </c>
      <c r="Q102" s="429">
        <v>319099.24517000001</v>
      </c>
      <c r="R102" s="429">
        <v>319600.67884000001</v>
      </c>
      <c r="T102" s="429">
        <f t="shared" si="9"/>
        <v>315974.31809076923</v>
      </c>
    </row>
    <row r="103" spans="1:20">
      <c r="A103" s="429" t="str">
        <f t="shared" si="6"/>
        <v>KU</v>
      </c>
      <c r="B103" s="429" t="str">
        <f t="shared" si="7"/>
        <v>TN</v>
      </c>
      <c r="C103" s="429" t="str">
        <f t="shared" si="8"/>
        <v>368</v>
      </c>
      <c r="D103" s="430" t="s">
        <v>1797</v>
      </c>
      <c r="E103" s="428" t="str">
        <f t="shared" si="10"/>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c r="T103" s="429">
        <f t="shared" si="9"/>
        <v>3.1182799999999991</v>
      </c>
    </row>
    <row r="104" spans="1:20">
      <c r="A104" s="429" t="str">
        <f t="shared" si="6"/>
        <v>KU</v>
      </c>
      <c r="B104" s="429" t="str">
        <f t="shared" si="7"/>
        <v>VA</v>
      </c>
      <c r="C104" s="429" t="str">
        <f t="shared" si="8"/>
        <v>368</v>
      </c>
      <c r="D104" s="430" t="s">
        <v>1798</v>
      </c>
      <c r="E104" s="428" t="str">
        <f t="shared" si="10"/>
        <v/>
      </c>
      <c r="F104" s="429">
        <v>11147.33337</v>
      </c>
      <c r="G104" s="429">
        <v>11154.47386</v>
      </c>
      <c r="H104" s="429">
        <v>11158.044110000001</v>
      </c>
      <c r="I104" s="429">
        <v>11164.433929999999</v>
      </c>
      <c r="J104" s="429">
        <v>11168.997219999999</v>
      </c>
      <c r="K104" s="429">
        <v>11173.85607</v>
      </c>
      <c r="L104" s="429">
        <v>11181.989610000001</v>
      </c>
      <c r="M104" s="429">
        <v>11185.559859999999</v>
      </c>
      <c r="N104" s="429">
        <v>11187.84151</v>
      </c>
      <c r="O104" s="429">
        <v>11193.6546</v>
      </c>
      <c r="P104" s="429">
        <v>11199.467689999999</v>
      </c>
      <c r="Q104" s="429">
        <v>11205.280779999999</v>
      </c>
      <c r="R104" s="429">
        <v>11207.553019999999</v>
      </c>
      <c r="T104" s="429">
        <f t="shared" si="9"/>
        <v>11179.114279230767</v>
      </c>
    </row>
    <row r="105" spans="1:20">
      <c r="A105" s="429" t="str">
        <f t="shared" si="6"/>
        <v>KU</v>
      </c>
      <c r="B105" s="429" t="str">
        <f t="shared" si="7"/>
        <v>KY</v>
      </c>
      <c r="C105" s="429" t="str">
        <f t="shared" si="8"/>
        <v>369</v>
      </c>
      <c r="D105" s="430" t="s">
        <v>1799</v>
      </c>
      <c r="E105" s="428" t="str">
        <f t="shared" si="10"/>
        <v/>
      </c>
      <c r="F105" s="429">
        <v>108650.5497</v>
      </c>
      <c r="G105" s="429">
        <v>108650.5497</v>
      </c>
      <c r="H105" s="429">
        <v>108650.5497</v>
      </c>
      <c r="I105" s="429">
        <v>108650.5497</v>
      </c>
      <c r="J105" s="429">
        <v>108650.5497</v>
      </c>
      <c r="K105" s="429">
        <v>108650.5497</v>
      </c>
      <c r="L105" s="429">
        <v>108650.5497</v>
      </c>
      <c r="M105" s="429">
        <v>108650.5497</v>
      </c>
      <c r="N105" s="429">
        <v>108706.5497</v>
      </c>
      <c r="O105" s="429">
        <v>108706.5497</v>
      </c>
      <c r="P105" s="429">
        <v>108706.5497</v>
      </c>
      <c r="Q105" s="429">
        <v>108706.5497</v>
      </c>
      <c r="R105" s="429">
        <v>108706.5497</v>
      </c>
      <c r="T105" s="429">
        <f t="shared" si="9"/>
        <v>108672.08816153849</v>
      </c>
    </row>
    <row r="106" spans="1:20">
      <c r="A106" s="429" t="str">
        <f t="shared" si="6"/>
        <v>KU</v>
      </c>
      <c r="B106" s="429" t="str">
        <f t="shared" si="7"/>
        <v>TN</v>
      </c>
      <c r="C106" s="429" t="str">
        <f t="shared" si="8"/>
        <v>369</v>
      </c>
      <c r="D106" s="430" t="s">
        <v>1800</v>
      </c>
      <c r="E106" s="428" t="str">
        <f t="shared" si="10"/>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c r="T106" s="429">
        <f t="shared" si="9"/>
        <v>0.25462000000000001</v>
      </c>
    </row>
    <row r="107" spans="1:20">
      <c r="A107" s="429" t="str">
        <f t="shared" si="6"/>
        <v>KU</v>
      </c>
      <c r="B107" s="429" t="str">
        <f t="shared" si="7"/>
        <v>VA</v>
      </c>
      <c r="C107" s="429" t="str">
        <f t="shared" si="8"/>
        <v>369</v>
      </c>
      <c r="D107" s="430" t="s">
        <v>1801</v>
      </c>
      <c r="E107" s="428" t="str">
        <f t="shared" si="10"/>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c r="T107" s="429">
        <f t="shared" si="9"/>
        <v>5852.9475299999995</v>
      </c>
    </row>
    <row r="108" spans="1:20">
      <c r="A108" s="429" t="str">
        <f t="shared" si="6"/>
        <v>KU</v>
      </c>
      <c r="B108" s="429" t="str">
        <f t="shared" si="7"/>
        <v>KY</v>
      </c>
      <c r="C108" s="429" t="str">
        <f t="shared" si="8"/>
        <v>370</v>
      </c>
      <c r="D108" s="430" t="s">
        <v>1802</v>
      </c>
      <c r="E108" s="428" t="str">
        <f t="shared" si="10"/>
        <v/>
      </c>
      <c r="F108" s="429">
        <v>76443.243269999904</v>
      </c>
      <c r="G108" s="429">
        <v>76591.332759999903</v>
      </c>
      <c r="H108" s="429">
        <v>76734.567819999895</v>
      </c>
      <c r="I108" s="429">
        <v>76873.699039999905</v>
      </c>
      <c r="J108" s="429">
        <v>77020.566519999906</v>
      </c>
      <c r="K108" s="429">
        <v>77119.759049999906</v>
      </c>
      <c r="L108" s="429">
        <v>77258.451159999895</v>
      </c>
      <c r="M108" s="429">
        <v>77408.385899999907</v>
      </c>
      <c r="N108" s="429">
        <v>78273.118319999907</v>
      </c>
      <c r="O108" s="429">
        <v>78336.648309999902</v>
      </c>
      <c r="P108" s="429">
        <v>78571.407949999906</v>
      </c>
      <c r="Q108" s="429">
        <v>78674.007359999901</v>
      </c>
      <c r="R108" s="429">
        <v>78822.650509999905</v>
      </c>
      <c r="T108" s="429">
        <f t="shared" si="9"/>
        <v>77548.295228461444</v>
      </c>
    </row>
    <row r="109" spans="1:20">
      <c r="A109" s="429" t="str">
        <f t="shared" si="6"/>
        <v>KU</v>
      </c>
      <c r="B109" s="429" t="str">
        <f t="shared" si="7"/>
        <v>KY</v>
      </c>
      <c r="C109" s="429" t="str">
        <f t="shared" si="8"/>
        <v>370</v>
      </c>
      <c r="D109" s="430" t="s">
        <v>2508</v>
      </c>
      <c r="E109" s="428" t="str">
        <f t="shared" si="10"/>
        <v>DSM</v>
      </c>
      <c r="F109" s="429">
        <v>1331.3335999999999</v>
      </c>
      <c r="G109" s="429">
        <v>1331.3335999999999</v>
      </c>
      <c r="H109" s="429">
        <v>1331.3335999999999</v>
      </c>
      <c r="I109" s="429">
        <v>1331.3335999999999</v>
      </c>
      <c r="J109" s="429">
        <v>1331.3335999999999</v>
      </c>
      <c r="K109" s="429">
        <v>1331.3335999999999</v>
      </c>
      <c r="L109" s="429">
        <v>1331.3335999999999</v>
      </c>
      <c r="M109" s="429">
        <v>1331.3335999999999</v>
      </c>
      <c r="N109" s="429">
        <v>1331.3335999999999</v>
      </c>
      <c r="O109" s="429">
        <v>1331.3335999999999</v>
      </c>
      <c r="P109" s="429">
        <v>1331.3335999999999</v>
      </c>
      <c r="Q109" s="429">
        <v>1331.3335999999999</v>
      </c>
      <c r="R109" s="429">
        <v>1331.3335999999999</v>
      </c>
      <c r="T109" s="429">
        <f t="shared" si="9"/>
        <v>1331.3335999999997</v>
      </c>
    </row>
    <row r="110" spans="1:20">
      <c r="A110" s="429" t="str">
        <f t="shared" si="6"/>
        <v>KU</v>
      </c>
      <c r="B110" s="429" t="str">
        <f t="shared" si="7"/>
        <v>TN</v>
      </c>
      <c r="C110" s="429" t="str">
        <f t="shared" si="8"/>
        <v>370</v>
      </c>
      <c r="D110" s="430" t="s">
        <v>1803</v>
      </c>
      <c r="E110" s="428" t="str">
        <f t="shared" si="10"/>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c r="T110" s="429">
        <f t="shared" si="9"/>
        <v>4.1992099999999999</v>
      </c>
    </row>
    <row r="111" spans="1:20">
      <c r="A111" s="429" t="str">
        <f t="shared" si="6"/>
        <v>KU</v>
      </c>
      <c r="B111" s="429" t="str">
        <f t="shared" si="7"/>
        <v>VA</v>
      </c>
      <c r="C111" s="429" t="str">
        <f t="shared" si="8"/>
        <v>370</v>
      </c>
      <c r="D111" s="430" t="s">
        <v>1804</v>
      </c>
      <c r="E111" s="428" t="str">
        <f t="shared" si="10"/>
        <v/>
      </c>
      <c r="F111" s="429">
        <v>3783.5452</v>
      </c>
      <c r="G111" s="429">
        <v>3783.5452</v>
      </c>
      <c r="H111" s="429">
        <v>3783.5452</v>
      </c>
      <c r="I111" s="429">
        <v>3783.5452</v>
      </c>
      <c r="J111" s="429">
        <v>3783.5452</v>
      </c>
      <c r="K111" s="429">
        <v>3783.5452</v>
      </c>
      <c r="L111" s="429">
        <v>3783.5452</v>
      </c>
      <c r="M111" s="429">
        <v>3783.5452</v>
      </c>
      <c r="N111" s="429">
        <v>3783.5452</v>
      </c>
      <c r="O111" s="429">
        <v>3783.5452</v>
      </c>
      <c r="P111" s="429">
        <v>3783.5452</v>
      </c>
      <c r="Q111" s="429">
        <v>3783.5452</v>
      </c>
      <c r="R111" s="429">
        <v>3783.5452</v>
      </c>
      <c r="T111" s="429">
        <f t="shared" si="9"/>
        <v>3783.5452</v>
      </c>
    </row>
    <row r="112" spans="1:20">
      <c r="A112" s="429" t="str">
        <f t="shared" si="6"/>
        <v>KU</v>
      </c>
      <c r="B112" s="429" t="str">
        <f t="shared" si="7"/>
        <v>KY</v>
      </c>
      <c r="C112" s="429" t="str">
        <f t="shared" si="8"/>
        <v>371</v>
      </c>
      <c r="D112" s="430" t="s">
        <v>1805</v>
      </c>
      <c r="E112" s="428" t="str">
        <f t="shared" si="10"/>
        <v/>
      </c>
      <c r="F112" s="429">
        <v>8.3373600000000003</v>
      </c>
      <c r="G112" s="429">
        <v>8.3373600000000003</v>
      </c>
      <c r="H112" s="429">
        <v>8.3373600000000003</v>
      </c>
      <c r="I112" s="429">
        <v>8.3373600000000003</v>
      </c>
      <c r="J112" s="429">
        <v>8.3373600000000003</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c r="T112" s="429">
        <f t="shared" si="9"/>
        <v>8.3373600000000021</v>
      </c>
    </row>
    <row r="113" spans="1:20">
      <c r="A113" s="429" t="str">
        <f t="shared" si="6"/>
        <v>KU</v>
      </c>
      <c r="B113" s="429" t="str">
        <f t="shared" si="7"/>
        <v>KY</v>
      </c>
      <c r="C113" s="429" t="str">
        <f t="shared" si="8"/>
        <v>371</v>
      </c>
      <c r="D113" s="430" t="s">
        <v>2674</v>
      </c>
      <c r="E113" s="428" t="str">
        <f t="shared" si="10"/>
        <v/>
      </c>
      <c r="F113" s="429">
        <v>140.481009999999</v>
      </c>
      <c r="G113" s="429">
        <v>140.481009999999</v>
      </c>
      <c r="H113" s="429">
        <v>140.481009999999</v>
      </c>
      <c r="I113" s="429">
        <v>140.481009999999</v>
      </c>
      <c r="J113" s="429">
        <v>140.481009999999</v>
      </c>
      <c r="K113" s="429">
        <v>140.481009999999</v>
      </c>
      <c r="L113" s="429">
        <v>140.481009999999</v>
      </c>
      <c r="M113" s="429">
        <v>140.481009999999</v>
      </c>
      <c r="N113" s="429">
        <v>140.481009999999</v>
      </c>
      <c r="O113" s="429">
        <v>140.481009999999</v>
      </c>
      <c r="P113" s="429">
        <v>140.481009999999</v>
      </c>
      <c r="Q113" s="429">
        <v>140.481009999999</v>
      </c>
      <c r="R113" s="429">
        <v>140.481009999999</v>
      </c>
      <c r="T113" s="429">
        <f t="shared" ref="T113" si="11">SUM(F113:R113)/13</f>
        <v>140.48100999999903</v>
      </c>
    </row>
    <row r="114" spans="1:20">
      <c r="A114" s="429" t="str">
        <f t="shared" si="6"/>
        <v>KU</v>
      </c>
      <c r="B114" s="429" t="str">
        <f t="shared" si="7"/>
        <v>KY</v>
      </c>
      <c r="C114" s="429" t="str">
        <f t="shared" si="8"/>
        <v>373</v>
      </c>
      <c r="D114" s="430" t="s">
        <v>1806</v>
      </c>
      <c r="E114" s="428" t="str">
        <f t="shared" si="10"/>
        <v/>
      </c>
      <c r="F114" s="429">
        <v>125563.55303</v>
      </c>
      <c r="G114" s="429">
        <v>125795.02342</v>
      </c>
      <c r="H114" s="429">
        <v>126278.36506</v>
      </c>
      <c r="I114" s="429">
        <v>126063.06826</v>
      </c>
      <c r="J114" s="429">
        <v>126008.57730999999</v>
      </c>
      <c r="K114" s="429">
        <v>126579.22517000001</v>
      </c>
      <c r="L114" s="429">
        <v>127017.0849</v>
      </c>
      <c r="M114" s="429">
        <v>127540.3297</v>
      </c>
      <c r="N114" s="429">
        <v>127711.95617999999</v>
      </c>
      <c r="O114" s="429">
        <v>128358.54558000001</v>
      </c>
      <c r="P114" s="429">
        <v>128670.09109</v>
      </c>
      <c r="Q114" s="429">
        <v>129106.26351</v>
      </c>
      <c r="R114" s="429">
        <v>129439.66073</v>
      </c>
      <c r="T114" s="429">
        <f t="shared" si="9"/>
        <v>127240.90338</v>
      </c>
    </row>
    <row r="115" spans="1:20">
      <c r="A115" s="429" t="str">
        <f t="shared" si="6"/>
        <v>KU</v>
      </c>
      <c r="B115" s="429" t="str">
        <f t="shared" si="7"/>
        <v>VA</v>
      </c>
      <c r="C115" s="429" t="str">
        <f t="shared" si="8"/>
        <v>373</v>
      </c>
      <c r="D115" s="430" t="s">
        <v>1807</v>
      </c>
      <c r="E115" s="428" t="str">
        <f t="shared" si="10"/>
        <v/>
      </c>
      <c r="F115" s="429">
        <v>3896.9623299999998</v>
      </c>
      <c r="G115" s="429">
        <v>3916.1021599999999</v>
      </c>
      <c r="H115" s="429">
        <v>3932.9603400000001</v>
      </c>
      <c r="I115" s="429">
        <v>3953.38877</v>
      </c>
      <c r="J115" s="429">
        <v>3974.81025</v>
      </c>
      <c r="K115" s="429">
        <v>3993.9500899999998</v>
      </c>
      <c r="L115" s="429">
        <v>4009.5196700000001</v>
      </c>
      <c r="M115" s="429">
        <v>4020.5259599999999</v>
      </c>
      <c r="N115" s="429">
        <v>4030.2436600000001</v>
      </c>
      <c r="O115" s="429">
        <v>4051.4887199999998</v>
      </c>
      <c r="P115" s="429">
        <v>4071.4651899999999</v>
      </c>
      <c r="Q115" s="429">
        <v>4092.7102599999998</v>
      </c>
      <c r="R115" s="429">
        <v>4109.14588</v>
      </c>
      <c r="T115" s="429">
        <f t="shared" si="9"/>
        <v>4004.0979446153842</v>
      </c>
    </row>
    <row r="116" spans="1:20">
      <c r="A116" s="429" t="str">
        <f t="shared" si="6"/>
        <v>KU</v>
      </c>
      <c r="B116" s="429" t="str">
        <f t="shared" si="7"/>
        <v>KY</v>
      </c>
      <c r="C116" s="429" t="str">
        <f t="shared" si="8"/>
        <v>374</v>
      </c>
      <c r="D116" s="430" t="s">
        <v>1808</v>
      </c>
      <c r="E116" s="428" t="str">
        <f t="shared" si="10"/>
        <v>ARO</v>
      </c>
      <c r="F116" s="429">
        <v>658.28719000000001</v>
      </c>
      <c r="G116" s="429">
        <v>658.28719000000001</v>
      </c>
      <c r="H116" s="429">
        <v>658.28719000000001</v>
      </c>
      <c r="I116" s="429">
        <v>658.28719000000001</v>
      </c>
      <c r="J116" s="429">
        <v>658.28719000000001</v>
      </c>
      <c r="K116" s="429">
        <v>658.28719000000001</v>
      </c>
      <c r="L116" s="429">
        <v>658.28719000000001</v>
      </c>
      <c r="M116" s="429">
        <v>658.28719000000001</v>
      </c>
      <c r="N116" s="429">
        <v>658.28719000000001</v>
      </c>
      <c r="O116" s="429">
        <v>658.28719000000001</v>
      </c>
      <c r="P116" s="429">
        <v>658.28719000000001</v>
      </c>
      <c r="Q116" s="429">
        <v>658.28719000000001</v>
      </c>
      <c r="R116" s="429">
        <v>658.28719000000001</v>
      </c>
      <c r="T116" s="429">
        <f t="shared" si="9"/>
        <v>658.2871899999999</v>
      </c>
    </row>
    <row r="117" spans="1:20">
      <c r="A117" s="429" t="str">
        <f t="shared" si="6"/>
        <v>KU</v>
      </c>
      <c r="B117" s="429" t="str">
        <f t="shared" si="7"/>
        <v>KY</v>
      </c>
      <c r="C117" s="429" t="str">
        <f t="shared" si="8"/>
        <v>389</v>
      </c>
      <c r="D117" s="430" t="s">
        <v>2509</v>
      </c>
      <c r="E117" s="428" t="str">
        <f t="shared" si="10"/>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c r="T117" s="429">
        <f t="shared" si="9"/>
        <v>131.95631</v>
      </c>
    </row>
    <row r="118" spans="1:20">
      <c r="A118" s="429" t="str">
        <f t="shared" si="6"/>
        <v>KU</v>
      </c>
      <c r="B118" s="429" t="str">
        <f t="shared" si="7"/>
        <v>KY</v>
      </c>
      <c r="C118" s="429" t="str">
        <f t="shared" si="8"/>
        <v>389</v>
      </c>
      <c r="D118" s="430" t="s">
        <v>1809</v>
      </c>
      <c r="E118" s="428" t="str">
        <f t="shared" si="10"/>
        <v/>
      </c>
      <c r="F118" s="429">
        <v>3129.2581999999902</v>
      </c>
      <c r="G118" s="429">
        <v>3129.2581999999902</v>
      </c>
      <c r="H118" s="429">
        <v>3129.2581999999902</v>
      </c>
      <c r="I118" s="429">
        <v>3129.2581999999902</v>
      </c>
      <c r="J118" s="429">
        <v>3129.2581999999902</v>
      </c>
      <c r="K118" s="429">
        <v>3129.2581999999902</v>
      </c>
      <c r="L118" s="429">
        <v>3129.2581999999902</v>
      </c>
      <c r="M118" s="429">
        <v>3772.4191299999902</v>
      </c>
      <c r="N118" s="429">
        <v>3792.4196699999902</v>
      </c>
      <c r="O118" s="429">
        <v>3792.4196699999902</v>
      </c>
      <c r="P118" s="429">
        <v>3792.4196699999902</v>
      </c>
      <c r="Q118" s="429">
        <v>3792.4196699999902</v>
      </c>
      <c r="R118" s="429">
        <v>3792.4196699999902</v>
      </c>
      <c r="T118" s="429">
        <f t="shared" si="9"/>
        <v>3433.794221538451</v>
      </c>
    </row>
    <row r="119" spans="1:20">
      <c r="A119" s="429" t="str">
        <f t="shared" si="6"/>
        <v>KU</v>
      </c>
      <c r="B119" s="429" t="str">
        <f t="shared" si="7"/>
        <v>VA</v>
      </c>
      <c r="C119" s="429" t="str">
        <f t="shared" si="8"/>
        <v>389</v>
      </c>
      <c r="D119" s="430" t="s">
        <v>1810</v>
      </c>
      <c r="E119" s="428" t="str">
        <f t="shared" si="10"/>
        <v/>
      </c>
      <c r="F119" s="429">
        <v>991.91619000000003</v>
      </c>
      <c r="G119" s="429">
        <v>991.91619000000003</v>
      </c>
      <c r="H119" s="429">
        <v>991.91619000000003</v>
      </c>
      <c r="I119" s="429">
        <v>991.91619000000003</v>
      </c>
      <c r="J119" s="429">
        <v>991.91619000000003</v>
      </c>
      <c r="K119" s="429">
        <v>991.91619000000003</v>
      </c>
      <c r="L119" s="429">
        <v>991.91619000000003</v>
      </c>
      <c r="M119" s="429">
        <v>991.91619000000003</v>
      </c>
      <c r="N119" s="429">
        <v>991.91619000000003</v>
      </c>
      <c r="O119" s="429">
        <v>991.91619000000003</v>
      </c>
      <c r="P119" s="429">
        <v>991.91619000000003</v>
      </c>
      <c r="Q119" s="429">
        <v>991.91619000000003</v>
      </c>
      <c r="R119" s="429">
        <v>991.91619000000003</v>
      </c>
      <c r="T119" s="429">
        <f t="shared" si="9"/>
        <v>991.91619000000003</v>
      </c>
    </row>
    <row r="120" spans="1:20">
      <c r="A120" s="429" t="str">
        <f t="shared" si="6"/>
        <v>KU</v>
      </c>
      <c r="B120" s="429" t="str">
        <f t="shared" si="7"/>
        <v>KY</v>
      </c>
      <c r="C120" s="429" t="str">
        <f t="shared" si="8"/>
        <v>390</v>
      </c>
      <c r="D120" s="430" t="s">
        <v>1811</v>
      </c>
      <c r="E120" s="428" t="str">
        <f t="shared" si="10"/>
        <v/>
      </c>
      <c r="F120" s="429">
        <v>3099.49935</v>
      </c>
      <c r="G120" s="429">
        <v>3099.49935</v>
      </c>
      <c r="H120" s="429">
        <v>3099.49935</v>
      </c>
      <c r="I120" s="429">
        <v>3099.49935</v>
      </c>
      <c r="J120" s="429">
        <v>3099.49935</v>
      </c>
      <c r="K120" s="429">
        <v>3099.49935</v>
      </c>
      <c r="L120" s="429">
        <v>3099.49935</v>
      </c>
      <c r="M120" s="429">
        <v>3099.49935</v>
      </c>
      <c r="N120" s="429">
        <v>3099.49935</v>
      </c>
      <c r="O120" s="429">
        <v>3099.49935</v>
      </c>
      <c r="P120" s="429">
        <v>3099.49935</v>
      </c>
      <c r="Q120" s="429">
        <v>3099.49935</v>
      </c>
      <c r="R120" s="429">
        <v>3099.49935</v>
      </c>
      <c r="T120" s="429">
        <f t="shared" si="9"/>
        <v>3099.4993499999991</v>
      </c>
    </row>
    <row r="121" spans="1:20">
      <c r="A121" s="429" t="str">
        <f t="shared" si="6"/>
        <v>KU</v>
      </c>
      <c r="B121" s="429" t="str">
        <f t="shared" si="7"/>
        <v>KY</v>
      </c>
      <c r="C121" s="429" t="str">
        <f t="shared" si="8"/>
        <v>390</v>
      </c>
      <c r="D121" s="430" t="s">
        <v>1812</v>
      </c>
      <c r="E121" s="428" t="str">
        <f t="shared" si="10"/>
        <v/>
      </c>
      <c r="F121" s="429">
        <v>66131.865019999997</v>
      </c>
      <c r="G121" s="429">
        <v>66160.550289999999</v>
      </c>
      <c r="H121" s="429">
        <v>73796.732629999999</v>
      </c>
      <c r="I121" s="429">
        <v>73819.86563</v>
      </c>
      <c r="J121" s="429">
        <v>73993.404829999999</v>
      </c>
      <c r="K121" s="429">
        <v>74418.129490000007</v>
      </c>
      <c r="L121" s="429">
        <v>75160.421740000005</v>
      </c>
      <c r="M121" s="429">
        <v>76719.780620000005</v>
      </c>
      <c r="N121" s="429">
        <v>78691.356599999999</v>
      </c>
      <c r="O121" s="429">
        <v>78714.651599999997</v>
      </c>
      <c r="P121" s="429">
        <v>78732.260599999994</v>
      </c>
      <c r="Q121" s="429">
        <v>78750.636599999998</v>
      </c>
      <c r="R121" s="429">
        <v>78765.963600000003</v>
      </c>
      <c r="T121" s="429">
        <f t="shared" si="9"/>
        <v>74911.970711538466</v>
      </c>
    </row>
    <row r="122" spans="1:20">
      <c r="A122" s="429" t="str">
        <f t="shared" si="6"/>
        <v>KU</v>
      </c>
      <c r="B122" s="429" t="str">
        <f t="shared" si="7"/>
        <v>VA</v>
      </c>
      <c r="C122" s="429" t="str">
        <f t="shared" si="8"/>
        <v>390</v>
      </c>
      <c r="D122" s="430" t="s">
        <v>1813</v>
      </c>
      <c r="E122" s="428" t="str">
        <f t="shared" si="10"/>
        <v/>
      </c>
      <c r="F122" s="429">
        <v>1163.2443599999999</v>
      </c>
      <c r="G122" s="429">
        <v>1385.1404499999901</v>
      </c>
      <c r="H122" s="429">
        <v>1385.1404499999901</v>
      </c>
      <c r="I122" s="429">
        <v>6049.8499000000002</v>
      </c>
      <c r="J122" s="429">
        <v>6079.85394</v>
      </c>
      <c r="K122" s="429">
        <v>6079.85394</v>
      </c>
      <c r="L122" s="429">
        <v>6079.85394</v>
      </c>
      <c r="M122" s="429">
        <v>6079.85394</v>
      </c>
      <c r="N122" s="429">
        <v>6079.85394</v>
      </c>
      <c r="O122" s="429">
        <v>6079.85394</v>
      </c>
      <c r="P122" s="429">
        <v>6079.85394</v>
      </c>
      <c r="Q122" s="429">
        <v>6079.85394</v>
      </c>
      <c r="R122" s="429">
        <v>6079.85394</v>
      </c>
      <c r="T122" s="429">
        <f t="shared" si="9"/>
        <v>4977.0815861538449</v>
      </c>
    </row>
    <row r="123" spans="1:20">
      <c r="A123" s="429" t="str">
        <f t="shared" si="6"/>
        <v>KU</v>
      </c>
      <c r="B123" s="429" t="str">
        <f t="shared" si="7"/>
        <v>KY</v>
      </c>
      <c r="C123" s="429" t="str">
        <f t="shared" si="8"/>
        <v>391</v>
      </c>
      <c r="D123" s="430" t="s">
        <v>1814</v>
      </c>
      <c r="E123" s="428" t="str">
        <f t="shared" si="10"/>
        <v/>
      </c>
      <c r="F123" s="429">
        <v>5871.7910000000002</v>
      </c>
      <c r="G123" s="429">
        <v>5871.7910000000002</v>
      </c>
      <c r="H123" s="429">
        <v>5871.7910000000002</v>
      </c>
      <c r="I123" s="429">
        <v>5871.7910000000002</v>
      </c>
      <c r="J123" s="429">
        <v>5871.7910000000002</v>
      </c>
      <c r="K123" s="429">
        <v>5860.8247899999997</v>
      </c>
      <c r="L123" s="429">
        <v>5108.1598099999901</v>
      </c>
      <c r="M123" s="429">
        <v>6383.5221599999904</v>
      </c>
      <c r="N123" s="429">
        <v>6474.5440799999897</v>
      </c>
      <c r="O123" s="429">
        <v>6452.6115299999901</v>
      </c>
      <c r="P123" s="429">
        <v>6452.6115299999901</v>
      </c>
      <c r="Q123" s="429">
        <v>6452.6115299999901</v>
      </c>
      <c r="R123" s="429">
        <v>6452.6115299999901</v>
      </c>
      <c r="T123" s="429">
        <f t="shared" si="9"/>
        <v>6076.6501507692265</v>
      </c>
    </row>
    <row r="124" spans="1:20">
      <c r="A124" s="429" t="str">
        <f t="shared" si="6"/>
        <v>KU</v>
      </c>
      <c r="B124" s="429" t="str">
        <f t="shared" si="7"/>
        <v>KY</v>
      </c>
      <c r="C124" s="429" t="str">
        <f t="shared" si="8"/>
        <v>391</v>
      </c>
      <c r="D124" s="430" t="s">
        <v>1815</v>
      </c>
      <c r="E124" s="428" t="str">
        <f t="shared" si="10"/>
        <v/>
      </c>
      <c r="F124" s="429">
        <v>39670.668199999898</v>
      </c>
      <c r="G124" s="429">
        <v>38242.4829399999</v>
      </c>
      <c r="H124" s="429">
        <v>37627.948389999998</v>
      </c>
      <c r="I124" s="429">
        <v>37586.88205</v>
      </c>
      <c r="J124" s="429">
        <v>37360.201229999999</v>
      </c>
      <c r="K124" s="429">
        <v>37786.948550000001</v>
      </c>
      <c r="L124" s="429">
        <v>37334.589229999998</v>
      </c>
      <c r="M124" s="429">
        <v>37959.413209999999</v>
      </c>
      <c r="N124" s="429">
        <v>38838.953240000003</v>
      </c>
      <c r="O124" s="429">
        <v>38092.120040000002</v>
      </c>
      <c r="P124" s="429">
        <v>36405.204530000003</v>
      </c>
      <c r="Q124" s="429">
        <v>36278.90307</v>
      </c>
      <c r="R124" s="429">
        <v>36356.870419999999</v>
      </c>
      <c r="T124" s="429">
        <f t="shared" si="9"/>
        <v>37657.014238461525</v>
      </c>
    </row>
    <row r="125" spans="1:20">
      <c r="A125" s="429" t="str">
        <f t="shared" si="6"/>
        <v>KU</v>
      </c>
      <c r="B125" s="429" t="str">
        <f t="shared" si="7"/>
        <v>KY</v>
      </c>
      <c r="C125" s="429" t="str">
        <f t="shared" si="8"/>
        <v>392</v>
      </c>
      <c r="D125" s="430" t="s">
        <v>1817</v>
      </c>
      <c r="E125" s="428" t="str">
        <f t="shared" si="10"/>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c r="T125" s="429">
        <f t="shared" si="9"/>
        <v>19.40382</v>
      </c>
    </row>
    <row r="126" spans="1:20">
      <c r="A126" s="429" t="str">
        <f t="shared" si="6"/>
        <v>KU</v>
      </c>
      <c r="B126" s="429" t="str">
        <f t="shared" si="7"/>
        <v>KY</v>
      </c>
      <c r="C126" s="429" t="str">
        <f t="shared" si="8"/>
        <v>392</v>
      </c>
      <c r="D126" s="430" t="s">
        <v>1818</v>
      </c>
      <c r="E126" s="428" t="str">
        <f t="shared" si="10"/>
        <v/>
      </c>
      <c r="F126" s="429">
        <v>7503.92148</v>
      </c>
      <c r="G126" s="429">
        <v>7503.92148</v>
      </c>
      <c r="H126" s="429">
        <v>7503.92148</v>
      </c>
      <c r="I126" s="429">
        <v>7503.92148</v>
      </c>
      <c r="J126" s="429">
        <v>7503.92148</v>
      </c>
      <c r="K126" s="429">
        <v>7503.92148</v>
      </c>
      <c r="L126" s="429">
        <v>7503.92148</v>
      </c>
      <c r="M126" s="429">
        <v>7503.92148</v>
      </c>
      <c r="N126" s="429">
        <v>7503.92148</v>
      </c>
      <c r="O126" s="429">
        <v>7503.92148</v>
      </c>
      <c r="P126" s="429">
        <v>7503.92148</v>
      </c>
      <c r="Q126" s="429">
        <v>7503.92148</v>
      </c>
      <c r="R126" s="429">
        <v>7503.92148</v>
      </c>
      <c r="T126" s="429">
        <f t="shared" si="9"/>
        <v>7503.9214800000009</v>
      </c>
    </row>
    <row r="127" spans="1:20">
      <c r="A127" s="429" t="str">
        <f t="shared" si="6"/>
        <v>KU</v>
      </c>
      <c r="B127" s="429" t="str">
        <f t="shared" si="7"/>
        <v>VA</v>
      </c>
      <c r="C127" s="429" t="str">
        <f t="shared" si="8"/>
        <v>392</v>
      </c>
      <c r="D127" s="430" t="s">
        <v>2510</v>
      </c>
      <c r="E127" s="428" t="str">
        <f t="shared" si="10"/>
        <v/>
      </c>
      <c r="F127" s="429">
        <v>14.946400000000001</v>
      </c>
      <c r="G127" s="429">
        <v>14.946400000000001</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c r="T127" s="429">
        <f t="shared" si="9"/>
        <v>14.946400000000002</v>
      </c>
    </row>
    <row r="128" spans="1:20">
      <c r="A128" s="429" t="str">
        <f t="shared" si="6"/>
        <v>KU</v>
      </c>
      <c r="B128" s="429" t="str">
        <f t="shared" si="7"/>
        <v>KY</v>
      </c>
      <c r="C128" s="429" t="str">
        <f t="shared" si="8"/>
        <v>393</v>
      </c>
      <c r="D128" s="430" t="s">
        <v>1819</v>
      </c>
      <c r="E128" s="428" t="str">
        <f t="shared" si="10"/>
        <v/>
      </c>
      <c r="F128" s="429">
        <v>932.12544000000003</v>
      </c>
      <c r="G128" s="429">
        <v>919.07776000000001</v>
      </c>
      <c r="H128" s="429">
        <v>919.07776000000001</v>
      </c>
      <c r="I128" s="429">
        <v>919.07776000000001</v>
      </c>
      <c r="J128" s="429">
        <v>917.47927000000004</v>
      </c>
      <c r="K128" s="429">
        <v>910.95911999999998</v>
      </c>
      <c r="L128" s="429">
        <v>900.28462000000002</v>
      </c>
      <c r="M128" s="429">
        <v>900.28462000000002</v>
      </c>
      <c r="N128" s="429">
        <v>900.28462000000002</v>
      </c>
      <c r="O128" s="429">
        <v>900.28462000000002</v>
      </c>
      <c r="P128" s="429">
        <v>900.28462000000002</v>
      </c>
      <c r="Q128" s="429">
        <v>900.28462000000002</v>
      </c>
      <c r="R128" s="429">
        <v>900.28462000000002</v>
      </c>
      <c r="T128" s="429">
        <f t="shared" si="9"/>
        <v>909.21457307692322</v>
      </c>
    </row>
    <row r="129" spans="1:20">
      <c r="A129" s="429" t="str">
        <f t="shared" si="6"/>
        <v>KU</v>
      </c>
      <c r="B129" s="429" t="str">
        <f t="shared" si="7"/>
        <v>VA</v>
      </c>
      <c r="C129" s="429" t="str">
        <f t="shared" si="8"/>
        <v>393</v>
      </c>
      <c r="D129" s="430" t="s">
        <v>1820</v>
      </c>
      <c r="E129" s="428" t="str">
        <f t="shared" si="10"/>
        <v/>
      </c>
      <c r="F129" s="429">
        <v>0.87655000000000005</v>
      </c>
      <c r="G129" s="429">
        <v>0.87655000000000005</v>
      </c>
      <c r="H129" s="429">
        <v>0.87655000000000005</v>
      </c>
      <c r="I129" s="429">
        <v>0.87655000000000005</v>
      </c>
      <c r="J129" s="429">
        <v>0.87655000000000005</v>
      </c>
      <c r="K129" s="429">
        <v>0.87655000000000005</v>
      </c>
      <c r="L129" s="429">
        <v>0.87655000000000005</v>
      </c>
      <c r="M129" s="429">
        <v>0.87655000000000005</v>
      </c>
      <c r="N129" s="429">
        <v>0.87655000000000005</v>
      </c>
      <c r="O129" s="429">
        <v>0.87655000000000005</v>
      </c>
      <c r="P129" s="429">
        <v>0.87655000000000005</v>
      </c>
      <c r="Q129" s="429">
        <v>0.87655000000000005</v>
      </c>
      <c r="R129" s="429">
        <v>0.87655000000000005</v>
      </c>
      <c r="T129" s="429">
        <f t="shared" si="9"/>
        <v>0.87655000000000005</v>
      </c>
    </row>
    <row r="130" spans="1:20">
      <c r="A130" s="429" t="str">
        <f t="shared" si="6"/>
        <v>KU</v>
      </c>
      <c r="B130" s="429" t="str">
        <f t="shared" si="7"/>
        <v>KY</v>
      </c>
      <c r="C130" s="429" t="str">
        <f t="shared" si="8"/>
        <v>394</v>
      </c>
      <c r="D130" s="430" t="s">
        <v>1821</v>
      </c>
      <c r="E130" s="428" t="str">
        <f t="shared" si="10"/>
        <v/>
      </c>
      <c r="F130" s="429">
        <v>15011.14681</v>
      </c>
      <c r="G130" s="429">
        <v>15276.00922</v>
      </c>
      <c r="H130" s="429">
        <v>15708.5906</v>
      </c>
      <c r="I130" s="429">
        <v>15778.861559999999</v>
      </c>
      <c r="J130" s="429">
        <v>15926.21492</v>
      </c>
      <c r="K130" s="429">
        <v>16611.852289999999</v>
      </c>
      <c r="L130" s="429">
        <v>16623.07906</v>
      </c>
      <c r="M130" s="429">
        <v>16638.672600000002</v>
      </c>
      <c r="N130" s="429">
        <v>16769.358670000001</v>
      </c>
      <c r="O130" s="429">
        <v>16769.643319999999</v>
      </c>
      <c r="P130" s="429">
        <v>16786.515230000001</v>
      </c>
      <c r="Q130" s="429">
        <v>17022.21488</v>
      </c>
      <c r="R130" s="429">
        <v>17341.346079999999</v>
      </c>
      <c r="T130" s="429">
        <f t="shared" si="9"/>
        <v>16327.961941538459</v>
      </c>
    </row>
    <row r="131" spans="1:20">
      <c r="A131" s="429" t="str">
        <f t="shared" si="6"/>
        <v>KU</v>
      </c>
      <c r="B131" s="429" t="str">
        <f t="shared" si="7"/>
        <v>VA</v>
      </c>
      <c r="C131" s="429" t="str">
        <f t="shared" si="8"/>
        <v>394</v>
      </c>
      <c r="D131" s="430" t="s">
        <v>1822</v>
      </c>
      <c r="E131" s="428" t="str">
        <f t="shared" si="10"/>
        <v/>
      </c>
      <c r="F131" s="429">
        <v>686.93649000000005</v>
      </c>
      <c r="G131" s="429">
        <v>686.93649000000005</v>
      </c>
      <c r="H131" s="429">
        <v>701.11108999999999</v>
      </c>
      <c r="I131" s="429">
        <v>701.11108999999999</v>
      </c>
      <c r="J131" s="429">
        <v>708.56682999999998</v>
      </c>
      <c r="K131" s="429">
        <v>708.56682999999998</v>
      </c>
      <c r="L131" s="429">
        <v>708.56682999999998</v>
      </c>
      <c r="M131" s="429">
        <v>708.56682999999998</v>
      </c>
      <c r="N131" s="429">
        <v>702.28949</v>
      </c>
      <c r="O131" s="429">
        <v>702.28949</v>
      </c>
      <c r="P131" s="429">
        <v>702.28949</v>
      </c>
      <c r="Q131" s="429">
        <v>714.97549000000004</v>
      </c>
      <c r="R131" s="429">
        <v>714.97549000000004</v>
      </c>
      <c r="T131" s="429">
        <f t="shared" si="9"/>
        <v>703.62937923076925</v>
      </c>
    </row>
    <row r="132" spans="1:20">
      <c r="A132" s="429" t="str">
        <f t="shared" si="6"/>
        <v>KU</v>
      </c>
      <c r="B132" s="429" t="str">
        <f t="shared" si="7"/>
        <v>KY</v>
      </c>
      <c r="C132" s="429" t="str">
        <f t="shared" si="8"/>
        <v>396</v>
      </c>
      <c r="D132" s="430" t="s">
        <v>1823</v>
      </c>
      <c r="E132" s="428" t="str">
        <f t="shared" si="10"/>
        <v/>
      </c>
      <c r="F132" s="429">
        <v>623.32951000000003</v>
      </c>
      <c r="G132" s="429">
        <v>623.32951000000003</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c r="T132" s="429">
        <f t="shared" si="9"/>
        <v>623.3295099999998</v>
      </c>
    </row>
    <row r="133" spans="1:20">
      <c r="A133" s="429" t="str">
        <f t="shared" si="6"/>
        <v>KU</v>
      </c>
      <c r="B133" s="429" t="str">
        <f t="shared" si="7"/>
        <v>KY</v>
      </c>
      <c r="C133" s="429" t="str">
        <f t="shared" si="8"/>
        <v>396</v>
      </c>
      <c r="D133" s="430" t="s">
        <v>2511</v>
      </c>
      <c r="E133" s="428" t="str">
        <f t="shared" si="10"/>
        <v/>
      </c>
      <c r="F133" s="429">
        <v>3232.3006300000002</v>
      </c>
      <c r="G133" s="429">
        <v>3232.3006300000002</v>
      </c>
      <c r="H133" s="429">
        <v>3232.3006300000002</v>
      </c>
      <c r="I133" s="429">
        <v>3232.3006300000002</v>
      </c>
      <c r="J133" s="429">
        <v>3232.3006300000002</v>
      </c>
      <c r="K133" s="429">
        <v>3232.3006300000002</v>
      </c>
      <c r="L133" s="429">
        <v>3232.3006300000002</v>
      </c>
      <c r="M133" s="429">
        <v>3232.3006300000002</v>
      </c>
      <c r="N133" s="429">
        <v>3232.3006300000002</v>
      </c>
      <c r="O133" s="429">
        <v>3232.3006300000002</v>
      </c>
      <c r="P133" s="429">
        <v>3232.3006300000002</v>
      </c>
      <c r="Q133" s="429">
        <v>3232.3006300000002</v>
      </c>
      <c r="R133" s="429">
        <v>3232.3006300000002</v>
      </c>
      <c r="T133" s="429">
        <f t="shared" si="9"/>
        <v>3232.3006300000002</v>
      </c>
    </row>
    <row r="134" spans="1:20">
      <c r="A134" s="429" t="str">
        <f t="shared" si="6"/>
        <v>KU</v>
      </c>
      <c r="B134" s="429" t="str">
        <f t="shared" si="7"/>
        <v>VA</v>
      </c>
      <c r="C134" s="429" t="str">
        <f t="shared" si="8"/>
        <v>396</v>
      </c>
      <c r="D134" s="430" t="s">
        <v>1824</v>
      </c>
      <c r="E134" s="428" t="str">
        <f t="shared" si="10"/>
        <v/>
      </c>
      <c r="F134" s="429">
        <v>0</v>
      </c>
      <c r="G134" s="429">
        <v>0</v>
      </c>
      <c r="H134" s="429">
        <v>0</v>
      </c>
      <c r="I134" s="429">
        <v>0</v>
      </c>
      <c r="J134" s="429">
        <v>0</v>
      </c>
      <c r="K134" s="429">
        <v>0</v>
      </c>
      <c r="L134" s="429">
        <v>0</v>
      </c>
      <c r="M134" s="429">
        <v>0</v>
      </c>
      <c r="N134" s="429">
        <v>0</v>
      </c>
      <c r="O134" s="429">
        <v>0</v>
      </c>
      <c r="P134" s="429">
        <v>0</v>
      </c>
      <c r="Q134" s="429">
        <v>0</v>
      </c>
      <c r="R134" s="429">
        <v>0</v>
      </c>
      <c r="T134" s="429">
        <f t="shared" si="9"/>
        <v>0</v>
      </c>
    </row>
    <row r="135" spans="1:20">
      <c r="A135" s="429" t="str">
        <f t="shared" si="6"/>
        <v>KU</v>
      </c>
      <c r="B135" s="429" t="str">
        <f t="shared" si="7"/>
        <v>VA</v>
      </c>
      <c r="C135" s="429" t="str">
        <f t="shared" si="8"/>
        <v>396</v>
      </c>
      <c r="D135" s="430" t="s">
        <v>2512</v>
      </c>
      <c r="E135" s="428" t="str">
        <f t="shared" si="10"/>
        <v/>
      </c>
      <c r="F135" s="429">
        <v>282.27726000000001</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c r="T135" s="429">
        <f t="shared" si="9"/>
        <v>282.27725999999996</v>
      </c>
    </row>
    <row r="136" spans="1:20">
      <c r="A136" s="429" t="str">
        <f t="shared" si="6"/>
        <v>KU</v>
      </c>
      <c r="B136" s="429" t="str">
        <f t="shared" si="7"/>
        <v>KY</v>
      </c>
      <c r="C136" s="429" t="str">
        <f t="shared" si="8"/>
        <v>397</v>
      </c>
      <c r="D136" s="430" t="s">
        <v>1825</v>
      </c>
      <c r="E136" s="428" t="str">
        <f t="shared" si="10"/>
        <v>DSM</v>
      </c>
      <c r="F136" s="429">
        <v>7860.5236800000002</v>
      </c>
      <c r="G136" s="429">
        <v>7881.3570099999997</v>
      </c>
      <c r="H136" s="429">
        <v>7902.1903400000001</v>
      </c>
      <c r="I136" s="429">
        <v>7923.0236699999996</v>
      </c>
      <c r="J136" s="429">
        <v>7943.857</v>
      </c>
      <c r="K136" s="429">
        <v>7964.6903300000004</v>
      </c>
      <c r="L136" s="429">
        <v>7985.5236599999998</v>
      </c>
      <c r="M136" s="429">
        <v>8006.3569900000002</v>
      </c>
      <c r="N136" s="429">
        <v>8027.1903199999997</v>
      </c>
      <c r="O136" s="429">
        <v>8029.7319799999996</v>
      </c>
      <c r="P136" s="429">
        <v>8032.2736500000001</v>
      </c>
      <c r="Q136" s="429">
        <v>8034.8153199999997</v>
      </c>
      <c r="R136" s="429">
        <v>8037.3569900000002</v>
      </c>
      <c r="T136" s="429">
        <f t="shared" ref="T136:T139" si="12">SUM(F136:R136)/13</f>
        <v>7971.4531492307678</v>
      </c>
    </row>
    <row r="137" spans="1:20">
      <c r="A137" s="429" t="str">
        <f t="shared" si="6"/>
        <v>KU</v>
      </c>
      <c r="B137" s="429" t="str">
        <f t="shared" si="7"/>
        <v>KY</v>
      </c>
      <c r="C137" s="429" t="str">
        <f t="shared" si="8"/>
        <v>397</v>
      </c>
      <c r="D137" s="430" t="s">
        <v>1826</v>
      </c>
      <c r="E137" s="428" t="str">
        <f t="shared" si="10"/>
        <v/>
      </c>
      <c r="F137" s="429">
        <v>57291.554849999899</v>
      </c>
      <c r="G137" s="429">
        <v>57291.554849999899</v>
      </c>
      <c r="H137" s="429">
        <v>57291.554849999899</v>
      </c>
      <c r="I137" s="429">
        <v>57291.554849999899</v>
      </c>
      <c r="J137" s="429">
        <v>57434.347999999904</v>
      </c>
      <c r="K137" s="429">
        <v>57744.347999999904</v>
      </c>
      <c r="L137" s="429">
        <v>57768.347999999904</v>
      </c>
      <c r="M137" s="429">
        <v>59066.795729999903</v>
      </c>
      <c r="N137" s="429">
        <v>60149.780499999899</v>
      </c>
      <c r="O137" s="429">
        <v>60149.780499999899</v>
      </c>
      <c r="P137" s="429">
        <v>60149.780499999899</v>
      </c>
      <c r="Q137" s="429">
        <v>60149.780499999899</v>
      </c>
      <c r="R137" s="429">
        <v>60149.780499999899</v>
      </c>
      <c r="T137" s="429">
        <f t="shared" si="12"/>
        <v>58609.920125384502</v>
      </c>
    </row>
    <row r="138" spans="1:20">
      <c r="A138" s="429" t="str">
        <f t="shared" si="6"/>
        <v>KU</v>
      </c>
      <c r="B138" s="429" t="str">
        <f t="shared" si="7"/>
        <v>VA</v>
      </c>
      <c r="C138" s="429" t="str">
        <f t="shared" si="8"/>
        <v>397</v>
      </c>
      <c r="D138" s="430" t="s">
        <v>1827</v>
      </c>
      <c r="E138" s="428" t="str">
        <f t="shared" si="10"/>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c r="T138" s="429">
        <f t="shared" si="12"/>
        <v>980.09861000000035</v>
      </c>
    </row>
    <row r="139" spans="1:20">
      <c r="A139" s="429" t="str">
        <f t="shared" si="6"/>
        <v>KU</v>
      </c>
      <c r="B139" s="429" t="str">
        <f t="shared" si="7"/>
        <v>KY</v>
      </c>
      <c r="C139" s="429" t="str">
        <f t="shared" si="8"/>
        <v>121</v>
      </c>
      <c r="D139" s="430" t="s">
        <v>1828</v>
      </c>
      <c r="E139" s="428" t="str">
        <f t="shared" si="10"/>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c r="T139" s="429">
        <f t="shared" si="12"/>
        <v>178.71388999999999</v>
      </c>
    </row>
    <row r="141" spans="1:20">
      <c r="D141" s="721" t="s">
        <v>7</v>
      </c>
      <c r="E141" s="428" t="str">
        <f t="shared" si="10"/>
        <v/>
      </c>
    </row>
    <row r="142" spans="1:20">
      <c r="A142" s="429" t="str">
        <f t="shared" si="6"/>
        <v>KU</v>
      </c>
      <c r="B142" s="429" t="str">
        <f t="shared" si="7"/>
        <v>KY</v>
      </c>
      <c r="C142" s="429" t="str">
        <f t="shared" si="8"/>
        <v>303</v>
      </c>
      <c r="D142" s="430" t="s">
        <v>1726</v>
      </c>
      <c r="E142" s="428" t="str">
        <f t="shared" si="10"/>
        <v/>
      </c>
      <c r="F142" s="429">
        <v>646.86793999999998</v>
      </c>
      <c r="G142" s="429">
        <v>462.18815999999998</v>
      </c>
      <c r="H142" s="429">
        <v>6624.4814999999999</v>
      </c>
      <c r="I142" s="429">
        <v>849.11424999999997</v>
      </c>
      <c r="J142" s="429">
        <v>734.07336999999995</v>
      </c>
      <c r="K142" s="429">
        <v>550.78685999999902</v>
      </c>
      <c r="L142" s="429">
        <v>682.33633999999995</v>
      </c>
      <c r="M142" s="429">
        <v>1404.8</v>
      </c>
      <c r="N142" s="429">
        <v>2126.7975999999999</v>
      </c>
      <c r="O142" s="429">
        <v>0</v>
      </c>
      <c r="P142" s="429">
        <v>0</v>
      </c>
      <c r="Q142" s="429">
        <v>8509.9492800000007</v>
      </c>
      <c r="R142" s="429">
        <v>1030.05412</v>
      </c>
      <c r="S142" s="429">
        <f>SUM(G142:R142)</f>
        <v>22974.581479999997</v>
      </c>
    </row>
    <row r="143" spans="1:20">
      <c r="A143" s="429" t="str">
        <f t="shared" si="6"/>
        <v>KU</v>
      </c>
      <c r="B143" s="429" t="str">
        <f t="shared" si="7"/>
        <v>KY</v>
      </c>
      <c r="C143" s="429" t="str">
        <f t="shared" si="8"/>
        <v>303</v>
      </c>
      <c r="D143" s="430" t="s">
        <v>1727</v>
      </c>
      <c r="E143" s="428" t="str">
        <f t="shared" si="10"/>
        <v/>
      </c>
      <c r="F143" s="429">
        <v>266.85955999999999</v>
      </c>
      <c r="G143" s="429">
        <v>56</v>
      </c>
      <c r="H143" s="429">
        <v>0</v>
      </c>
      <c r="I143" s="429">
        <v>0</v>
      </c>
      <c r="J143" s="429">
        <v>0</v>
      </c>
      <c r="K143" s="429">
        <v>0</v>
      </c>
      <c r="L143" s="429">
        <v>0</v>
      </c>
      <c r="M143" s="429">
        <v>0</v>
      </c>
      <c r="N143" s="429">
        <v>110.78700000000001</v>
      </c>
      <c r="O143" s="429">
        <v>0</v>
      </c>
      <c r="P143" s="429">
        <v>100</v>
      </c>
      <c r="Q143" s="429">
        <v>0</v>
      </c>
      <c r="R143" s="429">
        <v>168</v>
      </c>
      <c r="S143" s="429">
        <f t="shared" ref="S143:S206" si="13">SUM(G143:R143)</f>
        <v>434.78700000000003</v>
      </c>
    </row>
    <row r="144" spans="1:20">
      <c r="A144" s="429" t="str">
        <f t="shared" si="6"/>
        <v>KU</v>
      </c>
      <c r="B144" s="429" t="str">
        <f t="shared" si="7"/>
        <v>KY</v>
      </c>
      <c r="C144" s="429" t="str">
        <f t="shared" si="8"/>
        <v>310</v>
      </c>
      <c r="D144" s="430" t="s">
        <v>1728</v>
      </c>
      <c r="E144" s="428" t="str">
        <f t="shared" si="10"/>
        <v>ECR</v>
      </c>
      <c r="F144" s="429">
        <v>0</v>
      </c>
      <c r="G144" s="429">
        <v>0</v>
      </c>
      <c r="H144" s="429">
        <v>0</v>
      </c>
      <c r="I144" s="429">
        <v>0</v>
      </c>
      <c r="J144" s="429">
        <v>0</v>
      </c>
      <c r="K144" s="429">
        <v>0</v>
      </c>
      <c r="L144" s="429">
        <v>0</v>
      </c>
      <c r="M144" s="429">
        <v>0</v>
      </c>
      <c r="N144" s="429">
        <v>0</v>
      </c>
      <c r="O144" s="429">
        <v>0</v>
      </c>
      <c r="P144" s="429">
        <v>0</v>
      </c>
      <c r="Q144" s="429">
        <v>0</v>
      </c>
      <c r="R144" s="429">
        <v>0</v>
      </c>
      <c r="S144" s="429">
        <f t="shared" si="13"/>
        <v>0</v>
      </c>
    </row>
    <row r="145" spans="1:19">
      <c r="A145" s="429" t="str">
        <f t="shared" si="6"/>
        <v>KU</v>
      </c>
      <c r="B145" s="429" t="str">
        <f t="shared" si="7"/>
        <v>KY</v>
      </c>
      <c r="C145" s="429" t="str">
        <f t="shared" si="8"/>
        <v>310</v>
      </c>
      <c r="D145" s="430" t="s">
        <v>2506</v>
      </c>
      <c r="E145" s="428" t="str">
        <f t="shared" si="10"/>
        <v>ECR</v>
      </c>
      <c r="F145" s="429">
        <v>0</v>
      </c>
      <c r="G145" s="429">
        <v>0</v>
      </c>
      <c r="H145" s="429">
        <v>0</v>
      </c>
      <c r="I145" s="429">
        <v>0</v>
      </c>
      <c r="J145" s="429">
        <v>0</v>
      </c>
      <c r="K145" s="429">
        <v>0</v>
      </c>
      <c r="L145" s="429">
        <v>0</v>
      </c>
      <c r="M145" s="429">
        <v>0</v>
      </c>
      <c r="N145" s="429">
        <v>0</v>
      </c>
      <c r="O145" s="429">
        <v>0</v>
      </c>
      <c r="P145" s="429">
        <v>0</v>
      </c>
      <c r="Q145" s="429">
        <v>0</v>
      </c>
      <c r="R145" s="429">
        <v>0</v>
      </c>
      <c r="S145" s="429">
        <f t="shared" si="13"/>
        <v>0</v>
      </c>
    </row>
    <row r="146" spans="1:19">
      <c r="A146" s="429" t="str">
        <f t="shared" si="6"/>
        <v>KU</v>
      </c>
      <c r="B146" s="429" t="str">
        <f t="shared" si="7"/>
        <v>KY</v>
      </c>
      <c r="C146" s="429" t="str">
        <f t="shared" si="8"/>
        <v>310</v>
      </c>
      <c r="D146" s="430" t="s">
        <v>1730</v>
      </c>
      <c r="E146" s="428" t="str">
        <f t="shared" si="10"/>
        <v/>
      </c>
      <c r="F146" s="429">
        <v>0</v>
      </c>
      <c r="G146" s="429">
        <v>0</v>
      </c>
      <c r="H146" s="429">
        <v>0</v>
      </c>
      <c r="I146" s="429">
        <v>0</v>
      </c>
      <c r="J146" s="429">
        <v>0</v>
      </c>
      <c r="K146" s="429">
        <v>0</v>
      </c>
      <c r="L146" s="429">
        <v>0</v>
      </c>
      <c r="M146" s="429">
        <v>0</v>
      </c>
      <c r="N146" s="429">
        <v>0</v>
      </c>
      <c r="O146" s="429">
        <v>0</v>
      </c>
      <c r="P146" s="429">
        <v>0</v>
      </c>
      <c r="Q146" s="429">
        <v>0</v>
      </c>
      <c r="R146" s="429">
        <v>0</v>
      </c>
      <c r="S146" s="429">
        <f t="shared" si="13"/>
        <v>0</v>
      </c>
    </row>
    <row r="147" spans="1:19">
      <c r="A147" s="429" t="str">
        <f t="shared" si="6"/>
        <v>KU</v>
      </c>
      <c r="B147" s="429" t="str">
        <f t="shared" si="7"/>
        <v>KY</v>
      </c>
      <c r="C147" s="429" t="str">
        <f t="shared" si="8"/>
        <v>311</v>
      </c>
      <c r="D147" s="430" t="s">
        <v>1732</v>
      </c>
      <c r="E147" s="428" t="str">
        <f t="shared" si="10"/>
        <v/>
      </c>
      <c r="F147" s="429">
        <v>1014.78997</v>
      </c>
      <c r="G147" s="429">
        <v>510.64551</v>
      </c>
      <c r="H147" s="429">
        <v>375.71019000000001</v>
      </c>
      <c r="I147" s="429">
        <v>1174.68263</v>
      </c>
      <c r="J147" s="429">
        <v>434.79736000000003</v>
      </c>
      <c r="K147" s="429">
        <v>21.326919999999902</v>
      </c>
      <c r="L147" s="429">
        <v>223.40438</v>
      </c>
      <c r="M147" s="429">
        <v>381.98266999999998</v>
      </c>
      <c r="N147" s="429">
        <v>0</v>
      </c>
      <c r="O147" s="429">
        <v>0</v>
      </c>
      <c r="P147" s="429">
        <v>0</v>
      </c>
      <c r="Q147" s="429">
        <v>196.148</v>
      </c>
      <c r="R147" s="429">
        <v>52.995190000000001</v>
      </c>
      <c r="S147" s="429">
        <f t="shared" si="13"/>
        <v>3371.6928500000004</v>
      </c>
    </row>
    <row r="148" spans="1:19">
      <c r="A148" s="429" t="str">
        <f t="shared" si="6"/>
        <v>KU</v>
      </c>
      <c r="B148" s="429" t="str">
        <f t="shared" si="7"/>
        <v>KY</v>
      </c>
      <c r="C148" s="429" t="str">
        <f t="shared" si="8"/>
        <v>312</v>
      </c>
      <c r="D148" s="430" t="s">
        <v>1733</v>
      </c>
      <c r="E148" s="428" t="str">
        <f t="shared" si="10"/>
        <v/>
      </c>
      <c r="F148" s="429">
        <v>3682.62695999999</v>
      </c>
      <c r="G148" s="429">
        <v>3674.4807099999998</v>
      </c>
      <c r="H148" s="429">
        <v>14736.084629999999</v>
      </c>
      <c r="I148" s="429">
        <v>2670.8962499999998</v>
      </c>
      <c r="J148" s="429">
        <v>1595.8900999999901</v>
      </c>
      <c r="K148" s="429">
        <v>1318.63472</v>
      </c>
      <c r="L148" s="429">
        <v>1391.91919999999</v>
      </c>
      <c r="M148" s="429">
        <v>12899.768889999899</v>
      </c>
      <c r="N148" s="429">
        <v>6638.5555599999898</v>
      </c>
      <c r="O148" s="429">
        <v>8.3333700000000004</v>
      </c>
      <c r="P148" s="429">
        <v>8.3333300000000001</v>
      </c>
      <c r="Q148" s="429">
        <v>7018.0244899999998</v>
      </c>
      <c r="R148" s="429">
        <v>3551.7023899999899</v>
      </c>
      <c r="S148" s="429">
        <f t="shared" si="13"/>
        <v>55512.62363999986</v>
      </c>
    </row>
    <row r="149" spans="1:19">
      <c r="A149" s="429" t="str">
        <f t="shared" si="6"/>
        <v>KU</v>
      </c>
      <c r="B149" s="429" t="str">
        <f t="shared" si="7"/>
        <v>KY</v>
      </c>
      <c r="C149" s="429" t="str">
        <f t="shared" si="8"/>
        <v>312</v>
      </c>
      <c r="D149" s="430" t="s">
        <v>1734</v>
      </c>
      <c r="E149" s="428" t="str">
        <f t="shared" si="10"/>
        <v>ECR</v>
      </c>
      <c r="F149" s="429">
        <v>123.9</v>
      </c>
      <c r="G149" s="429">
        <v>25.5</v>
      </c>
      <c r="H149" s="429">
        <v>25.5</v>
      </c>
      <c r="I149" s="429">
        <v>25.5</v>
      </c>
      <c r="J149" s="429">
        <v>25.5</v>
      </c>
      <c r="K149" s="429">
        <v>25.5</v>
      </c>
      <c r="L149" s="429">
        <v>25.5</v>
      </c>
      <c r="M149" s="429">
        <v>23537.283079999899</v>
      </c>
      <c r="N149" s="429">
        <v>40117.923320000002</v>
      </c>
      <c r="O149" s="429">
        <v>475.32</v>
      </c>
      <c r="P149" s="429">
        <v>1470.6</v>
      </c>
      <c r="Q149" s="429">
        <v>64.2</v>
      </c>
      <c r="R149" s="429">
        <v>139.4</v>
      </c>
      <c r="S149" s="429">
        <f t="shared" si="13"/>
        <v>65957.726399999898</v>
      </c>
    </row>
    <row r="150" spans="1:19">
      <c r="A150" s="429" t="str">
        <f t="shared" si="6"/>
        <v>KU</v>
      </c>
      <c r="B150" s="429" t="str">
        <f t="shared" si="7"/>
        <v>KY</v>
      </c>
      <c r="C150" s="429" t="str">
        <f t="shared" si="8"/>
        <v>312</v>
      </c>
      <c r="D150" s="430" t="s">
        <v>1735</v>
      </c>
      <c r="E150" s="428" t="str">
        <f t="shared" si="10"/>
        <v>ECR</v>
      </c>
      <c r="F150" s="429">
        <v>0</v>
      </c>
      <c r="G150" s="429">
        <v>0</v>
      </c>
      <c r="H150" s="429">
        <v>0</v>
      </c>
      <c r="I150" s="429">
        <v>0</v>
      </c>
      <c r="J150" s="429">
        <v>0</v>
      </c>
      <c r="K150" s="429">
        <v>0</v>
      </c>
      <c r="L150" s="429">
        <v>0</v>
      </c>
      <c r="M150" s="429">
        <v>0</v>
      </c>
      <c r="N150" s="429">
        <v>2574.5241599999999</v>
      </c>
      <c r="O150" s="429">
        <v>0</v>
      </c>
      <c r="P150" s="429">
        <v>0</v>
      </c>
      <c r="Q150" s="429">
        <v>2217.7591200000002</v>
      </c>
      <c r="R150" s="429">
        <v>0</v>
      </c>
      <c r="S150" s="429">
        <f t="shared" si="13"/>
        <v>4792.2832799999996</v>
      </c>
    </row>
    <row r="151" spans="1:19">
      <c r="A151" s="429" t="str">
        <f t="shared" si="6"/>
        <v>KU</v>
      </c>
      <c r="B151" s="429" t="str">
        <f t="shared" si="7"/>
        <v>KY</v>
      </c>
      <c r="C151" s="429" t="str">
        <f t="shared" si="8"/>
        <v>312</v>
      </c>
      <c r="D151" s="430" t="s">
        <v>2195</v>
      </c>
      <c r="E151" s="428" t="str">
        <f t="shared" si="10"/>
        <v>ECR</v>
      </c>
      <c r="F151" s="429">
        <v>38029.876029999999</v>
      </c>
      <c r="G151" s="429">
        <v>132950.27437</v>
      </c>
      <c r="H151" s="429">
        <v>4287.9252399999996</v>
      </c>
      <c r="I151" s="429">
        <v>1007.00111</v>
      </c>
      <c r="J151" s="429">
        <v>1068.0011399999901</v>
      </c>
      <c r="K151" s="429">
        <v>918.00096999999903</v>
      </c>
      <c r="L151" s="429">
        <v>17737.852129999999</v>
      </c>
      <c r="M151" s="429">
        <v>881.14996999999903</v>
      </c>
      <c r="N151" s="429">
        <v>32072.197889999999</v>
      </c>
      <c r="O151" s="429">
        <v>0</v>
      </c>
      <c r="P151" s="429">
        <v>100</v>
      </c>
      <c r="Q151" s="429">
        <v>100</v>
      </c>
      <c r="R151" s="429">
        <v>200</v>
      </c>
      <c r="S151" s="429">
        <f t="shared" si="13"/>
        <v>191322.40281999999</v>
      </c>
    </row>
    <row r="152" spans="1:19">
      <c r="A152" s="429" t="str">
        <f t="shared" si="6"/>
        <v>KU</v>
      </c>
      <c r="B152" s="429" t="str">
        <f t="shared" si="7"/>
        <v>KY</v>
      </c>
      <c r="C152" s="429" t="str">
        <f t="shared" si="8"/>
        <v>314</v>
      </c>
      <c r="D152" s="430" t="s">
        <v>1737</v>
      </c>
      <c r="E152" s="428" t="str">
        <f t="shared" si="10"/>
        <v/>
      </c>
      <c r="F152" s="429">
        <v>680.76703999999995</v>
      </c>
      <c r="G152" s="429">
        <v>535.45316000000003</v>
      </c>
      <c r="H152" s="429">
        <v>1055.7133899999999</v>
      </c>
      <c r="I152" s="429">
        <v>176.63228999999899</v>
      </c>
      <c r="J152" s="429">
        <v>0</v>
      </c>
      <c r="K152" s="429">
        <v>0</v>
      </c>
      <c r="L152" s="429">
        <v>0</v>
      </c>
      <c r="M152" s="429">
        <v>2151.7420899999902</v>
      </c>
      <c r="N152" s="429">
        <v>6699.6900999999998</v>
      </c>
      <c r="O152" s="429">
        <v>0</v>
      </c>
      <c r="P152" s="429">
        <v>0</v>
      </c>
      <c r="Q152" s="429">
        <v>0</v>
      </c>
      <c r="R152" s="429">
        <v>0</v>
      </c>
      <c r="S152" s="429">
        <f t="shared" si="13"/>
        <v>10619.231029999988</v>
      </c>
    </row>
    <row r="153" spans="1:19">
      <c r="A153" s="429" t="str">
        <f t="shared" si="6"/>
        <v>KU</v>
      </c>
      <c r="B153" s="429" t="str">
        <f t="shared" si="7"/>
        <v>KY</v>
      </c>
      <c r="C153" s="429" t="str">
        <f t="shared" si="8"/>
        <v>315</v>
      </c>
      <c r="D153" s="430" t="s">
        <v>1738</v>
      </c>
      <c r="E153" s="428" t="str">
        <f t="shared" ref="E153:E216" si="14">IF(ISTEXT(MID($D153,SEARCH("FUTURE USE",$D153),3)),"FUTURE USE",IF(ISTEXT(MID($D153,SEARCH("ECR",$D153),3)),"ECR",IF(ISTEXT(MID($D153,SEARCH("ARO",$D153),3)),"ARO",IF(ISTEXT(MID($D153,SEARCH("DSM",$D153),3)),"DSM",""))))</f>
        <v/>
      </c>
      <c r="F153" s="429">
        <v>0</v>
      </c>
      <c r="G153" s="429">
        <v>73.923609999999996</v>
      </c>
      <c r="H153" s="429">
        <v>0</v>
      </c>
      <c r="I153" s="429">
        <v>0</v>
      </c>
      <c r="J153" s="429">
        <v>0</v>
      </c>
      <c r="K153" s="429">
        <v>0</v>
      </c>
      <c r="L153" s="429">
        <v>0</v>
      </c>
      <c r="M153" s="429">
        <v>7053.5304999999998</v>
      </c>
      <c r="N153" s="429">
        <v>1080.34583</v>
      </c>
      <c r="O153" s="429">
        <v>0</v>
      </c>
      <c r="P153" s="429">
        <v>0</v>
      </c>
      <c r="Q153" s="429">
        <v>0</v>
      </c>
      <c r="R153" s="429">
        <v>0</v>
      </c>
      <c r="S153" s="429">
        <f t="shared" si="13"/>
        <v>8207.799939999999</v>
      </c>
    </row>
    <row r="154" spans="1:19">
      <c r="A154" s="429" t="str">
        <f t="shared" si="6"/>
        <v>KU</v>
      </c>
      <c r="B154" s="429" t="str">
        <f t="shared" si="7"/>
        <v>KY</v>
      </c>
      <c r="C154" s="429" t="str">
        <f t="shared" si="8"/>
        <v>315</v>
      </c>
      <c r="D154" s="430" t="s">
        <v>1739</v>
      </c>
      <c r="E154" s="428" t="str">
        <f t="shared" si="14"/>
        <v>ECR</v>
      </c>
      <c r="F154" s="429">
        <v>0</v>
      </c>
      <c r="G154" s="429">
        <v>0</v>
      </c>
      <c r="H154" s="429">
        <v>0</v>
      </c>
      <c r="I154" s="429">
        <v>0</v>
      </c>
      <c r="J154" s="429">
        <v>0</v>
      </c>
      <c r="K154" s="429">
        <v>0</v>
      </c>
      <c r="L154" s="429">
        <v>0</v>
      </c>
      <c r="M154" s="429">
        <v>0</v>
      </c>
      <c r="N154" s="429">
        <v>0</v>
      </c>
      <c r="O154" s="429">
        <v>0</v>
      </c>
      <c r="P154" s="429">
        <v>0</v>
      </c>
      <c r="Q154" s="429">
        <v>0</v>
      </c>
      <c r="R154" s="429">
        <v>0</v>
      </c>
      <c r="S154" s="429">
        <f t="shared" si="13"/>
        <v>0</v>
      </c>
    </row>
    <row r="155" spans="1:19">
      <c r="A155" s="429" t="str">
        <f t="shared" si="6"/>
        <v>KU</v>
      </c>
      <c r="B155" s="429" t="str">
        <f t="shared" si="7"/>
        <v>KY</v>
      </c>
      <c r="C155" s="429" t="str">
        <f t="shared" si="8"/>
        <v>316</v>
      </c>
      <c r="D155" s="430" t="s">
        <v>1740</v>
      </c>
      <c r="E155" s="428" t="str">
        <f t="shared" si="14"/>
        <v/>
      </c>
      <c r="F155" s="429">
        <v>1884.1518599999999</v>
      </c>
      <c r="G155" s="429">
        <v>2004.9786999999999</v>
      </c>
      <c r="H155" s="429">
        <v>67.018829999999994</v>
      </c>
      <c r="I155" s="429">
        <v>0</v>
      </c>
      <c r="J155" s="429">
        <v>424.92459000000002</v>
      </c>
      <c r="K155" s="429">
        <v>0</v>
      </c>
      <c r="L155" s="429">
        <v>413.582459999999</v>
      </c>
      <c r="M155" s="429">
        <v>441.68029000000001</v>
      </c>
      <c r="N155" s="429">
        <v>3529.9765000000002</v>
      </c>
      <c r="O155" s="429">
        <v>0</v>
      </c>
      <c r="P155" s="429">
        <v>0</v>
      </c>
      <c r="Q155" s="429">
        <v>218.60005999999899</v>
      </c>
      <c r="R155" s="429">
        <v>334.45398</v>
      </c>
      <c r="S155" s="429">
        <f t="shared" si="13"/>
        <v>7435.2154099999989</v>
      </c>
    </row>
    <row r="156" spans="1:19">
      <c r="A156" s="429" t="str">
        <f t="shared" si="6"/>
        <v>KU</v>
      </c>
      <c r="B156" s="429" t="str">
        <f t="shared" si="7"/>
        <v>KY</v>
      </c>
      <c r="C156" s="429" t="str">
        <f t="shared" si="8"/>
        <v>317</v>
      </c>
      <c r="D156" s="430" t="s">
        <v>1741</v>
      </c>
      <c r="E156" s="428" t="str">
        <f t="shared" si="14"/>
        <v>ARO</v>
      </c>
      <c r="F156" s="429">
        <v>0</v>
      </c>
      <c r="G156" s="429">
        <v>0</v>
      </c>
      <c r="H156" s="429">
        <v>0</v>
      </c>
      <c r="I156" s="429">
        <v>0</v>
      </c>
      <c r="J156" s="429">
        <v>0</v>
      </c>
      <c r="K156" s="429">
        <v>0</v>
      </c>
      <c r="L156" s="429">
        <v>0</v>
      </c>
      <c r="M156" s="429">
        <v>0</v>
      </c>
      <c r="N156" s="429">
        <v>0</v>
      </c>
      <c r="O156" s="429">
        <v>0</v>
      </c>
      <c r="P156" s="429">
        <v>0</v>
      </c>
      <c r="Q156" s="429">
        <v>0</v>
      </c>
      <c r="R156" s="429">
        <v>0</v>
      </c>
      <c r="S156" s="429">
        <f t="shared" si="13"/>
        <v>0</v>
      </c>
    </row>
    <row r="157" spans="1:19">
      <c r="A157" s="429" t="str">
        <f t="shared" ref="A157:A237" si="15">MID($D157,4,2)</f>
        <v>KU</v>
      </c>
      <c r="B157" s="429" t="str">
        <f t="shared" ref="B157:B237" si="16">IF(MID($D157,12,2)="- ","KY",MID($D157,12,2))</f>
        <v>KY</v>
      </c>
      <c r="C157" s="429" t="str">
        <f t="shared" ref="C157:C237" si="17">MID($D157,8,3)</f>
        <v>317</v>
      </c>
      <c r="D157" s="430" t="s">
        <v>2507</v>
      </c>
      <c r="E157" s="428" t="str">
        <f t="shared" si="14"/>
        <v>ARO</v>
      </c>
      <c r="F157" s="429">
        <v>0</v>
      </c>
      <c r="G157" s="429">
        <v>0</v>
      </c>
      <c r="H157" s="429">
        <v>0</v>
      </c>
      <c r="I157" s="429">
        <v>0</v>
      </c>
      <c r="J157" s="429">
        <v>0</v>
      </c>
      <c r="K157" s="429">
        <v>0</v>
      </c>
      <c r="L157" s="429">
        <v>0</v>
      </c>
      <c r="M157" s="429">
        <v>0</v>
      </c>
      <c r="N157" s="429">
        <v>0</v>
      </c>
      <c r="O157" s="429">
        <v>0</v>
      </c>
      <c r="P157" s="429">
        <v>0</v>
      </c>
      <c r="Q157" s="429">
        <v>0</v>
      </c>
      <c r="R157" s="429">
        <v>0</v>
      </c>
      <c r="S157" s="429">
        <f t="shared" si="13"/>
        <v>0</v>
      </c>
    </row>
    <row r="158" spans="1:19">
      <c r="A158" s="429" t="str">
        <f t="shared" si="15"/>
        <v>KU</v>
      </c>
      <c r="B158" s="429" t="str">
        <f t="shared" si="16"/>
        <v>KY</v>
      </c>
      <c r="C158" s="429" t="str">
        <f t="shared" si="17"/>
        <v>331</v>
      </c>
      <c r="D158" s="430" t="s">
        <v>1743</v>
      </c>
      <c r="E158" s="428" t="str">
        <f t="shared" si="14"/>
        <v/>
      </c>
      <c r="F158" s="429">
        <v>0</v>
      </c>
      <c r="G158" s="429">
        <v>0</v>
      </c>
      <c r="H158" s="429">
        <v>97.373999999999995</v>
      </c>
      <c r="I158" s="429">
        <v>0</v>
      </c>
      <c r="J158" s="429">
        <v>0</v>
      </c>
      <c r="K158" s="429">
        <v>0</v>
      </c>
      <c r="L158" s="429">
        <v>0</v>
      </c>
      <c r="M158" s="429">
        <v>0</v>
      </c>
      <c r="N158" s="429">
        <v>0</v>
      </c>
      <c r="O158" s="429">
        <v>0</v>
      </c>
      <c r="P158" s="429">
        <v>0</v>
      </c>
      <c r="Q158" s="429">
        <v>0</v>
      </c>
      <c r="R158" s="429">
        <v>0</v>
      </c>
      <c r="S158" s="429">
        <f t="shared" si="13"/>
        <v>97.373999999999995</v>
      </c>
    </row>
    <row r="159" spans="1:19">
      <c r="A159" s="429" t="str">
        <f t="shared" si="15"/>
        <v>KU</v>
      </c>
      <c r="B159" s="429" t="str">
        <f t="shared" si="16"/>
        <v>KY</v>
      </c>
      <c r="C159" s="429" t="str">
        <f t="shared" si="17"/>
        <v>334</v>
      </c>
      <c r="D159" s="430" t="s">
        <v>1746</v>
      </c>
      <c r="E159" s="428" t="str">
        <f t="shared" si="14"/>
        <v/>
      </c>
      <c r="F159" s="429">
        <v>0</v>
      </c>
      <c r="G159" s="429">
        <v>0</v>
      </c>
      <c r="H159" s="429">
        <v>0</v>
      </c>
      <c r="I159" s="429">
        <v>0</v>
      </c>
      <c r="J159" s="429">
        <v>0</v>
      </c>
      <c r="K159" s="429">
        <v>0</v>
      </c>
      <c r="L159" s="429">
        <v>0</v>
      </c>
      <c r="M159" s="429">
        <v>0</v>
      </c>
      <c r="N159" s="429">
        <v>0</v>
      </c>
      <c r="O159" s="429">
        <v>0</v>
      </c>
      <c r="P159" s="429">
        <v>0</v>
      </c>
      <c r="Q159" s="429">
        <v>0</v>
      </c>
      <c r="R159" s="429">
        <v>0</v>
      </c>
      <c r="S159" s="429">
        <f t="shared" si="13"/>
        <v>0</v>
      </c>
    </row>
    <row r="160" spans="1:19">
      <c r="A160" s="429" t="str">
        <f t="shared" si="15"/>
        <v>KU</v>
      </c>
      <c r="B160" s="429" t="str">
        <f t="shared" si="16"/>
        <v>KY</v>
      </c>
      <c r="C160" s="429" t="str">
        <f t="shared" si="17"/>
        <v>340</v>
      </c>
      <c r="D160" s="430" t="s">
        <v>2199</v>
      </c>
      <c r="E160" s="428" t="str">
        <f t="shared" si="14"/>
        <v/>
      </c>
      <c r="F160" s="429">
        <v>0</v>
      </c>
      <c r="G160" s="429">
        <v>0</v>
      </c>
      <c r="H160" s="429">
        <v>0</v>
      </c>
      <c r="I160" s="429">
        <v>0</v>
      </c>
      <c r="J160" s="429">
        <v>0</v>
      </c>
      <c r="K160" s="429">
        <v>0</v>
      </c>
      <c r="L160" s="429">
        <v>0</v>
      </c>
      <c r="M160" s="429">
        <v>0</v>
      </c>
      <c r="N160" s="429">
        <v>0</v>
      </c>
      <c r="O160" s="429">
        <v>0</v>
      </c>
      <c r="P160" s="429">
        <v>0</v>
      </c>
      <c r="Q160" s="429">
        <v>0</v>
      </c>
      <c r="R160" s="429">
        <v>0</v>
      </c>
      <c r="S160" s="429">
        <f t="shared" si="13"/>
        <v>0</v>
      </c>
    </row>
    <row r="161" spans="1:19">
      <c r="A161" s="429" t="str">
        <f t="shared" si="15"/>
        <v>KU</v>
      </c>
      <c r="B161" s="429" t="str">
        <f t="shared" si="16"/>
        <v>KY</v>
      </c>
      <c r="C161" s="429" t="str">
        <f t="shared" si="17"/>
        <v>340</v>
      </c>
      <c r="D161" s="430" t="s">
        <v>1750</v>
      </c>
      <c r="E161" s="428" t="str">
        <f t="shared" si="14"/>
        <v/>
      </c>
      <c r="F161" s="429">
        <v>0</v>
      </c>
      <c r="G161" s="429">
        <v>0</v>
      </c>
      <c r="H161" s="429">
        <v>0</v>
      </c>
      <c r="I161" s="429">
        <v>0</v>
      </c>
      <c r="J161" s="429">
        <v>0</v>
      </c>
      <c r="K161" s="429">
        <v>0</v>
      </c>
      <c r="L161" s="429">
        <v>0</v>
      </c>
      <c r="M161" s="429">
        <v>0</v>
      </c>
      <c r="N161" s="429">
        <v>0</v>
      </c>
      <c r="O161" s="429">
        <v>0</v>
      </c>
      <c r="P161" s="429">
        <v>0</v>
      </c>
      <c r="Q161" s="429">
        <v>0</v>
      </c>
      <c r="R161" s="429">
        <v>0</v>
      </c>
      <c r="S161" s="429">
        <f t="shared" si="13"/>
        <v>0</v>
      </c>
    </row>
    <row r="162" spans="1:19">
      <c r="A162" s="429" t="str">
        <f t="shared" si="15"/>
        <v>KU</v>
      </c>
      <c r="B162" s="429" t="str">
        <f t="shared" si="16"/>
        <v>KY</v>
      </c>
      <c r="C162" s="429" t="str">
        <f t="shared" si="17"/>
        <v>341</v>
      </c>
      <c r="D162" s="430" t="s">
        <v>1751</v>
      </c>
      <c r="E162" s="428" t="str">
        <f t="shared" si="14"/>
        <v/>
      </c>
      <c r="F162" s="429">
        <v>0</v>
      </c>
      <c r="G162" s="429">
        <v>0</v>
      </c>
      <c r="H162" s="429">
        <v>0</v>
      </c>
      <c r="I162" s="429">
        <v>0</v>
      </c>
      <c r="J162" s="429">
        <v>0</v>
      </c>
      <c r="K162" s="429">
        <v>0</v>
      </c>
      <c r="L162" s="429">
        <v>0</v>
      </c>
      <c r="M162" s="429">
        <v>0</v>
      </c>
      <c r="N162" s="429">
        <v>0</v>
      </c>
      <c r="O162" s="429">
        <v>0</v>
      </c>
      <c r="P162" s="429">
        <v>0</v>
      </c>
      <c r="Q162" s="429">
        <v>0</v>
      </c>
      <c r="R162" s="429">
        <v>0</v>
      </c>
      <c r="S162" s="429">
        <f t="shared" si="13"/>
        <v>0</v>
      </c>
    </row>
    <row r="163" spans="1:19">
      <c r="A163" s="429" t="str">
        <f t="shared" si="15"/>
        <v>KU</v>
      </c>
      <c r="B163" s="429" t="str">
        <f t="shared" si="16"/>
        <v>KY</v>
      </c>
      <c r="C163" s="429" t="str">
        <f t="shared" si="17"/>
        <v>341</v>
      </c>
      <c r="D163" s="430" t="s">
        <v>2200</v>
      </c>
      <c r="E163" s="428" t="str">
        <f t="shared" si="14"/>
        <v/>
      </c>
      <c r="F163" s="429">
        <v>0</v>
      </c>
      <c r="G163" s="429">
        <v>0</v>
      </c>
      <c r="H163" s="429">
        <v>0</v>
      </c>
      <c r="I163" s="429">
        <v>0</v>
      </c>
      <c r="J163" s="429">
        <v>0</v>
      </c>
      <c r="K163" s="429">
        <v>0</v>
      </c>
      <c r="L163" s="429">
        <v>0</v>
      </c>
      <c r="M163" s="429">
        <v>0</v>
      </c>
      <c r="N163" s="429">
        <v>0</v>
      </c>
      <c r="O163" s="429">
        <v>0</v>
      </c>
      <c r="P163" s="429">
        <v>0</v>
      </c>
      <c r="Q163" s="429">
        <v>0</v>
      </c>
      <c r="R163" s="429">
        <v>0</v>
      </c>
      <c r="S163" s="429">
        <f t="shared" si="13"/>
        <v>0</v>
      </c>
    </row>
    <row r="164" spans="1:19">
      <c r="A164" s="429" t="str">
        <f t="shared" si="15"/>
        <v>KU</v>
      </c>
      <c r="B164" s="429" t="str">
        <f t="shared" si="16"/>
        <v>KY</v>
      </c>
      <c r="C164" s="429" t="str">
        <f t="shared" si="17"/>
        <v>341</v>
      </c>
      <c r="D164" s="430" t="s">
        <v>2201</v>
      </c>
      <c r="E164" s="428" t="str">
        <f t="shared" si="14"/>
        <v/>
      </c>
      <c r="F164" s="429">
        <v>0</v>
      </c>
      <c r="G164" s="429">
        <v>0</v>
      </c>
      <c r="H164" s="429">
        <v>0</v>
      </c>
      <c r="I164" s="429">
        <v>0</v>
      </c>
      <c r="J164" s="429">
        <v>0</v>
      </c>
      <c r="K164" s="429">
        <v>0</v>
      </c>
      <c r="L164" s="429">
        <v>0</v>
      </c>
      <c r="M164" s="429">
        <v>0</v>
      </c>
      <c r="N164" s="429">
        <v>0</v>
      </c>
      <c r="O164" s="429">
        <v>0</v>
      </c>
      <c r="P164" s="429">
        <v>0</v>
      </c>
      <c r="Q164" s="429">
        <v>0</v>
      </c>
      <c r="R164" s="429">
        <v>0</v>
      </c>
      <c r="S164" s="429">
        <f t="shared" si="13"/>
        <v>0</v>
      </c>
    </row>
    <row r="165" spans="1:19">
      <c r="A165" s="429" t="str">
        <f t="shared" si="15"/>
        <v>KU</v>
      </c>
      <c r="B165" s="429" t="str">
        <f t="shared" si="16"/>
        <v>KY</v>
      </c>
      <c r="C165" s="429" t="str">
        <f t="shared" si="17"/>
        <v>342</v>
      </c>
      <c r="D165" s="430" t="s">
        <v>1752</v>
      </c>
      <c r="E165" s="428" t="str">
        <f t="shared" si="14"/>
        <v/>
      </c>
      <c r="F165" s="429">
        <v>0</v>
      </c>
      <c r="G165" s="429">
        <v>0</v>
      </c>
      <c r="H165" s="429">
        <v>0</v>
      </c>
      <c r="I165" s="429">
        <v>0</v>
      </c>
      <c r="J165" s="429">
        <v>0</v>
      </c>
      <c r="K165" s="429">
        <v>0</v>
      </c>
      <c r="L165" s="429">
        <v>0</v>
      </c>
      <c r="M165" s="429">
        <v>0</v>
      </c>
      <c r="N165" s="429">
        <v>0</v>
      </c>
      <c r="O165" s="429">
        <v>0</v>
      </c>
      <c r="P165" s="429">
        <v>0</v>
      </c>
      <c r="Q165" s="429">
        <v>0</v>
      </c>
      <c r="R165" s="429">
        <v>0</v>
      </c>
      <c r="S165" s="429">
        <f t="shared" si="13"/>
        <v>0</v>
      </c>
    </row>
    <row r="166" spans="1:19">
      <c r="A166" s="429" t="str">
        <f t="shared" si="15"/>
        <v>KU</v>
      </c>
      <c r="B166" s="429" t="str">
        <f t="shared" si="16"/>
        <v>KY</v>
      </c>
      <c r="C166" s="429" t="str">
        <f t="shared" si="17"/>
        <v>342</v>
      </c>
      <c r="D166" s="430" t="s">
        <v>2203</v>
      </c>
      <c r="E166" s="428" t="str">
        <f t="shared" si="14"/>
        <v/>
      </c>
      <c r="F166" s="429">
        <v>0</v>
      </c>
      <c r="G166" s="429">
        <v>0</v>
      </c>
      <c r="H166" s="429">
        <v>0</v>
      </c>
      <c r="I166" s="429">
        <v>0</v>
      </c>
      <c r="J166" s="429">
        <v>0</v>
      </c>
      <c r="K166" s="429">
        <v>19216.356779999998</v>
      </c>
      <c r="L166" s="429">
        <v>1535</v>
      </c>
      <c r="M166" s="429">
        <v>0</v>
      </c>
      <c r="N166" s="429">
        <v>0</v>
      </c>
      <c r="O166" s="429">
        <v>0</v>
      </c>
      <c r="P166" s="429">
        <v>0</v>
      </c>
      <c r="Q166" s="429">
        <v>0</v>
      </c>
      <c r="R166" s="429">
        <v>0</v>
      </c>
      <c r="S166" s="429">
        <f t="shared" si="13"/>
        <v>20751.356779999998</v>
      </c>
    </row>
    <row r="167" spans="1:19">
      <c r="A167" s="429" t="str">
        <f t="shared" si="15"/>
        <v>KU</v>
      </c>
      <c r="B167" s="429" t="str">
        <f t="shared" si="16"/>
        <v>KY</v>
      </c>
      <c r="C167" s="429" t="str">
        <f t="shared" si="17"/>
        <v>343</v>
      </c>
      <c r="D167" s="430" t="s">
        <v>1753</v>
      </c>
      <c r="E167" s="428" t="str">
        <f t="shared" si="14"/>
        <v/>
      </c>
      <c r="F167" s="429">
        <v>115.99522</v>
      </c>
      <c r="G167" s="429">
        <v>13264.037189999999</v>
      </c>
      <c r="H167" s="429">
        <v>0</v>
      </c>
      <c r="I167" s="429">
        <v>0</v>
      </c>
      <c r="J167" s="429">
        <v>0</v>
      </c>
      <c r="K167" s="429">
        <v>542.71349999999995</v>
      </c>
      <c r="L167" s="429">
        <v>193.77706000000001</v>
      </c>
      <c r="M167" s="429">
        <v>256.52512999999999</v>
      </c>
      <c r="N167" s="429">
        <v>973.96367999999995</v>
      </c>
      <c r="O167" s="429">
        <v>0</v>
      </c>
      <c r="P167" s="429">
        <v>0</v>
      </c>
      <c r="Q167" s="429">
        <v>0</v>
      </c>
      <c r="R167" s="429">
        <v>0</v>
      </c>
      <c r="S167" s="429">
        <f t="shared" si="13"/>
        <v>15231.01656</v>
      </c>
    </row>
    <row r="168" spans="1:19">
      <c r="A168" s="429" t="str">
        <f t="shared" si="15"/>
        <v>KU</v>
      </c>
      <c r="B168" s="429" t="str">
        <f t="shared" si="16"/>
        <v>KY</v>
      </c>
      <c r="C168" s="429" t="str">
        <f t="shared" si="17"/>
        <v>343</v>
      </c>
      <c r="D168" s="430" t="s">
        <v>2204</v>
      </c>
      <c r="E168" s="428" t="str">
        <f t="shared" si="14"/>
        <v/>
      </c>
      <c r="F168" s="429">
        <v>0</v>
      </c>
      <c r="G168" s="429">
        <v>0</v>
      </c>
      <c r="H168" s="429">
        <v>102.86253000000001</v>
      </c>
      <c r="I168" s="429">
        <v>0</v>
      </c>
      <c r="J168" s="429">
        <v>0</v>
      </c>
      <c r="K168" s="429">
        <v>102.86253000000001</v>
      </c>
      <c r="L168" s="429">
        <v>71.312470000000005</v>
      </c>
      <c r="M168" s="429">
        <v>0</v>
      </c>
      <c r="N168" s="429">
        <v>102.86253000000001</v>
      </c>
      <c r="O168" s="429">
        <v>0</v>
      </c>
      <c r="P168" s="429">
        <v>0</v>
      </c>
      <c r="Q168" s="429">
        <v>103.101</v>
      </c>
      <c r="R168" s="429">
        <v>17731.01872</v>
      </c>
      <c r="S168" s="429">
        <f t="shared" si="13"/>
        <v>18214.019779999999</v>
      </c>
    </row>
    <row r="169" spans="1:19">
      <c r="A169" s="429" t="str">
        <f t="shared" si="15"/>
        <v>KU</v>
      </c>
      <c r="B169" s="429" t="str">
        <f t="shared" si="16"/>
        <v>KY</v>
      </c>
      <c r="C169" s="429" t="str">
        <f t="shared" si="17"/>
        <v>344</v>
      </c>
      <c r="D169" s="430" t="s">
        <v>1754</v>
      </c>
      <c r="E169" s="428" t="str">
        <f t="shared" si="14"/>
        <v/>
      </c>
      <c r="F169" s="429">
        <v>0</v>
      </c>
      <c r="G169" s="429">
        <v>0</v>
      </c>
      <c r="H169" s="429">
        <v>0</v>
      </c>
      <c r="I169" s="429">
        <v>0</v>
      </c>
      <c r="J169" s="429">
        <v>0</v>
      </c>
      <c r="K169" s="429">
        <v>0</v>
      </c>
      <c r="L169" s="429">
        <v>0</v>
      </c>
      <c r="M169" s="429">
        <v>0</v>
      </c>
      <c r="N169" s="429">
        <v>0</v>
      </c>
      <c r="O169" s="429">
        <v>0</v>
      </c>
      <c r="P169" s="429">
        <v>0</v>
      </c>
      <c r="Q169" s="429">
        <v>0</v>
      </c>
      <c r="R169" s="429">
        <v>828.28022999999996</v>
      </c>
      <c r="S169" s="429">
        <f t="shared" si="13"/>
        <v>828.28022999999996</v>
      </c>
    </row>
    <row r="170" spans="1:19">
      <c r="A170" s="429" t="str">
        <f t="shared" si="15"/>
        <v>KU</v>
      </c>
      <c r="B170" s="429" t="str">
        <f t="shared" si="16"/>
        <v>KY</v>
      </c>
      <c r="C170" s="429" t="str">
        <f t="shared" si="17"/>
        <v>344</v>
      </c>
      <c r="D170" s="430" t="s">
        <v>2205</v>
      </c>
      <c r="E170" s="428" t="str">
        <f t="shared" si="14"/>
        <v/>
      </c>
      <c r="F170" s="429">
        <v>0</v>
      </c>
      <c r="G170" s="429">
        <v>0</v>
      </c>
      <c r="H170" s="429">
        <v>0</v>
      </c>
      <c r="I170" s="429">
        <v>0</v>
      </c>
      <c r="J170" s="429">
        <v>0</v>
      </c>
      <c r="K170" s="429">
        <v>0</v>
      </c>
      <c r="L170" s="429">
        <v>0</v>
      </c>
      <c r="M170" s="429">
        <v>0</v>
      </c>
      <c r="N170" s="429">
        <v>0</v>
      </c>
      <c r="O170" s="429">
        <v>0</v>
      </c>
      <c r="P170" s="429">
        <v>0</v>
      </c>
      <c r="Q170" s="429">
        <v>0</v>
      </c>
      <c r="R170" s="429">
        <v>0</v>
      </c>
      <c r="S170" s="429">
        <f t="shared" si="13"/>
        <v>0</v>
      </c>
    </row>
    <row r="171" spans="1:19">
      <c r="A171" s="429" t="str">
        <f t="shared" si="15"/>
        <v>KU</v>
      </c>
      <c r="B171" s="429" t="str">
        <f t="shared" si="16"/>
        <v>KY</v>
      </c>
      <c r="C171" s="429" t="str">
        <f t="shared" si="17"/>
        <v>344</v>
      </c>
      <c r="D171" s="430" t="s">
        <v>2206</v>
      </c>
      <c r="E171" s="428" t="str">
        <f t="shared" si="14"/>
        <v/>
      </c>
      <c r="F171" s="429">
        <v>0</v>
      </c>
      <c r="G171" s="429">
        <v>0</v>
      </c>
      <c r="H171" s="429">
        <v>0</v>
      </c>
      <c r="I171" s="429">
        <v>0</v>
      </c>
      <c r="J171" s="429">
        <v>0</v>
      </c>
      <c r="K171" s="429">
        <v>0</v>
      </c>
      <c r="L171" s="429">
        <v>0</v>
      </c>
      <c r="M171" s="429">
        <v>0</v>
      </c>
      <c r="N171" s="429">
        <v>0</v>
      </c>
      <c r="O171" s="429">
        <v>0</v>
      </c>
      <c r="P171" s="429">
        <v>0</v>
      </c>
      <c r="Q171" s="429">
        <v>0</v>
      </c>
      <c r="R171" s="429">
        <v>0</v>
      </c>
      <c r="S171" s="429">
        <f t="shared" si="13"/>
        <v>0</v>
      </c>
    </row>
    <row r="172" spans="1:19">
      <c r="A172" s="429" t="str">
        <f t="shared" si="15"/>
        <v>KU</v>
      </c>
      <c r="B172" s="429" t="str">
        <f t="shared" si="16"/>
        <v>KY</v>
      </c>
      <c r="C172" s="429" t="str">
        <f t="shared" si="17"/>
        <v>345</v>
      </c>
      <c r="D172" s="430" t="s">
        <v>1755</v>
      </c>
      <c r="E172" s="428" t="str">
        <f t="shared" si="14"/>
        <v/>
      </c>
      <c r="F172" s="429">
        <v>49.38608</v>
      </c>
      <c r="G172" s="429">
        <v>0</v>
      </c>
      <c r="H172" s="429">
        <v>0</v>
      </c>
      <c r="I172" s="429">
        <v>0</v>
      </c>
      <c r="J172" s="429">
        <v>0</v>
      </c>
      <c r="K172" s="429">
        <v>0</v>
      </c>
      <c r="L172" s="429">
        <v>0</v>
      </c>
      <c r="M172" s="429">
        <v>0</v>
      </c>
      <c r="N172" s="429">
        <v>0</v>
      </c>
      <c r="O172" s="429">
        <v>0</v>
      </c>
      <c r="P172" s="429">
        <v>0</v>
      </c>
      <c r="Q172" s="429">
        <v>0</v>
      </c>
      <c r="R172" s="429">
        <v>295.69342999999998</v>
      </c>
      <c r="S172" s="429">
        <f t="shared" si="13"/>
        <v>295.69342999999998</v>
      </c>
    </row>
    <row r="173" spans="1:19">
      <c r="A173" s="429" t="str">
        <f t="shared" si="15"/>
        <v>KU</v>
      </c>
      <c r="B173" s="429" t="str">
        <f t="shared" si="16"/>
        <v>KY</v>
      </c>
      <c r="C173" s="429" t="str">
        <f t="shared" si="17"/>
        <v>345</v>
      </c>
      <c r="D173" s="430" t="s">
        <v>2207</v>
      </c>
      <c r="E173" s="428" t="str">
        <f t="shared" si="14"/>
        <v/>
      </c>
      <c r="F173" s="429">
        <v>0</v>
      </c>
      <c r="G173" s="429">
        <v>0</v>
      </c>
      <c r="H173" s="429">
        <v>0</v>
      </c>
      <c r="I173" s="429">
        <v>0</v>
      </c>
      <c r="J173" s="429">
        <v>0</v>
      </c>
      <c r="K173" s="429">
        <v>0</v>
      </c>
      <c r="L173" s="429">
        <v>0</v>
      </c>
      <c r="M173" s="429">
        <v>0</v>
      </c>
      <c r="N173" s="429">
        <v>0</v>
      </c>
      <c r="O173" s="429">
        <v>0</v>
      </c>
      <c r="P173" s="429">
        <v>0</v>
      </c>
      <c r="Q173" s="429">
        <v>0</v>
      </c>
      <c r="R173" s="429">
        <v>0</v>
      </c>
      <c r="S173" s="429">
        <f t="shared" si="13"/>
        <v>0</v>
      </c>
    </row>
    <row r="174" spans="1:19">
      <c r="A174" s="429" t="str">
        <f t="shared" si="15"/>
        <v>KU</v>
      </c>
      <c r="B174" s="429" t="str">
        <f t="shared" si="16"/>
        <v>KY</v>
      </c>
      <c r="C174" s="429" t="str">
        <f t="shared" si="17"/>
        <v>345</v>
      </c>
      <c r="D174" s="430" t="s">
        <v>2208</v>
      </c>
      <c r="E174" s="428" t="str">
        <f t="shared" si="14"/>
        <v/>
      </c>
      <c r="F174" s="429">
        <v>0</v>
      </c>
      <c r="G174" s="429">
        <v>0</v>
      </c>
      <c r="H174" s="429">
        <v>0</v>
      </c>
      <c r="I174" s="429">
        <v>0</v>
      </c>
      <c r="J174" s="429">
        <v>0</v>
      </c>
      <c r="K174" s="429">
        <v>0</v>
      </c>
      <c r="L174" s="429">
        <v>0</v>
      </c>
      <c r="M174" s="429">
        <v>0</v>
      </c>
      <c r="N174" s="429">
        <v>1072.492</v>
      </c>
      <c r="O174" s="429">
        <v>42.666739999999997</v>
      </c>
      <c r="P174" s="429">
        <v>42.66666</v>
      </c>
      <c r="Q174" s="429">
        <v>42.66666</v>
      </c>
      <c r="R174" s="429">
        <v>42.66666</v>
      </c>
      <c r="S174" s="429">
        <f t="shared" si="13"/>
        <v>1243.1587200000001</v>
      </c>
    </row>
    <row r="175" spans="1:19">
      <c r="A175" s="429" t="str">
        <f t="shared" si="15"/>
        <v>KU</v>
      </c>
      <c r="B175" s="429" t="str">
        <f t="shared" si="16"/>
        <v>KY</v>
      </c>
      <c r="C175" s="429" t="str">
        <f t="shared" si="17"/>
        <v>346</v>
      </c>
      <c r="D175" s="430" t="s">
        <v>1756</v>
      </c>
      <c r="E175" s="428" t="str">
        <f t="shared" si="14"/>
        <v/>
      </c>
      <c r="F175" s="429">
        <v>443.7097</v>
      </c>
      <c r="G175" s="429">
        <v>0</v>
      </c>
      <c r="H175" s="429">
        <v>11.64526</v>
      </c>
      <c r="I175" s="429">
        <v>0</v>
      </c>
      <c r="J175" s="429">
        <v>0</v>
      </c>
      <c r="K175" s="429">
        <v>2992.8777999999902</v>
      </c>
      <c r="L175" s="429">
        <v>0</v>
      </c>
      <c r="M175" s="429">
        <v>0</v>
      </c>
      <c r="N175" s="429">
        <v>0</v>
      </c>
      <c r="O175" s="429">
        <v>0</v>
      </c>
      <c r="P175" s="429">
        <v>563.91211999999996</v>
      </c>
      <c r="Q175" s="429">
        <v>0</v>
      </c>
      <c r="R175" s="429">
        <v>529.21354999999903</v>
      </c>
      <c r="S175" s="429">
        <f t="shared" si="13"/>
        <v>4097.648729999989</v>
      </c>
    </row>
    <row r="176" spans="1:19">
      <c r="A176" s="429" t="str">
        <f t="shared" si="15"/>
        <v>KU</v>
      </c>
      <c r="B176" s="429" t="str">
        <f t="shared" si="16"/>
        <v>KY</v>
      </c>
      <c r="C176" s="429" t="str">
        <f t="shared" si="17"/>
        <v>346</v>
      </c>
      <c r="D176" s="430" t="s">
        <v>2209</v>
      </c>
      <c r="E176" s="428" t="str">
        <f t="shared" si="14"/>
        <v/>
      </c>
      <c r="F176" s="429">
        <v>0</v>
      </c>
      <c r="G176" s="429">
        <v>0</v>
      </c>
      <c r="H176" s="429">
        <v>278.46645000000001</v>
      </c>
      <c r="I176" s="429">
        <v>0</v>
      </c>
      <c r="J176" s="429">
        <v>0</v>
      </c>
      <c r="K176" s="429">
        <v>177.80076</v>
      </c>
      <c r="L176" s="429">
        <v>0</v>
      </c>
      <c r="M176" s="429">
        <v>0</v>
      </c>
      <c r="N176" s="429">
        <v>0</v>
      </c>
      <c r="O176" s="429">
        <v>0</v>
      </c>
      <c r="P176" s="429">
        <v>0</v>
      </c>
      <c r="Q176" s="429">
        <v>282.16206</v>
      </c>
      <c r="R176" s="429">
        <v>0</v>
      </c>
      <c r="S176" s="429">
        <f t="shared" si="13"/>
        <v>738.42926999999997</v>
      </c>
    </row>
    <row r="177" spans="1:19">
      <c r="A177" s="429" t="str">
        <f t="shared" si="15"/>
        <v>KU</v>
      </c>
      <c r="B177" s="429" t="str">
        <f t="shared" si="16"/>
        <v>KY</v>
      </c>
      <c r="C177" s="429" t="str">
        <f t="shared" si="17"/>
        <v>346</v>
      </c>
      <c r="D177" s="430" t="s">
        <v>2210</v>
      </c>
      <c r="E177" s="428" t="str">
        <f t="shared" si="14"/>
        <v/>
      </c>
      <c r="F177" s="429">
        <v>0</v>
      </c>
      <c r="G177" s="429">
        <v>0</v>
      </c>
      <c r="H177" s="429">
        <v>0</v>
      </c>
      <c r="I177" s="429">
        <v>0</v>
      </c>
      <c r="J177" s="429">
        <v>0</v>
      </c>
      <c r="K177" s="429">
        <v>0</v>
      </c>
      <c r="L177" s="429">
        <v>0</v>
      </c>
      <c r="M177" s="429">
        <v>0</v>
      </c>
      <c r="N177" s="429">
        <v>0</v>
      </c>
      <c r="O177" s="429">
        <v>0</v>
      </c>
      <c r="P177" s="429">
        <v>0</v>
      </c>
      <c r="Q177" s="429">
        <v>0</v>
      </c>
      <c r="R177" s="429">
        <v>0</v>
      </c>
      <c r="S177" s="429">
        <f t="shared" si="13"/>
        <v>0</v>
      </c>
    </row>
    <row r="178" spans="1:19">
      <c r="A178" s="429" t="str">
        <f t="shared" si="15"/>
        <v>KU</v>
      </c>
      <c r="B178" s="429" t="str">
        <f t="shared" si="16"/>
        <v>KY</v>
      </c>
      <c r="C178" s="429" t="str">
        <f t="shared" si="17"/>
        <v>350</v>
      </c>
      <c r="D178" s="430" t="s">
        <v>1757</v>
      </c>
      <c r="E178" s="428" t="str">
        <f t="shared" si="14"/>
        <v/>
      </c>
      <c r="F178" s="429">
        <v>0</v>
      </c>
      <c r="G178" s="429">
        <v>0</v>
      </c>
      <c r="H178" s="429">
        <v>0</v>
      </c>
      <c r="I178" s="429">
        <v>0</v>
      </c>
      <c r="J178" s="429">
        <v>0</v>
      </c>
      <c r="K178" s="429">
        <v>0</v>
      </c>
      <c r="L178" s="429">
        <v>0</v>
      </c>
      <c r="M178" s="429">
        <v>0</v>
      </c>
      <c r="N178" s="429">
        <v>0</v>
      </c>
      <c r="O178" s="429">
        <v>0</v>
      </c>
      <c r="P178" s="429">
        <v>0</v>
      </c>
      <c r="Q178" s="429">
        <v>0</v>
      </c>
      <c r="R178" s="429">
        <v>0</v>
      </c>
      <c r="S178" s="429">
        <f t="shared" si="13"/>
        <v>0</v>
      </c>
    </row>
    <row r="179" spans="1:19">
      <c r="A179" s="429" t="str">
        <f t="shared" si="15"/>
        <v>KU</v>
      </c>
      <c r="B179" s="429" t="str">
        <f t="shared" si="16"/>
        <v>VA</v>
      </c>
      <c r="C179" s="429" t="str">
        <f t="shared" si="17"/>
        <v>350</v>
      </c>
      <c r="D179" s="430" t="s">
        <v>1759</v>
      </c>
      <c r="E179" s="428" t="str">
        <f t="shared" si="14"/>
        <v/>
      </c>
      <c r="F179" s="429">
        <v>0</v>
      </c>
      <c r="G179" s="429">
        <v>0</v>
      </c>
      <c r="H179" s="429">
        <v>0</v>
      </c>
      <c r="I179" s="429">
        <v>0</v>
      </c>
      <c r="J179" s="429">
        <v>0</v>
      </c>
      <c r="K179" s="429">
        <v>0</v>
      </c>
      <c r="L179" s="429">
        <v>0</v>
      </c>
      <c r="M179" s="429">
        <v>0</v>
      </c>
      <c r="N179" s="429">
        <v>315.87085999999999</v>
      </c>
      <c r="O179" s="429">
        <v>0</v>
      </c>
      <c r="P179" s="429">
        <v>0</v>
      </c>
      <c r="Q179" s="429">
        <v>0</v>
      </c>
      <c r="R179" s="429">
        <v>0</v>
      </c>
      <c r="S179" s="429">
        <f t="shared" si="13"/>
        <v>315.87085999999999</v>
      </c>
    </row>
    <row r="180" spans="1:19">
      <c r="A180" s="429" t="str">
        <f t="shared" si="15"/>
        <v>KU</v>
      </c>
      <c r="B180" s="429" t="str">
        <f t="shared" si="16"/>
        <v>KY</v>
      </c>
      <c r="C180" s="429" t="str">
        <f t="shared" si="17"/>
        <v>352</v>
      </c>
      <c r="D180" s="430" t="s">
        <v>1760</v>
      </c>
      <c r="E180" s="428" t="str">
        <f t="shared" si="14"/>
        <v/>
      </c>
      <c r="F180" s="429">
        <v>0</v>
      </c>
      <c r="G180" s="429">
        <v>0</v>
      </c>
      <c r="H180" s="429">
        <v>0</v>
      </c>
      <c r="I180" s="429">
        <v>0</v>
      </c>
      <c r="J180" s="429">
        <v>0</v>
      </c>
      <c r="K180" s="429">
        <v>0</v>
      </c>
      <c r="L180" s="429">
        <v>81.007919999999999</v>
      </c>
      <c r="M180" s="429">
        <v>0</v>
      </c>
      <c r="N180" s="429">
        <v>0</v>
      </c>
      <c r="O180" s="429">
        <v>0</v>
      </c>
      <c r="P180" s="429">
        <v>0</v>
      </c>
      <c r="Q180" s="429">
        <v>0</v>
      </c>
      <c r="R180" s="429">
        <v>0</v>
      </c>
      <c r="S180" s="429">
        <f t="shared" si="13"/>
        <v>81.007919999999999</v>
      </c>
    </row>
    <row r="181" spans="1:19">
      <c r="A181" s="429" t="str">
        <f t="shared" si="15"/>
        <v>KU</v>
      </c>
      <c r="B181" s="429" t="str">
        <f t="shared" si="16"/>
        <v>KY</v>
      </c>
      <c r="C181" s="429" t="str">
        <f t="shared" si="17"/>
        <v>352</v>
      </c>
      <c r="D181" s="430" t="s">
        <v>1761</v>
      </c>
      <c r="E181" s="428" t="str">
        <f t="shared" si="14"/>
        <v/>
      </c>
      <c r="F181" s="429">
        <v>0</v>
      </c>
      <c r="G181" s="429">
        <v>0</v>
      </c>
      <c r="H181" s="429">
        <v>0</v>
      </c>
      <c r="I181" s="429">
        <v>0</v>
      </c>
      <c r="J181" s="429">
        <v>0</v>
      </c>
      <c r="K181" s="429">
        <v>0</v>
      </c>
      <c r="L181" s="429">
        <v>0</v>
      </c>
      <c r="M181" s="429">
        <v>0</v>
      </c>
      <c r="N181" s="429">
        <v>0</v>
      </c>
      <c r="O181" s="429">
        <v>0</v>
      </c>
      <c r="P181" s="429">
        <v>0</v>
      </c>
      <c r="Q181" s="429">
        <v>0</v>
      </c>
      <c r="R181" s="429">
        <v>0</v>
      </c>
      <c r="S181" s="429">
        <f t="shared" si="13"/>
        <v>0</v>
      </c>
    </row>
    <row r="182" spans="1:19">
      <c r="A182" s="429" t="str">
        <f t="shared" si="15"/>
        <v>KU</v>
      </c>
      <c r="B182" s="429" t="str">
        <f t="shared" si="16"/>
        <v>KY</v>
      </c>
      <c r="C182" s="429" t="str">
        <f t="shared" si="17"/>
        <v>353</v>
      </c>
      <c r="D182" s="430" t="s">
        <v>1763</v>
      </c>
      <c r="E182" s="428" t="str">
        <f t="shared" si="14"/>
        <v/>
      </c>
      <c r="F182" s="429">
        <v>2741.6795199999901</v>
      </c>
      <c r="G182" s="429">
        <v>459.55637000000002</v>
      </c>
      <c r="H182" s="429">
        <v>2421.6537499999999</v>
      </c>
      <c r="I182" s="429">
        <v>2701.6459799999998</v>
      </c>
      <c r="J182" s="429">
        <v>140.75534999999999</v>
      </c>
      <c r="K182" s="429">
        <v>512.56587999999999</v>
      </c>
      <c r="L182" s="429">
        <v>246.73818</v>
      </c>
      <c r="M182" s="429">
        <v>160.60336999999899</v>
      </c>
      <c r="N182" s="429">
        <v>19416.605689999898</v>
      </c>
      <c r="O182" s="429">
        <v>264.93893000000003</v>
      </c>
      <c r="P182" s="429">
        <v>489.20477</v>
      </c>
      <c r="Q182" s="429">
        <v>2446.1574099999998</v>
      </c>
      <c r="R182" s="429">
        <v>1321.48245</v>
      </c>
      <c r="S182" s="429">
        <f t="shared" si="13"/>
        <v>30581.908129999898</v>
      </c>
    </row>
    <row r="183" spans="1:19">
      <c r="A183" s="429" t="str">
        <f t="shared" si="15"/>
        <v>KU</v>
      </c>
      <c r="B183" s="429" t="s">
        <v>17</v>
      </c>
      <c r="C183" s="429" t="str">
        <f t="shared" si="17"/>
        <v>353</v>
      </c>
      <c r="D183" s="430" t="s">
        <v>1764</v>
      </c>
      <c r="E183" s="428" t="str">
        <f t="shared" si="14"/>
        <v/>
      </c>
      <c r="F183" s="429">
        <v>0</v>
      </c>
      <c r="G183" s="429">
        <v>0</v>
      </c>
      <c r="H183" s="429">
        <v>0</v>
      </c>
      <c r="I183" s="429">
        <v>0</v>
      </c>
      <c r="J183" s="429">
        <v>0</v>
      </c>
      <c r="K183" s="429">
        <v>0</v>
      </c>
      <c r="L183" s="429">
        <v>0</v>
      </c>
      <c r="M183" s="429">
        <v>0</v>
      </c>
      <c r="N183" s="429">
        <v>0</v>
      </c>
      <c r="O183" s="429">
        <v>0</v>
      </c>
      <c r="P183" s="429">
        <v>0</v>
      </c>
      <c r="Q183" s="429">
        <v>0</v>
      </c>
      <c r="R183" s="429">
        <v>0</v>
      </c>
      <c r="S183" s="429">
        <f t="shared" si="13"/>
        <v>0</v>
      </c>
    </row>
    <row r="184" spans="1:19">
      <c r="A184" s="429" t="str">
        <f t="shared" si="15"/>
        <v>KU</v>
      </c>
      <c r="B184" s="429" t="str">
        <f t="shared" si="16"/>
        <v>VA</v>
      </c>
      <c r="C184" s="429" t="str">
        <f t="shared" si="17"/>
        <v>353</v>
      </c>
      <c r="D184" s="430" t="s">
        <v>1765</v>
      </c>
      <c r="E184" s="428" t="str">
        <f t="shared" si="14"/>
        <v/>
      </c>
      <c r="F184" s="429">
        <v>0</v>
      </c>
      <c r="G184" s="429">
        <v>0</v>
      </c>
      <c r="H184" s="429">
        <v>0</v>
      </c>
      <c r="I184" s="429">
        <v>0</v>
      </c>
      <c r="J184" s="429">
        <v>0</v>
      </c>
      <c r="K184" s="429">
        <v>0</v>
      </c>
      <c r="L184" s="429">
        <v>0</v>
      </c>
      <c r="M184" s="429">
        <v>0</v>
      </c>
      <c r="N184" s="429">
        <v>0</v>
      </c>
      <c r="O184" s="429">
        <v>0</v>
      </c>
      <c r="P184" s="429">
        <v>0</v>
      </c>
      <c r="Q184" s="429">
        <v>0</v>
      </c>
      <c r="R184" s="429">
        <v>0</v>
      </c>
      <c r="S184" s="429">
        <f t="shared" si="13"/>
        <v>0</v>
      </c>
    </row>
    <row r="185" spans="1:19">
      <c r="A185" s="429" t="str">
        <f t="shared" si="15"/>
        <v>KU</v>
      </c>
      <c r="B185" s="429" t="str">
        <f t="shared" si="16"/>
        <v>KY</v>
      </c>
      <c r="C185" s="429" t="str">
        <f t="shared" si="17"/>
        <v>355</v>
      </c>
      <c r="D185" s="430" t="s">
        <v>1768</v>
      </c>
      <c r="E185" s="428" t="str">
        <f t="shared" si="14"/>
        <v/>
      </c>
      <c r="F185" s="429">
        <v>5109.8385799999996</v>
      </c>
      <c r="G185" s="429">
        <v>6463.34537</v>
      </c>
      <c r="H185" s="429">
        <v>3541.7870800000001</v>
      </c>
      <c r="I185" s="429">
        <v>4228.9432499999903</v>
      </c>
      <c r="J185" s="429">
        <v>3457.85851</v>
      </c>
      <c r="K185" s="429">
        <v>2892.0884599999999</v>
      </c>
      <c r="L185" s="429">
        <v>3875.9956099999899</v>
      </c>
      <c r="M185" s="429">
        <v>2707.4368800000002</v>
      </c>
      <c r="N185" s="429">
        <v>25684.6917299999</v>
      </c>
      <c r="O185" s="429">
        <v>8.73292</v>
      </c>
      <c r="P185" s="429">
        <v>4722.0697099999998</v>
      </c>
      <c r="Q185" s="429">
        <v>625.88805000000002</v>
      </c>
      <c r="R185" s="429">
        <v>4960.42526</v>
      </c>
      <c r="S185" s="429">
        <f t="shared" si="13"/>
        <v>63169.262829999891</v>
      </c>
    </row>
    <row r="186" spans="1:19">
      <c r="A186" s="429" t="str">
        <f t="shared" si="15"/>
        <v>KU</v>
      </c>
      <c r="B186" s="429" t="str">
        <f t="shared" si="16"/>
        <v>TN</v>
      </c>
      <c r="C186" s="429" t="str">
        <f t="shared" si="17"/>
        <v>355</v>
      </c>
      <c r="D186" s="430" t="s">
        <v>1769</v>
      </c>
      <c r="E186" s="428" t="str">
        <f t="shared" si="14"/>
        <v/>
      </c>
      <c r="F186" s="429">
        <v>0</v>
      </c>
      <c r="G186" s="429">
        <v>0</v>
      </c>
      <c r="H186" s="429">
        <v>0</v>
      </c>
      <c r="I186" s="429">
        <v>0</v>
      </c>
      <c r="J186" s="429">
        <v>0</v>
      </c>
      <c r="K186" s="429">
        <v>0</v>
      </c>
      <c r="L186" s="429">
        <v>0</v>
      </c>
      <c r="M186" s="429">
        <v>0</v>
      </c>
      <c r="N186" s="429">
        <v>0</v>
      </c>
      <c r="O186" s="429">
        <v>0</v>
      </c>
      <c r="P186" s="429">
        <v>0</v>
      </c>
      <c r="Q186" s="429">
        <v>0</v>
      </c>
      <c r="R186" s="429">
        <v>0</v>
      </c>
      <c r="S186" s="429">
        <f t="shared" si="13"/>
        <v>0</v>
      </c>
    </row>
    <row r="187" spans="1:19">
      <c r="A187" s="429" t="str">
        <f t="shared" si="15"/>
        <v>KU</v>
      </c>
      <c r="B187" s="429" t="str">
        <f t="shared" si="16"/>
        <v>VA</v>
      </c>
      <c r="C187" s="429" t="str">
        <f t="shared" si="17"/>
        <v>355</v>
      </c>
      <c r="D187" s="430" t="s">
        <v>1770</v>
      </c>
      <c r="E187" s="428" t="str">
        <f t="shared" si="14"/>
        <v/>
      </c>
      <c r="F187" s="429">
        <v>0</v>
      </c>
      <c r="G187" s="429">
        <v>0</v>
      </c>
      <c r="H187" s="429">
        <v>504.49635000000001</v>
      </c>
      <c r="I187" s="429">
        <v>0</v>
      </c>
      <c r="J187" s="429">
        <v>0</v>
      </c>
      <c r="K187" s="429">
        <v>0</v>
      </c>
      <c r="L187" s="429">
        <v>0</v>
      </c>
      <c r="M187" s="429">
        <v>0</v>
      </c>
      <c r="N187" s="429">
        <v>0</v>
      </c>
      <c r="O187" s="429">
        <v>0</v>
      </c>
      <c r="P187" s="429">
        <v>0</v>
      </c>
      <c r="Q187" s="429">
        <v>0</v>
      </c>
      <c r="R187" s="429">
        <v>0</v>
      </c>
      <c r="S187" s="429">
        <f t="shared" si="13"/>
        <v>504.49635000000001</v>
      </c>
    </row>
    <row r="188" spans="1:19">
      <c r="A188" s="429" t="str">
        <f t="shared" si="15"/>
        <v>KU</v>
      </c>
      <c r="B188" s="429" t="str">
        <f t="shared" si="16"/>
        <v>KY</v>
      </c>
      <c r="C188" s="429" t="str">
        <f t="shared" si="17"/>
        <v>356</v>
      </c>
      <c r="D188" s="430" t="s">
        <v>1771</v>
      </c>
      <c r="E188" s="428" t="str">
        <f t="shared" si="14"/>
        <v/>
      </c>
      <c r="F188" s="429">
        <v>64.514049999999997</v>
      </c>
      <c r="G188" s="429">
        <v>64.514049999999997</v>
      </c>
      <c r="H188" s="429">
        <v>64.514049999999997</v>
      </c>
      <c r="I188" s="429">
        <v>64.514049999999997</v>
      </c>
      <c r="J188" s="429">
        <v>64.514049999999997</v>
      </c>
      <c r="K188" s="429">
        <v>64.514049999999997</v>
      </c>
      <c r="L188" s="429">
        <v>64.514049999999997</v>
      </c>
      <c r="M188" s="429">
        <v>64.514049999999997</v>
      </c>
      <c r="N188" s="429">
        <v>64.514049999999997</v>
      </c>
      <c r="O188" s="429">
        <v>66.073689999999999</v>
      </c>
      <c r="P188" s="429">
        <v>66.073679999999996</v>
      </c>
      <c r="Q188" s="429">
        <v>66.073679999999996</v>
      </c>
      <c r="R188" s="429">
        <v>4824.6175199999998</v>
      </c>
      <c r="S188" s="429">
        <f t="shared" si="13"/>
        <v>5538.9509699999999</v>
      </c>
    </row>
    <row r="189" spans="1:19">
      <c r="A189" s="429" t="str">
        <f t="shared" si="15"/>
        <v>KU</v>
      </c>
      <c r="B189" s="429" t="str">
        <f t="shared" si="16"/>
        <v>TN</v>
      </c>
      <c r="C189" s="429" t="str">
        <f t="shared" si="17"/>
        <v>356</v>
      </c>
      <c r="D189" s="430" t="s">
        <v>1772</v>
      </c>
      <c r="E189" s="428" t="str">
        <f t="shared" si="14"/>
        <v/>
      </c>
      <c r="F189" s="429">
        <v>0</v>
      </c>
      <c r="G189" s="429">
        <v>0</v>
      </c>
      <c r="H189" s="429">
        <v>0</v>
      </c>
      <c r="I189" s="429">
        <v>0</v>
      </c>
      <c r="J189" s="429">
        <v>0</v>
      </c>
      <c r="K189" s="429">
        <v>0</v>
      </c>
      <c r="L189" s="429">
        <v>0</v>
      </c>
      <c r="M189" s="429">
        <v>0</v>
      </c>
      <c r="N189" s="429">
        <v>0</v>
      </c>
      <c r="O189" s="429">
        <v>0</v>
      </c>
      <c r="P189" s="429">
        <v>0</v>
      </c>
      <c r="Q189" s="429">
        <v>0</v>
      </c>
      <c r="R189" s="429">
        <v>0</v>
      </c>
      <c r="S189" s="429">
        <f t="shared" si="13"/>
        <v>0</v>
      </c>
    </row>
    <row r="190" spans="1:19">
      <c r="A190" s="429" t="str">
        <f t="shared" si="15"/>
        <v>KU</v>
      </c>
      <c r="B190" s="429" t="str">
        <f t="shared" si="16"/>
        <v>VA</v>
      </c>
      <c r="C190" s="429" t="str">
        <f t="shared" si="17"/>
        <v>356</v>
      </c>
      <c r="D190" s="430" t="s">
        <v>1773</v>
      </c>
      <c r="E190" s="428" t="str">
        <f t="shared" si="14"/>
        <v/>
      </c>
      <c r="F190" s="429">
        <v>0</v>
      </c>
      <c r="G190" s="429">
        <v>0</v>
      </c>
      <c r="H190" s="429">
        <v>0</v>
      </c>
      <c r="I190" s="429">
        <v>0</v>
      </c>
      <c r="J190" s="429">
        <v>0</v>
      </c>
      <c r="K190" s="429">
        <v>0</v>
      </c>
      <c r="L190" s="429">
        <v>0</v>
      </c>
      <c r="M190" s="429">
        <v>0</v>
      </c>
      <c r="N190" s="429">
        <v>0</v>
      </c>
      <c r="O190" s="429">
        <v>0</v>
      </c>
      <c r="P190" s="429">
        <v>0</v>
      </c>
      <c r="Q190" s="429">
        <v>0</v>
      </c>
      <c r="R190" s="429">
        <v>0</v>
      </c>
      <c r="S190" s="429">
        <f t="shared" si="13"/>
        <v>0</v>
      </c>
    </row>
    <row r="191" spans="1:19">
      <c r="A191" s="429" t="str">
        <f t="shared" si="15"/>
        <v>KU</v>
      </c>
      <c r="B191" s="429" t="str">
        <f t="shared" si="16"/>
        <v>KY</v>
      </c>
      <c r="C191" s="429" t="str">
        <f t="shared" si="17"/>
        <v>358</v>
      </c>
      <c r="D191" s="430" t="s">
        <v>1775</v>
      </c>
      <c r="E191" s="428" t="str">
        <f t="shared" si="14"/>
        <v/>
      </c>
      <c r="F191" s="429">
        <v>0</v>
      </c>
      <c r="G191" s="429">
        <v>0</v>
      </c>
      <c r="H191" s="429">
        <v>0</v>
      </c>
      <c r="I191" s="429">
        <v>0</v>
      </c>
      <c r="J191" s="429">
        <v>0</v>
      </c>
      <c r="K191" s="429">
        <v>0</v>
      </c>
      <c r="L191" s="429">
        <v>0</v>
      </c>
      <c r="M191" s="429">
        <v>0</v>
      </c>
      <c r="N191" s="429">
        <v>9203.9773699999896</v>
      </c>
      <c r="O191" s="429">
        <v>149.50747999999999</v>
      </c>
      <c r="P191" s="429">
        <v>274.50747999999999</v>
      </c>
      <c r="Q191" s="429">
        <v>274.50747999999999</v>
      </c>
      <c r="R191" s="429">
        <v>0</v>
      </c>
      <c r="S191" s="429">
        <f t="shared" si="13"/>
        <v>9902.4998099999902</v>
      </c>
    </row>
    <row r="192" spans="1:19">
      <c r="A192" s="429" t="str">
        <f t="shared" si="15"/>
        <v>KU</v>
      </c>
      <c r="B192" s="429" t="str">
        <f t="shared" si="16"/>
        <v>KY</v>
      </c>
      <c r="C192" s="429" t="str">
        <f t="shared" si="17"/>
        <v>360</v>
      </c>
      <c r="D192" s="430" t="s">
        <v>1778</v>
      </c>
      <c r="E192" s="428" t="str">
        <f t="shared" si="14"/>
        <v/>
      </c>
      <c r="F192" s="429">
        <v>0</v>
      </c>
      <c r="G192" s="429">
        <v>0</v>
      </c>
      <c r="H192" s="429">
        <v>0</v>
      </c>
      <c r="I192" s="429">
        <v>0</v>
      </c>
      <c r="J192" s="429">
        <v>0</v>
      </c>
      <c r="K192" s="429">
        <v>0</v>
      </c>
      <c r="L192" s="429">
        <v>0</v>
      </c>
      <c r="M192" s="429">
        <v>0</v>
      </c>
      <c r="N192" s="429">
        <v>300.00060999999999</v>
      </c>
      <c r="O192" s="429">
        <v>0</v>
      </c>
      <c r="P192" s="429">
        <v>0</v>
      </c>
      <c r="Q192" s="429">
        <v>0</v>
      </c>
      <c r="R192" s="429">
        <v>0</v>
      </c>
      <c r="S192" s="429">
        <f t="shared" si="13"/>
        <v>300.00060999999999</v>
      </c>
    </row>
    <row r="193" spans="1:19">
      <c r="A193" s="429" t="str">
        <f t="shared" si="15"/>
        <v>KU</v>
      </c>
      <c r="B193" s="429" t="str">
        <f t="shared" si="16"/>
        <v>TN</v>
      </c>
      <c r="C193" s="429" t="str">
        <f t="shared" si="17"/>
        <v>360</v>
      </c>
      <c r="D193" s="430" t="s">
        <v>1779</v>
      </c>
      <c r="E193" s="428" t="str">
        <f t="shared" si="14"/>
        <v/>
      </c>
      <c r="F193" s="429">
        <v>0</v>
      </c>
      <c r="G193" s="429">
        <v>0</v>
      </c>
      <c r="H193" s="429">
        <v>0</v>
      </c>
      <c r="I193" s="429">
        <v>0</v>
      </c>
      <c r="J193" s="429">
        <v>0</v>
      </c>
      <c r="K193" s="429">
        <v>0</v>
      </c>
      <c r="L193" s="429">
        <v>0</v>
      </c>
      <c r="M193" s="429">
        <v>0</v>
      </c>
      <c r="N193" s="429">
        <v>0</v>
      </c>
      <c r="O193" s="429">
        <v>0</v>
      </c>
      <c r="P193" s="429">
        <v>0</v>
      </c>
      <c r="Q193" s="429">
        <v>0</v>
      </c>
      <c r="R193" s="429">
        <v>0</v>
      </c>
      <c r="S193" s="429">
        <f t="shared" si="13"/>
        <v>0</v>
      </c>
    </row>
    <row r="194" spans="1:19">
      <c r="A194" s="429" t="str">
        <f t="shared" si="15"/>
        <v>KU</v>
      </c>
      <c r="B194" s="429" t="str">
        <f t="shared" si="16"/>
        <v>VA</v>
      </c>
      <c r="C194" s="429" t="str">
        <f t="shared" si="17"/>
        <v>360</v>
      </c>
      <c r="D194" s="430" t="s">
        <v>1780</v>
      </c>
      <c r="E194" s="428" t="str">
        <f t="shared" si="14"/>
        <v/>
      </c>
      <c r="F194" s="429">
        <v>0</v>
      </c>
      <c r="G194" s="429">
        <v>0</v>
      </c>
      <c r="H194" s="429">
        <v>0</v>
      </c>
      <c r="I194" s="429">
        <v>0</v>
      </c>
      <c r="J194" s="429">
        <v>0</v>
      </c>
      <c r="K194" s="429">
        <v>0</v>
      </c>
      <c r="L194" s="429">
        <v>0</v>
      </c>
      <c r="M194" s="429">
        <v>0</v>
      </c>
      <c r="N194" s="429">
        <v>0</v>
      </c>
      <c r="O194" s="429">
        <v>0</v>
      </c>
      <c r="P194" s="429">
        <v>0</v>
      </c>
      <c r="Q194" s="429">
        <v>0</v>
      </c>
      <c r="R194" s="429">
        <v>0</v>
      </c>
      <c r="S194" s="429">
        <f t="shared" si="13"/>
        <v>0</v>
      </c>
    </row>
    <row r="195" spans="1:19">
      <c r="A195" s="429" t="str">
        <f t="shared" si="15"/>
        <v>KU</v>
      </c>
      <c r="B195" s="429" t="str">
        <f t="shared" si="16"/>
        <v>KY</v>
      </c>
      <c r="C195" s="429" t="str">
        <f t="shared" si="17"/>
        <v>361</v>
      </c>
      <c r="D195" s="430" t="s">
        <v>1781</v>
      </c>
      <c r="E195" s="428" t="str">
        <f t="shared" si="14"/>
        <v/>
      </c>
      <c r="F195" s="429">
        <v>794.41056000000003</v>
      </c>
      <c r="G195" s="429">
        <v>794.40939000000003</v>
      </c>
      <c r="H195" s="429">
        <v>794.42218000000003</v>
      </c>
      <c r="I195" s="429">
        <v>794.40504999999996</v>
      </c>
      <c r="J195" s="429">
        <v>794.40656000000001</v>
      </c>
      <c r="K195" s="429">
        <v>794.42471</v>
      </c>
      <c r="L195" s="429">
        <v>794.41624000000002</v>
      </c>
      <c r="M195" s="429">
        <v>794.41886</v>
      </c>
      <c r="N195" s="429">
        <v>1480.36169</v>
      </c>
      <c r="O195" s="429">
        <v>708.37676999999996</v>
      </c>
      <c r="P195" s="429">
        <v>708.38319000000001</v>
      </c>
      <c r="Q195" s="429">
        <v>708.37672999999995</v>
      </c>
      <c r="R195" s="429">
        <v>760.25287000000003</v>
      </c>
      <c r="S195" s="429">
        <f t="shared" si="13"/>
        <v>9926.6542399999998</v>
      </c>
    </row>
    <row r="196" spans="1:19">
      <c r="A196" s="429" t="str">
        <f t="shared" si="15"/>
        <v>KU</v>
      </c>
      <c r="B196" s="429" t="str">
        <f t="shared" si="16"/>
        <v>VA</v>
      </c>
      <c r="C196" s="429" t="str">
        <f t="shared" si="17"/>
        <v>361</v>
      </c>
      <c r="D196" s="430" t="s">
        <v>1783</v>
      </c>
      <c r="E196" s="428" t="str">
        <f t="shared" si="14"/>
        <v/>
      </c>
      <c r="F196" s="429">
        <v>0</v>
      </c>
      <c r="G196" s="429">
        <v>0</v>
      </c>
      <c r="H196" s="429">
        <v>0</v>
      </c>
      <c r="I196" s="429">
        <v>0</v>
      </c>
      <c r="J196" s="429">
        <v>0</v>
      </c>
      <c r="K196" s="429">
        <v>0</v>
      </c>
      <c r="L196" s="429">
        <v>0</v>
      </c>
      <c r="M196" s="429">
        <v>0</v>
      </c>
      <c r="N196" s="429">
        <v>0</v>
      </c>
      <c r="O196" s="429">
        <v>0</v>
      </c>
      <c r="P196" s="429">
        <v>0</v>
      </c>
      <c r="Q196" s="429">
        <v>0</v>
      </c>
      <c r="R196" s="429">
        <v>0</v>
      </c>
      <c r="S196" s="429">
        <f t="shared" si="13"/>
        <v>0</v>
      </c>
    </row>
    <row r="197" spans="1:19">
      <c r="A197" s="429" t="str">
        <f t="shared" si="15"/>
        <v>KU</v>
      </c>
      <c r="B197" s="429" t="str">
        <f t="shared" si="16"/>
        <v>KY</v>
      </c>
      <c r="C197" s="429" t="str">
        <f t="shared" si="17"/>
        <v>362</v>
      </c>
      <c r="D197" s="430" t="s">
        <v>1784</v>
      </c>
      <c r="E197" s="428" t="str">
        <f t="shared" si="14"/>
        <v/>
      </c>
      <c r="F197" s="429">
        <v>536.14775999999995</v>
      </c>
      <c r="G197" s="429">
        <v>530.99104</v>
      </c>
      <c r="H197" s="429">
        <v>3184.8396600000001</v>
      </c>
      <c r="I197" s="429">
        <v>851.36220000000003</v>
      </c>
      <c r="J197" s="429">
        <v>847.15220999999997</v>
      </c>
      <c r="K197" s="429">
        <v>2100.4618099999998</v>
      </c>
      <c r="L197" s="429">
        <v>582.42397000000005</v>
      </c>
      <c r="M197" s="429">
        <v>548.77467999999999</v>
      </c>
      <c r="N197" s="429">
        <v>15952.1975799999</v>
      </c>
      <c r="O197" s="429">
        <v>266.66512999999998</v>
      </c>
      <c r="P197" s="429">
        <v>379.76691</v>
      </c>
      <c r="Q197" s="429">
        <v>1843.7780299999999</v>
      </c>
      <c r="R197" s="429">
        <v>665.20045000000005</v>
      </c>
      <c r="S197" s="429">
        <f t="shared" si="13"/>
        <v>27753.613669999901</v>
      </c>
    </row>
    <row r="198" spans="1:19">
      <c r="A198" s="429" t="str">
        <f t="shared" si="15"/>
        <v>KU</v>
      </c>
      <c r="B198" s="429" t="str">
        <f t="shared" si="16"/>
        <v>VA</v>
      </c>
      <c r="C198" s="429" t="str">
        <f t="shared" si="17"/>
        <v>362</v>
      </c>
      <c r="D198" s="430" t="s">
        <v>1786</v>
      </c>
      <c r="E198" s="428" t="str">
        <f t="shared" si="14"/>
        <v/>
      </c>
      <c r="F198" s="429">
        <v>0</v>
      </c>
      <c r="G198" s="429">
        <v>0</v>
      </c>
      <c r="H198" s="429">
        <v>0</v>
      </c>
      <c r="I198" s="429">
        <v>0</v>
      </c>
      <c r="J198" s="429">
        <v>0</v>
      </c>
      <c r="K198" s="429">
        <v>0</v>
      </c>
      <c r="L198" s="429">
        <v>0</v>
      </c>
      <c r="M198" s="429">
        <v>0</v>
      </c>
      <c r="N198" s="429">
        <v>0</v>
      </c>
      <c r="O198" s="429">
        <v>0</v>
      </c>
      <c r="P198" s="429">
        <v>0</v>
      </c>
      <c r="Q198" s="429">
        <v>0</v>
      </c>
      <c r="R198" s="429">
        <v>0</v>
      </c>
      <c r="S198" s="429">
        <f t="shared" si="13"/>
        <v>0</v>
      </c>
    </row>
    <row r="199" spans="1:19">
      <c r="A199" s="429" t="str">
        <f t="shared" si="15"/>
        <v>KU</v>
      </c>
      <c r="B199" s="429" t="str">
        <f t="shared" si="16"/>
        <v>KY</v>
      </c>
      <c r="C199" s="429" t="str">
        <f t="shared" si="17"/>
        <v>364</v>
      </c>
      <c r="D199" s="430" t="s">
        <v>1787</v>
      </c>
      <c r="E199" s="428" t="str">
        <f t="shared" si="14"/>
        <v/>
      </c>
      <c r="F199" s="429">
        <v>1823.2602199999999</v>
      </c>
      <c r="G199" s="429">
        <v>1868.9233300000001</v>
      </c>
      <c r="H199" s="429">
        <v>1823.4706000000001</v>
      </c>
      <c r="I199" s="429">
        <v>2046.27323</v>
      </c>
      <c r="J199" s="429">
        <v>2238.0825099999902</v>
      </c>
      <c r="K199" s="429">
        <v>2214.99667</v>
      </c>
      <c r="L199" s="429">
        <v>1795.52964</v>
      </c>
      <c r="M199" s="429">
        <v>1403.59061</v>
      </c>
      <c r="N199" s="429">
        <v>1382.2339299999901</v>
      </c>
      <c r="O199" s="429">
        <v>1382.9018699999999</v>
      </c>
      <c r="P199" s="429">
        <v>1380.0836300000001</v>
      </c>
      <c r="Q199" s="429">
        <v>1730.6834899999999</v>
      </c>
      <c r="R199" s="429">
        <v>1843.98847</v>
      </c>
      <c r="S199" s="429">
        <f t="shared" si="13"/>
        <v>21110.75797999998</v>
      </c>
    </row>
    <row r="200" spans="1:19">
      <c r="A200" s="429" t="str">
        <f t="shared" si="15"/>
        <v>KU</v>
      </c>
      <c r="B200" s="429" t="str">
        <f t="shared" si="16"/>
        <v>VA</v>
      </c>
      <c r="C200" s="429" t="str">
        <f t="shared" si="17"/>
        <v>364</v>
      </c>
      <c r="D200" s="430" t="s">
        <v>1789</v>
      </c>
      <c r="E200" s="428" t="str">
        <f t="shared" si="14"/>
        <v/>
      </c>
      <c r="F200" s="429">
        <v>32.330829999999999</v>
      </c>
      <c r="G200" s="429">
        <v>37.000349999999997</v>
      </c>
      <c r="H200" s="429">
        <v>27.80753</v>
      </c>
      <c r="I200" s="429">
        <v>41.831330000000001</v>
      </c>
      <c r="J200" s="429">
        <v>32.215699999999998</v>
      </c>
      <c r="K200" s="429">
        <v>31.52778</v>
      </c>
      <c r="L200" s="429">
        <v>33.24803</v>
      </c>
      <c r="M200" s="429">
        <v>28.103079999999999</v>
      </c>
      <c r="N200" s="429">
        <v>24.11449</v>
      </c>
      <c r="O200" s="429">
        <v>33.493659999999998</v>
      </c>
      <c r="P200" s="429">
        <v>27.34281</v>
      </c>
      <c r="Q200" s="429">
        <v>30.764980000000001</v>
      </c>
      <c r="R200" s="429">
        <v>34.395189999999999</v>
      </c>
      <c r="S200" s="429">
        <f t="shared" si="13"/>
        <v>381.84492999999998</v>
      </c>
    </row>
    <row r="201" spans="1:19">
      <c r="A201" s="429" t="str">
        <f t="shared" si="15"/>
        <v>KU</v>
      </c>
      <c r="B201" s="429" t="str">
        <f t="shared" si="16"/>
        <v>KY</v>
      </c>
      <c r="C201" s="429" t="str">
        <f t="shared" si="17"/>
        <v>365</v>
      </c>
      <c r="D201" s="430" t="s">
        <v>1790</v>
      </c>
      <c r="E201" s="428" t="str">
        <f t="shared" si="14"/>
        <v/>
      </c>
      <c r="F201" s="429">
        <v>2249.3645499999898</v>
      </c>
      <c r="G201" s="429">
        <v>2690.47034999999</v>
      </c>
      <c r="H201" s="429">
        <v>2608.5538999999899</v>
      </c>
      <c r="I201" s="429">
        <v>2885.4934599999901</v>
      </c>
      <c r="J201" s="429">
        <v>4317.4507099999901</v>
      </c>
      <c r="K201" s="429">
        <v>2178.3167199999998</v>
      </c>
      <c r="L201" s="429">
        <v>1988.8864599999999</v>
      </c>
      <c r="M201" s="429">
        <v>2063.2681699999998</v>
      </c>
      <c r="N201" s="429">
        <v>4101.7508199999902</v>
      </c>
      <c r="O201" s="429">
        <v>1982.6032499999999</v>
      </c>
      <c r="P201" s="429">
        <v>1895.54591</v>
      </c>
      <c r="Q201" s="429">
        <v>2291.6704999999902</v>
      </c>
      <c r="R201" s="429">
        <v>2083.1048799999999</v>
      </c>
      <c r="S201" s="429">
        <f t="shared" si="13"/>
        <v>31087.11512999994</v>
      </c>
    </row>
    <row r="202" spans="1:19">
      <c r="A202" s="429" t="str">
        <f t="shared" si="15"/>
        <v>KU</v>
      </c>
      <c r="B202" s="429" t="str">
        <f t="shared" si="16"/>
        <v>VA</v>
      </c>
      <c r="C202" s="429" t="str">
        <f t="shared" si="17"/>
        <v>365</v>
      </c>
      <c r="D202" s="430" t="s">
        <v>1792</v>
      </c>
      <c r="E202" s="428" t="str">
        <f t="shared" si="14"/>
        <v/>
      </c>
      <c r="F202" s="429">
        <v>107.59768</v>
      </c>
      <c r="G202" s="429">
        <v>130.15244999999999</v>
      </c>
      <c r="H202" s="429">
        <v>137.15516</v>
      </c>
      <c r="I202" s="429">
        <v>376.47131000000002</v>
      </c>
      <c r="J202" s="429">
        <v>132.09001000000001</v>
      </c>
      <c r="K202" s="429">
        <v>109.72515</v>
      </c>
      <c r="L202" s="429">
        <v>130.06908000000001</v>
      </c>
      <c r="M202" s="429">
        <v>93.404229999999998</v>
      </c>
      <c r="N202" s="429">
        <v>81.472070000000002</v>
      </c>
      <c r="O202" s="429">
        <v>136.62661</v>
      </c>
      <c r="P202" s="429">
        <v>116.425359999999</v>
      </c>
      <c r="Q202" s="429">
        <v>97.302679999999995</v>
      </c>
      <c r="R202" s="429">
        <v>107.51296000000001</v>
      </c>
      <c r="S202" s="429">
        <f t="shared" si="13"/>
        <v>1648.4070699999991</v>
      </c>
    </row>
    <row r="203" spans="1:19">
      <c r="A203" s="429" t="str">
        <f t="shared" si="15"/>
        <v>KU</v>
      </c>
      <c r="B203" s="429" t="str">
        <f t="shared" si="16"/>
        <v>KY</v>
      </c>
      <c r="C203" s="429" t="str">
        <f t="shared" si="17"/>
        <v>367</v>
      </c>
      <c r="D203" s="430" t="s">
        <v>1794</v>
      </c>
      <c r="E203" s="428" t="str">
        <f t="shared" si="14"/>
        <v/>
      </c>
      <c r="F203" s="429">
        <v>1228.5431599999999</v>
      </c>
      <c r="G203" s="429">
        <v>1411.6814999999999</v>
      </c>
      <c r="H203" s="429">
        <v>1226.9065399999999</v>
      </c>
      <c r="I203" s="429">
        <v>1467.0645399999901</v>
      </c>
      <c r="J203" s="429">
        <v>1400.9813999999899</v>
      </c>
      <c r="K203" s="429">
        <v>1261.29854999999</v>
      </c>
      <c r="L203" s="429">
        <v>2682.40201999999</v>
      </c>
      <c r="M203" s="429">
        <v>1156.0389299999999</v>
      </c>
      <c r="N203" s="429">
        <v>2099.7858999999899</v>
      </c>
      <c r="O203" s="429">
        <v>1357.3092200000001</v>
      </c>
      <c r="P203" s="429">
        <v>1215.37859</v>
      </c>
      <c r="Q203" s="429">
        <v>1298.8629999999901</v>
      </c>
      <c r="R203" s="429">
        <v>1264.30061</v>
      </c>
      <c r="S203" s="429">
        <f t="shared" si="13"/>
        <v>17842.010799999938</v>
      </c>
    </row>
    <row r="204" spans="1:19">
      <c r="A204" s="429" t="str">
        <f t="shared" si="15"/>
        <v>KU</v>
      </c>
      <c r="B204" s="429" t="str">
        <f t="shared" si="16"/>
        <v>VA</v>
      </c>
      <c r="C204" s="429" t="str">
        <f t="shared" si="17"/>
        <v>367</v>
      </c>
      <c r="D204" s="430" t="s">
        <v>1795</v>
      </c>
      <c r="E204" s="428" t="str">
        <f t="shared" si="14"/>
        <v/>
      </c>
      <c r="F204" s="429">
        <v>33.941019999999902</v>
      </c>
      <c r="G204" s="429">
        <v>52.366340000000001</v>
      </c>
      <c r="H204" s="429">
        <v>30.28706</v>
      </c>
      <c r="I204" s="429">
        <v>54.253419999999998</v>
      </c>
      <c r="J204" s="429">
        <v>61.024560000000001</v>
      </c>
      <c r="K204" s="429">
        <v>38.951819999999998</v>
      </c>
      <c r="L204" s="429">
        <v>61.417499999999997</v>
      </c>
      <c r="M204" s="429">
        <v>29.550529999999998</v>
      </c>
      <c r="N204" s="429">
        <v>18.703129999999899</v>
      </c>
      <c r="O204" s="429">
        <v>58.822749999999999</v>
      </c>
      <c r="P204" s="429">
        <v>44.935360000000003</v>
      </c>
      <c r="Q204" s="429">
        <v>51.268459999999997</v>
      </c>
      <c r="R204" s="429">
        <v>37.257239999999904</v>
      </c>
      <c r="S204" s="429">
        <f t="shared" si="13"/>
        <v>538.83816999999976</v>
      </c>
    </row>
    <row r="205" spans="1:19">
      <c r="A205" s="429" t="str">
        <f t="shared" si="15"/>
        <v>KU</v>
      </c>
      <c r="B205" s="429" t="str">
        <f t="shared" si="16"/>
        <v>KY</v>
      </c>
      <c r="C205" s="429" t="str">
        <f t="shared" si="17"/>
        <v>368</v>
      </c>
      <c r="D205" s="430" t="s">
        <v>1796</v>
      </c>
      <c r="E205" s="428" t="str">
        <f t="shared" si="14"/>
        <v/>
      </c>
      <c r="F205" s="429">
        <v>740.83257000000003</v>
      </c>
      <c r="G205" s="429">
        <v>958.71321999999998</v>
      </c>
      <c r="H205" s="429">
        <v>924.29872</v>
      </c>
      <c r="I205" s="429">
        <v>833.56134999999995</v>
      </c>
      <c r="J205" s="429">
        <v>883.12023999999997</v>
      </c>
      <c r="K205" s="429">
        <v>963.42675999999994</v>
      </c>
      <c r="L205" s="429">
        <v>1173.41671</v>
      </c>
      <c r="M205" s="429">
        <v>897.13620000000003</v>
      </c>
      <c r="N205" s="429">
        <v>954.23469999999998</v>
      </c>
      <c r="O205" s="429">
        <v>428.23283999999899</v>
      </c>
      <c r="P205" s="429">
        <v>893.60416999999995</v>
      </c>
      <c r="Q205" s="429">
        <v>903.48614999999995</v>
      </c>
      <c r="R205" s="429">
        <v>764.52068999999904</v>
      </c>
      <c r="S205" s="429">
        <f t="shared" si="13"/>
        <v>10577.751749999999</v>
      </c>
    </row>
    <row r="206" spans="1:19">
      <c r="A206" s="429" t="str">
        <f t="shared" si="15"/>
        <v>KU</v>
      </c>
      <c r="B206" s="429" t="str">
        <f t="shared" si="16"/>
        <v>VA</v>
      </c>
      <c r="C206" s="429" t="str">
        <f t="shared" si="17"/>
        <v>368</v>
      </c>
      <c r="D206" s="430" t="s">
        <v>1798</v>
      </c>
      <c r="E206" s="428" t="str">
        <f t="shared" si="14"/>
        <v/>
      </c>
      <c r="F206" s="429">
        <v>3.5702500000000001</v>
      </c>
      <c r="G206" s="429">
        <v>7.1404899999999998</v>
      </c>
      <c r="H206" s="429">
        <v>3.5702500000000001</v>
      </c>
      <c r="I206" s="429">
        <v>6.3898200000000003</v>
      </c>
      <c r="J206" s="429">
        <v>4.5632900000000003</v>
      </c>
      <c r="K206" s="429">
        <v>4.8588500000000003</v>
      </c>
      <c r="L206" s="429">
        <v>8.13354</v>
      </c>
      <c r="M206" s="429">
        <v>3.5702500000000001</v>
      </c>
      <c r="N206" s="429">
        <v>2.28165</v>
      </c>
      <c r="O206" s="429">
        <v>5.8130899999999999</v>
      </c>
      <c r="P206" s="429">
        <v>5.8130899999999999</v>
      </c>
      <c r="Q206" s="429">
        <v>5.8130899999999999</v>
      </c>
      <c r="R206" s="429">
        <v>2.27224</v>
      </c>
      <c r="S206" s="429">
        <f t="shared" si="13"/>
        <v>60.219650000000016</v>
      </c>
    </row>
    <row r="207" spans="1:19">
      <c r="A207" s="429" t="str">
        <f t="shared" si="15"/>
        <v>KU</v>
      </c>
      <c r="B207" s="429" t="str">
        <f t="shared" si="16"/>
        <v>KY</v>
      </c>
      <c r="C207" s="429" t="str">
        <f t="shared" si="17"/>
        <v>369</v>
      </c>
      <c r="D207" s="430" t="s">
        <v>1799</v>
      </c>
      <c r="E207" s="428" t="str">
        <f t="shared" si="14"/>
        <v/>
      </c>
      <c r="F207" s="429">
        <v>0</v>
      </c>
      <c r="G207" s="429">
        <v>0</v>
      </c>
      <c r="H207" s="429">
        <v>0</v>
      </c>
      <c r="I207" s="429">
        <v>0</v>
      </c>
      <c r="J207" s="429">
        <v>0</v>
      </c>
      <c r="K207" s="429">
        <v>0</v>
      </c>
      <c r="L207" s="429">
        <v>0</v>
      </c>
      <c r="M207" s="429">
        <v>0</v>
      </c>
      <c r="N207" s="429">
        <v>56</v>
      </c>
      <c r="O207" s="429">
        <v>0</v>
      </c>
      <c r="P207" s="429">
        <v>0</v>
      </c>
      <c r="Q207" s="429">
        <v>0</v>
      </c>
      <c r="R207" s="429">
        <v>0</v>
      </c>
      <c r="S207" s="429">
        <f t="shared" ref="S207:S277" si="18">SUM(G207:R207)</f>
        <v>56</v>
      </c>
    </row>
    <row r="208" spans="1:19">
      <c r="A208" s="429" t="str">
        <f t="shared" si="15"/>
        <v>KU</v>
      </c>
      <c r="B208" s="429" t="str">
        <f t="shared" si="16"/>
        <v>KY</v>
      </c>
      <c r="C208" s="429" t="str">
        <f t="shared" si="17"/>
        <v>370</v>
      </c>
      <c r="D208" s="430" t="s">
        <v>1802</v>
      </c>
      <c r="E208" s="428" t="str">
        <f t="shared" si="14"/>
        <v/>
      </c>
      <c r="F208" s="429">
        <v>142.39583999999999</v>
      </c>
      <c r="G208" s="429">
        <v>148.08948999999899</v>
      </c>
      <c r="H208" s="429">
        <v>143.23506</v>
      </c>
      <c r="I208" s="429">
        <v>139.13122000000001</v>
      </c>
      <c r="J208" s="429">
        <v>146.86748</v>
      </c>
      <c r="K208" s="429">
        <v>99.192530000000005</v>
      </c>
      <c r="L208" s="429">
        <v>138.69210999999899</v>
      </c>
      <c r="M208" s="429">
        <v>149.93474000000001</v>
      </c>
      <c r="N208" s="429">
        <v>864.73242000000005</v>
      </c>
      <c r="O208" s="429">
        <v>63.529989999999998</v>
      </c>
      <c r="P208" s="429">
        <v>234.75963999999999</v>
      </c>
      <c r="Q208" s="429">
        <v>102.59941000000001</v>
      </c>
      <c r="R208" s="429">
        <v>148.64314999999999</v>
      </c>
      <c r="S208" s="429">
        <f t="shared" si="18"/>
        <v>2379.4072399999977</v>
      </c>
    </row>
    <row r="209" spans="1:19">
      <c r="A209" s="429" t="str">
        <f t="shared" si="15"/>
        <v>KU</v>
      </c>
      <c r="B209" s="429" t="str">
        <f t="shared" si="16"/>
        <v>KY</v>
      </c>
      <c r="C209" s="429" t="str">
        <f t="shared" si="17"/>
        <v>370</v>
      </c>
      <c r="D209" s="430" t="s">
        <v>2508</v>
      </c>
      <c r="E209" s="428" t="str">
        <f t="shared" si="14"/>
        <v>DSM</v>
      </c>
      <c r="F209" s="429">
        <v>0</v>
      </c>
      <c r="G209" s="429">
        <v>0</v>
      </c>
      <c r="H209" s="429">
        <v>0</v>
      </c>
      <c r="I209" s="429">
        <v>0</v>
      </c>
      <c r="J209" s="429">
        <v>0</v>
      </c>
      <c r="K209" s="429">
        <v>0</v>
      </c>
      <c r="L209" s="429">
        <v>0</v>
      </c>
      <c r="M209" s="429">
        <v>0</v>
      </c>
      <c r="N209" s="429">
        <v>0</v>
      </c>
      <c r="O209" s="429">
        <v>0</v>
      </c>
      <c r="P209" s="429">
        <v>0</v>
      </c>
      <c r="Q209" s="429">
        <v>0</v>
      </c>
      <c r="R209" s="429">
        <v>0</v>
      </c>
      <c r="S209" s="429">
        <f t="shared" si="18"/>
        <v>0</v>
      </c>
    </row>
    <row r="210" spans="1:19">
      <c r="A210" s="429" t="str">
        <f t="shared" si="15"/>
        <v>KU</v>
      </c>
      <c r="B210" s="429" t="str">
        <f t="shared" si="16"/>
        <v>VA</v>
      </c>
      <c r="C210" s="429" t="str">
        <f t="shared" si="17"/>
        <v>370</v>
      </c>
      <c r="D210" s="430" t="s">
        <v>1804</v>
      </c>
      <c r="F210" s="429">
        <v>0</v>
      </c>
      <c r="G210" s="429">
        <v>0</v>
      </c>
      <c r="H210" s="429">
        <v>0</v>
      </c>
      <c r="I210" s="429">
        <v>0</v>
      </c>
      <c r="J210" s="429">
        <v>0</v>
      </c>
      <c r="K210" s="429">
        <v>0</v>
      </c>
      <c r="L210" s="429">
        <v>0</v>
      </c>
      <c r="M210" s="429">
        <v>0</v>
      </c>
      <c r="N210" s="429">
        <v>0</v>
      </c>
      <c r="O210" s="429">
        <v>0</v>
      </c>
      <c r="P210" s="429">
        <v>0</v>
      </c>
      <c r="Q210" s="429">
        <v>0</v>
      </c>
      <c r="R210" s="429">
        <v>0</v>
      </c>
      <c r="S210" s="429">
        <f t="shared" si="18"/>
        <v>0</v>
      </c>
    </row>
    <row r="211" spans="1:19">
      <c r="A211" s="429" t="str">
        <f t="shared" si="15"/>
        <v>KU</v>
      </c>
      <c r="B211" s="429" t="str">
        <f t="shared" si="16"/>
        <v>KY</v>
      </c>
      <c r="C211" s="429" t="str">
        <f t="shared" si="17"/>
        <v>371</v>
      </c>
      <c r="D211" s="430" t="s">
        <v>1805</v>
      </c>
      <c r="E211" s="428" t="str">
        <f t="shared" si="14"/>
        <v/>
      </c>
      <c r="F211" s="429">
        <v>0</v>
      </c>
      <c r="G211" s="429">
        <v>0</v>
      </c>
      <c r="H211" s="429">
        <v>0</v>
      </c>
      <c r="I211" s="429">
        <v>0</v>
      </c>
      <c r="J211" s="429">
        <v>0</v>
      </c>
      <c r="K211" s="429">
        <v>0</v>
      </c>
      <c r="L211" s="429">
        <v>0</v>
      </c>
      <c r="M211" s="429">
        <v>0</v>
      </c>
      <c r="N211" s="429">
        <v>0</v>
      </c>
      <c r="O211" s="429">
        <v>0</v>
      </c>
      <c r="P211" s="429">
        <v>0</v>
      </c>
      <c r="Q211" s="429">
        <v>0</v>
      </c>
      <c r="R211" s="429">
        <v>0</v>
      </c>
      <c r="S211" s="429">
        <f t="shared" si="18"/>
        <v>0</v>
      </c>
    </row>
    <row r="212" spans="1:19">
      <c r="A212" s="429" t="str">
        <f t="shared" si="15"/>
        <v>KU</v>
      </c>
      <c r="B212" s="429" t="str">
        <f t="shared" si="16"/>
        <v>KY</v>
      </c>
      <c r="C212" s="429" t="str">
        <f t="shared" si="17"/>
        <v>371</v>
      </c>
      <c r="D212" s="430" t="s">
        <v>2674</v>
      </c>
      <c r="E212" s="428" t="str">
        <f t="shared" si="14"/>
        <v/>
      </c>
      <c r="F212" s="429">
        <v>0</v>
      </c>
      <c r="G212" s="429">
        <v>0</v>
      </c>
      <c r="H212" s="429">
        <v>0</v>
      </c>
      <c r="I212" s="429">
        <v>0</v>
      </c>
      <c r="J212" s="429">
        <v>0</v>
      </c>
      <c r="K212" s="429">
        <v>0</v>
      </c>
      <c r="L212" s="429">
        <v>0</v>
      </c>
      <c r="M212" s="429">
        <v>0</v>
      </c>
      <c r="N212" s="429">
        <v>0</v>
      </c>
      <c r="O212" s="429">
        <v>0</v>
      </c>
      <c r="P212" s="429">
        <v>0</v>
      </c>
      <c r="Q212" s="429">
        <v>0</v>
      </c>
      <c r="R212" s="429">
        <v>0</v>
      </c>
      <c r="S212" s="429">
        <f t="shared" si="18"/>
        <v>0</v>
      </c>
    </row>
    <row r="213" spans="1:19">
      <c r="A213" s="429" t="str">
        <f t="shared" si="15"/>
        <v>KU</v>
      </c>
      <c r="B213" s="429" t="str">
        <f t="shared" si="16"/>
        <v>KY</v>
      </c>
      <c r="C213" s="429" t="str">
        <f t="shared" si="17"/>
        <v>373</v>
      </c>
      <c r="D213" s="430" t="s">
        <v>1806</v>
      </c>
      <c r="E213" s="428" t="str">
        <f t="shared" si="14"/>
        <v/>
      </c>
      <c r="F213" s="429">
        <v>590.07131999999899</v>
      </c>
      <c r="G213" s="429">
        <v>621.81748000000005</v>
      </c>
      <c r="H213" s="429">
        <v>638.97104000000002</v>
      </c>
      <c r="I213" s="429">
        <v>651.79471999999896</v>
      </c>
      <c r="J213" s="429">
        <v>644.94817999999998</v>
      </c>
      <c r="K213" s="429">
        <v>610.52405999999996</v>
      </c>
      <c r="L213" s="429">
        <v>659.48260000000005</v>
      </c>
      <c r="M213" s="429">
        <v>601.09648999999899</v>
      </c>
      <c r="N213" s="429">
        <v>597.02360999999996</v>
      </c>
      <c r="O213" s="429">
        <v>670.17752999999902</v>
      </c>
      <c r="P213" s="429">
        <v>605.82853999999998</v>
      </c>
      <c r="Q213" s="429">
        <v>659.22239999999999</v>
      </c>
      <c r="R213" s="429">
        <v>612.24887000000001</v>
      </c>
      <c r="S213" s="429">
        <f t="shared" si="18"/>
        <v>7573.135519999998</v>
      </c>
    </row>
    <row r="214" spans="1:19">
      <c r="A214" s="429" t="str">
        <f t="shared" si="15"/>
        <v>KU</v>
      </c>
      <c r="B214" s="429" t="str">
        <f t="shared" si="16"/>
        <v>VA</v>
      </c>
      <c r="C214" s="429" t="str">
        <f t="shared" si="17"/>
        <v>373</v>
      </c>
      <c r="D214" s="430" t="s">
        <v>1807</v>
      </c>
      <c r="E214" s="428" t="str">
        <f t="shared" si="14"/>
        <v/>
      </c>
      <c r="F214" s="429">
        <v>14.28098</v>
      </c>
      <c r="G214" s="429">
        <v>19.13983</v>
      </c>
      <c r="H214" s="429">
        <v>16.858180000000001</v>
      </c>
      <c r="I214" s="429">
        <v>20.428429999999999</v>
      </c>
      <c r="J214" s="429">
        <v>21.421479999999999</v>
      </c>
      <c r="K214" s="429">
        <v>19.13984</v>
      </c>
      <c r="L214" s="429">
        <v>15.56958</v>
      </c>
      <c r="M214" s="429">
        <v>11.00629</v>
      </c>
      <c r="N214" s="429">
        <v>9.7177000000000007</v>
      </c>
      <c r="O214" s="429">
        <v>21.245059999999999</v>
      </c>
      <c r="P214" s="429">
        <v>19.976469999999999</v>
      </c>
      <c r="Q214" s="429">
        <v>21.245069999999998</v>
      </c>
      <c r="R214" s="429">
        <v>16.43562</v>
      </c>
      <c r="S214" s="429">
        <f t="shared" si="18"/>
        <v>212.18355000000003</v>
      </c>
    </row>
    <row r="215" spans="1:19">
      <c r="A215" s="429" t="str">
        <f t="shared" si="15"/>
        <v>KU</v>
      </c>
      <c r="B215" s="429" t="str">
        <f t="shared" si="16"/>
        <v>KY</v>
      </c>
      <c r="C215" s="429" t="str">
        <f t="shared" si="17"/>
        <v>389</v>
      </c>
      <c r="D215" s="430" t="s">
        <v>1809</v>
      </c>
      <c r="E215" s="428" t="str">
        <f t="shared" si="14"/>
        <v/>
      </c>
      <c r="F215" s="429">
        <v>0</v>
      </c>
      <c r="G215" s="429">
        <v>0</v>
      </c>
      <c r="H215" s="429">
        <v>0</v>
      </c>
      <c r="I215" s="429">
        <v>0</v>
      </c>
      <c r="J215" s="429">
        <v>0</v>
      </c>
      <c r="K215" s="429">
        <v>0</v>
      </c>
      <c r="L215" s="429">
        <v>0</v>
      </c>
      <c r="M215" s="429">
        <v>643.16093000000001</v>
      </c>
      <c r="N215" s="429">
        <v>20.000540000000001</v>
      </c>
      <c r="O215" s="429">
        <v>0</v>
      </c>
      <c r="P215" s="429">
        <v>0</v>
      </c>
      <c r="Q215" s="429">
        <v>0</v>
      </c>
      <c r="R215" s="429">
        <v>0</v>
      </c>
      <c r="S215" s="429">
        <f t="shared" si="18"/>
        <v>663.16147000000001</v>
      </c>
    </row>
    <row r="216" spans="1:19">
      <c r="A216" s="429" t="str">
        <f t="shared" si="15"/>
        <v>KU</v>
      </c>
      <c r="B216" s="429" t="str">
        <f t="shared" si="16"/>
        <v>VA</v>
      </c>
      <c r="C216" s="429" t="str">
        <f t="shared" si="17"/>
        <v>389</v>
      </c>
      <c r="D216" s="430" t="s">
        <v>1810</v>
      </c>
      <c r="E216" s="428" t="str">
        <f t="shared" si="14"/>
        <v/>
      </c>
      <c r="F216" s="429">
        <v>0</v>
      </c>
      <c r="G216" s="429">
        <v>0</v>
      </c>
      <c r="H216" s="429">
        <v>0</v>
      </c>
      <c r="I216" s="429">
        <v>0</v>
      </c>
      <c r="J216" s="429">
        <v>0</v>
      </c>
      <c r="K216" s="429">
        <v>0</v>
      </c>
      <c r="L216" s="429">
        <v>0</v>
      </c>
      <c r="M216" s="429">
        <v>0</v>
      </c>
      <c r="N216" s="429">
        <v>0</v>
      </c>
      <c r="O216" s="429">
        <v>0</v>
      </c>
      <c r="P216" s="429">
        <v>0</v>
      </c>
      <c r="Q216" s="429">
        <v>0</v>
      </c>
      <c r="R216" s="429">
        <v>0</v>
      </c>
      <c r="S216" s="429">
        <f t="shared" si="18"/>
        <v>0</v>
      </c>
    </row>
    <row r="217" spans="1:19">
      <c r="A217" s="429" t="str">
        <f t="shared" si="15"/>
        <v>KU</v>
      </c>
      <c r="B217" s="429" t="str">
        <f t="shared" si="16"/>
        <v>KY</v>
      </c>
      <c r="C217" s="429" t="str">
        <f t="shared" si="17"/>
        <v>390</v>
      </c>
      <c r="D217" s="430" t="s">
        <v>1811</v>
      </c>
      <c r="E217" s="428" t="str">
        <f t="shared" ref="E217:E280" si="19">IF(ISTEXT(MID($D217,SEARCH("FUTURE USE",$D217),3)),"FUTURE USE",IF(ISTEXT(MID($D217,SEARCH("ECR",$D217),3)),"ECR",IF(ISTEXT(MID($D217,SEARCH("ARO",$D217),3)),"ARO",IF(ISTEXT(MID($D217,SEARCH("DSM",$D217),3)),"DSM",""))))</f>
        <v/>
      </c>
      <c r="F217" s="429">
        <v>0</v>
      </c>
      <c r="G217" s="429">
        <v>0</v>
      </c>
      <c r="H217" s="429">
        <v>0</v>
      </c>
      <c r="I217" s="429">
        <v>0</v>
      </c>
      <c r="J217" s="429">
        <v>0</v>
      </c>
      <c r="K217" s="429">
        <v>0</v>
      </c>
      <c r="L217" s="429">
        <v>0</v>
      </c>
      <c r="M217" s="429">
        <v>0</v>
      </c>
      <c r="N217" s="429">
        <v>0</v>
      </c>
      <c r="O217" s="429">
        <v>0</v>
      </c>
      <c r="P217" s="429">
        <v>0</v>
      </c>
      <c r="Q217" s="429">
        <v>0</v>
      </c>
      <c r="R217" s="429">
        <v>0</v>
      </c>
      <c r="S217" s="429">
        <f t="shared" si="18"/>
        <v>0</v>
      </c>
    </row>
    <row r="218" spans="1:19">
      <c r="A218" s="429" t="str">
        <f t="shared" si="15"/>
        <v>KU</v>
      </c>
      <c r="B218" s="429" t="str">
        <f t="shared" si="16"/>
        <v>KY</v>
      </c>
      <c r="C218" s="429" t="str">
        <f t="shared" si="17"/>
        <v>390</v>
      </c>
      <c r="D218" s="430" t="s">
        <v>1812</v>
      </c>
      <c r="E218" s="428" t="str">
        <f t="shared" si="19"/>
        <v/>
      </c>
      <c r="F218" s="429">
        <v>19.852</v>
      </c>
      <c r="G218" s="429">
        <v>28.685269999999999</v>
      </c>
      <c r="H218" s="429">
        <v>7636.1823400000003</v>
      </c>
      <c r="I218" s="429">
        <v>23.132999999999999</v>
      </c>
      <c r="J218" s="429">
        <v>173.53919999999999</v>
      </c>
      <c r="K218" s="429">
        <v>424.72465999999997</v>
      </c>
      <c r="L218" s="429">
        <v>742.29224999999997</v>
      </c>
      <c r="M218" s="429">
        <v>1559.35888</v>
      </c>
      <c r="N218" s="429">
        <v>1971.5759799999901</v>
      </c>
      <c r="O218" s="429">
        <v>23.295000000000002</v>
      </c>
      <c r="P218" s="429">
        <v>17.609000000000002</v>
      </c>
      <c r="Q218" s="429">
        <v>18.376000000000001</v>
      </c>
      <c r="R218" s="429">
        <v>15.327</v>
      </c>
      <c r="S218" s="429">
        <f t="shared" si="18"/>
        <v>12634.098579999991</v>
      </c>
    </row>
    <row r="219" spans="1:19">
      <c r="A219" s="429" t="str">
        <f t="shared" si="15"/>
        <v>KU</v>
      </c>
      <c r="B219" s="429" t="str">
        <f t="shared" si="16"/>
        <v>VA</v>
      </c>
      <c r="C219" s="429" t="str">
        <f t="shared" si="17"/>
        <v>390</v>
      </c>
      <c r="D219" s="430" t="s">
        <v>1813</v>
      </c>
      <c r="E219" s="428" t="str">
        <f t="shared" si="19"/>
        <v/>
      </c>
      <c r="F219" s="429">
        <v>7.0002700000000004</v>
      </c>
      <c r="G219" s="429">
        <v>221.89608999999999</v>
      </c>
      <c r="H219" s="429">
        <v>0</v>
      </c>
      <c r="I219" s="429">
        <v>4664.7094500000003</v>
      </c>
      <c r="J219" s="429">
        <v>30.00404</v>
      </c>
      <c r="K219" s="429">
        <v>0</v>
      </c>
      <c r="L219" s="429">
        <v>0</v>
      </c>
      <c r="M219" s="429">
        <v>0</v>
      </c>
      <c r="N219" s="429">
        <v>0</v>
      </c>
      <c r="O219" s="429">
        <v>0</v>
      </c>
      <c r="P219" s="429">
        <v>0</v>
      </c>
      <c r="Q219" s="429">
        <v>0</v>
      </c>
      <c r="R219" s="429">
        <v>0</v>
      </c>
      <c r="S219" s="429">
        <f t="shared" si="18"/>
        <v>4916.6095800000003</v>
      </c>
    </row>
    <row r="220" spans="1:19">
      <c r="A220" s="429" t="str">
        <f t="shared" si="15"/>
        <v>KU</v>
      </c>
      <c r="B220" s="429" t="str">
        <f t="shared" si="16"/>
        <v>KY</v>
      </c>
      <c r="C220" s="429" t="str">
        <f t="shared" si="17"/>
        <v>391</v>
      </c>
      <c r="D220" s="430" t="s">
        <v>1814</v>
      </c>
      <c r="E220" s="428" t="str">
        <f t="shared" si="19"/>
        <v/>
      </c>
      <c r="F220" s="429">
        <v>0</v>
      </c>
      <c r="G220" s="429">
        <v>0</v>
      </c>
      <c r="H220" s="429">
        <v>0</v>
      </c>
      <c r="I220" s="429">
        <v>0</v>
      </c>
      <c r="J220" s="429">
        <v>0</v>
      </c>
      <c r="K220" s="429">
        <v>39.538319999999999</v>
      </c>
      <c r="L220" s="429">
        <v>0</v>
      </c>
      <c r="M220" s="429">
        <v>1286.01063</v>
      </c>
      <c r="N220" s="429">
        <v>91.021919999999994</v>
      </c>
      <c r="O220" s="429">
        <v>0</v>
      </c>
      <c r="P220" s="429">
        <v>0</v>
      </c>
      <c r="Q220" s="429">
        <v>0</v>
      </c>
      <c r="R220" s="429">
        <v>0</v>
      </c>
      <c r="S220" s="429">
        <f t="shared" si="18"/>
        <v>1416.5708699999998</v>
      </c>
    </row>
    <row r="221" spans="1:19">
      <c r="A221" s="429" t="str">
        <f t="shared" si="15"/>
        <v>KU</v>
      </c>
      <c r="B221" s="429" t="str">
        <f t="shared" si="16"/>
        <v>KY</v>
      </c>
      <c r="C221" s="429" t="str">
        <f t="shared" si="17"/>
        <v>391</v>
      </c>
      <c r="D221" s="430" t="s">
        <v>1815</v>
      </c>
      <c r="E221" s="428" t="str">
        <f t="shared" si="19"/>
        <v/>
      </c>
      <c r="F221" s="429">
        <v>0</v>
      </c>
      <c r="G221" s="429">
        <v>231.74008000000001</v>
      </c>
      <c r="H221" s="429">
        <v>242.4</v>
      </c>
      <c r="I221" s="429">
        <v>148</v>
      </c>
      <c r="J221" s="429">
        <v>554.79999999999995</v>
      </c>
      <c r="K221" s="429">
        <v>426.74732</v>
      </c>
      <c r="L221" s="429">
        <v>153.08488</v>
      </c>
      <c r="M221" s="429">
        <v>736.07075999999995</v>
      </c>
      <c r="N221" s="429">
        <v>1273.12825</v>
      </c>
      <c r="O221" s="429">
        <v>0</v>
      </c>
      <c r="P221" s="429">
        <v>0</v>
      </c>
      <c r="Q221" s="429">
        <v>120</v>
      </c>
      <c r="R221" s="429">
        <v>120</v>
      </c>
      <c r="S221" s="429">
        <f t="shared" si="18"/>
        <v>4005.9712899999995</v>
      </c>
    </row>
    <row r="222" spans="1:19">
      <c r="A222" s="429" t="str">
        <f t="shared" si="15"/>
        <v>KU</v>
      </c>
      <c r="B222" s="429" t="str">
        <f t="shared" si="16"/>
        <v>KY</v>
      </c>
      <c r="C222" s="429" t="str">
        <f t="shared" si="17"/>
        <v>392</v>
      </c>
      <c r="D222" s="430" t="s">
        <v>1818</v>
      </c>
      <c r="E222" s="428" t="str">
        <f t="shared" si="19"/>
        <v/>
      </c>
      <c r="F222" s="429">
        <v>0</v>
      </c>
      <c r="G222" s="429">
        <v>0</v>
      </c>
      <c r="H222" s="429">
        <v>0</v>
      </c>
      <c r="I222" s="429">
        <v>0</v>
      </c>
      <c r="J222" s="429">
        <v>0</v>
      </c>
      <c r="K222" s="429">
        <v>0</v>
      </c>
      <c r="L222" s="429">
        <v>0</v>
      </c>
      <c r="M222" s="429">
        <v>0</v>
      </c>
      <c r="N222" s="429">
        <v>0</v>
      </c>
      <c r="O222" s="429">
        <v>0</v>
      </c>
      <c r="P222" s="429">
        <v>0</v>
      </c>
      <c r="Q222" s="429">
        <v>0</v>
      </c>
      <c r="R222" s="429">
        <v>0</v>
      </c>
      <c r="S222" s="429">
        <f t="shared" si="18"/>
        <v>0</v>
      </c>
    </row>
    <row r="223" spans="1:19">
      <c r="A223" s="429" t="str">
        <f t="shared" si="15"/>
        <v>KU</v>
      </c>
      <c r="B223" s="429" t="str">
        <f t="shared" si="16"/>
        <v>VA</v>
      </c>
      <c r="C223" s="429" t="str">
        <f t="shared" si="17"/>
        <v>392</v>
      </c>
      <c r="D223" s="430" t="s">
        <v>2510</v>
      </c>
      <c r="E223" s="428" t="str">
        <f t="shared" si="19"/>
        <v/>
      </c>
      <c r="F223" s="429">
        <v>0</v>
      </c>
      <c r="G223" s="429">
        <v>0</v>
      </c>
      <c r="H223" s="429">
        <v>0</v>
      </c>
      <c r="I223" s="429">
        <v>0</v>
      </c>
      <c r="J223" s="429">
        <v>0</v>
      </c>
      <c r="K223" s="429">
        <v>0</v>
      </c>
      <c r="L223" s="429">
        <v>0</v>
      </c>
      <c r="M223" s="429">
        <v>0</v>
      </c>
      <c r="N223" s="429">
        <v>0</v>
      </c>
      <c r="O223" s="429">
        <v>0</v>
      </c>
      <c r="P223" s="429">
        <v>0</v>
      </c>
      <c r="Q223" s="429">
        <v>0</v>
      </c>
      <c r="R223" s="429">
        <v>0</v>
      </c>
      <c r="S223" s="429">
        <f t="shared" si="18"/>
        <v>0</v>
      </c>
    </row>
    <row r="224" spans="1:19">
      <c r="A224" s="429" t="str">
        <f t="shared" si="15"/>
        <v>KU</v>
      </c>
      <c r="B224" s="429" t="str">
        <f t="shared" si="16"/>
        <v>KY</v>
      </c>
      <c r="C224" s="429" t="str">
        <f t="shared" si="17"/>
        <v>393</v>
      </c>
      <c r="D224" s="430" t="s">
        <v>1819</v>
      </c>
      <c r="E224" s="428" t="str">
        <f t="shared" si="19"/>
        <v/>
      </c>
      <c r="F224" s="429">
        <v>0</v>
      </c>
      <c r="G224" s="429">
        <v>0</v>
      </c>
      <c r="H224" s="429">
        <v>0</v>
      </c>
      <c r="I224" s="429">
        <v>0</v>
      </c>
      <c r="J224" s="429">
        <v>0</v>
      </c>
      <c r="K224" s="429">
        <v>0</v>
      </c>
      <c r="L224" s="429">
        <v>0</v>
      </c>
      <c r="M224" s="429">
        <v>0</v>
      </c>
      <c r="N224" s="429">
        <v>0</v>
      </c>
      <c r="O224" s="429">
        <v>0</v>
      </c>
      <c r="P224" s="429">
        <v>0</v>
      </c>
      <c r="Q224" s="429">
        <v>0</v>
      </c>
      <c r="R224" s="429">
        <v>0</v>
      </c>
      <c r="S224" s="429">
        <f t="shared" si="18"/>
        <v>0</v>
      </c>
    </row>
    <row r="225" spans="1:19">
      <c r="A225" s="429" t="str">
        <f t="shared" si="15"/>
        <v>KU</v>
      </c>
      <c r="B225" s="429" t="str">
        <f t="shared" si="16"/>
        <v>KY</v>
      </c>
      <c r="C225" s="429" t="str">
        <f t="shared" si="17"/>
        <v>394</v>
      </c>
      <c r="D225" s="430" t="s">
        <v>1821</v>
      </c>
      <c r="E225" s="428" t="str">
        <f t="shared" si="19"/>
        <v/>
      </c>
      <c r="F225" s="429">
        <v>109.2139</v>
      </c>
      <c r="G225" s="429">
        <v>267.21983</v>
      </c>
      <c r="H225" s="429">
        <v>448.32441</v>
      </c>
      <c r="I225" s="429">
        <v>72.810999999999893</v>
      </c>
      <c r="J225" s="429">
        <v>169.07683</v>
      </c>
      <c r="K225" s="429">
        <v>706.55137999999999</v>
      </c>
      <c r="L225" s="429">
        <v>12.811</v>
      </c>
      <c r="M225" s="429">
        <v>17.836539999999999</v>
      </c>
      <c r="N225" s="429">
        <v>141.56943999999999</v>
      </c>
      <c r="O225" s="429">
        <v>0.28464999999999901</v>
      </c>
      <c r="P225" s="429">
        <v>16.87191</v>
      </c>
      <c r="Q225" s="429">
        <v>235.69964999999999</v>
      </c>
      <c r="R225" s="429">
        <v>334.16140000000001</v>
      </c>
      <c r="S225" s="429">
        <f t="shared" si="18"/>
        <v>2423.2180399999997</v>
      </c>
    </row>
    <row r="226" spans="1:19">
      <c r="A226" s="429" t="str">
        <f t="shared" si="15"/>
        <v>KU</v>
      </c>
      <c r="B226" s="429" t="str">
        <f t="shared" si="16"/>
        <v>VA</v>
      </c>
      <c r="C226" s="429" t="str">
        <f t="shared" si="17"/>
        <v>394</v>
      </c>
      <c r="D226" s="430" t="s">
        <v>1822</v>
      </c>
      <c r="E226" s="428" t="str">
        <f t="shared" si="19"/>
        <v/>
      </c>
      <c r="F226" s="429">
        <v>0</v>
      </c>
      <c r="G226" s="429">
        <v>0</v>
      </c>
      <c r="H226" s="429">
        <v>14.1746</v>
      </c>
      <c r="I226" s="429">
        <v>0</v>
      </c>
      <c r="J226" s="429">
        <v>14.1746</v>
      </c>
      <c r="K226" s="429">
        <v>0</v>
      </c>
      <c r="L226" s="429">
        <v>0</v>
      </c>
      <c r="M226" s="429">
        <v>0</v>
      </c>
      <c r="N226" s="429">
        <v>0</v>
      </c>
      <c r="O226" s="429">
        <v>0</v>
      </c>
      <c r="P226" s="429">
        <v>0</v>
      </c>
      <c r="Q226" s="429">
        <v>12.686</v>
      </c>
      <c r="R226" s="429">
        <v>0</v>
      </c>
      <c r="S226" s="429">
        <f t="shared" si="18"/>
        <v>41.035200000000003</v>
      </c>
    </row>
    <row r="227" spans="1:19">
      <c r="A227" s="429" t="str">
        <f t="shared" si="15"/>
        <v>KU</v>
      </c>
      <c r="B227" s="429" t="str">
        <f t="shared" si="16"/>
        <v>KY</v>
      </c>
      <c r="C227" s="429" t="str">
        <f t="shared" si="17"/>
        <v>396</v>
      </c>
      <c r="D227" s="430" t="s">
        <v>1823</v>
      </c>
      <c r="E227" s="428" t="str">
        <f t="shared" si="19"/>
        <v/>
      </c>
      <c r="F227" s="429">
        <v>0</v>
      </c>
      <c r="G227" s="429">
        <v>0</v>
      </c>
      <c r="H227" s="429">
        <v>0</v>
      </c>
      <c r="I227" s="429">
        <v>0</v>
      </c>
      <c r="J227" s="429">
        <v>0</v>
      </c>
      <c r="K227" s="429">
        <v>0</v>
      </c>
      <c r="L227" s="429">
        <v>0</v>
      </c>
      <c r="M227" s="429">
        <v>0</v>
      </c>
      <c r="N227" s="429">
        <v>0</v>
      </c>
      <c r="O227" s="429">
        <v>0</v>
      </c>
      <c r="P227" s="429">
        <v>0</v>
      </c>
      <c r="Q227" s="429">
        <v>0</v>
      </c>
      <c r="R227" s="429">
        <v>0</v>
      </c>
      <c r="S227" s="429">
        <f t="shared" si="18"/>
        <v>0</v>
      </c>
    </row>
    <row r="228" spans="1:19">
      <c r="A228" s="429" t="str">
        <f t="shared" si="15"/>
        <v>KU</v>
      </c>
      <c r="B228" s="429" t="str">
        <f t="shared" si="16"/>
        <v>KY</v>
      </c>
      <c r="C228" s="429" t="str">
        <f t="shared" si="17"/>
        <v>396</v>
      </c>
      <c r="D228" s="430" t="s">
        <v>2511</v>
      </c>
      <c r="E228" s="428" t="str">
        <f t="shared" si="19"/>
        <v/>
      </c>
      <c r="F228" s="429">
        <v>0</v>
      </c>
      <c r="G228" s="429">
        <v>0</v>
      </c>
      <c r="H228" s="429">
        <v>0</v>
      </c>
      <c r="I228" s="429">
        <v>0</v>
      </c>
      <c r="J228" s="429">
        <v>0</v>
      </c>
      <c r="K228" s="429">
        <v>0</v>
      </c>
      <c r="L228" s="429">
        <v>0</v>
      </c>
      <c r="M228" s="429">
        <v>0</v>
      </c>
      <c r="N228" s="429">
        <v>0</v>
      </c>
      <c r="O228" s="429">
        <v>0</v>
      </c>
      <c r="P228" s="429">
        <v>0</v>
      </c>
      <c r="Q228" s="429">
        <v>0</v>
      </c>
      <c r="R228" s="429">
        <v>0</v>
      </c>
      <c r="S228" s="429">
        <f t="shared" si="18"/>
        <v>0</v>
      </c>
    </row>
    <row r="229" spans="1:19">
      <c r="A229" s="429" t="str">
        <f t="shared" si="15"/>
        <v>KU</v>
      </c>
      <c r="B229" s="429" t="str">
        <f t="shared" si="16"/>
        <v>KY</v>
      </c>
      <c r="C229" s="429" t="str">
        <f t="shared" si="17"/>
        <v>397</v>
      </c>
      <c r="D229" s="430" t="s">
        <v>1825</v>
      </c>
      <c r="E229" s="428" t="str">
        <f t="shared" si="19"/>
        <v>DSM</v>
      </c>
      <c r="F229" s="429">
        <v>20.83333</v>
      </c>
      <c r="G229" s="429">
        <v>20.83333</v>
      </c>
      <c r="H229" s="429">
        <v>20.83333</v>
      </c>
      <c r="I229" s="429">
        <v>20.83333</v>
      </c>
      <c r="J229" s="429">
        <v>20.83333</v>
      </c>
      <c r="K229" s="429">
        <v>20.83333</v>
      </c>
      <c r="L229" s="429">
        <v>20.83333</v>
      </c>
      <c r="M229" s="429">
        <v>20.83333</v>
      </c>
      <c r="N229" s="429">
        <v>20.83333</v>
      </c>
      <c r="O229" s="429">
        <v>2.5416599999999998</v>
      </c>
      <c r="P229" s="429">
        <v>2.5416699999999999</v>
      </c>
      <c r="Q229" s="429">
        <v>2.5416699999999999</v>
      </c>
      <c r="R229" s="429">
        <v>2.5416699999999999</v>
      </c>
      <c r="S229" s="429">
        <f t="shared" si="18"/>
        <v>176.83331000000004</v>
      </c>
    </row>
    <row r="230" spans="1:19">
      <c r="A230" s="429" t="str">
        <f t="shared" si="15"/>
        <v>KU</v>
      </c>
      <c r="B230" s="429" t="str">
        <f t="shared" si="16"/>
        <v>KY</v>
      </c>
      <c r="C230" s="429" t="str">
        <f t="shared" si="17"/>
        <v>397</v>
      </c>
      <c r="D230" s="430" t="s">
        <v>1826</v>
      </c>
      <c r="E230" s="428" t="str">
        <f t="shared" si="19"/>
        <v/>
      </c>
      <c r="F230" s="429">
        <v>0</v>
      </c>
      <c r="G230" s="429">
        <v>0</v>
      </c>
      <c r="H230" s="429">
        <v>0</v>
      </c>
      <c r="I230" s="429">
        <v>0</v>
      </c>
      <c r="J230" s="429">
        <v>142.79315</v>
      </c>
      <c r="K230" s="429">
        <v>310</v>
      </c>
      <c r="L230" s="429">
        <v>24</v>
      </c>
      <c r="M230" s="429">
        <v>1298.4477299999901</v>
      </c>
      <c r="N230" s="429">
        <v>1082.98477</v>
      </c>
      <c r="O230" s="429">
        <v>0</v>
      </c>
      <c r="P230" s="429">
        <v>0</v>
      </c>
      <c r="Q230" s="429">
        <v>0</v>
      </c>
      <c r="R230" s="429">
        <v>0</v>
      </c>
      <c r="S230" s="429">
        <f t="shared" si="18"/>
        <v>2858.2256499999903</v>
      </c>
    </row>
    <row r="231" spans="1:19">
      <c r="E231" s="428" t="str">
        <f t="shared" si="19"/>
        <v/>
      </c>
    </row>
    <row r="232" spans="1:19">
      <c r="D232" s="721" t="s">
        <v>1830</v>
      </c>
      <c r="E232" s="428" t="str">
        <f t="shared" si="19"/>
        <v/>
      </c>
      <c r="S232" s="429">
        <f t="shared" si="18"/>
        <v>0</v>
      </c>
    </row>
    <row r="233" spans="1:19">
      <c r="A233" s="429" t="str">
        <f t="shared" si="15"/>
        <v>KU</v>
      </c>
      <c r="B233" s="429" t="str">
        <f t="shared" si="16"/>
        <v>KY</v>
      </c>
      <c r="C233" s="429" t="str">
        <f t="shared" si="17"/>
        <v>303</v>
      </c>
      <c r="D233" s="430" t="s">
        <v>1726</v>
      </c>
      <c r="E233" s="428" t="str">
        <f t="shared" si="19"/>
        <v/>
      </c>
      <c r="F233" s="429">
        <v>625.15374999999995</v>
      </c>
      <c r="G233" s="429">
        <v>243.64063999999999</v>
      </c>
      <c r="H233" s="429">
        <v>224.13146</v>
      </c>
      <c r="I233" s="429">
        <v>337.56756999999999</v>
      </c>
      <c r="J233" s="429">
        <v>1162.06402</v>
      </c>
      <c r="K233" s="429">
        <v>388.75876</v>
      </c>
      <c r="L233" s="429">
        <v>1944.6188500000001</v>
      </c>
      <c r="M233" s="429">
        <v>3732.3015299999902</v>
      </c>
      <c r="N233" s="429">
        <v>108.45041999999999</v>
      </c>
      <c r="O233" s="429">
        <v>923.06745999999998</v>
      </c>
      <c r="P233" s="429">
        <v>2635.9066499999999</v>
      </c>
      <c r="Q233" s="429">
        <v>261.11140999999998</v>
      </c>
      <c r="R233" s="429">
        <v>26.30894</v>
      </c>
      <c r="S233" s="429">
        <f t="shared" si="18"/>
        <v>11987.927709999989</v>
      </c>
    </row>
    <row r="234" spans="1:19">
      <c r="A234" s="429" t="str">
        <f t="shared" si="15"/>
        <v>KU</v>
      </c>
      <c r="B234" s="429" t="str">
        <f t="shared" si="16"/>
        <v>KY</v>
      </c>
      <c r="C234" s="429" t="str">
        <f t="shared" si="17"/>
        <v>303</v>
      </c>
      <c r="D234" s="430" t="s">
        <v>1727</v>
      </c>
      <c r="E234" s="428" t="str">
        <f t="shared" si="19"/>
        <v/>
      </c>
      <c r="F234" s="429">
        <v>37077.853470000002</v>
      </c>
      <c r="G234" s="429">
        <v>0</v>
      </c>
      <c r="H234" s="429">
        <v>0</v>
      </c>
      <c r="I234" s="429">
        <v>0</v>
      </c>
      <c r="J234" s="429">
        <v>0</v>
      </c>
      <c r="K234" s="429">
        <v>0</v>
      </c>
      <c r="L234" s="429">
        <v>0</v>
      </c>
      <c r="M234" s="429">
        <v>0</v>
      </c>
      <c r="N234" s="429">
        <v>0</v>
      </c>
      <c r="O234" s="429">
        <v>0</v>
      </c>
      <c r="P234" s="429">
        <v>0</v>
      </c>
      <c r="Q234" s="429">
        <v>0</v>
      </c>
      <c r="R234" s="429">
        <v>0</v>
      </c>
      <c r="S234" s="429">
        <f t="shared" si="18"/>
        <v>0</v>
      </c>
    </row>
    <row r="235" spans="1:19">
      <c r="A235" s="429" t="str">
        <f t="shared" si="15"/>
        <v>KU</v>
      </c>
      <c r="B235" s="429" t="str">
        <f t="shared" si="16"/>
        <v>KY</v>
      </c>
      <c r="C235" s="429" t="str">
        <f t="shared" si="17"/>
        <v>311</v>
      </c>
      <c r="D235" s="430" t="s">
        <v>1732</v>
      </c>
      <c r="E235" s="428" t="str">
        <f t="shared" si="19"/>
        <v/>
      </c>
      <c r="F235" s="429">
        <v>0</v>
      </c>
      <c r="G235" s="429">
        <v>0</v>
      </c>
      <c r="H235" s="429">
        <v>0</v>
      </c>
      <c r="I235" s="429">
        <v>0</v>
      </c>
      <c r="J235" s="429">
        <v>0</v>
      </c>
      <c r="K235" s="429">
        <v>0</v>
      </c>
      <c r="L235" s="429">
        <v>0</v>
      </c>
      <c r="M235" s="429">
        <v>0</v>
      </c>
      <c r="N235" s="429">
        <v>10675.505010000001</v>
      </c>
      <c r="O235" s="429">
        <v>0</v>
      </c>
      <c r="P235" s="429">
        <v>0</v>
      </c>
      <c r="Q235" s="429">
        <v>0</v>
      </c>
      <c r="R235" s="429">
        <v>0</v>
      </c>
      <c r="S235" s="429">
        <f t="shared" si="18"/>
        <v>10675.505010000001</v>
      </c>
    </row>
    <row r="236" spans="1:19">
      <c r="A236" s="429" t="str">
        <f t="shared" si="15"/>
        <v>KU</v>
      </c>
      <c r="B236" s="429" t="str">
        <f t="shared" si="16"/>
        <v>KY</v>
      </c>
      <c r="C236" s="429" t="str">
        <f t="shared" si="17"/>
        <v>312</v>
      </c>
      <c r="D236" s="430" t="s">
        <v>1733</v>
      </c>
      <c r="E236" s="428" t="str">
        <f t="shared" si="19"/>
        <v/>
      </c>
      <c r="F236" s="429">
        <v>87.606629999999996</v>
      </c>
      <c r="G236" s="429">
        <v>649.32977000000005</v>
      </c>
      <c r="H236" s="429">
        <v>80.667490000000001</v>
      </c>
      <c r="I236" s="429">
        <v>76.841099999999997</v>
      </c>
      <c r="J236" s="429">
        <v>827.02023999999994</v>
      </c>
      <c r="K236" s="429">
        <v>325.55905000000001</v>
      </c>
      <c r="L236" s="429">
        <v>60.641489999999997</v>
      </c>
      <c r="M236" s="429">
        <v>470.38578999999999</v>
      </c>
      <c r="N236" s="429">
        <v>6049.8340799999996</v>
      </c>
      <c r="O236" s="429">
        <v>71.4041</v>
      </c>
      <c r="P236" s="429">
        <v>4002.2161299999998</v>
      </c>
      <c r="Q236" s="429">
        <v>370.31585999999999</v>
      </c>
      <c r="R236" s="429">
        <v>87.606629999999996</v>
      </c>
      <c r="S236" s="429">
        <f t="shared" si="18"/>
        <v>13071.82173</v>
      </c>
    </row>
    <row r="237" spans="1:19">
      <c r="A237" s="429" t="str">
        <f t="shared" si="15"/>
        <v>KU</v>
      </c>
      <c r="B237" s="429" t="str">
        <f t="shared" si="16"/>
        <v>KY</v>
      </c>
      <c r="C237" s="429" t="str">
        <f t="shared" si="17"/>
        <v>312</v>
      </c>
      <c r="D237" s="430" t="s">
        <v>1734</v>
      </c>
      <c r="E237" s="428" t="str">
        <f t="shared" si="19"/>
        <v>ECR</v>
      </c>
      <c r="F237" s="429">
        <v>0</v>
      </c>
      <c r="G237" s="429">
        <v>0</v>
      </c>
      <c r="H237" s="429">
        <v>0</v>
      </c>
      <c r="I237" s="429">
        <v>0</v>
      </c>
      <c r="J237" s="429">
        <v>0</v>
      </c>
      <c r="K237" s="429">
        <v>0</v>
      </c>
      <c r="L237" s="429">
        <v>0</v>
      </c>
      <c r="M237" s="429">
        <v>0</v>
      </c>
      <c r="N237" s="429">
        <v>595</v>
      </c>
      <c r="O237" s="429">
        <v>0</v>
      </c>
      <c r="P237" s="429">
        <v>0</v>
      </c>
      <c r="Q237" s="429">
        <v>0</v>
      </c>
      <c r="R237" s="429">
        <v>0</v>
      </c>
      <c r="S237" s="429">
        <f t="shared" si="18"/>
        <v>595</v>
      </c>
    </row>
    <row r="238" spans="1:19">
      <c r="A238" s="429" t="str">
        <f t="shared" ref="A238:A282" si="20">MID($D238,4,2)</f>
        <v>KU</v>
      </c>
      <c r="B238" s="429" t="str">
        <f t="shared" ref="B238:B282" si="21">IF(MID($D238,12,2)="- ","KY",MID($D238,12,2))</f>
        <v>KY</v>
      </c>
      <c r="C238" s="429" t="str">
        <f t="shared" ref="C238:C282" si="22">MID($D238,8,3)</f>
        <v>312</v>
      </c>
      <c r="D238" s="430" t="s">
        <v>1735</v>
      </c>
      <c r="E238" s="428" t="str">
        <f t="shared" si="19"/>
        <v>ECR</v>
      </c>
      <c r="F238" s="429">
        <v>0</v>
      </c>
      <c r="G238" s="429">
        <v>0</v>
      </c>
      <c r="H238" s="429">
        <v>0</v>
      </c>
      <c r="I238" s="429">
        <v>0</v>
      </c>
      <c r="J238" s="429">
        <v>0</v>
      </c>
      <c r="K238" s="429">
        <v>0</v>
      </c>
      <c r="L238" s="429">
        <v>0</v>
      </c>
      <c r="M238" s="429">
        <v>0</v>
      </c>
      <c r="N238" s="429">
        <v>1108.0859499999999</v>
      </c>
      <c r="O238" s="429">
        <v>0</v>
      </c>
      <c r="P238" s="429">
        <v>0</v>
      </c>
      <c r="Q238" s="429">
        <v>1725</v>
      </c>
      <c r="R238" s="429">
        <v>0</v>
      </c>
      <c r="S238" s="429">
        <f t="shared" si="18"/>
        <v>2833.0859499999997</v>
      </c>
    </row>
    <row r="239" spans="1:19">
      <c r="A239" s="429" t="str">
        <f t="shared" si="20"/>
        <v>KU</v>
      </c>
      <c r="B239" s="429" t="str">
        <f t="shared" si="21"/>
        <v>KY</v>
      </c>
      <c r="C239" s="429" t="str">
        <f t="shared" si="22"/>
        <v>314</v>
      </c>
      <c r="D239" s="430" t="s">
        <v>1737</v>
      </c>
      <c r="E239" s="428" t="str">
        <f t="shared" si="19"/>
        <v/>
      </c>
      <c r="F239" s="429">
        <v>0</v>
      </c>
      <c r="G239" s="429">
        <v>0</v>
      </c>
      <c r="H239" s="429">
        <v>0</v>
      </c>
      <c r="I239" s="429">
        <v>0</v>
      </c>
      <c r="J239" s="429">
        <v>0</v>
      </c>
      <c r="K239" s="429">
        <v>0</v>
      </c>
      <c r="L239" s="429">
        <v>0</v>
      </c>
      <c r="M239" s="429">
        <v>0</v>
      </c>
      <c r="N239" s="429">
        <v>164.48625999999999</v>
      </c>
      <c r="O239" s="429">
        <v>0</v>
      </c>
      <c r="P239" s="429">
        <v>0</v>
      </c>
      <c r="Q239" s="429">
        <v>0</v>
      </c>
      <c r="R239" s="429">
        <v>7130.0203799999999</v>
      </c>
      <c r="S239" s="429">
        <f t="shared" si="18"/>
        <v>7294.5066399999996</v>
      </c>
    </row>
    <row r="240" spans="1:19">
      <c r="A240" s="429" t="str">
        <f t="shared" si="20"/>
        <v>KU</v>
      </c>
      <c r="B240" s="429" t="str">
        <f t="shared" si="21"/>
        <v>KY</v>
      </c>
      <c r="C240" s="429" t="str">
        <f t="shared" si="22"/>
        <v>315</v>
      </c>
      <c r="D240" s="430" t="s">
        <v>1738</v>
      </c>
      <c r="E240" s="428" t="str">
        <f t="shared" si="19"/>
        <v/>
      </c>
      <c r="F240" s="429">
        <v>0</v>
      </c>
      <c r="G240" s="429">
        <v>0</v>
      </c>
      <c r="H240" s="429">
        <v>0</v>
      </c>
      <c r="I240" s="429">
        <v>0</v>
      </c>
      <c r="J240" s="429">
        <v>0</v>
      </c>
      <c r="K240" s="429">
        <v>0</v>
      </c>
      <c r="L240" s="429">
        <v>0</v>
      </c>
      <c r="M240" s="429">
        <v>0</v>
      </c>
      <c r="N240" s="429">
        <v>670.41705999999999</v>
      </c>
      <c r="O240" s="429">
        <v>0</v>
      </c>
      <c r="P240" s="429">
        <v>0</v>
      </c>
      <c r="Q240" s="429">
        <v>0</v>
      </c>
      <c r="R240" s="429">
        <v>388.56673999999998</v>
      </c>
      <c r="S240" s="429">
        <f t="shared" si="18"/>
        <v>1058.9838</v>
      </c>
    </row>
    <row r="241" spans="1:19">
      <c r="A241" s="429" t="str">
        <f t="shared" si="20"/>
        <v>KU</v>
      </c>
      <c r="B241" s="429" t="str">
        <f t="shared" si="21"/>
        <v>KY</v>
      </c>
      <c r="C241" s="429" t="str">
        <f t="shared" si="22"/>
        <v>316</v>
      </c>
      <c r="D241" s="430" t="s">
        <v>1740</v>
      </c>
      <c r="E241" s="428" t="str">
        <f t="shared" si="19"/>
        <v/>
      </c>
      <c r="F241" s="429">
        <v>0</v>
      </c>
      <c r="G241" s="429">
        <v>0</v>
      </c>
      <c r="H241" s="429">
        <v>0</v>
      </c>
      <c r="I241" s="429">
        <v>0</v>
      </c>
      <c r="J241" s="429">
        <v>0</v>
      </c>
      <c r="K241" s="429">
        <v>0</v>
      </c>
      <c r="L241" s="429">
        <v>0</v>
      </c>
      <c r="M241" s="429">
        <v>0</v>
      </c>
      <c r="N241" s="429">
        <v>525.26948000000004</v>
      </c>
      <c r="O241" s="429">
        <v>0</v>
      </c>
      <c r="P241" s="429">
        <v>0</v>
      </c>
      <c r="Q241" s="429">
        <v>0</v>
      </c>
      <c r="R241" s="429">
        <v>11.04279</v>
      </c>
      <c r="S241" s="429">
        <f t="shared" si="18"/>
        <v>536.31227000000001</v>
      </c>
    </row>
    <row r="242" spans="1:19">
      <c r="A242" s="429" t="str">
        <f t="shared" si="20"/>
        <v>KU</v>
      </c>
      <c r="B242" s="429" t="str">
        <f t="shared" si="21"/>
        <v>KY</v>
      </c>
      <c r="C242" s="429" t="str">
        <f t="shared" si="22"/>
        <v>317</v>
      </c>
      <c r="D242" s="430" t="s">
        <v>1741</v>
      </c>
      <c r="E242" s="428" t="str">
        <f t="shared" si="19"/>
        <v>ARO</v>
      </c>
      <c r="F242" s="429">
        <v>0</v>
      </c>
      <c r="G242" s="429">
        <v>0</v>
      </c>
      <c r="H242" s="429">
        <v>0</v>
      </c>
      <c r="I242" s="429">
        <v>0</v>
      </c>
      <c r="J242" s="429">
        <v>0</v>
      </c>
      <c r="K242" s="429">
        <v>0</v>
      </c>
      <c r="L242" s="429">
        <v>0</v>
      </c>
      <c r="M242" s="429">
        <v>0</v>
      </c>
      <c r="N242" s="429">
        <v>0</v>
      </c>
      <c r="O242" s="429">
        <v>13619.83841</v>
      </c>
      <c r="P242" s="429">
        <v>0</v>
      </c>
      <c r="Q242" s="429">
        <v>0</v>
      </c>
      <c r="R242" s="429">
        <v>0</v>
      </c>
      <c r="S242" s="429">
        <f t="shared" si="18"/>
        <v>13619.83841</v>
      </c>
    </row>
    <row r="243" spans="1:19">
      <c r="A243" s="429" t="str">
        <f t="shared" si="20"/>
        <v>KU</v>
      </c>
      <c r="B243" s="429" t="str">
        <f t="shared" si="21"/>
        <v>KY</v>
      </c>
      <c r="C243" s="429" t="str">
        <f t="shared" si="22"/>
        <v>317</v>
      </c>
      <c r="D243" s="430" t="s">
        <v>2507</v>
      </c>
      <c r="E243" s="428" t="str">
        <f t="shared" si="19"/>
        <v>ARO</v>
      </c>
      <c r="F243" s="429">
        <v>0</v>
      </c>
      <c r="G243" s="429">
        <v>0</v>
      </c>
      <c r="H243" s="429">
        <v>0</v>
      </c>
      <c r="I243" s="429">
        <v>0</v>
      </c>
      <c r="J243" s="429">
        <v>0</v>
      </c>
      <c r="K243" s="429">
        <v>0</v>
      </c>
      <c r="L243" s="429">
        <v>0</v>
      </c>
      <c r="M243" s="429">
        <v>0</v>
      </c>
      <c r="N243" s="429">
        <v>0</v>
      </c>
      <c r="O243" s="429">
        <v>48344.916409999998</v>
      </c>
      <c r="P243" s="429">
        <v>0</v>
      </c>
      <c r="Q243" s="429">
        <v>0</v>
      </c>
      <c r="R243" s="429">
        <v>0</v>
      </c>
      <c r="S243" s="429">
        <f t="shared" si="18"/>
        <v>48344.916409999998</v>
      </c>
    </row>
    <row r="244" spans="1:19">
      <c r="A244" s="429" t="str">
        <f t="shared" si="20"/>
        <v>KU</v>
      </c>
      <c r="B244" s="429" t="str">
        <f t="shared" si="21"/>
        <v>KY</v>
      </c>
      <c r="C244" s="429" t="str">
        <f t="shared" si="22"/>
        <v>343</v>
      </c>
      <c r="D244" s="430" t="s">
        <v>1753</v>
      </c>
      <c r="E244" s="428" t="str">
        <f t="shared" si="19"/>
        <v/>
      </c>
      <c r="F244" s="429">
        <v>0</v>
      </c>
      <c r="G244" s="429">
        <v>0</v>
      </c>
      <c r="H244" s="429">
        <v>0</v>
      </c>
      <c r="I244" s="429">
        <v>0</v>
      </c>
      <c r="J244" s="429">
        <v>0</v>
      </c>
      <c r="K244" s="429">
        <v>0</v>
      </c>
      <c r="L244" s="429">
        <v>0</v>
      </c>
      <c r="M244" s="429">
        <v>0</v>
      </c>
      <c r="N244" s="429">
        <v>0</v>
      </c>
      <c r="O244" s="429">
        <v>0</v>
      </c>
      <c r="P244" s="429">
        <v>0</v>
      </c>
      <c r="Q244" s="429">
        <v>0</v>
      </c>
      <c r="R244" s="429">
        <v>0</v>
      </c>
      <c r="S244" s="429">
        <f t="shared" si="18"/>
        <v>0</v>
      </c>
    </row>
    <row r="245" spans="1:19">
      <c r="A245" s="429" t="str">
        <f t="shared" si="20"/>
        <v>KU</v>
      </c>
      <c r="B245" s="429" t="str">
        <f t="shared" si="21"/>
        <v>KY</v>
      </c>
      <c r="C245" s="429" t="str">
        <f t="shared" si="22"/>
        <v>343</v>
      </c>
      <c r="D245" s="430" t="s">
        <v>2204</v>
      </c>
      <c r="E245" s="428" t="str">
        <f t="shared" si="19"/>
        <v/>
      </c>
      <c r="F245" s="429">
        <v>0</v>
      </c>
      <c r="G245" s="429">
        <v>0</v>
      </c>
      <c r="H245" s="429">
        <v>0</v>
      </c>
      <c r="I245" s="429">
        <v>0</v>
      </c>
      <c r="J245" s="429">
        <v>0</v>
      </c>
      <c r="K245" s="429">
        <v>0</v>
      </c>
      <c r="L245" s="429">
        <v>0</v>
      </c>
      <c r="M245" s="429">
        <v>0</v>
      </c>
      <c r="N245" s="429">
        <v>0</v>
      </c>
      <c r="O245" s="429">
        <v>0</v>
      </c>
      <c r="P245" s="429">
        <v>0</v>
      </c>
      <c r="Q245" s="429">
        <v>0</v>
      </c>
      <c r="R245" s="429">
        <v>4093.3631999999998</v>
      </c>
      <c r="S245" s="429">
        <f t="shared" si="18"/>
        <v>4093.3631999999998</v>
      </c>
    </row>
    <row r="246" spans="1:19">
      <c r="A246" s="429" t="str">
        <f t="shared" si="20"/>
        <v>KU</v>
      </c>
      <c r="B246" s="429" t="str">
        <f t="shared" si="21"/>
        <v>KY</v>
      </c>
      <c r="C246" s="429" t="str">
        <f t="shared" si="22"/>
        <v>352</v>
      </c>
      <c r="D246" s="430" t="s">
        <v>1761</v>
      </c>
      <c r="E246" s="428" t="str">
        <f t="shared" si="19"/>
        <v/>
      </c>
      <c r="F246" s="429">
        <v>0</v>
      </c>
      <c r="G246" s="429">
        <v>0</v>
      </c>
      <c r="H246" s="429">
        <v>0</v>
      </c>
      <c r="I246" s="429">
        <v>0</v>
      </c>
      <c r="J246" s="429">
        <v>0</v>
      </c>
      <c r="K246" s="429">
        <v>0</v>
      </c>
      <c r="L246" s="429">
        <v>0</v>
      </c>
      <c r="M246" s="429">
        <v>0</v>
      </c>
      <c r="N246" s="429">
        <v>0</v>
      </c>
      <c r="O246" s="429">
        <v>0</v>
      </c>
      <c r="P246" s="429">
        <v>0</v>
      </c>
      <c r="Q246" s="429">
        <v>0</v>
      </c>
      <c r="R246" s="429">
        <v>0</v>
      </c>
      <c r="S246" s="429">
        <f t="shared" si="18"/>
        <v>0</v>
      </c>
    </row>
    <row r="247" spans="1:19">
      <c r="A247" s="429" t="str">
        <f t="shared" si="20"/>
        <v>KU</v>
      </c>
      <c r="B247" s="429" t="str">
        <f t="shared" si="21"/>
        <v>KY</v>
      </c>
      <c r="C247" s="429" t="str">
        <f t="shared" si="22"/>
        <v>353</v>
      </c>
      <c r="D247" s="430" t="s">
        <v>1763</v>
      </c>
      <c r="E247" s="428" t="str">
        <f t="shared" si="19"/>
        <v/>
      </c>
      <c r="F247" s="429">
        <v>204.87817999999999</v>
      </c>
      <c r="G247" s="429">
        <v>129.78362999999999</v>
      </c>
      <c r="H247" s="429">
        <v>250.01791</v>
      </c>
      <c r="I247" s="429">
        <v>62.264339999999997</v>
      </c>
      <c r="J247" s="429">
        <v>193.04396</v>
      </c>
      <c r="K247" s="429">
        <v>36.964790000000001</v>
      </c>
      <c r="L247" s="429">
        <v>174.89222000000001</v>
      </c>
      <c r="M247" s="429">
        <v>105.52124000000001</v>
      </c>
      <c r="N247" s="429">
        <v>214.03357</v>
      </c>
      <c r="O247" s="429">
        <v>13.30273</v>
      </c>
      <c r="P247" s="429">
        <v>95.425169999999994</v>
      </c>
      <c r="Q247" s="429">
        <v>64.645679999999999</v>
      </c>
      <c r="R247" s="429">
        <v>204.87817999999999</v>
      </c>
      <c r="S247" s="429">
        <f t="shared" si="18"/>
        <v>1544.7734200000002</v>
      </c>
    </row>
    <row r="248" spans="1:19">
      <c r="A248" s="429" t="str">
        <f t="shared" si="20"/>
        <v>KU</v>
      </c>
      <c r="B248" s="429" t="s">
        <v>17</v>
      </c>
      <c r="C248" s="429" t="str">
        <f t="shared" si="22"/>
        <v>353</v>
      </c>
      <c r="D248" s="430" t="s">
        <v>1764</v>
      </c>
      <c r="E248" s="428" t="str">
        <f t="shared" si="19"/>
        <v/>
      </c>
      <c r="F248" s="429">
        <v>0</v>
      </c>
      <c r="G248" s="429">
        <v>0</v>
      </c>
      <c r="H248" s="429">
        <v>0</v>
      </c>
      <c r="I248" s="429">
        <v>0</v>
      </c>
      <c r="J248" s="429">
        <v>0</v>
      </c>
      <c r="K248" s="429">
        <v>0</v>
      </c>
      <c r="L248" s="429">
        <v>0</v>
      </c>
      <c r="M248" s="429">
        <v>0</v>
      </c>
      <c r="N248" s="429">
        <v>0</v>
      </c>
      <c r="O248" s="429">
        <v>0</v>
      </c>
      <c r="P248" s="429">
        <v>0</v>
      </c>
      <c r="Q248" s="429">
        <v>0</v>
      </c>
      <c r="R248" s="429">
        <v>0</v>
      </c>
      <c r="S248" s="429">
        <f t="shared" si="18"/>
        <v>0</v>
      </c>
    </row>
    <row r="249" spans="1:19">
      <c r="A249" s="429" t="str">
        <f t="shared" si="20"/>
        <v>KU</v>
      </c>
      <c r="B249" s="429" t="str">
        <f t="shared" si="21"/>
        <v>VA</v>
      </c>
      <c r="C249" s="429" t="str">
        <f t="shared" si="22"/>
        <v>353</v>
      </c>
      <c r="D249" s="430" t="s">
        <v>1765</v>
      </c>
      <c r="E249" s="428" t="str">
        <f t="shared" si="19"/>
        <v/>
      </c>
      <c r="F249" s="429">
        <v>0</v>
      </c>
      <c r="G249" s="429">
        <v>0</v>
      </c>
      <c r="H249" s="429">
        <v>0</v>
      </c>
      <c r="I249" s="429">
        <v>0</v>
      </c>
      <c r="J249" s="429">
        <v>0</v>
      </c>
      <c r="K249" s="429">
        <v>0</v>
      </c>
      <c r="L249" s="429">
        <v>0</v>
      </c>
      <c r="M249" s="429">
        <v>0</v>
      </c>
      <c r="N249" s="429">
        <v>0</v>
      </c>
      <c r="O249" s="429">
        <v>0</v>
      </c>
      <c r="P249" s="429">
        <v>0</v>
      </c>
      <c r="Q249" s="429">
        <v>0</v>
      </c>
      <c r="R249" s="429">
        <v>0</v>
      </c>
      <c r="S249" s="429">
        <f t="shared" si="18"/>
        <v>0</v>
      </c>
    </row>
    <row r="250" spans="1:19">
      <c r="A250" s="429" t="str">
        <f t="shared" si="20"/>
        <v>KU</v>
      </c>
      <c r="B250" s="429" t="str">
        <f t="shared" si="21"/>
        <v>KY</v>
      </c>
      <c r="C250" s="429" t="str">
        <f t="shared" si="22"/>
        <v>355</v>
      </c>
      <c r="D250" s="430" t="s">
        <v>1768</v>
      </c>
      <c r="E250" s="428" t="str">
        <f t="shared" si="19"/>
        <v/>
      </c>
      <c r="F250" s="429">
        <v>292.06072</v>
      </c>
      <c r="G250" s="429">
        <v>185.01091</v>
      </c>
      <c r="H250" s="429">
        <v>356.408919999999</v>
      </c>
      <c r="I250" s="429">
        <v>88.759900000000002</v>
      </c>
      <c r="J250" s="429">
        <v>275.19063999999997</v>
      </c>
      <c r="K250" s="429">
        <v>52.69455</v>
      </c>
      <c r="L250" s="429">
        <v>249.31473</v>
      </c>
      <c r="M250" s="429">
        <v>150.42407</v>
      </c>
      <c r="N250" s="429">
        <v>305.11201999999997</v>
      </c>
      <c r="O250" s="429">
        <v>18.96349</v>
      </c>
      <c r="P250" s="429">
        <v>136.03176999999999</v>
      </c>
      <c r="Q250" s="429">
        <v>92.154579999999996</v>
      </c>
      <c r="R250" s="429">
        <v>292.06072</v>
      </c>
      <c r="S250" s="429">
        <f t="shared" si="18"/>
        <v>2202.126299999999</v>
      </c>
    </row>
    <row r="251" spans="1:19">
      <c r="A251" s="429" t="str">
        <f t="shared" si="20"/>
        <v>KU</v>
      </c>
      <c r="B251" s="429" t="str">
        <f t="shared" si="21"/>
        <v>TN</v>
      </c>
      <c r="C251" s="429" t="str">
        <f t="shared" si="22"/>
        <v>355</v>
      </c>
      <c r="D251" s="430" t="s">
        <v>1769</v>
      </c>
      <c r="E251" s="428" t="str">
        <f t="shared" si="19"/>
        <v/>
      </c>
      <c r="F251" s="429">
        <v>0</v>
      </c>
      <c r="G251" s="429">
        <v>0</v>
      </c>
      <c r="H251" s="429">
        <v>0</v>
      </c>
      <c r="I251" s="429">
        <v>0</v>
      </c>
      <c r="J251" s="429">
        <v>0</v>
      </c>
      <c r="K251" s="429">
        <v>0</v>
      </c>
      <c r="L251" s="429">
        <v>0</v>
      </c>
      <c r="M251" s="429">
        <v>0</v>
      </c>
      <c r="N251" s="429">
        <v>0</v>
      </c>
      <c r="O251" s="429">
        <v>0</v>
      </c>
      <c r="P251" s="429">
        <v>0</v>
      </c>
      <c r="Q251" s="429">
        <v>0</v>
      </c>
      <c r="R251" s="429">
        <v>0</v>
      </c>
      <c r="S251" s="429">
        <f t="shared" si="18"/>
        <v>0</v>
      </c>
    </row>
    <row r="252" spans="1:19">
      <c r="A252" s="429" t="str">
        <f t="shared" si="20"/>
        <v>KU</v>
      </c>
      <c r="B252" s="429" t="str">
        <f t="shared" si="21"/>
        <v>VA</v>
      </c>
      <c r="C252" s="429" t="str">
        <f t="shared" si="22"/>
        <v>355</v>
      </c>
      <c r="D252" s="430" t="s">
        <v>1770</v>
      </c>
      <c r="E252" s="428" t="str">
        <f t="shared" si="19"/>
        <v/>
      </c>
      <c r="F252" s="429">
        <v>0</v>
      </c>
      <c r="G252" s="429">
        <v>0</v>
      </c>
      <c r="H252" s="429">
        <v>0</v>
      </c>
      <c r="I252" s="429">
        <v>0</v>
      </c>
      <c r="J252" s="429">
        <v>0</v>
      </c>
      <c r="K252" s="429">
        <v>0</v>
      </c>
      <c r="L252" s="429">
        <v>0</v>
      </c>
      <c r="M252" s="429">
        <v>0</v>
      </c>
      <c r="N252" s="429">
        <v>0</v>
      </c>
      <c r="O252" s="429">
        <v>0</v>
      </c>
      <c r="P252" s="429">
        <v>0</v>
      </c>
      <c r="Q252" s="429">
        <v>0</v>
      </c>
      <c r="R252" s="429">
        <v>0</v>
      </c>
      <c r="S252" s="429">
        <f t="shared" si="18"/>
        <v>0</v>
      </c>
    </row>
    <row r="253" spans="1:19">
      <c r="A253" s="429" t="str">
        <f t="shared" si="20"/>
        <v>KU</v>
      </c>
      <c r="B253" s="429" t="str">
        <f t="shared" si="21"/>
        <v>KY</v>
      </c>
      <c r="C253" s="429" t="str">
        <f t="shared" si="22"/>
        <v>356</v>
      </c>
      <c r="D253" s="430" t="s">
        <v>1771</v>
      </c>
      <c r="E253" s="428" t="str">
        <f t="shared" si="19"/>
        <v/>
      </c>
      <c r="F253" s="429">
        <v>166.28202999999999</v>
      </c>
      <c r="G253" s="429">
        <v>105.33423000000001</v>
      </c>
      <c r="H253" s="429">
        <v>202.91808</v>
      </c>
      <c r="I253" s="429">
        <v>50.534619999999997</v>
      </c>
      <c r="J253" s="429">
        <v>156.67721</v>
      </c>
      <c r="K253" s="429">
        <v>30.001149999999999</v>
      </c>
      <c r="L253" s="429">
        <v>141.94499999999999</v>
      </c>
      <c r="M253" s="429">
        <v>85.642529999999994</v>
      </c>
      <c r="N253" s="429">
        <v>173.71268000000001</v>
      </c>
      <c r="O253" s="429">
        <v>10.79668</v>
      </c>
      <c r="P253" s="429">
        <v>77.448409999999996</v>
      </c>
      <c r="Q253" s="429">
        <v>52.467349999999897</v>
      </c>
      <c r="R253" s="429">
        <v>166.28202999999999</v>
      </c>
      <c r="S253" s="429">
        <f t="shared" si="18"/>
        <v>1253.7599700000001</v>
      </c>
    </row>
    <row r="254" spans="1:19">
      <c r="A254" s="429" t="str">
        <f t="shared" si="20"/>
        <v>KU</v>
      </c>
      <c r="B254" s="429" t="str">
        <f t="shared" si="21"/>
        <v>TN</v>
      </c>
      <c r="C254" s="429" t="str">
        <f t="shared" si="22"/>
        <v>356</v>
      </c>
      <c r="D254" s="430" t="s">
        <v>1772</v>
      </c>
      <c r="E254" s="428" t="str">
        <f t="shared" si="19"/>
        <v/>
      </c>
      <c r="F254" s="429">
        <v>0</v>
      </c>
      <c r="G254" s="429">
        <v>0</v>
      </c>
      <c r="H254" s="429">
        <v>0</v>
      </c>
      <c r="I254" s="429">
        <v>0</v>
      </c>
      <c r="J254" s="429">
        <v>0</v>
      </c>
      <c r="K254" s="429">
        <v>0</v>
      </c>
      <c r="L254" s="429">
        <v>0</v>
      </c>
      <c r="M254" s="429">
        <v>0</v>
      </c>
      <c r="N254" s="429">
        <v>0</v>
      </c>
      <c r="O254" s="429">
        <v>0</v>
      </c>
      <c r="P254" s="429">
        <v>0</v>
      </c>
      <c r="Q254" s="429">
        <v>0</v>
      </c>
      <c r="R254" s="429">
        <v>0</v>
      </c>
      <c r="S254" s="429">
        <f t="shared" si="18"/>
        <v>0</v>
      </c>
    </row>
    <row r="255" spans="1:19">
      <c r="A255" s="429" t="str">
        <f t="shared" si="20"/>
        <v>KU</v>
      </c>
      <c r="B255" s="429" t="str">
        <f t="shared" si="21"/>
        <v>VA</v>
      </c>
      <c r="C255" s="429" t="str">
        <f t="shared" si="22"/>
        <v>356</v>
      </c>
      <c r="D255" s="430" t="s">
        <v>1773</v>
      </c>
      <c r="E255" s="428" t="str">
        <f t="shared" si="19"/>
        <v/>
      </c>
      <c r="F255" s="429">
        <v>0</v>
      </c>
      <c r="G255" s="429">
        <v>0</v>
      </c>
      <c r="H255" s="429">
        <v>0</v>
      </c>
      <c r="I255" s="429">
        <v>0</v>
      </c>
      <c r="J255" s="429">
        <v>0</v>
      </c>
      <c r="K255" s="429">
        <v>0</v>
      </c>
      <c r="L255" s="429">
        <v>0</v>
      </c>
      <c r="M255" s="429">
        <v>0</v>
      </c>
      <c r="N255" s="429">
        <v>0</v>
      </c>
      <c r="O255" s="429">
        <v>0</v>
      </c>
      <c r="P255" s="429">
        <v>0</v>
      </c>
      <c r="Q255" s="429">
        <v>0</v>
      </c>
      <c r="R255" s="429">
        <v>0</v>
      </c>
      <c r="S255" s="429">
        <f t="shared" si="18"/>
        <v>0</v>
      </c>
    </row>
    <row r="256" spans="1:19">
      <c r="A256" s="429" t="str">
        <f t="shared" si="20"/>
        <v>KU</v>
      </c>
      <c r="B256" s="429" t="str">
        <f t="shared" si="21"/>
        <v>KY</v>
      </c>
      <c r="C256" s="429" t="str">
        <f t="shared" si="22"/>
        <v>359</v>
      </c>
      <c r="D256" s="430" t="s">
        <v>1776</v>
      </c>
      <c r="E256" s="428" t="str">
        <f t="shared" si="19"/>
        <v>ARO</v>
      </c>
      <c r="F256" s="429">
        <v>0</v>
      </c>
      <c r="G256" s="429">
        <v>0</v>
      </c>
      <c r="H256" s="429">
        <v>0</v>
      </c>
      <c r="I256" s="429">
        <v>0</v>
      </c>
      <c r="J256" s="429">
        <v>0</v>
      </c>
      <c r="K256" s="429">
        <v>0</v>
      </c>
      <c r="L256" s="429">
        <v>0</v>
      </c>
      <c r="M256" s="429">
        <v>0</v>
      </c>
      <c r="N256" s="429">
        <v>0</v>
      </c>
      <c r="O256" s="429">
        <v>0</v>
      </c>
      <c r="P256" s="429">
        <v>0</v>
      </c>
      <c r="Q256" s="429">
        <v>0</v>
      </c>
      <c r="R256" s="429">
        <v>0</v>
      </c>
      <c r="S256" s="429">
        <f t="shared" si="18"/>
        <v>0</v>
      </c>
    </row>
    <row r="257" spans="1:19">
      <c r="A257" s="429" t="str">
        <f t="shared" si="20"/>
        <v>KU</v>
      </c>
      <c r="B257" s="429" t="str">
        <f t="shared" si="21"/>
        <v>KY</v>
      </c>
      <c r="C257" s="429" t="str">
        <f t="shared" si="22"/>
        <v>361</v>
      </c>
      <c r="D257" s="430" t="s">
        <v>1781</v>
      </c>
      <c r="E257" s="428" t="str">
        <f t="shared" si="19"/>
        <v/>
      </c>
      <c r="F257" s="429">
        <v>0</v>
      </c>
      <c r="G257" s="429">
        <v>0</v>
      </c>
      <c r="H257" s="429">
        <v>0</v>
      </c>
      <c r="I257" s="429">
        <v>0</v>
      </c>
      <c r="J257" s="429">
        <v>0</v>
      </c>
      <c r="K257" s="429">
        <v>0</v>
      </c>
      <c r="L257" s="429">
        <v>0</v>
      </c>
      <c r="M257" s="429">
        <v>0</v>
      </c>
      <c r="N257" s="429">
        <v>0</v>
      </c>
      <c r="O257" s="429">
        <v>0</v>
      </c>
      <c r="P257" s="429">
        <v>0</v>
      </c>
      <c r="Q257" s="429">
        <v>0</v>
      </c>
      <c r="R257" s="429">
        <v>0</v>
      </c>
      <c r="S257" s="429">
        <f t="shared" si="18"/>
        <v>0</v>
      </c>
    </row>
    <row r="258" spans="1:19">
      <c r="A258" s="429" t="str">
        <f t="shared" si="20"/>
        <v>KU</v>
      </c>
      <c r="B258" s="429" t="str">
        <f t="shared" si="21"/>
        <v>KY</v>
      </c>
      <c r="C258" s="429" t="str">
        <f t="shared" si="22"/>
        <v>362</v>
      </c>
      <c r="D258" s="430" t="s">
        <v>1784</v>
      </c>
      <c r="E258" s="428" t="str">
        <f t="shared" si="19"/>
        <v/>
      </c>
      <c r="F258" s="429">
        <v>80.694580000000002</v>
      </c>
      <c r="G258" s="429">
        <v>112.95932000000001</v>
      </c>
      <c r="H258" s="429">
        <v>45.03631</v>
      </c>
      <c r="I258" s="429">
        <v>250.92045999999999</v>
      </c>
      <c r="J258" s="429">
        <v>202.40492</v>
      </c>
      <c r="K258" s="429">
        <v>11.539440000000001</v>
      </c>
      <c r="L258" s="429">
        <v>64.133610000000004</v>
      </c>
      <c r="M258" s="429">
        <v>22.528860000000002</v>
      </c>
      <c r="N258" s="429">
        <v>123.10214999999999</v>
      </c>
      <c r="O258" s="429">
        <v>6.8259799999999897</v>
      </c>
      <c r="P258" s="429">
        <v>85.160139999999998</v>
      </c>
      <c r="Q258" s="429">
        <v>64.546589999999995</v>
      </c>
      <c r="R258" s="429">
        <v>80.694580000000002</v>
      </c>
      <c r="S258" s="429">
        <f t="shared" si="18"/>
        <v>1069.8523600000001</v>
      </c>
    </row>
    <row r="259" spans="1:19">
      <c r="A259" s="429" t="str">
        <f t="shared" si="20"/>
        <v>KU</v>
      </c>
      <c r="B259" s="429" t="str">
        <f t="shared" si="21"/>
        <v>VA</v>
      </c>
      <c r="C259" s="429" t="str">
        <f t="shared" si="22"/>
        <v>362</v>
      </c>
      <c r="D259" s="430" t="s">
        <v>1786</v>
      </c>
      <c r="E259" s="428" t="str">
        <f t="shared" si="19"/>
        <v/>
      </c>
      <c r="F259" s="429">
        <v>0</v>
      </c>
      <c r="G259" s="429">
        <v>0</v>
      </c>
      <c r="H259" s="429">
        <v>0</v>
      </c>
      <c r="I259" s="429">
        <v>0</v>
      </c>
      <c r="J259" s="429">
        <v>0</v>
      </c>
      <c r="K259" s="429">
        <v>0</v>
      </c>
      <c r="L259" s="429">
        <v>0</v>
      </c>
      <c r="M259" s="429">
        <v>0</v>
      </c>
      <c r="N259" s="429">
        <v>0</v>
      </c>
      <c r="O259" s="429">
        <v>0</v>
      </c>
      <c r="P259" s="429">
        <v>0</v>
      </c>
      <c r="Q259" s="429">
        <v>0</v>
      </c>
      <c r="R259" s="429">
        <v>0</v>
      </c>
      <c r="S259" s="429">
        <f t="shared" si="18"/>
        <v>0</v>
      </c>
    </row>
    <row r="260" spans="1:19">
      <c r="A260" s="429" t="str">
        <f t="shared" si="20"/>
        <v>KU</v>
      </c>
      <c r="B260" s="429" t="str">
        <f t="shared" si="21"/>
        <v>KY</v>
      </c>
      <c r="C260" s="429" t="str">
        <f t="shared" si="22"/>
        <v>364</v>
      </c>
      <c r="D260" s="430" t="s">
        <v>1787</v>
      </c>
      <c r="E260" s="428" t="str">
        <f t="shared" si="19"/>
        <v/>
      </c>
      <c r="F260" s="429">
        <v>139.14545999999899</v>
      </c>
      <c r="G260" s="429">
        <v>194.78108</v>
      </c>
      <c r="H260" s="429">
        <v>77.658230000000003</v>
      </c>
      <c r="I260" s="429">
        <v>432.67396000000002</v>
      </c>
      <c r="J260" s="429">
        <v>349.01632999999998</v>
      </c>
      <c r="K260" s="429">
        <v>19.898009999999999</v>
      </c>
      <c r="L260" s="429">
        <v>110.58861</v>
      </c>
      <c r="M260" s="429">
        <v>38.847569999999997</v>
      </c>
      <c r="N260" s="429">
        <v>212.27082999999999</v>
      </c>
      <c r="O260" s="429">
        <v>11.770350000000001</v>
      </c>
      <c r="P260" s="429">
        <v>146.84563</v>
      </c>
      <c r="Q260" s="429">
        <v>111.30073</v>
      </c>
      <c r="R260" s="429">
        <v>139.14545999999899</v>
      </c>
      <c r="S260" s="429">
        <f t="shared" si="18"/>
        <v>1844.796789999999</v>
      </c>
    </row>
    <row r="261" spans="1:19">
      <c r="A261" s="429" t="str">
        <f t="shared" si="20"/>
        <v>KU</v>
      </c>
      <c r="B261" s="429" t="str">
        <f t="shared" si="21"/>
        <v>VA</v>
      </c>
      <c r="C261" s="429" t="str">
        <f t="shared" si="22"/>
        <v>364</v>
      </c>
      <c r="D261" s="430" t="s">
        <v>1789</v>
      </c>
      <c r="E261" s="428" t="str">
        <f t="shared" si="19"/>
        <v/>
      </c>
      <c r="F261" s="429">
        <v>0</v>
      </c>
      <c r="G261" s="429">
        <v>0</v>
      </c>
      <c r="H261" s="429">
        <v>0</v>
      </c>
      <c r="I261" s="429">
        <v>0</v>
      </c>
      <c r="J261" s="429">
        <v>0</v>
      </c>
      <c r="K261" s="429">
        <v>0</v>
      </c>
      <c r="L261" s="429">
        <v>0</v>
      </c>
      <c r="M261" s="429">
        <v>0</v>
      </c>
      <c r="N261" s="429">
        <v>0</v>
      </c>
      <c r="O261" s="429">
        <v>0</v>
      </c>
      <c r="P261" s="429">
        <v>0</v>
      </c>
      <c r="Q261" s="429">
        <v>0</v>
      </c>
      <c r="R261" s="429">
        <v>0</v>
      </c>
      <c r="S261" s="429">
        <f t="shared" si="18"/>
        <v>0</v>
      </c>
    </row>
    <row r="262" spans="1:19">
      <c r="A262" s="429" t="str">
        <f t="shared" si="20"/>
        <v>KU</v>
      </c>
      <c r="B262" s="429" t="str">
        <f t="shared" si="21"/>
        <v>KY</v>
      </c>
      <c r="C262" s="429" t="str">
        <f t="shared" si="22"/>
        <v>365</v>
      </c>
      <c r="D262" s="430" t="s">
        <v>1790</v>
      </c>
      <c r="E262" s="428" t="str">
        <f t="shared" si="19"/>
        <v/>
      </c>
      <c r="F262" s="429">
        <v>502.07398000000001</v>
      </c>
      <c r="G262" s="429">
        <v>702.82214999999997</v>
      </c>
      <c r="H262" s="429">
        <v>280.21163000000001</v>
      </c>
      <c r="I262" s="429">
        <v>1561.2031999999999</v>
      </c>
      <c r="J262" s="429">
        <v>1259.34412</v>
      </c>
      <c r="K262" s="429">
        <v>71.797319999999999</v>
      </c>
      <c r="L262" s="429">
        <v>399.03323999999998</v>
      </c>
      <c r="M262" s="429">
        <v>140.17241000000001</v>
      </c>
      <c r="N262" s="429">
        <v>765.92989999999998</v>
      </c>
      <c r="O262" s="429">
        <v>42.470570000000002</v>
      </c>
      <c r="P262" s="429">
        <v>529.85825999999997</v>
      </c>
      <c r="Q262" s="429">
        <v>401.60275000000001</v>
      </c>
      <c r="R262" s="429">
        <v>502.07398000000001</v>
      </c>
      <c r="S262" s="429">
        <f t="shared" si="18"/>
        <v>6656.5195300000005</v>
      </c>
    </row>
    <row r="263" spans="1:19">
      <c r="A263" s="429" t="str">
        <f t="shared" si="20"/>
        <v>KU</v>
      </c>
      <c r="B263" s="429" t="str">
        <f t="shared" si="21"/>
        <v>VA</v>
      </c>
      <c r="C263" s="429" t="str">
        <f t="shared" si="22"/>
        <v>365</v>
      </c>
      <c r="D263" s="430" t="s">
        <v>1792</v>
      </c>
      <c r="E263" s="428" t="str">
        <f t="shared" si="19"/>
        <v/>
      </c>
      <c r="F263" s="429">
        <v>0</v>
      </c>
      <c r="G263" s="429">
        <v>0</v>
      </c>
      <c r="H263" s="429">
        <v>0</v>
      </c>
      <c r="I263" s="429">
        <v>0</v>
      </c>
      <c r="J263" s="429">
        <v>0</v>
      </c>
      <c r="K263" s="429">
        <v>0</v>
      </c>
      <c r="L263" s="429">
        <v>0</v>
      </c>
      <c r="M263" s="429">
        <v>0</v>
      </c>
      <c r="N263" s="429">
        <v>0</v>
      </c>
      <c r="O263" s="429">
        <v>0</v>
      </c>
      <c r="P263" s="429">
        <v>0</v>
      </c>
      <c r="Q263" s="429">
        <v>0</v>
      </c>
      <c r="R263" s="429">
        <v>0</v>
      </c>
      <c r="S263" s="429">
        <f t="shared" si="18"/>
        <v>0</v>
      </c>
    </row>
    <row r="264" spans="1:19">
      <c r="A264" s="429" t="str">
        <f t="shared" si="20"/>
        <v>KU</v>
      </c>
      <c r="B264" s="429" t="str">
        <f t="shared" si="21"/>
        <v>KY</v>
      </c>
      <c r="C264" s="429" t="str">
        <f t="shared" si="22"/>
        <v>367</v>
      </c>
      <c r="D264" s="430" t="s">
        <v>1794</v>
      </c>
      <c r="E264" s="428" t="str">
        <f t="shared" si="19"/>
        <v/>
      </c>
      <c r="F264" s="429">
        <v>0</v>
      </c>
      <c r="G264" s="429">
        <v>0</v>
      </c>
      <c r="H264" s="429">
        <v>0</v>
      </c>
      <c r="I264" s="429">
        <v>0</v>
      </c>
      <c r="J264" s="429">
        <v>0</v>
      </c>
      <c r="K264" s="429">
        <v>0</v>
      </c>
      <c r="L264" s="429">
        <v>0</v>
      </c>
      <c r="M264" s="429">
        <v>0</v>
      </c>
      <c r="N264" s="429">
        <v>0</v>
      </c>
      <c r="O264" s="429">
        <v>0</v>
      </c>
      <c r="P264" s="429">
        <v>0</v>
      </c>
      <c r="Q264" s="429">
        <v>0</v>
      </c>
      <c r="R264" s="429">
        <v>0</v>
      </c>
      <c r="S264" s="429">
        <f t="shared" si="18"/>
        <v>0</v>
      </c>
    </row>
    <row r="265" spans="1:19">
      <c r="A265" s="429" t="str">
        <f t="shared" si="20"/>
        <v>KU</v>
      </c>
      <c r="B265" s="429" t="str">
        <f t="shared" si="21"/>
        <v>VA</v>
      </c>
      <c r="C265" s="429" t="str">
        <f t="shared" si="22"/>
        <v>367</v>
      </c>
      <c r="D265" s="430" t="s">
        <v>1795</v>
      </c>
      <c r="E265" s="428" t="str">
        <f t="shared" si="19"/>
        <v/>
      </c>
      <c r="F265" s="429">
        <v>0</v>
      </c>
      <c r="G265" s="429">
        <v>0</v>
      </c>
      <c r="H265" s="429">
        <v>0</v>
      </c>
      <c r="I265" s="429">
        <v>0</v>
      </c>
      <c r="J265" s="429">
        <v>0</v>
      </c>
      <c r="K265" s="429">
        <v>0</v>
      </c>
      <c r="L265" s="429">
        <v>0</v>
      </c>
      <c r="M265" s="429">
        <v>0</v>
      </c>
      <c r="N265" s="429">
        <v>0</v>
      </c>
      <c r="O265" s="429">
        <v>0</v>
      </c>
      <c r="P265" s="429">
        <v>0</v>
      </c>
      <c r="Q265" s="429">
        <v>0</v>
      </c>
      <c r="R265" s="429">
        <v>0</v>
      </c>
      <c r="S265" s="429">
        <f t="shared" si="18"/>
        <v>0</v>
      </c>
    </row>
    <row r="266" spans="1:19">
      <c r="A266" s="429" t="str">
        <f t="shared" si="20"/>
        <v>KU</v>
      </c>
      <c r="B266" s="429" t="str">
        <f t="shared" si="21"/>
        <v>KY</v>
      </c>
      <c r="C266" s="429" t="str">
        <f t="shared" si="22"/>
        <v>368</v>
      </c>
      <c r="D266" s="430" t="s">
        <v>1796</v>
      </c>
      <c r="E266" s="428" t="str">
        <f t="shared" si="19"/>
        <v/>
      </c>
      <c r="F266" s="429">
        <v>263.08702</v>
      </c>
      <c r="G266" s="429">
        <v>368.279169999999</v>
      </c>
      <c r="H266" s="429">
        <v>146.83104</v>
      </c>
      <c r="I266" s="429">
        <v>818.07128</v>
      </c>
      <c r="J266" s="429">
        <v>659.89697000000001</v>
      </c>
      <c r="K266" s="429">
        <v>37.621830000000003</v>
      </c>
      <c r="L266" s="429">
        <v>209.09361999999999</v>
      </c>
      <c r="M266" s="429">
        <v>73.450410000000005</v>
      </c>
      <c r="N266" s="429">
        <v>401.347659999999</v>
      </c>
      <c r="O266" s="429">
        <v>22.2546</v>
      </c>
      <c r="P266" s="429">
        <v>277.64600000000002</v>
      </c>
      <c r="Q266" s="429">
        <v>210.44004999999899</v>
      </c>
      <c r="R266" s="429">
        <v>263.08702</v>
      </c>
      <c r="S266" s="429">
        <f t="shared" si="18"/>
        <v>3488.019649999997</v>
      </c>
    </row>
    <row r="267" spans="1:19">
      <c r="A267" s="429" t="str">
        <f t="shared" si="20"/>
        <v>KU</v>
      </c>
      <c r="B267" s="429" t="str">
        <f t="shared" si="21"/>
        <v>VA</v>
      </c>
      <c r="C267" s="429" t="str">
        <f t="shared" si="22"/>
        <v>368</v>
      </c>
      <c r="D267" s="430" t="s">
        <v>1798</v>
      </c>
      <c r="E267" s="428" t="str">
        <f t="shared" si="19"/>
        <v/>
      </c>
      <c r="F267" s="429">
        <v>0</v>
      </c>
      <c r="G267" s="429">
        <v>0</v>
      </c>
      <c r="H267" s="429">
        <v>0</v>
      </c>
      <c r="I267" s="429">
        <v>0</v>
      </c>
      <c r="J267" s="429">
        <v>0</v>
      </c>
      <c r="K267" s="429">
        <v>0</v>
      </c>
      <c r="L267" s="429">
        <v>0</v>
      </c>
      <c r="M267" s="429">
        <v>0</v>
      </c>
      <c r="N267" s="429">
        <v>0</v>
      </c>
      <c r="O267" s="429">
        <v>0</v>
      </c>
      <c r="P267" s="429">
        <v>0</v>
      </c>
      <c r="Q267" s="429">
        <v>0</v>
      </c>
      <c r="R267" s="429">
        <v>0</v>
      </c>
      <c r="S267" s="429">
        <f t="shared" si="18"/>
        <v>0</v>
      </c>
    </row>
    <row r="268" spans="1:19">
      <c r="A268" s="429" t="str">
        <f t="shared" si="20"/>
        <v>KU</v>
      </c>
      <c r="B268" s="429" t="str">
        <f t="shared" si="21"/>
        <v>KY</v>
      </c>
      <c r="C268" s="429" t="str">
        <f t="shared" si="22"/>
        <v>370</v>
      </c>
      <c r="D268" s="430" t="s">
        <v>1802</v>
      </c>
      <c r="E268" s="428" t="str">
        <f t="shared" si="19"/>
        <v/>
      </c>
      <c r="F268" s="429">
        <v>0</v>
      </c>
      <c r="G268" s="429">
        <v>0</v>
      </c>
      <c r="H268" s="429">
        <v>0</v>
      </c>
      <c r="I268" s="429">
        <v>0</v>
      </c>
      <c r="J268" s="429">
        <v>0</v>
      </c>
      <c r="K268" s="429">
        <v>0</v>
      </c>
      <c r="L268" s="429">
        <v>0</v>
      </c>
      <c r="M268" s="429">
        <v>0</v>
      </c>
      <c r="N268" s="429">
        <v>0</v>
      </c>
      <c r="O268" s="429">
        <v>0</v>
      </c>
      <c r="P268" s="429">
        <v>0</v>
      </c>
      <c r="Q268" s="429">
        <v>0</v>
      </c>
      <c r="R268" s="429">
        <v>0</v>
      </c>
      <c r="S268" s="429">
        <f t="shared" si="18"/>
        <v>0</v>
      </c>
    </row>
    <row r="269" spans="1:19">
      <c r="A269" s="429" t="str">
        <f t="shared" si="20"/>
        <v>KU</v>
      </c>
      <c r="B269" s="429" t="str">
        <f t="shared" si="21"/>
        <v>VA</v>
      </c>
      <c r="C269" s="429" t="str">
        <f t="shared" si="22"/>
        <v>370</v>
      </c>
      <c r="D269" s="430" t="s">
        <v>1804</v>
      </c>
      <c r="E269" s="428" t="str">
        <f t="shared" si="19"/>
        <v/>
      </c>
      <c r="F269" s="429">
        <v>0</v>
      </c>
      <c r="G269" s="429">
        <v>0</v>
      </c>
      <c r="H269" s="429">
        <v>0</v>
      </c>
      <c r="I269" s="429">
        <v>0</v>
      </c>
      <c r="J269" s="429">
        <v>0</v>
      </c>
      <c r="K269" s="429">
        <v>0</v>
      </c>
      <c r="L269" s="429">
        <v>0</v>
      </c>
      <c r="M269" s="429">
        <v>0</v>
      </c>
      <c r="N269" s="429">
        <v>0</v>
      </c>
      <c r="O269" s="429">
        <v>0</v>
      </c>
      <c r="P269" s="429">
        <v>0</v>
      </c>
      <c r="Q269" s="429">
        <v>0</v>
      </c>
      <c r="R269" s="429">
        <v>0</v>
      </c>
      <c r="S269" s="429">
        <f t="shared" si="18"/>
        <v>0</v>
      </c>
    </row>
    <row r="270" spans="1:19">
      <c r="A270" s="429" t="str">
        <f t="shared" si="20"/>
        <v>KU</v>
      </c>
      <c r="B270" s="429" t="str">
        <f t="shared" si="21"/>
        <v>KY</v>
      </c>
      <c r="C270" s="429" t="str">
        <f t="shared" si="22"/>
        <v>373</v>
      </c>
      <c r="D270" s="430" t="s">
        <v>1806</v>
      </c>
      <c r="E270" s="428" t="str">
        <f t="shared" si="19"/>
        <v/>
      </c>
      <c r="F270" s="429">
        <v>278.85165000000001</v>
      </c>
      <c r="G270" s="429">
        <v>390.34708999999998</v>
      </c>
      <c r="H270" s="429">
        <v>155.6294</v>
      </c>
      <c r="I270" s="429">
        <v>867.09151999999995</v>
      </c>
      <c r="J270" s="429">
        <v>699.43912999999998</v>
      </c>
      <c r="K270" s="429">
        <v>39.876199999999997</v>
      </c>
      <c r="L270" s="429">
        <v>221.62287000000001</v>
      </c>
      <c r="M270" s="429">
        <v>77.851690000000005</v>
      </c>
      <c r="N270" s="429">
        <v>425.39713</v>
      </c>
      <c r="O270" s="429">
        <v>23.58813</v>
      </c>
      <c r="P270" s="429">
        <v>294.28303</v>
      </c>
      <c r="Q270" s="429">
        <v>223.04998000000001</v>
      </c>
      <c r="R270" s="429">
        <v>278.85165000000001</v>
      </c>
      <c r="S270" s="429">
        <f t="shared" si="18"/>
        <v>3697.0278199999998</v>
      </c>
    </row>
    <row r="271" spans="1:19">
      <c r="A271" s="429" t="str">
        <f t="shared" si="20"/>
        <v>KU</v>
      </c>
      <c r="B271" s="429" t="str">
        <f t="shared" si="21"/>
        <v>VA</v>
      </c>
      <c r="C271" s="429" t="str">
        <f t="shared" si="22"/>
        <v>373</v>
      </c>
      <c r="D271" s="430" t="s">
        <v>1807</v>
      </c>
      <c r="E271" s="428" t="str">
        <f t="shared" si="19"/>
        <v/>
      </c>
      <c r="F271" s="429">
        <v>0</v>
      </c>
      <c r="G271" s="429">
        <v>0</v>
      </c>
      <c r="H271" s="429">
        <v>0</v>
      </c>
      <c r="I271" s="429">
        <v>0</v>
      </c>
      <c r="J271" s="429">
        <v>0</v>
      </c>
      <c r="K271" s="429">
        <v>0</v>
      </c>
      <c r="L271" s="429">
        <v>0</v>
      </c>
      <c r="M271" s="429">
        <v>0</v>
      </c>
      <c r="N271" s="429">
        <v>0</v>
      </c>
      <c r="O271" s="429">
        <v>0</v>
      </c>
      <c r="P271" s="429">
        <v>0</v>
      </c>
      <c r="Q271" s="429">
        <v>0</v>
      </c>
      <c r="R271" s="429">
        <v>0</v>
      </c>
      <c r="S271" s="429">
        <f t="shared" si="18"/>
        <v>0</v>
      </c>
    </row>
    <row r="272" spans="1:19">
      <c r="A272" s="429" t="str">
        <f t="shared" si="20"/>
        <v>KU</v>
      </c>
      <c r="B272" s="429" t="str">
        <f t="shared" si="21"/>
        <v>KY</v>
      </c>
      <c r="C272" s="429" t="str">
        <f t="shared" si="22"/>
        <v>374</v>
      </c>
      <c r="D272" s="430" t="s">
        <v>1808</v>
      </c>
      <c r="E272" s="428" t="str">
        <f t="shared" si="19"/>
        <v>ARO</v>
      </c>
      <c r="F272" s="429">
        <v>0</v>
      </c>
      <c r="G272" s="429">
        <v>0</v>
      </c>
      <c r="H272" s="429">
        <v>0</v>
      </c>
      <c r="I272" s="429">
        <v>0</v>
      </c>
      <c r="J272" s="429">
        <v>0</v>
      </c>
      <c r="K272" s="429">
        <v>0</v>
      </c>
      <c r="L272" s="429">
        <v>0</v>
      </c>
      <c r="M272" s="429">
        <v>0</v>
      </c>
      <c r="N272" s="429">
        <v>0</v>
      </c>
      <c r="O272" s="429">
        <v>0</v>
      </c>
      <c r="P272" s="429">
        <v>0</v>
      </c>
      <c r="Q272" s="429">
        <v>0</v>
      </c>
      <c r="R272" s="429">
        <v>0</v>
      </c>
      <c r="S272" s="429">
        <f t="shared" si="18"/>
        <v>0</v>
      </c>
    </row>
    <row r="273" spans="1:20">
      <c r="A273" s="429" t="str">
        <f t="shared" si="20"/>
        <v>KU</v>
      </c>
      <c r="B273" s="429" t="str">
        <f t="shared" si="21"/>
        <v>KY</v>
      </c>
      <c r="C273" s="429" t="str">
        <f t="shared" si="22"/>
        <v>390</v>
      </c>
      <c r="D273" s="430" t="s">
        <v>1811</v>
      </c>
      <c r="E273" s="428" t="str">
        <f t="shared" si="19"/>
        <v/>
      </c>
      <c r="F273" s="429">
        <v>0</v>
      </c>
      <c r="G273" s="429">
        <v>0</v>
      </c>
      <c r="H273" s="429">
        <v>0</v>
      </c>
      <c r="I273" s="429">
        <v>0</v>
      </c>
      <c r="J273" s="429">
        <v>0</v>
      </c>
      <c r="K273" s="429">
        <v>0</v>
      </c>
      <c r="L273" s="429">
        <v>0</v>
      </c>
      <c r="M273" s="429">
        <v>0</v>
      </c>
      <c r="N273" s="429">
        <v>0</v>
      </c>
      <c r="O273" s="429">
        <v>0</v>
      </c>
      <c r="P273" s="429">
        <v>0</v>
      </c>
      <c r="Q273" s="429">
        <v>0</v>
      </c>
      <c r="R273" s="429">
        <v>0</v>
      </c>
      <c r="S273" s="429">
        <f t="shared" si="18"/>
        <v>0</v>
      </c>
    </row>
    <row r="274" spans="1:20">
      <c r="A274" s="429" t="str">
        <f t="shared" si="20"/>
        <v>KU</v>
      </c>
      <c r="B274" s="429" t="str">
        <f t="shared" si="21"/>
        <v>KY</v>
      </c>
      <c r="C274" s="429" t="str">
        <f t="shared" si="22"/>
        <v>390</v>
      </c>
      <c r="D274" s="430" t="s">
        <v>1812</v>
      </c>
      <c r="E274" s="428" t="str">
        <f t="shared" si="19"/>
        <v/>
      </c>
      <c r="F274" s="429">
        <v>0</v>
      </c>
      <c r="G274" s="429">
        <v>0</v>
      </c>
      <c r="H274" s="429">
        <v>0</v>
      </c>
      <c r="I274" s="429">
        <v>0</v>
      </c>
      <c r="J274" s="429">
        <v>0</v>
      </c>
      <c r="K274" s="429">
        <v>0</v>
      </c>
      <c r="L274" s="429">
        <v>0</v>
      </c>
      <c r="M274" s="429">
        <v>0</v>
      </c>
      <c r="N274" s="429">
        <v>0</v>
      </c>
      <c r="O274" s="429">
        <v>0</v>
      </c>
      <c r="P274" s="429">
        <v>0</v>
      </c>
      <c r="Q274" s="429">
        <v>0</v>
      </c>
      <c r="R274" s="429">
        <v>0</v>
      </c>
      <c r="S274" s="429">
        <f t="shared" si="18"/>
        <v>0</v>
      </c>
    </row>
    <row r="275" spans="1:20">
      <c r="A275" s="429" t="str">
        <f t="shared" si="20"/>
        <v>KU</v>
      </c>
      <c r="B275" s="429" t="str">
        <f t="shared" si="21"/>
        <v>VA</v>
      </c>
      <c r="C275" s="429" t="str">
        <f t="shared" si="22"/>
        <v>390</v>
      </c>
      <c r="D275" s="430" t="s">
        <v>1813</v>
      </c>
      <c r="E275" s="428" t="str">
        <f t="shared" si="19"/>
        <v/>
      </c>
      <c r="F275" s="429">
        <v>0</v>
      </c>
      <c r="G275" s="429">
        <v>0</v>
      </c>
      <c r="H275" s="429">
        <v>0</v>
      </c>
      <c r="I275" s="429">
        <v>0</v>
      </c>
      <c r="J275" s="429">
        <v>0</v>
      </c>
      <c r="K275" s="429">
        <v>0</v>
      </c>
      <c r="L275" s="429">
        <v>0</v>
      </c>
      <c r="M275" s="429">
        <v>0</v>
      </c>
      <c r="N275" s="429">
        <v>0</v>
      </c>
      <c r="O275" s="429">
        <v>0</v>
      </c>
      <c r="P275" s="429">
        <v>0</v>
      </c>
      <c r="Q275" s="429">
        <v>0</v>
      </c>
      <c r="R275" s="429">
        <v>0</v>
      </c>
      <c r="S275" s="429">
        <f t="shared" si="18"/>
        <v>0</v>
      </c>
    </row>
    <row r="276" spans="1:20">
      <c r="A276" s="429" t="str">
        <f t="shared" si="20"/>
        <v>KU</v>
      </c>
      <c r="B276" s="429" t="str">
        <f t="shared" si="21"/>
        <v>KY</v>
      </c>
      <c r="C276" s="429" t="str">
        <f t="shared" si="22"/>
        <v>391</v>
      </c>
      <c r="D276" s="430" t="s">
        <v>1814</v>
      </c>
      <c r="E276" s="428" t="str">
        <f t="shared" si="19"/>
        <v/>
      </c>
      <c r="F276" s="429">
        <v>4.9642200000000001</v>
      </c>
      <c r="G276" s="429">
        <v>0</v>
      </c>
      <c r="H276" s="429">
        <v>0</v>
      </c>
      <c r="I276" s="429">
        <v>0</v>
      </c>
      <c r="J276" s="429">
        <v>0</v>
      </c>
      <c r="K276" s="429">
        <v>50.504530000000003</v>
      </c>
      <c r="L276" s="429">
        <v>752.66498000000001</v>
      </c>
      <c r="M276" s="429">
        <v>10.64828</v>
      </c>
      <c r="N276" s="429">
        <v>0</v>
      </c>
      <c r="O276" s="429">
        <v>21.932549999999999</v>
      </c>
      <c r="P276" s="429">
        <v>0</v>
      </c>
      <c r="Q276" s="429">
        <v>0</v>
      </c>
      <c r="R276" s="429">
        <v>0</v>
      </c>
      <c r="S276" s="429">
        <f t="shared" si="18"/>
        <v>835.75034000000005</v>
      </c>
    </row>
    <row r="277" spans="1:20">
      <c r="A277" s="429" t="str">
        <f t="shared" si="20"/>
        <v>KU</v>
      </c>
      <c r="B277" s="429" t="str">
        <f t="shared" si="21"/>
        <v>KY</v>
      </c>
      <c r="C277" s="429" t="str">
        <f t="shared" si="22"/>
        <v>391</v>
      </c>
      <c r="D277" s="430" t="s">
        <v>1815</v>
      </c>
      <c r="E277" s="428" t="str">
        <f t="shared" si="19"/>
        <v/>
      </c>
      <c r="F277" s="429">
        <v>252.41788</v>
      </c>
      <c r="G277" s="429">
        <v>1659.92534</v>
      </c>
      <c r="H277" s="429">
        <v>856.93454999999994</v>
      </c>
      <c r="I277" s="429">
        <v>189.06634</v>
      </c>
      <c r="J277" s="429">
        <v>781.48081999999999</v>
      </c>
      <c r="K277" s="429">
        <v>0</v>
      </c>
      <c r="L277" s="429">
        <v>605.444199999999</v>
      </c>
      <c r="M277" s="429">
        <v>111.24678</v>
      </c>
      <c r="N277" s="429">
        <v>393.58821999999998</v>
      </c>
      <c r="O277" s="429">
        <v>746.83319999999901</v>
      </c>
      <c r="P277" s="429">
        <v>1686.91551</v>
      </c>
      <c r="Q277" s="429">
        <v>246.30145999999999</v>
      </c>
      <c r="R277" s="429">
        <v>42.032649999999997</v>
      </c>
      <c r="S277" s="429">
        <f t="shared" si="18"/>
        <v>7319.7690699999976</v>
      </c>
    </row>
    <row r="278" spans="1:20">
      <c r="A278" s="429" t="str">
        <f t="shared" si="20"/>
        <v>KU</v>
      </c>
      <c r="B278" s="429" t="str">
        <f t="shared" si="21"/>
        <v>KY</v>
      </c>
      <c r="C278" s="429" t="str">
        <f t="shared" si="22"/>
        <v>392</v>
      </c>
      <c r="D278" s="430" t="s">
        <v>1818</v>
      </c>
      <c r="E278" s="428" t="str">
        <f t="shared" si="19"/>
        <v/>
      </c>
      <c r="F278" s="429">
        <v>0</v>
      </c>
      <c r="G278" s="429">
        <v>0</v>
      </c>
      <c r="H278" s="429">
        <v>0</v>
      </c>
      <c r="I278" s="429">
        <v>0</v>
      </c>
      <c r="J278" s="429">
        <v>0</v>
      </c>
      <c r="K278" s="429">
        <v>0</v>
      </c>
      <c r="L278" s="429">
        <v>0</v>
      </c>
      <c r="M278" s="429">
        <v>0</v>
      </c>
      <c r="N278" s="429">
        <v>0</v>
      </c>
      <c r="O278" s="429">
        <v>0</v>
      </c>
      <c r="P278" s="429">
        <v>0</v>
      </c>
      <c r="Q278" s="429">
        <v>0</v>
      </c>
      <c r="R278" s="429">
        <v>0</v>
      </c>
      <c r="S278" s="429">
        <f t="shared" ref="S278:S282" si="23">SUM(G278:R278)</f>
        <v>0</v>
      </c>
    </row>
    <row r="279" spans="1:20">
      <c r="A279" s="429" t="str">
        <f t="shared" si="20"/>
        <v>KU</v>
      </c>
      <c r="B279" s="429" t="str">
        <f t="shared" si="21"/>
        <v>KY</v>
      </c>
      <c r="C279" s="429" t="str">
        <f t="shared" si="22"/>
        <v>393</v>
      </c>
      <c r="D279" s="430" t="s">
        <v>1819</v>
      </c>
      <c r="E279" s="428" t="str">
        <f t="shared" si="19"/>
        <v/>
      </c>
      <c r="F279" s="429">
        <v>10.1326</v>
      </c>
      <c r="G279" s="429">
        <v>13.04768</v>
      </c>
      <c r="H279" s="429">
        <v>0</v>
      </c>
      <c r="I279" s="429">
        <v>0</v>
      </c>
      <c r="J279" s="429">
        <v>1.59849</v>
      </c>
      <c r="K279" s="429">
        <v>6.5201500000000001</v>
      </c>
      <c r="L279" s="429">
        <v>10.6745</v>
      </c>
      <c r="M279" s="429">
        <v>0</v>
      </c>
      <c r="N279" s="429">
        <v>0</v>
      </c>
      <c r="O279" s="429">
        <v>0</v>
      </c>
      <c r="P279" s="429">
        <v>0</v>
      </c>
      <c r="Q279" s="429">
        <v>0</v>
      </c>
      <c r="R279" s="429">
        <v>0</v>
      </c>
      <c r="S279" s="429">
        <f t="shared" si="23"/>
        <v>31.840820000000001</v>
      </c>
    </row>
    <row r="280" spans="1:20">
      <c r="A280" s="429" t="str">
        <f t="shared" si="20"/>
        <v>KU</v>
      </c>
      <c r="B280" s="429" t="str">
        <f t="shared" si="21"/>
        <v>VA</v>
      </c>
      <c r="C280" s="429" t="str">
        <f t="shared" si="22"/>
        <v>393</v>
      </c>
      <c r="D280" s="430" t="s">
        <v>1820</v>
      </c>
      <c r="E280" s="428" t="str">
        <f t="shared" si="19"/>
        <v/>
      </c>
      <c r="F280" s="429">
        <v>0</v>
      </c>
      <c r="G280" s="429">
        <v>0</v>
      </c>
      <c r="H280" s="429">
        <v>0</v>
      </c>
      <c r="I280" s="429">
        <v>0</v>
      </c>
      <c r="J280" s="429">
        <v>0</v>
      </c>
      <c r="K280" s="429">
        <v>0</v>
      </c>
      <c r="L280" s="429">
        <v>0</v>
      </c>
      <c r="M280" s="429">
        <v>0</v>
      </c>
      <c r="N280" s="429">
        <v>0</v>
      </c>
      <c r="O280" s="429">
        <v>0</v>
      </c>
      <c r="P280" s="429">
        <v>0</v>
      </c>
      <c r="Q280" s="429">
        <v>0</v>
      </c>
      <c r="R280" s="429">
        <v>0</v>
      </c>
      <c r="S280" s="429">
        <f t="shared" si="23"/>
        <v>0</v>
      </c>
    </row>
    <row r="281" spans="1:20">
      <c r="A281" s="429" t="str">
        <f t="shared" si="20"/>
        <v>KU</v>
      </c>
      <c r="B281" s="429" t="str">
        <f t="shared" si="21"/>
        <v>KY</v>
      </c>
      <c r="C281" s="429" t="str">
        <f t="shared" si="22"/>
        <v>394</v>
      </c>
      <c r="D281" s="430" t="s">
        <v>1821</v>
      </c>
      <c r="E281" s="428" t="str">
        <f t="shared" ref="E281:E347" si="24">IF(ISTEXT(MID($D281,SEARCH("FUTURE USE",$D281),3)),"FUTURE USE",IF(ISTEXT(MID($D281,SEARCH("ECR",$D281),3)),"ECR",IF(ISTEXT(MID($D281,SEARCH("ARO",$D281),3)),"ARO",IF(ISTEXT(MID($D281,SEARCH("DSM",$D281),3)),"DSM",""))))</f>
        <v/>
      </c>
      <c r="F281" s="429">
        <v>9.5558999999999994</v>
      </c>
      <c r="G281" s="429">
        <v>2.3574199999999998</v>
      </c>
      <c r="H281" s="429">
        <v>15.743029999999999</v>
      </c>
      <c r="I281" s="429">
        <v>2.5400399999999999</v>
      </c>
      <c r="J281" s="429">
        <v>21.723469999999999</v>
      </c>
      <c r="K281" s="429">
        <v>20.914009999999902</v>
      </c>
      <c r="L281" s="429">
        <v>1.58423</v>
      </c>
      <c r="M281" s="429">
        <v>2.2429999999999999</v>
      </c>
      <c r="N281" s="429">
        <v>10.883369999999999</v>
      </c>
      <c r="O281" s="429">
        <v>0</v>
      </c>
      <c r="P281" s="429">
        <v>0</v>
      </c>
      <c r="Q281" s="429">
        <v>0</v>
      </c>
      <c r="R281" s="429">
        <v>15.030200000000001</v>
      </c>
      <c r="S281" s="429">
        <f t="shared" si="23"/>
        <v>93.018769999999904</v>
      </c>
    </row>
    <row r="282" spans="1:20">
      <c r="A282" s="429" t="str">
        <f t="shared" si="20"/>
        <v>KU</v>
      </c>
      <c r="B282" s="429" t="str">
        <f t="shared" si="21"/>
        <v>VA</v>
      </c>
      <c r="C282" s="429" t="str">
        <f t="shared" si="22"/>
        <v>394</v>
      </c>
      <c r="D282" s="430" t="s">
        <v>1822</v>
      </c>
      <c r="E282" s="428" t="str">
        <f t="shared" si="24"/>
        <v/>
      </c>
      <c r="F282" s="429">
        <v>0</v>
      </c>
      <c r="G282" s="429">
        <v>0</v>
      </c>
      <c r="H282" s="429">
        <v>0</v>
      </c>
      <c r="I282" s="429">
        <v>0</v>
      </c>
      <c r="J282" s="429">
        <v>6.7188599999999896</v>
      </c>
      <c r="K282" s="429">
        <v>0</v>
      </c>
      <c r="L282" s="429">
        <v>0</v>
      </c>
      <c r="M282" s="429">
        <v>0</v>
      </c>
      <c r="N282" s="429">
        <v>6.2773399999999997</v>
      </c>
      <c r="O282" s="429">
        <v>0</v>
      </c>
      <c r="P282" s="429">
        <v>0</v>
      </c>
      <c r="Q282" s="429">
        <v>0</v>
      </c>
      <c r="R282" s="429">
        <v>0</v>
      </c>
      <c r="S282" s="429">
        <f t="shared" si="23"/>
        <v>12.996199999999989</v>
      </c>
    </row>
    <row r="283" spans="1:20">
      <c r="E283" s="428" t="str">
        <f t="shared" si="24"/>
        <v/>
      </c>
    </row>
    <row r="284" spans="1:20">
      <c r="D284" s="721" t="s">
        <v>1831</v>
      </c>
      <c r="E284" s="428" t="str">
        <f t="shared" si="24"/>
        <v/>
      </c>
    </row>
    <row r="285" spans="1:20">
      <c r="A285" s="429" t="str">
        <f t="shared" ref="A285:A351" si="25">MID($D285,4,2)</f>
        <v>KU</v>
      </c>
      <c r="B285" s="429" t="str">
        <f t="shared" ref="B285:B351" si="26">IF(MID($D285,12,2)="- ","KY",MID($D285,12,2))</f>
        <v>KY</v>
      </c>
      <c r="C285" s="429" t="str">
        <f t="shared" ref="C285:C351" si="27">MID($D285,8,3)</f>
        <v>302</v>
      </c>
      <c r="D285" s="430" t="s">
        <v>1725</v>
      </c>
      <c r="E285" s="428" t="str">
        <f t="shared" si="24"/>
        <v/>
      </c>
      <c r="F285" s="429">
        <v>72.051914608000004</v>
      </c>
      <c r="G285" s="429">
        <v>72.221069068800006</v>
      </c>
      <c r="H285" s="429">
        <v>72.390223529599993</v>
      </c>
      <c r="I285" s="429">
        <v>72.559377990399994</v>
      </c>
      <c r="J285" s="429">
        <v>72.728532451199996</v>
      </c>
      <c r="K285" s="429">
        <v>72.897686911999998</v>
      </c>
      <c r="L285" s="429">
        <v>73.066841372799999</v>
      </c>
      <c r="M285" s="429">
        <v>73.235995833600001</v>
      </c>
      <c r="N285" s="429">
        <v>73.405150294400002</v>
      </c>
      <c r="O285" s="429">
        <v>73.574304755200004</v>
      </c>
      <c r="P285" s="429">
        <v>73.743459216000005</v>
      </c>
      <c r="Q285" s="429">
        <v>73.912613676800007</v>
      </c>
      <c r="R285" s="429">
        <v>74.081768137599994</v>
      </c>
      <c r="T285" s="429">
        <f t="shared" ref="T285:T351" si="28">SUM(F285:R285)/13</f>
        <v>73.066841372799999</v>
      </c>
    </row>
    <row r="286" spans="1:20">
      <c r="A286" s="429" t="str">
        <f t="shared" si="25"/>
        <v>KU</v>
      </c>
      <c r="B286" s="429" t="str">
        <f t="shared" si="26"/>
        <v>KY</v>
      </c>
      <c r="C286" s="429" t="str">
        <f t="shared" si="27"/>
        <v>303</v>
      </c>
      <c r="D286" s="430" t="s">
        <v>1726</v>
      </c>
      <c r="E286" s="428" t="str">
        <f t="shared" si="24"/>
        <v/>
      </c>
      <c r="F286" s="429">
        <v>30798.110768999901</v>
      </c>
      <c r="G286" s="429">
        <v>31837.0267539999</v>
      </c>
      <c r="H286" s="429">
        <v>32953.256957999998</v>
      </c>
      <c r="I286" s="429">
        <v>34016.414949999998</v>
      </c>
      <c r="J286" s="429">
        <v>34255.806213999997</v>
      </c>
      <c r="K286" s="429">
        <v>35266.179999</v>
      </c>
      <c r="L286" s="429">
        <v>34711.084804999999</v>
      </c>
      <c r="M286" s="429">
        <v>32336.956150000002</v>
      </c>
      <c r="N286" s="429">
        <v>33583.978658</v>
      </c>
      <c r="O286" s="429">
        <v>34025.949568000004</v>
      </c>
      <c r="P286" s="429">
        <v>32723.999581</v>
      </c>
      <c r="Q286" s="429">
        <v>33845.864433000002</v>
      </c>
      <c r="R286" s="429">
        <v>35283.337647</v>
      </c>
      <c r="T286" s="429">
        <f t="shared" si="28"/>
        <v>33510.612806615361</v>
      </c>
    </row>
    <row r="287" spans="1:20">
      <c r="A287" s="429" t="str">
        <f t="shared" si="25"/>
        <v>KU</v>
      </c>
      <c r="B287" s="429" t="str">
        <f t="shared" si="26"/>
        <v>KY</v>
      </c>
      <c r="C287" s="429" t="str">
        <f t="shared" si="27"/>
        <v>303</v>
      </c>
      <c r="D287" s="430" t="s">
        <v>1727</v>
      </c>
      <c r="E287" s="428" t="str">
        <f t="shared" si="24"/>
        <v/>
      </c>
      <c r="F287" s="429">
        <v>5908.8445622999998</v>
      </c>
      <c r="G287" s="429">
        <v>6069.7266270999999</v>
      </c>
      <c r="H287" s="429">
        <v>6230.8434251999997</v>
      </c>
      <c r="I287" s="429">
        <v>6391.9602232999996</v>
      </c>
      <c r="J287" s="429">
        <v>6553.0770214000004</v>
      </c>
      <c r="K287" s="429">
        <v>6714.1938195000002</v>
      </c>
      <c r="L287" s="429">
        <v>6875.3106176000001</v>
      </c>
      <c r="M287" s="429">
        <v>7036.4274157</v>
      </c>
      <c r="N287" s="429">
        <v>7198.0085959999997</v>
      </c>
      <c r="O287" s="429">
        <v>7360.0541583999902</v>
      </c>
      <c r="P287" s="429">
        <v>7522.5188874999903</v>
      </c>
      <c r="Q287" s="429">
        <v>7685.40278329999</v>
      </c>
      <c r="R287" s="429">
        <v>7848.9908790999898</v>
      </c>
      <c r="T287" s="429">
        <f t="shared" si="28"/>
        <v>6876.5660781846109</v>
      </c>
    </row>
    <row r="288" spans="1:20">
      <c r="A288" s="429" t="str">
        <f t="shared" si="25"/>
        <v>KU</v>
      </c>
      <c r="B288" s="429" t="str">
        <f t="shared" si="26"/>
        <v>KY</v>
      </c>
      <c r="C288" s="429" t="str">
        <f t="shared" si="27"/>
        <v>311</v>
      </c>
      <c r="D288" s="430" t="s">
        <v>1731</v>
      </c>
      <c r="E288" s="428" t="str">
        <f t="shared" si="24"/>
        <v>ECR</v>
      </c>
      <c r="F288" s="429">
        <v>627.04703042469998</v>
      </c>
      <c r="G288" s="429">
        <v>656.61343659069996</v>
      </c>
      <c r="H288" s="429">
        <v>686.17984275670005</v>
      </c>
      <c r="I288" s="429">
        <v>715.74624892270003</v>
      </c>
      <c r="J288" s="429">
        <v>745.31265508870001</v>
      </c>
      <c r="K288" s="429">
        <v>774.87906125469999</v>
      </c>
      <c r="L288" s="429">
        <v>804.44546742069997</v>
      </c>
      <c r="M288" s="429">
        <v>834.01187358669995</v>
      </c>
      <c r="N288" s="429">
        <v>863.57827975270004</v>
      </c>
      <c r="O288" s="429">
        <v>893.14468591870002</v>
      </c>
      <c r="P288" s="429">
        <v>922.7110920847</v>
      </c>
      <c r="Q288" s="429">
        <v>952.27749825069998</v>
      </c>
      <c r="R288" s="429">
        <v>981.84390441669996</v>
      </c>
      <c r="T288" s="429">
        <f t="shared" si="28"/>
        <v>804.44546742070008</v>
      </c>
    </row>
    <row r="289" spans="1:20">
      <c r="A289" s="429" t="str">
        <f t="shared" si="25"/>
        <v>KU</v>
      </c>
      <c r="B289" s="429" t="str">
        <f t="shared" si="26"/>
        <v>KY</v>
      </c>
      <c r="C289" s="429" t="str">
        <f t="shared" si="27"/>
        <v>311</v>
      </c>
      <c r="D289" s="430" t="s">
        <v>2194</v>
      </c>
      <c r="E289" s="428" t="str">
        <f t="shared" si="24"/>
        <v>ECR</v>
      </c>
      <c r="F289" s="429">
        <v>671.76501351499905</v>
      </c>
      <c r="G289" s="429">
        <v>701.79473406399904</v>
      </c>
      <c r="H289" s="429">
        <v>731.82445461299903</v>
      </c>
      <c r="I289" s="429">
        <v>761.85417516199902</v>
      </c>
      <c r="J289" s="429">
        <v>791.88389571099901</v>
      </c>
      <c r="K289" s="429">
        <v>821.913616259999</v>
      </c>
      <c r="L289" s="429">
        <v>851.94333680899899</v>
      </c>
      <c r="M289" s="429">
        <v>881.97305735799898</v>
      </c>
      <c r="N289" s="429">
        <v>912.00277790699897</v>
      </c>
      <c r="O289" s="429">
        <v>942.03249845599896</v>
      </c>
      <c r="P289" s="429">
        <v>972.06221900499895</v>
      </c>
      <c r="Q289" s="429">
        <v>1002.09193955399</v>
      </c>
      <c r="R289" s="429">
        <v>1032.1216601029901</v>
      </c>
      <c r="T289" s="429">
        <f t="shared" si="28"/>
        <v>851.94333680899763</v>
      </c>
    </row>
    <row r="290" spans="1:20">
      <c r="A290" s="429" t="str">
        <f t="shared" si="25"/>
        <v>KU</v>
      </c>
      <c r="B290" s="429" t="str">
        <f t="shared" si="26"/>
        <v>KY</v>
      </c>
      <c r="C290" s="429" t="str">
        <f t="shared" si="27"/>
        <v>311</v>
      </c>
      <c r="D290" s="430" t="s">
        <v>1732</v>
      </c>
      <c r="E290" s="428" t="str">
        <f t="shared" si="24"/>
        <v/>
      </c>
      <c r="F290" s="429">
        <v>192501.825299068</v>
      </c>
      <c r="G290" s="429">
        <v>193132.35152667799</v>
      </c>
      <c r="H290" s="429">
        <v>193766.79344885299</v>
      </c>
      <c r="I290" s="429">
        <v>194410.83486268099</v>
      </c>
      <c r="J290" s="429">
        <v>194963.41603642199</v>
      </c>
      <c r="K290" s="429">
        <v>195540.42650715599</v>
      </c>
      <c r="L290" s="429">
        <v>196167.380000045</v>
      </c>
      <c r="M290" s="429">
        <v>196814.55799905199</v>
      </c>
      <c r="N290" s="429">
        <v>186786.573180871</v>
      </c>
      <c r="O290" s="429">
        <v>187434.09337269</v>
      </c>
      <c r="P290" s="429">
        <v>188081.61356450801</v>
      </c>
      <c r="Q290" s="429">
        <v>188682.09930179999</v>
      </c>
      <c r="R290" s="429">
        <v>189330.21071109801</v>
      </c>
      <c r="T290" s="429">
        <f t="shared" si="28"/>
        <v>192124.01352391706</v>
      </c>
    </row>
    <row r="291" spans="1:20">
      <c r="A291" s="429" t="str">
        <f t="shared" si="25"/>
        <v>KU</v>
      </c>
      <c r="B291" s="429" t="str">
        <f t="shared" si="26"/>
        <v>KY</v>
      </c>
      <c r="C291" s="429" t="str">
        <f t="shared" si="27"/>
        <v>312</v>
      </c>
      <c r="D291" s="430" t="s">
        <v>1733</v>
      </c>
      <c r="E291" s="428" t="str">
        <f t="shared" si="24"/>
        <v/>
      </c>
      <c r="F291" s="429">
        <v>1125906.38728664</v>
      </c>
      <c r="G291" s="429">
        <v>1134447.3097484901</v>
      </c>
      <c r="H291" s="429">
        <v>1141950.1887751799</v>
      </c>
      <c r="I291" s="429">
        <v>1151060.8472779</v>
      </c>
      <c r="J291" s="429">
        <v>1159504.16317296</v>
      </c>
      <c r="K291" s="429">
        <v>1154452.1911569601</v>
      </c>
      <c r="L291" s="429">
        <v>1163624.32122139</v>
      </c>
      <c r="M291" s="429">
        <v>1171415.9440973999</v>
      </c>
      <c r="N291" s="429">
        <v>1152240.66147486</v>
      </c>
      <c r="O291" s="429">
        <v>1161527.0340152001</v>
      </c>
      <c r="P291" s="429">
        <v>1166875.3076556299</v>
      </c>
      <c r="Q291" s="429">
        <v>1175353.25278283</v>
      </c>
      <c r="R291" s="429">
        <v>1184619.03786275</v>
      </c>
      <c r="T291" s="429">
        <f t="shared" si="28"/>
        <v>1157152.0497329377</v>
      </c>
    </row>
    <row r="292" spans="1:20">
      <c r="A292" s="429" t="str">
        <f t="shared" si="25"/>
        <v>KU</v>
      </c>
      <c r="B292" s="429" t="str">
        <f t="shared" si="26"/>
        <v>KY</v>
      </c>
      <c r="C292" s="429" t="str">
        <f t="shared" si="27"/>
        <v>312</v>
      </c>
      <c r="D292" s="430" t="s">
        <v>1734</v>
      </c>
      <c r="E292" s="428" t="str">
        <f t="shared" si="24"/>
        <v>ECR</v>
      </c>
      <c r="F292" s="429">
        <v>54590.042465094099</v>
      </c>
      <c r="G292" s="429">
        <v>56418.079632523099</v>
      </c>
      <c r="H292" s="429">
        <v>58246.162912452099</v>
      </c>
      <c r="I292" s="429">
        <v>60074.292304881099</v>
      </c>
      <c r="J292" s="429">
        <v>61902.467809810099</v>
      </c>
      <c r="K292" s="429">
        <v>63730.6894272391</v>
      </c>
      <c r="L292" s="429">
        <v>65558.957157168101</v>
      </c>
      <c r="M292" s="429">
        <v>67408.529570060098</v>
      </c>
      <c r="N292" s="429">
        <v>68721.914367922102</v>
      </c>
      <c r="O292" s="429">
        <v>70668.259692641106</v>
      </c>
      <c r="P292" s="429">
        <v>72616.364453360104</v>
      </c>
      <c r="Q292" s="429">
        <v>74565.856929079106</v>
      </c>
      <c r="R292" s="429">
        <v>76515.53349312811</v>
      </c>
      <c r="T292" s="429">
        <f t="shared" si="28"/>
        <v>65462.857708873707</v>
      </c>
    </row>
    <row r="293" spans="1:20">
      <c r="A293" s="429" t="str">
        <f t="shared" si="25"/>
        <v>KU</v>
      </c>
      <c r="B293" s="429" t="str">
        <f t="shared" si="26"/>
        <v>KY</v>
      </c>
      <c r="C293" s="429" t="str">
        <f t="shared" si="27"/>
        <v>312</v>
      </c>
      <c r="D293" s="430" t="s">
        <v>1735</v>
      </c>
      <c r="E293" s="428" t="str">
        <f t="shared" si="24"/>
        <v>ECR</v>
      </c>
      <c r="F293" s="429">
        <v>71128.809294204999</v>
      </c>
      <c r="G293" s="429">
        <v>74289.051820474997</v>
      </c>
      <c r="H293" s="429">
        <v>77449.294346744995</v>
      </c>
      <c r="I293" s="429">
        <v>80609.536873015008</v>
      </c>
      <c r="J293" s="429">
        <v>83769.779399285006</v>
      </c>
      <c r="K293" s="429">
        <v>86930.021925554902</v>
      </c>
      <c r="L293" s="429">
        <v>90090.2644518249</v>
      </c>
      <c r="M293" s="429">
        <v>93250.506978094912</v>
      </c>
      <c r="N293" s="429">
        <v>95305.834727084904</v>
      </c>
      <c r="O293" s="429">
        <v>98472.419598694905</v>
      </c>
      <c r="P293" s="429">
        <v>101639.00447030499</v>
      </c>
      <c r="Q293" s="429">
        <v>103081.58101968499</v>
      </c>
      <c r="R293" s="429">
        <v>106250.14924672499</v>
      </c>
      <c r="T293" s="429">
        <f t="shared" si="28"/>
        <v>89405.096473207261</v>
      </c>
    </row>
    <row r="294" spans="1:20">
      <c r="A294" s="429" t="str">
        <f t="shared" si="25"/>
        <v>KU</v>
      </c>
      <c r="B294" s="429" t="str">
        <f t="shared" si="26"/>
        <v>KY</v>
      </c>
      <c r="C294" s="429" t="str">
        <f t="shared" si="27"/>
        <v>312</v>
      </c>
      <c r="D294" s="430" t="s">
        <v>2563</v>
      </c>
      <c r="E294" s="428" t="str">
        <f t="shared" si="24"/>
        <v/>
      </c>
      <c r="F294" s="429">
        <v>-36.445779999999999</v>
      </c>
      <c r="G294" s="429">
        <v>-36.445779999999999</v>
      </c>
      <c r="H294" s="429">
        <v>-36.445779999999999</v>
      </c>
      <c r="I294" s="429">
        <v>-36.445779999999999</v>
      </c>
      <c r="J294" s="429">
        <v>-36.445779999999999</v>
      </c>
      <c r="K294" s="429">
        <v>-36.445779999999999</v>
      </c>
      <c r="L294" s="429">
        <v>-36.445779999999999</v>
      </c>
      <c r="M294" s="429">
        <v>-36.445779999999999</v>
      </c>
      <c r="N294" s="429">
        <v>-101.24757</v>
      </c>
      <c r="O294" s="429">
        <v>-101.24757</v>
      </c>
      <c r="P294" s="429">
        <v>-101.24757</v>
      </c>
      <c r="Q294" s="429">
        <v>-101.24757</v>
      </c>
      <c r="R294" s="429">
        <v>-101.24757</v>
      </c>
      <c r="T294" s="429">
        <f t="shared" ref="T294:T295" si="29">SUM(F294:R294)/13</f>
        <v>-61.369545384615392</v>
      </c>
    </row>
    <row r="295" spans="1:20">
      <c r="A295" s="429" t="str">
        <f t="shared" si="25"/>
        <v>KU</v>
      </c>
      <c r="B295" s="429" t="str">
        <f t="shared" si="26"/>
        <v>KY</v>
      </c>
      <c r="C295" s="429" t="str">
        <f t="shared" si="27"/>
        <v>312</v>
      </c>
      <c r="D295" s="430" t="s">
        <v>2564</v>
      </c>
      <c r="E295" s="428" t="str">
        <f t="shared" si="24"/>
        <v/>
      </c>
      <c r="F295" s="429">
        <v>-12031.50655</v>
      </c>
      <c r="G295" s="429">
        <v>-12031.50655</v>
      </c>
      <c r="H295" s="429">
        <v>-12031.50655</v>
      </c>
      <c r="I295" s="429">
        <v>-12031.50655</v>
      </c>
      <c r="J295" s="429">
        <v>-12031.50655</v>
      </c>
      <c r="K295" s="429">
        <v>-12031.50655</v>
      </c>
      <c r="L295" s="429">
        <v>-12031.50655</v>
      </c>
      <c r="M295" s="429">
        <v>-12031.50655</v>
      </c>
      <c r="N295" s="429">
        <v>-12130.25215</v>
      </c>
      <c r="O295" s="429">
        <v>-12130.25215</v>
      </c>
      <c r="P295" s="429">
        <v>-12130.25215</v>
      </c>
      <c r="Q295" s="429">
        <v>-12352.429750000001</v>
      </c>
      <c r="R295" s="429">
        <v>-12352.429750000001</v>
      </c>
      <c r="T295" s="429">
        <f t="shared" si="29"/>
        <v>-12103.66679615385</v>
      </c>
    </row>
    <row r="296" spans="1:20">
      <c r="A296" s="429" t="str">
        <f t="shared" si="25"/>
        <v>KU</v>
      </c>
      <c r="B296" s="429" t="str">
        <f t="shared" si="26"/>
        <v>KY</v>
      </c>
      <c r="C296" s="429" t="str">
        <f t="shared" si="27"/>
        <v>312</v>
      </c>
      <c r="D296" s="430" t="s">
        <v>2195</v>
      </c>
      <c r="E296" s="428" t="str">
        <f t="shared" si="24"/>
        <v>ECR</v>
      </c>
      <c r="F296" s="429">
        <v>363.29425535433199</v>
      </c>
      <c r="G296" s="429">
        <v>685.42270688025201</v>
      </c>
      <c r="H296" s="429">
        <v>1253.1471277691701</v>
      </c>
      <c r="I296" s="429">
        <v>1827.4611796990901</v>
      </c>
      <c r="J296" s="429">
        <v>2405.5034731990099</v>
      </c>
      <c r="K296" s="429">
        <v>2987.1126954689298</v>
      </c>
      <c r="L296" s="429">
        <v>3608.4371494208499</v>
      </c>
      <c r="M296" s="429">
        <v>4269.5511446827704</v>
      </c>
      <c r="N296" s="429">
        <v>5001.1421306966904</v>
      </c>
      <c r="O296" s="429">
        <v>5801.4882711046102</v>
      </c>
      <c r="P296" s="429">
        <v>6602.0506615425302</v>
      </c>
      <c r="Q296" s="429">
        <v>7403.0455519504503</v>
      </c>
      <c r="R296" s="429">
        <v>8204.6891923583698</v>
      </c>
      <c r="T296" s="429">
        <f t="shared" si="28"/>
        <v>3877.8727338559274</v>
      </c>
    </row>
    <row r="297" spans="1:20">
      <c r="A297" s="429" t="str">
        <f t="shared" si="25"/>
        <v>KU</v>
      </c>
      <c r="B297" s="429" t="str">
        <f t="shared" si="26"/>
        <v>KY</v>
      </c>
      <c r="C297" s="429" t="str">
        <f t="shared" si="27"/>
        <v>314</v>
      </c>
      <c r="D297" s="430" t="s">
        <v>1737</v>
      </c>
      <c r="E297" s="428" t="str">
        <f t="shared" si="24"/>
        <v/>
      </c>
      <c r="F297" s="429">
        <v>143665.43823128301</v>
      </c>
      <c r="G297" s="429">
        <v>144434.528514498</v>
      </c>
      <c r="H297" s="429">
        <v>145225.85794035901</v>
      </c>
      <c r="I297" s="429">
        <v>146008.444147156</v>
      </c>
      <c r="J297" s="429">
        <v>146801.13534793799</v>
      </c>
      <c r="K297" s="429">
        <v>147593.82654871899</v>
      </c>
      <c r="L297" s="429">
        <v>148386.51774950101</v>
      </c>
      <c r="M297" s="429">
        <v>148987.362365401</v>
      </c>
      <c r="N297" s="429">
        <v>148861.782450072</v>
      </c>
      <c r="O297" s="429">
        <v>149688.70608830301</v>
      </c>
      <c r="P297" s="429">
        <v>150515.629726535</v>
      </c>
      <c r="Q297" s="429">
        <v>151342.553364766</v>
      </c>
      <c r="R297" s="429">
        <v>145031.61360054999</v>
      </c>
      <c r="T297" s="429">
        <f t="shared" si="28"/>
        <v>147426.41508269857</v>
      </c>
    </row>
    <row r="298" spans="1:20">
      <c r="A298" s="429" t="str">
        <f t="shared" si="25"/>
        <v>KU</v>
      </c>
      <c r="B298" s="429" t="str">
        <f t="shared" si="26"/>
        <v>KY</v>
      </c>
      <c r="C298" s="429" t="str">
        <f t="shared" si="27"/>
        <v>315</v>
      </c>
      <c r="D298" s="430" t="s">
        <v>1738</v>
      </c>
      <c r="E298" s="428" t="str">
        <f t="shared" si="24"/>
        <v/>
      </c>
      <c r="F298" s="429">
        <v>112474.596378747</v>
      </c>
      <c r="G298" s="429">
        <v>113002.125375448</v>
      </c>
      <c r="H298" s="429">
        <v>113529.769569774</v>
      </c>
      <c r="I298" s="429">
        <v>114057.413764101</v>
      </c>
      <c r="J298" s="429">
        <v>114585.057958427</v>
      </c>
      <c r="K298" s="429">
        <v>115112.70215275401</v>
      </c>
      <c r="L298" s="429">
        <v>115640.34634708001</v>
      </c>
      <c r="M298" s="429">
        <v>115832.789483332</v>
      </c>
      <c r="N298" s="429">
        <v>115696.31454043899</v>
      </c>
      <c r="O298" s="429">
        <v>116237.083196466</v>
      </c>
      <c r="P298" s="429">
        <v>116777.851852494</v>
      </c>
      <c r="Q298" s="429">
        <v>117318.62050852099</v>
      </c>
      <c r="R298" s="429">
        <v>117470.24605056</v>
      </c>
      <c r="T298" s="429">
        <f t="shared" si="28"/>
        <v>115210.37824447254</v>
      </c>
    </row>
    <row r="299" spans="1:20">
      <c r="A299" s="429" t="str">
        <f t="shared" si="25"/>
        <v>KU</v>
      </c>
      <c r="B299" s="429" t="str">
        <f t="shared" si="26"/>
        <v>KY</v>
      </c>
      <c r="C299" s="429" t="str">
        <f t="shared" si="27"/>
        <v>315</v>
      </c>
      <c r="D299" s="430" t="s">
        <v>2196</v>
      </c>
      <c r="E299" s="428" t="str">
        <f t="shared" si="24"/>
        <v>ECR</v>
      </c>
      <c r="F299" s="429">
        <v>600.26109318030001</v>
      </c>
      <c r="G299" s="429">
        <v>662.53277814136993</v>
      </c>
      <c r="H299" s="429">
        <v>724.80446310243894</v>
      </c>
      <c r="I299" s="429">
        <v>787.07614806350898</v>
      </c>
      <c r="J299" s="429">
        <v>849.34783302457902</v>
      </c>
      <c r="K299" s="429">
        <v>911.61951798564894</v>
      </c>
      <c r="L299" s="429">
        <v>973.89120294671898</v>
      </c>
      <c r="M299" s="429">
        <v>1036.16288790778</v>
      </c>
      <c r="N299" s="429">
        <v>1098.4345728688502</v>
      </c>
      <c r="O299" s="429">
        <v>1160.7062578299301</v>
      </c>
      <c r="P299" s="429">
        <v>1222.977942791</v>
      </c>
      <c r="Q299" s="429">
        <v>1285.2496277520702</v>
      </c>
      <c r="R299" s="429">
        <v>1347.5213127131401</v>
      </c>
      <c r="T299" s="429">
        <f t="shared" si="28"/>
        <v>973.89120294671795</v>
      </c>
    </row>
    <row r="300" spans="1:20">
      <c r="A300" s="429" t="str">
        <f t="shared" si="25"/>
        <v>KU</v>
      </c>
      <c r="B300" s="429" t="str">
        <f t="shared" si="26"/>
        <v>KY</v>
      </c>
      <c r="C300" s="429" t="str">
        <f t="shared" si="27"/>
        <v>315</v>
      </c>
      <c r="D300" s="430" t="s">
        <v>2565</v>
      </c>
      <c r="E300" s="428" t="str">
        <f t="shared" si="24"/>
        <v/>
      </c>
      <c r="F300" s="429">
        <v>-2.19457999999999</v>
      </c>
      <c r="G300" s="429">
        <v>-2.19457999999999</v>
      </c>
      <c r="H300" s="429">
        <v>-2.19457999999999</v>
      </c>
      <c r="I300" s="429">
        <v>-2.19457999999999</v>
      </c>
      <c r="J300" s="429">
        <v>-2.19457999999999</v>
      </c>
      <c r="K300" s="429">
        <v>-2.19457999999999</v>
      </c>
      <c r="L300" s="429">
        <v>-2.19457999999999</v>
      </c>
      <c r="M300" s="429">
        <v>-2.19457999999999</v>
      </c>
      <c r="N300" s="429">
        <v>-2.19457999999999</v>
      </c>
      <c r="O300" s="429">
        <v>-2.19457999999999</v>
      </c>
      <c r="P300" s="429">
        <v>-2.19457999999999</v>
      </c>
      <c r="Q300" s="429">
        <v>-2.19457999999999</v>
      </c>
      <c r="R300" s="429">
        <v>-2.19457999999999</v>
      </c>
      <c r="T300" s="429">
        <f t="shared" ref="T300" si="30">SUM(F300:R300)/13</f>
        <v>-2.1945799999999904</v>
      </c>
    </row>
    <row r="301" spans="1:20">
      <c r="A301" s="429" t="str">
        <f t="shared" si="25"/>
        <v>KU</v>
      </c>
      <c r="B301" s="429" t="str">
        <f t="shared" si="26"/>
        <v>KY</v>
      </c>
      <c r="C301" s="429" t="str">
        <f t="shared" si="27"/>
        <v>315</v>
      </c>
      <c r="D301" s="430" t="s">
        <v>1739</v>
      </c>
      <c r="E301" s="428" t="str">
        <f t="shared" si="24"/>
        <v>ECR</v>
      </c>
      <c r="F301" s="429">
        <v>578.93016085199997</v>
      </c>
      <c r="G301" s="429">
        <v>616.824268551552</v>
      </c>
      <c r="H301" s="429">
        <v>654.71837625110504</v>
      </c>
      <c r="I301" s="429">
        <v>692.61248395065797</v>
      </c>
      <c r="J301" s="429">
        <v>730.50659165021102</v>
      </c>
      <c r="K301" s="429">
        <v>768.40069934976395</v>
      </c>
      <c r="L301" s="429">
        <v>806.294807049317</v>
      </c>
      <c r="M301" s="429">
        <v>844.18891474887005</v>
      </c>
      <c r="N301" s="429">
        <v>882.08302244842298</v>
      </c>
      <c r="O301" s="429">
        <v>919.97713014797603</v>
      </c>
      <c r="P301" s="429">
        <v>957.87123784752896</v>
      </c>
      <c r="Q301" s="429">
        <v>995.76534554708201</v>
      </c>
      <c r="R301" s="429">
        <v>1033.6594532466299</v>
      </c>
      <c r="T301" s="429">
        <f t="shared" si="28"/>
        <v>806.29480704931666</v>
      </c>
    </row>
    <row r="302" spans="1:20">
      <c r="A302" s="429" t="str">
        <f t="shared" si="25"/>
        <v>KU</v>
      </c>
      <c r="B302" s="429" t="str">
        <f t="shared" si="26"/>
        <v>KY</v>
      </c>
      <c r="C302" s="429" t="str">
        <f t="shared" si="27"/>
        <v>316</v>
      </c>
      <c r="D302" s="430" t="s">
        <v>2197</v>
      </c>
      <c r="E302" s="428" t="str">
        <f t="shared" si="24"/>
        <v>ECR</v>
      </c>
      <c r="F302" s="429">
        <v>38.373173800000004</v>
      </c>
      <c r="G302" s="429">
        <v>39.864910246000001</v>
      </c>
      <c r="H302" s="429">
        <v>41.356646691999998</v>
      </c>
      <c r="I302" s="429">
        <v>42.848383138000003</v>
      </c>
      <c r="J302" s="429">
        <v>44.340119584</v>
      </c>
      <c r="K302" s="429">
        <v>45.831856029999997</v>
      </c>
      <c r="L302" s="429">
        <v>47.323592475999902</v>
      </c>
      <c r="M302" s="429">
        <v>48.8153289219999</v>
      </c>
      <c r="N302" s="429">
        <v>50.307065367999897</v>
      </c>
      <c r="O302" s="429">
        <v>51.798801813999901</v>
      </c>
      <c r="P302" s="429">
        <v>53.290538259999899</v>
      </c>
      <c r="Q302" s="429">
        <v>54.782274705999903</v>
      </c>
      <c r="R302" s="429">
        <v>56.2740111519999</v>
      </c>
      <c r="T302" s="429">
        <f t="shared" si="28"/>
        <v>47.323592475999945</v>
      </c>
    </row>
    <row r="303" spans="1:20">
      <c r="A303" s="429" t="str">
        <f t="shared" si="25"/>
        <v>KU</v>
      </c>
      <c r="B303" s="429" t="str">
        <f t="shared" si="26"/>
        <v>KY</v>
      </c>
      <c r="C303" s="429" t="str">
        <f t="shared" si="27"/>
        <v>316</v>
      </c>
      <c r="D303" s="430" t="s">
        <v>1740</v>
      </c>
      <c r="E303" s="428" t="str">
        <f t="shared" si="24"/>
        <v/>
      </c>
      <c r="F303" s="429">
        <v>16948.3383193993</v>
      </c>
      <c r="G303" s="429">
        <v>17015.052552726302</v>
      </c>
      <c r="H303" s="429">
        <v>17111.0162357603</v>
      </c>
      <c r="I303" s="429">
        <v>17207.077449287699</v>
      </c>
      <c r="J303" s="429">
        <v>17278.955947758699</v>
      </c>
      <c r="K303" s="429">
        <v>17376.103651193302</v>
      </c>
      <c r="L303" s="429">
        <v>17473.8476026678</v>
      </c>
      <c r="M303" s="429">
        <v>17562.3864177338</v>
      </c>
      <c r="N303" s="429">
        <v>16637.712688113501</v>
      </c>
      <c r="O303" s="429">
        <v>16745.941538263301</v>
      </c>
      <c r="P303" s="429">
        <v>16854.170388413098</v>
      </c>
      <c r="Q303" s="429">
        <v>16962.674596282399</v>
      </c>
      <c r="R303" s="429">
        <v>17059.2723315154</v>
      </c>
      <c r="T303" s="429">
        <f t="shared" si="28"/>
        <v>17094.811516854992</v>
      </c>
    </row>
    <row r="304" spans="1:20">
      <c r="A304" s="429" t="str">
        <f t="shared" si="25"/>
        <v>KU</v>
      </c>
      <c r="B304" s="429" t="str">
        <f t="shared" si="26"/>
        <v>KY</v>
      </c>
      <c r="C304" s="429" t="str">
        <f t="shared" si="27"/>
        <v>317</v>
      </c>
      <c r="D304" s="430" t="s">
        <v>1741</v>
      </c>
      <c r="E304" s="428" t="str">
        <f t="shared" si="24"/>
        <v>ARO</v>
      </c>
      <c r="F304" s="429">
        <v>14184.853580000001</v>
      </c>
      <c r="G304" s="429">
        <v>14636.79376</v>
      </c>
      <c r="H304" s="429">
        <v>15088.73394</v>
      </c>
      <c r="I304" s="429">
        <v>15540.67412</v>
      </c>
      <c r="J304" s="429">
        <v>15992.614299999999</v>
      </c>
      <c r="K304" s="429">
        <v>16444.554479999999</v>
      </c>
      <c r="L304" s="429">
        <v>16896.49466</v>
      </c>
      <c r="M304" s="429">
        <v>17348.434840000002</v>
      </c>
      <c r="N304" s="429">
        <v>17800.375019999999</v>
      </c>
      <c r="O304" s="429">
        <v>4241.3605470446701</v>
      </c>
      <c r="P304" s="429">
        <v>4302.18448408933</v>
      </c>
      <c r="Q304" s="429">
        <v>4363.0084211339799</v>
      </c>
      <c r="R304" s="429">
        <v>4423.8323581786399</v>
      </c>
      <c r="T304" s="429">
        <f t="shared" si="28"/>
        <v>12404.916500803585</v>
      </c>
    </row>
    <row r="305" spans="1:20">
      <c r="A305" s="429" t="str">
        <f t="shared" si="25"/>
        <v>KU</v>
      </c>
      <c r="B305" s="429" t="str">
        <f t="shared" si="26"/>
        <v>KY</v>
      </c>
      <c r="C305" s="429" t="str">
        <f t="shared" si="27"/>
        <v>317</v>
      </c>
      <c r="D305" s="430" t="s">
        <v>2507</v>
      </c>
      <c r="E305" s="428" t="str">
        <f t="shared" si="24"/>
        <v>ARO</v>
      </c>
      <c r="F305" s="429">
        <v>125943.5272</v>
      </c>
      <c r="G305" s="429">
        <v>126978.8901</v>
      </c>
      <c r="H305" s="429">
        <v>128014.253</v>
      </c>
      <c r="I305" s="429">
        <v>129049.6159</v>
      </c>
      <c r="J305" s="429">
        <v>130084.9788</v>
      </c>
      <c r="K305" s="429">
        <v>131120.34169999999</v>
      </c>
      <c r="L305" s="429">
        <v>132155.7046</v>
      </c>
      <c r="M305" s="429">
        <v>133191.0675</v>
      </c>
      <c r="N305" s="429">
        <v>134226.43040000001</v>
      </c>
      <c r="O305" s="429">
        <v>86844.474790000095</v>
      </c>
      <c r="P305" s="429">
        <v>87807.435590000096</v>
      </c>
      <c r="Q305" s="429">
        <v>88770.396390000096</v>
      </c>
      <c r="R305" s="429">
        <v>89733.357190000097</v>
      </c>
      <c r="T305" s="429">
        <f t="shared" si="28"/>
        <v>117224.6517815385</v>
      </c>
    </row>
    <row r="306" spans="1:20">
      <c r="A306" s="429" t="str">
        <f t="shared" si="25"/>
        <v>KU</v>
      </c>
      <c r="B306" s="429" t="str">
        <f t="shared" si="26"/>
        <v>KY</v>
      </c>
      <c r="C306" s="429" t="str">
        <f t="shared" si="27"/>
        <v>330</v>
      </c>
      <c r="D306" s="430" t="s">
        <v>1742</v>
      </c>
      <c r="E306" s="428" t="str">
        <f t="shared" si="24"/>
        <v/>
      </c>
      <c r="F306" s="429">
        <v>912.33259999999996</v>
      </c>
      <c r="G306" s="429">
        <v>912.33259999999996</v>
      </c>
      <c r="H306" s="429">
        <v>912.33259999999996</v>
      </c>
      <c r="I306" s="429">
        <v>912.33259999999996</v>
      </c>
      <c r="J306" s="429">
        <v>912.33259999999996</v>
      </c>
      <c r="K306" s="429">
        <v>912.33259999999996</v>
      </c>
      <c r="L306" s="429">
        <v>912.33259999999996</v>
      </c>
      <c r="M306" s="429">
        <v>912.33259999999996</v>
      </c>
      <c r="N306" s="429">
        <v>912.33259999999996</v>
      </c>
      <c r="O306" s="429">
        <v>912.33259999999996</v>
      </c>
      <c r="P306" s="429">
        <v>912.33259999999996</v>
      </c>
      <c r="Q306" s="429">
        <v>912.33259999999996</v>
      </c>
      <c r="R306" s="429">
        <v>912.33259999999996</v>
      </c>
      <c r="T306" s="429">
        <f t="shared" si="28"/>
        <v>912.33259999999984</v>
      </c>
    </row>
    <row r="307" spans="1:20">
      <c r="A307" s="429" t="str">
        <f t="shared" si="25"/>
        <v>KU</v>
      </c>
      <c r="B307" s="429" t="str">
        <f t="shared" si="26"/>
        <v>KY</v>
      </c>
      <c r="C307" s="429" t="str">
        <f t="shared" si="27"/>
        <v>331</v>
      </c>
      <c r="D307" s="430" t="s">
        <v>1743</v>
      </c>
      <c r="E307" s="428" t="str">
        <f t="shared" si="24"/>
        <v/>
      </c>
      <c r="F307" s="429">
        <v>361.85831084769899</v>
      </c>
      <c r="G307" s="429">
        <v>370.97197675049898</v>
      </c>
      <c r="H307" s="429">
        <v>377.61476245329902</v>
      </c>
      <c r="I307" s="429">
        <v>386.92966795609902</v>
      </c>
      <c r="J307" s="429">
        <v>396.24457345889903</v>
      </c>
      <c r="K307" s="429">
        <v>405.55947896169903</v>
      </c>
      <c r="L307" s="429">
        <v>414.87438446449897</v>
      </c>
      <c r="M307" s="429">
        <v>424.18928996729898</v>
      </c>
      <c r="N307" s="429">
        <v>433.50419547009898</v>
      </c>
      <c r="O307" s="429">
        <v>442.81910097289898</v>
      </c>
      <c r="P307" s="429">
        <v>452.13400647569898</v>
      </c>
      <c r="Q307" s="429">
        <v>461.44891197849898</v>
      </c>
      <c r="R307" s="429">
        <v>470.76381748129899</v>
      </c>
      <c r="T307" s="429">
        <f t="shared" si="28"/>
        <v>415.30095978757595</v>
      </c>
    </row>
    <row r="308" spans="1:20">
      <c r="A308" s="429" t="str">
        <f t="shared" si="25"/>
        <v>KU</v>
      </c>
      <c r="B308" s="429" t="str">
        <f t="shared" si="26"/>
        <v>KY</v>
      </c>
      <c r="C308" s="429" t="str">
        <f t="shared" si="27"/>
        <v>332</v>
      </c>
      <c r="D308" s="430" t="s">
        <v>1744</v>
      </c>
      <c r="E308" s="428" t="str">
        <f t="shared" si="24"/>
        <v/>
      </c>
      <c r="F308" s="429">
        <v>10077.9945385099</v>
      </c>
      <c r="G308" s="429">
        <v>10125.5958193609</v>
      </c>
      <c r="H308" s="429">
        <v>10173.197100211901</v>
      </c>
      <c r="I308" s="429">
        <v>10220.798381062899</v>
      </c>
      <c r="J308" s="429">
        <v>10268.3996619139</v>
      </c>
      <c r="K308" s="429">
        <v>10316.0009427649</v>
      </c>
      <c r="L308" s="429">
        <v>10363.602223615901</v>
      </c>
      <c r="M308" s="429">
        <v>10411.203504466899</v>
      </c>
      <c r="N308" s="429">
        <v>10458.8047853179</v>
      </c>
      <c r="O308" s="429">
        <v>10506.4060661689</v>
      </c>
      <c r="P308" s="429">
        <v>10554.0073470199</v>
      </c>
      <c r="Q308" s="429">
        <v>10601.608627870901</v>
      </c>
      <c r="R308" s="429">
        <v>10649.209908721899</v>
      </c>
      <c r="T308" s="429">
        <f t="shared" si="28"/>
        <v>10363.602223615901</v>
      </c>
    </row>
    <row r="309" spans="1:20">
      <c r="A309" s="429" t="str">
        <f t="shared" si="25"/>
        <v>KU</v>
      </c>
      <c r="B309" s="429" t="str">
        <f t="shared" si="26"/>
        <v>KY</v>
      </c>
      <c r="C309" s="429" t="str">
        <f t="shared" si="27"/>
        <v>333</v>
      </c>
      <c r="D309" s="430" t="s">
        <v>1745</v>
      </c>
      <c r="E309" s="428" t="str">
        <f t="shared" si="24"/>
        <v/>
      </c>
      <c r="F309" s="429">
        <v>2570.1471441869899</v>
      </c>
      <c r="G309" s="429">
        <v>2615.3308296056898</v>
      </c>
      <c r="H309" s="429">
        <v>2660.5145150243902</v>
      </c>
      <c r="I309" s="429">
        <v>2705.6982004430902</v>
      </c>
      <c r="J309" s="429">
        <v>2750.8818858617901</v>
      </c>
      <c r="K309" s="429">
        <v>2796.0655712804901</v>
      </c>
      <c r="L309" s="429">
        <v>2841.24925669919</v>
      </c>
      <c r="M309" s="429">
        <v>2886.43294211789</v>
      </c>
      <c r="N309" s="429">
        <v>2931.6166275365899</v>
      </c>
      <c r="O309" s="429">
        <v>2976.8003129552899</v>
      </c>
      <c r="P309" s="429">
        <v>3021.9839983739898</v>
      </c>
      <c r="Q309" s="429">
        <v>3067.1676837926898</v>
      </c>
      <c r="R309" s="429">
        <v>3112.3513692113902</v>
      </c>
      <c r="T309" s="429">
        <f t="shared" si="28"/>
        <v>2841.2492566991905</v>
      </c>
    </row>
    <row r="310" spans="1:20">
      <c r="A310" s="429" t="str">
        <f t="shared" si="25"/>
        <v>KU</v>
      </c>
      <c r="B310" s="429" t="str">
        <f t="shared" si="26"/>
        <v>KY</v>
      </c>
      <c r="C310" s="429" t="str">
        <f t="shared" si="27"/>
        <v>334</v>
      </c>
      <c r="D310" s="430" t="s">
        <v>1746</v>
      </c>
      <c r="E310" s="428" t="str">
        <f t="shared" si="24"/>
        <v/>
      </c>
      <c r="F310" s="429">
        <v>388.50836377099898</v>
      </c>
      <c r="G310" s="429">
        <v>392.89580314809899</v>
      </c>
      <c r="H310" s="429">
        <v>397.283242525199</v>
      </c>
      <c r="I310" s="429">
        <v>401.67068190229901</v>
      </c>
      <c r="J310" s="429">
        <v>406.05812127939902</v>
      </c>
      <c r="K310" s="429">
        <v>410.44556065649903</v>
      </c>
      <c r="L310" s="429">
        <v>414.83300003359898</v>
      </c>
      <c r="M310" s="429">
        <v>419.22043941069899</v>
      </c>
      <c r="N310" s="429">
        <v>423.607878787799</v>
      </c>
      <c r="O310" s="429">
        <v>427.995318164899</v>
      </c>
      <c r="P310" s="429">
        <v>432.38275754199901</v>
      </c>
      <c r="Q310" s="429">
        <v>436.770196919098</v>
      </c>
      <c r="R310" s="429">
        <v>441.15763629619801</v>
      </c>
      <c r="T310" s="429">
        <f t="shared" si="28"/>
        <v>414.83300003359886</v>
      </c>
    </row>
    <row r="311" spans="1:20">
      <c r="A311" s="429" t="str">
        <f t="shared" si="25"/>
        <v>KU</v>
      </c>
      <c r="B311" s="429" t="str">
        <f t="shared" si="26"/>
        <v>KY</v>
      </c>
      <c r="C311" s="429" t="str">
        <f t="shared" si="27"/>
        <v>335</v>
      </c>
      <c r="D311" s="430" t="s">
        <v>1747</v>
      </c>
      <c r="E311" s="428" t="str">
        <f t="shared" si="24"/>
        <v/>
      </c>
      <c r="F311" s="429">
        <v>160.06644097169999</v>
      </c>
      <c r="G311" s="429">
        <v>161.09848006887</v>
      </c>
      <c r="H311" s="429">
        <v>162.13051916603999</v>
      </c>
      <c r="I311" s="429">
        <v>163.16255826321</v>
      </c>
      <c r="J311" s="429">
        <v>164.19459736037999</v>
      </c>
      <c r="K311" s="429">
        <v>165.22663645755</v>
      </c>
      <c r="L311" s="429">
        <v>166.25867555472001</v>
      </c>
      <c r="M311" s="429">
        <v>167.29071465189</v>
      </c>
      <c r="N311" s="429">
        <v>168.32275374906001</v>
      </c>
      <c r="O311" s="429">
        <v>169.35479284623</v>
      </c>
      <c r="P311" s="429">
        <v>170.38683194340001</v>
      </c>
      <c r="Q311" s="429">
        <v>171.41887104057</v>
      </c>
      <c r="R311" s="429">
        <v>172.45091013774001</v>
      </c>
      <c r="T311" s="429">
        <f t="shared" si="28"/>
        <v>166.25867555471999</v>
      </c>
    </row>
    <row r="312" spans="1:20">
      <c r="A312" s="429" t="str">
        <f t="shared" si="25"/>
        <v>KU</v>
      </c>
      <c r="B312" s="429" t="str">
        <f t="shared" si="26"/>
        <v>KY</v>
      </c>
      <c r="C312" s="429" t="str">
        <f t="shared" si="27"/>
        <v>336</v>
      </c>
      <c r="D312" s="430" t="s">
        <v>1748</v>
      </c>
      <c r="E312" s="428" t="str">
        <f t="shared" si="24"/>
        <v/>
      </c>
      <c r="F312" s="429">
        <v>98.426988357999903</v>
      </c>
      <c r="G312" s="429">
        <v>99.077751193799898</v>
      </c>
      <c r="H312" s="429">
        <v>99.728514029599907</v>
      </c>
      <c r="I312" s="429">
        <v>100.37927686539901</v>
      </c>
      <c r="J312" s="429">
        <v>101.030039701199</v>
      </c>
      <c r="K312" s="429">
        <v>101.680802536999</v>
      </c>
      <c r="L312" s="429">
        <v>102.33156537279901</v>
      </c>
      <c r="M312" s="429">
        <v>102.982328208599</v>
      </c>
      <c r="N312" s="429">
        <v>103.63309104439899</v>
      </c>
      <c r="O312" s="429">
        <v>104.283853880199</v>
      </c>
      <c r="P312" s="429">
        <v>104.934616715999</v>
      </c>
      <c r="Q312" s="429">
        <v>105.58537955179899</v>
      </c>
      <c r="R312" s="429">
        <v>106.236142387599</v>
      </c>
      <c r="T312" s="429">
        <f t="shared" si="28"/>
        <v>102.3315653727992</v>
      </c>
    </row>
    <row r="313" spans="1:20">
      <c r="A313" s="429" t="str">
        <f t="shared" si="25"/>
        <v>KU</v>
      </c>
      <c r="B313" s="429" t="str">
        <f t="shared" si="26"/>
        <v>KY</v>
      </c>
      <c r="C313" s="429" t="str">
        <f t="shared" si="27"/>
        <v>337</v>
      </c>
      <c r="D313" s="430" t="s">
        <v>1749</v>
      </c>
      <c r="E313" s="428" t="str">
        <f t="shared" si="24"/>
        <v>ARO</v>
      </c>
      <c r="F313" s="429">
        <v>61.440829999999899</v>
      </c>
      <c r="G313" s="429">
        <v>62.931509999999903</v>
      </c>
      <c r="H313" s="429">
        <v>64.422189999999901</v>
      </c>
      <c r="I313" s="429">
        <v>65.912869999999899</v>
      </c>
      <c r="J313" s="429">
        <v>67.403549999999896</v>
      </c>
      <c r="K313" s="429">
        <v>68.894229999999894</v>
      </c>
      <c r="L313" s="429">
        <v>70.384909999999905</v>
      </c>
      <c r="M313" s="429">
        <v>71.875589999999903</v>
      </c>
      <c r="N313" s="429">
        <v>73.366269999999901</v>
      </c>
      <c r="O313" s="429">
        <v>73.566891742624605</v>
      </c>
      <c r="P313" s="429">
        <v>73.767513485249296</v>
      </c>
      <c r="Q313" s="429">
        <v>73.968135227874001</v>
      </c>
      <c r="R313" s="429">
        <v>74.168756970498706</v>
      </c>
      <c r="T313" s="429">
        <f t="shared" si="28"/>
        <v>69.392557494326596</v>
      </c>
    </row>
    <row r="314" spans="1:20">
      <c r="A314" s="429" t="str">
        <f t="shared" si="25"/>
        <v>KU</v>
      </c>
      <c r="B314" s="429" t="str">
        <f t="shared" si="26"/>
        <v>KY</v>
      </c>
      <c r="C314" s="429" t="str">
        <f t="shared" si="27"/>
        <v>340</v>
      </c>
      <c r="D314" s="430" t="s">
        <v>2199</v>
      </c>
      <c r="E314" s="428" t="str">
        <f t="shared" si="24"/>
        <v/>
      </c>
      <c r="F314" s="429">
        <v>130.58851385189899</v>
      </c>
      <c r="G314" s="429">
        <v>131.02054967889899</v>
      </c>
      <c r="H314" s="429">
        <v>131.45258550589901</v>
      </c>
      <c r="I314" s="429">
        <v>131.884621332899</v>
      </c>
      <c r="J314" s="429">
        <v>132.31665715989899</v>
      </c>
      <c r="K314" s="429">
        <v>132.74869298689899</v>
      </c>
      <c r="L314" s="429">
        <v>133.18072881389901</v>
      </c>
      <c r="M314" s="429">
        <v>133.612764640899</v>
      </c>
      <c r="N314" s="429">
        <v>134.04480046789899</v>
      </c>
      <c r="O314" s="429">
        <v>134.47683629489899</v>
      </c>
      <c r="P314" s="429">
        <v>134.90887212189901</v>
      </c>
      <c r="Q314" s="429">
        <v>135.340907948899</v>
      </c>
      <c r="R314" s="429">
        <v>135.77294377589899</v>
      </c>
      <c r="T314" s="429">
        <f t="shared" si="28"/>
        <v>133.18072881389901</v>
      </c>
    </row>
    <row r="315" spans="1:20">
      <c r="A315" s="429" t="str">
        <f t="shared" si="25"/>
        <v>KU</v>
      </c>
      <c r="B315" s="429" t="str">
        <f t="shared" si="26"/>
        <v>KY</v>
      </c>
      <c r="C315" s="429" t="str">
        <f t="shared" si="27"/>
        <v>341</v>
      </c>
      <c r="D315" s="430" t="s">
        <v>1751</v>
      </c>
      <c r="E315" s="428" t="str">
        <f t="shared" si="24"/>
        <v/>
      </c>
      <c r="F315" s="429">
        <v>22240.498974250899</v>
      </c>
      <c r="G315" s="429">
        <v>22356.929597548398</v>
      </c>
      <c r="H315" s="429">
        <v>22473.3602208458</v>
      </c>
      <c r="I315" s="429">
        <v>22589.790844143299</v>
      </c>
      <c r="J315" s="429">
        <v>22706.221467440799</v>
      </c>
      <c r="K315" s="429">
        <v>22822.652090738298</v>
      </c>
      <c r="L315" s="429">
        <v>22939.082714035801</v>
      </c>
      <c r="M315" s="429">
        <v>23055.513337333301</v>
      </c>
      <c r="N315" s="429">
        <v>23171.943960630801</v>
      </c>
      <c r="O315" s="429">
        <v>23288.3745839283</v>
      </c>
      <c r="P315" s="429">
        <v>23404.8052072258</v>
      </c>
      <c r="Q315" s="429">
        <v>23521.235830523299</v>
      </c>
      <c r="R315" s="429">
        <v>23637.666453820799</v>
      </c>
      <c r="T315" s="429">
        <f t="shared" si="28"/>
        <v>22939.082714035812</v>
      </c>
    </row>
    <row r="316" spans="1:20">
      <c r="A316" s="429" t="str">
        <f t="shared" si="25"/>
        <v>KU</v>
      </c>
      <c r="B316" s="429" t="str">
        <f t="shared" si="26"/>
        <v>KY</v>
      </c>
      <c r="C316" s="429" t="str">
        <f t="shared" si="27"/>
        <v>341</v>
      </c>
      <c r="D316" s="430" t="s">
        <v>2200</v>
      </c>
      <c r="E316" s="428" t="str">
        <f t="shared" si="24"/>
        <v/>
      </c>
      <c r="F316" s="429">
        <v>5211.4092322300003</v>
      </c>
      <c r="G316" s="429">
        <v>5335.6034212100003</v>
      </c>
      <c r="H316" s="429">
        <v>5459.7976101900003</v>
      </c>
      <c r="I316" s="429">
        <v>5583.9917991700004</v>
      </c>
      <c r="J316" s="429">
        <v>5708.1859881500004</v>
      </c>
      <c r="K316" s="429">
        <v>5832.3801771300004</v>
      </c>
      <c r="L316" s="429">
        <v>5956.5743661099996</v>
      </c>
      <c r="M316" s="429">
        <v>6080.7685550899996</v>
      </c>
      <c r="N316" s="429">
        <v>6204.9627440699996</v>
      </c>
      <c r="O316" s="429">
        <v>6329.1569330499997</v>
      </c>
      <c r="P316" s="429">
        <v>6453.3511220299997</v>
      </c>
      <c r="Q316" s="429">
        <v>6577.5453110099998</v>
      </c>
      <c r="R316" s="429">
        <v>6701.7394999899998</v>
      </c>
      <c r="T316" s="429">
        <f t="shared" si="28"/>
        <v>5956.5743661099996</v>
      </c>
    </row>
    <row r="317" spans="1:20">
      <c r="A317" s="429" t="str">
        <f t="shared" si="25"/>
        <v>KU</v>
      </c>
      <c r="B317" s="429" t="str">
        <f t="shared" si="26"/>
        <v>KY</v>
      </c>
      <c r="C317" s="429" t="str">
        <f t="shared" si="27"/>
        <v>341</v>
      </c>
      <c r="D317" s="430" t="s">
        <v>2201</v>
      </c>
      <c r="E317" s="428" t="str">
        <f t="shared" si="24"/>
        <v/>
      </c>
      <c r="F317" s="429">
        <v>140.79665141699999</v>
      </c>
      <c r="G317" s="429">
        <v>145.8981135587</v>
      </c>
      <c r="H317" s="429">
        <v>150.99957570039999</v>
      </c>
      <c r="I317" s="429">
        <v>156.1010378421</v>
      </c>
      <c r="J317" s="429">
        <v>161.20249998379899</v>
      </c>
      <c r="K317" s="429">
        <v>166.303962125499</v>
      </c>
      <c r="L317" s="429">
        <v>171.40542426719901</v>
      </c>
      <c r="M317" s="429">
        <v>176.50688640889899</v>
      </c>
      <c r="N317" s="429">
        <v>181.608348550599</v>
      </c>
      <c r="O317" s="429">
        <v>186.70981069229899</v>
      </c>
      <c r="P317" s="429">
        <v>191.811272833999</v>
      </c>
      <c r="Q317" s="429">
        <v>196.91273497569901</v>
      </c>
      <c r="R317" s="429">
        <v>202.01419711739899</v>
      </c>
      <c r="T317" s="429">
        <f t="shared" si="28"/>
        <v>171.40542426719929</v>
      </c>
    </row>
    <row r="318" spans="1:20">
      <c r="A318" s="429" t="str">
        <f t="shared" si="25"/>
        <v>KU</v>
      </c>
      <c r="B318" s="429" t="str">
        <f t="shared" si="26"/>
        <v>KY</v>
      </c>
      <c r="C318" s="429" t="str">
        <f t="shared" si="27"/>
        <v>342</v>
      </c>
      <c r="D318" s="430" t="s">
        <v>1752</v>
      </c>
      <c r="E318" s="428" t="str">
        <f t="shared" si="24"/>
        <v/>
      </c>
      <c r="F318" s="429">
        <v>6265.8509899511</v>
      </c>
      <c r="G318" s="429">
        <v>6321.0696182225001</v>
      </c>
      <c r="H318" s="429">
        <v>6376.2882464939003</v>
      </c>
      <c r="I318" s="429">
        <v>6431.5068747653004</v>
      </c>
      <c r="J318" s="429">
        <v>6486.7255030366996</v>
      </c>
      <c r="K318" s="429">
        <v>6541.9441313080997</v>
      </c>
      <c r="L318" s="429">
        <v>6597.1627595794998</v>
      </c>
      <c r="M318" s="429">
        <v>6652.3813878509</v>
      </c>
      <c r="N318" s="429">
        <v>6707.6000161223001</v>
      </c>
      <c r="O318" s="429">
        <v>6762.8186443937002</v>
      </c>
      <c r="P318" s="429">
        <v>6818.0372726651003</v>
      </c>
      <c r="Q318" s="429">
        <v>6873.2559009365004</v>
      </c>
      <c r="R318" s="429">
        <v>6928.4745292078996</v>
      </c>
      <c r="T318" s="429">
        <f t="shared" si="28"/>
        <v>6597.1627595795007</v>
      </c>
    </row>
    <row r="319" spans="1:20">
      <c r="A319" s="429" t="str">
        <f t="shared" si="25"/>
        <v>KU</v>
      </c>
      <c r="B319" s="429" t="str">
        <f t="shared" si="26"/>
        <v>KY</v>
      </c>
      <c r="C319" s="429" t="str">
        <f t="shared" si="27"/>
        <v>342</v>
      </c>
      <c r="D319" s="430" t="s">
        <v>2202</v>
      </c>
      <c r="E319" s="428" t="str">
        <f t="shared" si="24"/>
        <v/>
      </c>
      <c r="F319" s="429">
        <v>3817.7854775799901</v>
      </c>
      <c r="G319" s="429">
        <v>3834.1105893379899</v>
      </c>
      <c r="H319" s="429">
        <v>3850.4357010959902</v>
      </c>
      <c r="I319" s="429">
        <v>3866.76081285399</v>
      </c>
      <c r="J319" s="429">
        <v>3883.0859246119899</v>
      </c>
      <c r="K319" s="429">
        <v>3899.4110363699901</v>
      </c>
      <c r="L319" s="429">
        <v>3915.73614812799</v>
      </c>
      <c r="M319" s="429">
        <v>3932.0612598859898</v>
      </c>
      <c r="N319" s="429">
        <v>3948.3863716439901</v>
      </c>
      <c r="O319" s="429">
        <v>3964.7114834019899</v>
      </c>
      <c r="P319" s="429">
        <v>3981.0365951599902</v>
      </c>
      <c r="Q319" s="429">
        <v>3997.36170691799</v>
      </c>
      <c r="R319" s="429">
        <v>4013.6868186759898</v>
      </c>
      <c r="T319" s="429">
        <f t="shared" si="28"/>
        <v>3915.73614812799</v>
      </c>
    </row>
    <row r="320" spans="1:20">
      <c r="A320" s="429" t="str">
        <f t="shared" si="25"/>
        <v>KU</v>
      </c>
      <c r="B320" s="429" t="str">
        <f t="shared" si="26"/>
        <v>KY</v>
      </c>
      <c r="C320" s="429" t="str">
        <f t="shared" si="27"/>
        <v>342</v>
      </c>
      <c r="D320" s="430" t="s">
        <v>2203</v>
      </c>
      <c r="E320" s="428" t="str">
        <f t="shared" si="24"/>
        <v/>
      </c>
      <c r="F320" s="429">
        <v>12062.813869748899</v>
      </c>
      <c r="G320" s="429">
        <v>12179.2584386299</v>
      </c>
      <c r="H320" s="429">
        <v>12295.7030075109</v>
      </c>
      <c r="I320" s="429">
        <v>12412.147576391901</v>
      </c>
      <c r="J320" s="429">
        <v>12528.5921452729</v>
      </c>
      <c r="K320" s="429">
        <v>12589.2973645889</v>
      </c>
      <c r="L320" s="429">
        <v>12756.201171836899</v>
      </c>
      <c r="M320" s="429">
        <v>12925.042916591899</v>
      </c>
      <c r="N320" s="429">
        <v>13093.8846613469</v>
      </c>
      <c r="O320" s="429">
        <v>13262.7264061019</v>
      </c>
      <c r="P320" s="429">
        <v>13431.5681508569</v>
      </c>
      <c r="Q320" s="429">
        <v>13600.4098956119</v>
      </c>
      <c r="R320" s="429">
        <v>13769.2516403669</v>
      </c>
      <c r="T320" s="429">
        <f t="shared" si="28"/>
        <v>12838.992095758207</v>
      </c>
    </row>
    <row r="321" spans="1:20">
      <c r="A321" s="429" t="str">
        <f t="shared" si="25"/>
        <v>KU</v>
      </c>
      <c r="B321" s="429" t="str">
        <f t="shared" si="26"/>
        <v>KY</v>
      </c>
      <c r="C321" s="429" t="str">
        <f t="shared" si="27"/>
        <v>343</v>
      </c>
      <c r="D321" s="430" t="s">
        <v>1753</v>
      </c>
      <c r="E321" s="428" t="str">
        <f t="shared" si="24"/>
        <v/>
      </c>
      <c r="F321" s="429">
        <v>212945.505149048</v>
      </c>
      <c r="G321" s="429">
        <v>214025.37482154899</v>
      </c>
      <c r="H321" s="429">
        <v>215723.222014025</v>
      </c>
      <c r="I321" s="429">
        <v>217421.06920650101</v>
      </c>
      <c r="J321" s="429">
        <v>219118.91639897699</v>
      </c>
      <c r="K321" s="429">
        <v>220817.77891795899</v>
      </c>
      <c r="L321" s="429">
        <v>222494.812748091</v>
      </c>
      <c r="M321" s="429">
        <v>224172.88414951501</v>
      </c>
      <c r="N321" s="429">
        <v>225876.66873854501</v>
      </c>
      <c r="O321" s="429">
        <v>227582.28492852999</v>
      </c>
      <c r="P321" s="429">
        <v>229287.90111851599</v>
      </c>
      <c r="Q321" s="429">
        <v>230993.517308501</v>
      </c>
      <c r="R321" s="429">
        <v>232699.133498487</v>
      </c>
      <c r="T321" s="429">
        <f t="shared" si="28"/>
        <v>222550.69761524955</v>
      </c>
    </row>
    <row r="322" spans="1:20">
      <c r="A322" s="429" t="str">
        <f t="shared" si="25"/>
        <v>KU</v>
      </c>
      <c r="B322" s="429" t="str">
        <f t="shared" si="26"/>
        <v>KY</v>
      </c>
      <c r="C322" s="429" t="str">
        <f t="shared" si="27"/>
        <v>343</v>
      </c>
      <c r="D322" s="430" t="s">
        <v>2204</v>
      </c>
      <c r="E322" s="428" t="str">
        <f t="shared" si="24"/>
        <v/>
      </c>
      <c r="F322" s="429">
        <v>17962.3092215539</v>
      </c>
      <c r="G322" s="429">
        <v>18741.693619242898</v>
      </c>
      <c r="H322" s="429">
        <v>19521.2310250009</v>
      </c>
      <c r="I322" s="429">
        <v>20300.921438726898</v>
      </c>
      <c r="J322" s="429">
        <v>21080.611852452901</v>
      </c>
      <c r="K322" s="429">
        <v>21860.455274247899</v>
      </c>
      <c r="L322" s="429">
        <v>22639.088581354899</v>
      </c>
      <c r="M322" s="429">
        <v>23419.297165695902</v>
      </c>
      <c r="N322" s="429">
        <v>24199.658758105899</v>
      </c>
      <c r="O322" s="429">
        <v>24980.173358483898</v>
      </c>
      <c r="P322" s="429">
        <v>25760.687958861901</v>
      </c>
      <c r="Q322" s="429">
        <v>26541.355922066901</v>
      </c>
      <c r="R322" s="429">
        <v>20375.6936205559</v>
      </c>
      <c r="T322" s="429">
        <f t="shared" si="28"/>
        <v>22106.398292026981</v>
      </c>
    </row>
    <row r="323" spans="1:20">
      <c r="A323" s="429" t="str">
        <f t="shared" si="25"/>
        <v>KU</v>
      </c>
      <c r="B323" s="429" t="str">
        <f t="shared" si="26"/>
        <v>KY</v>
      </c>
      <c r="C323" s="429" t="str">
        <f t="shared" si="27"/>
        <v>344</v>
      </c>
      <c r="D323" s="430" t="s">
        <v>1754</v>
      </c>
      <c r="E323" s="428" t="str">
        <f t="shared" si="24"/>
        <v/>
      </c>
      <c r="F323" s="429">
        <v>37076.193691725202</v>
      </c>
      <c r="G323" s="429">
        <v>37278.1116115681</v>
      </c>
      <c r="H323" s="429">
        <v>37480.029531410997</v>
      </c>
      <c r="I323" s="429">
        <v>37681.947451253902</v>
      </c>
      <c r="J323" s="429">
        <v>37883.865371096799</v>
      </c>
      <c r="K323" s="429">
        <v>38085.783290939697</v>
      </c>
      <c r="L323" s="429">
        <v>38287.701210782601</v>
      </c>
      <c r="M323" s="429">
        <v>38489.619130625499</v>
      </c>
      <c r="N323" s="429">
        <v>38691.537050468403</v>
      </c>
      <c r="O323" s="429">
        <v>38893.454970311301</v>
      </c>
      <c r="P323" s="429">
        <v>39095.372890154198</v>
      </c>
      <c r="Q323" s="429">
        <v>39297.290809997103</v>
      </c>
      <c r="R323" s="429">
        <v>39246.685107871803</v>
      </c>
      <c r="T323" s="429">
        <f t="shared" si="28"/>
        <v>38268.27631678505</v>
      </c>
    </row>
    <row r="324" spans="1:20">
      <c r="A324" s="429" t="str">
        <f t="shared" si="25"/>
        <v>KU</v>
      </c>
      <c r="B324" s="429" t="str">
        <f t="shared" si="26"/>
        <v>KY</v>
      </c>
      <c r="C324" s="429" t="str">
        <f t="shared" si="27"/>
        <v>344</v>
      </c>
      <c r="D324" s="430" t="s">
        <v>2205</v>
      </c>
      <c r="E324" s="428" t="str">
        <f t="shared" si="24"/>
        <v/>
      </c>
      <c r="F324" s="429">
        <v>8618.5435409300007</v>
      </c>
      <c r="G324" s="429">
        <v>8758.6942260230007</v>
      </c>
      <c r="H324" s="429">
        <v>8898.8449111160007</v>
      </c>
      <c r="I324" s="429">
        <v>9038.9955962090007</v>
      </c>
      <c r="J324" s="429">
        <v>9179.1462813020007</v>
      </c>
      <c r="K324" s="429">
        <v>9319.2969663950007</v>
      </c>
      <c r="L324" s="429">
        <v>9459.4476514880007</v>
      </c>
      <c r="M324" s="429">
        <v>9599.5983365810007</v>
      </c>
      <c r="N324" s="429">
        <v>9739.7490216740007</v>
      </c>
      <c r="O324" s="429">
        <v>9879.8997067670007</v>
      </c>
      <c r="P324" s="429">
        <v>10020.050391860001</v>
      </c>
      <c r="Q324" s="429">
        <v>10160.201076953001</v>
      </c>
      <c r="R324" s="429">
        <v>10300.351762046001</v>
      </c>
      <c r="T324" s="429">
        <f t="shared" si="28"/>
        <v>9459.4476514880007</v>
      </c>
    </row>
    <row r="325" spans="1:20">
      <c r="A325" s="429" t="str">
        <f t="shared" si="25"/>
        <v>KU</v>
      </c>
      <c r="B325" s="429" t="str">
        <f t="shared" si="26"/>
        <v>KY</v>
      </c>
      <c r="C325" s="429" t="str">
        <f t="shared" si="27"/>
        <v>344</v>
      </c>
      <c r="D325" s="430" t="s">
        <v>2206</v>
      </c>
      <c r="E325" s="428" t="str">
        <f t="shared" si="24"/>
        <v/>
      </c>
      <c r="F325" s="429">
        <v>1750.9493653869999</v>
      </c>
      <c r="G325" s="429">
        <v>1801.1547979257</v>
      </c>
      <c r="H325" s="429">
        <v>1851.3602304644</v>
      </c>
      <c r="I325" s="429">
        <v>1901.5656630031001</v>
      </c>
      <c r="J325" s="429">
        <v>1951.7710955417999</v>
      </c>
      <c r="K325" s="429">
        <v>2001.9765280805</v>
      </c>
      <c r="L325" s="429">
        <v>2052.1819606191998</v>
      </c>
      <c r="M325" s="429">
        <v>2102.3873931579001</v>
      </c>
      <c r="N325" s="429">
        <v>2152.5928256965999</v>
      </c>
      <c r="O325" s="429">
        <v>2202.7982582353002</v>
      </c>
      <c r="P325" s="429">
        <v>2253.003690774</v>
      </c>
      <c r="Q325" s="429">
        <v>2303.2091233126998</v>
      </c>
      <c r="R325" s="429">
        <v>2353.4145558514001</v>
      </c>
      <c r="T325" s="429">
        <f t="shared" si="28"/>
        <v>2052.1819606191998</v>
      </c>
    </row>
    <row r="326" spans="1:20">
      <c r="A326" s="429" t="str">
        <f t="shared" si="25"/>
        <v>KU</v>
      </c>
      <c r="B326" s="429" t="str">
        <f t="shared" si="26"/>
        <v>KY</v>
      </c>
      <c r="C326" s="429" t="str">
        <f t="shared" si="27"/>
        <v>345</v>
      </c>
      <c r="D326" s="430" t="s">
        <v>1755</v>
      </c>
      <c r="E326" s="428" t="str">
        <f t="shared" si="24"/>
        <v/>
      </c>
      <c r="F326" s="429">
        <v>26935.130081761599</v>
      </c>
      <c r="G326" s="429">
        <v>27129.0774730093</v>
      </c>
      <c r="H326" s="429">
        <v>27323.024864257</v>
      </c>
      <c r="I326" s="429">
        <v>27516.972255504701</v>
      </c>
      <c r="J326" s="429">
        <v>27710.919646752402</v>
      </c>
      <c r="K326" s="429">
        <v>27904.867038000099</v>
      </c>
      <c r="L326" s="429">
        <v>28098.814429247799</v>
      </c>
      <c r="M326" s="429">
        <v>28292.7618204955</v>
      </c>
      <c r="N326" s="429">
        <v>28486.7092117432</v>
      </c>
      <c r="O326" s="429">
        <v>28680.656602990901</v>
      </c>
      <c r="P326" s="429">
        <v>28874.603994238601</v>
      </c>
      <c r="Q326" s="429">
        <v>29068.551385486298</v>
      </c>
      <c r="R326" s="429">
        <v>29263.0465261348</v>
      </c>
      <c r="T326" s="429">
        <f t="shared" si="28"/>
        <v>28098.856563817091</v>
      </c>
    </row>
    <row r="327" spans="1:20">
      <c r="A327" s="429" t="str">
        <f t="shared" si="25"/>
        <v>KU</v>
      </c>
      <c r="B327" s="429" t="str">
        <f t="shared" si="26"/>
        <v>KY</v>
      </c>
      <c r="C327" s="429" t="str">
        <f t="shared" si="27"/>
        <v>345</v>
      </c>
      <c r="D327" s="430" t="s">
        <v>2207</v>
      </c>
      <c r="E327" s="428" t="str">
        <f t="shared" si="24"/>
        <v/>
      </c>
      <c r="F327" s="429">
        <v>2681.761152992</v>
      </c>
      <c r="G327" s="429">
        <v>2746.911528658</v>
      </c>
      <c r="H327" s="429">
        <v>2812.0619043239999</v>
      </c>
      <c r="I327" s="429">
        <v>2877.2122799899998</v>
      </c>
      <c r="J327" s="429">
        <v>2942.3626556559998</v>
      </c>
      <c r="K327" s="429">
        <v>3007.5130313219902</v>
      </c>
      <c r="L327" s="429">
        <v>3072.6634069879901</v>
      </c>
      <c r="M327" s="429">
        <v>3137.8137826539901</v>
      </c>
      <c r="N327" s="429">
        <v>3202.96415831999</v>
      </c>
      <c r="O327" s="429">
        <v>3268.11453398599</v>
      </c>
      <c r="P327" s="429">
        <v>3333.2649096519899</v>
      </c>
      <c r="Q327" s="429">
        <v>3398.4152853179899</v>
      </c>
      <c r="R327" s="429">
        <v>3463.5656609839898</v>
      </c>
      <c r="T327" s="429">
        <f t="shared" si="28"/>
        <v>3072.6634069879947</v>
      </c>
    </row>
    <row r="328" spans="1:20">
      <c r="A328" s="429" t="str">
        <f t="shared" si="25"/>
        <v>KU</v>
      </c>
      <c r="B328" s="429" t="str">
        <f t="shared" si="26"/>
        <v>KY</v>
      </c>
      <c r="C328" s="429" t="str">
        <f t="shared" si="27"/>
        <v>345</v>
      </c>
      <c r="D328" s="430" t="s">
        <v>2208</v>
      </c>
      <c r="E328" s="428" t="str">
        <f t="shared" si="24"/>
        <v/>
      </c>
      <c r="F328" s="429">
        <v>71.749459830000006</v>
      </c>
      <c r="G328" s="429">
        <v>73.367999812999997</v>
      </c>
      <c r="H328" s="429">
        <v>74.986539796000002</v>
      </c>
      <c r="I328" s="429">
        <v>76.605079778999993</v>
      </c>
      <c r="J328" s="429">
        <v>78.223619761999998</v>
      </c>
      <c r="K328" s="429">
        <v>79.842159745000004</v>
      </c>
      <c r="L328" s="429">
        <v>81.460699727999994</v>
      </c>
      <c r="M328" s="429">
        <v>83.079239711</v>
      </c>
      <c r="N328" s="429">
        <v>86.646140161000005</v>
      </c>
      <c r="O328" s="429">
        <v>92.238912321800001</v>
      </c>
      <c r="P328" s="429">
        <v>97.986706826100004</v>
      </c>
      <c r="Q328" s="429">
        <v>103.8895235279</v>
      </c>
      <c r="R328" s="429">
        <v>109.94736242819999</v>
      </c>
      <c r="T328" s="429">
        <f t="shared" si="28"/>
        <v>85.386418725307678</v>
      </c>
    </row>
    <row r="329" spans="1:20">
      <c r="A329" s="429" t="str">
        <f t="shared" si="25"/>
        <v>KU</v>
      </c>
      <c r="B329" s="429" t="str">
        <f t="shared" si="26"/>
        <v>KY</v>
      </c>
      <c r="C329" s="429" t="str">
        <f t="shared" si="27"/>
        <v>346</v>
      </c>
      <c r="D329" s="430" t="s">
        <v>1756</v>
      </c>
      <c r="E329" s="428" t="str">
        <f t="shared" si="24"/>
        <v/>
      </c>
      <c r="F329" s="429">
        <v>3529.2274080101402</v>
      </c>
      <c r="G329" s="429">
        <v>3552.1254014432898</v>
      </c>
      <c r="H329" s="429">
        <v>3575.0424639896401</v>
      </c>
      <c r="I329" s="429">
        <v>3597.9785956491</v>
      </c>
      <c r="J329" s="429">
        <v>3620.91472730855</v>
      </c>
      <c r="K329" s="429">
        <v>3648.8514589603101</v>
      </c>
      <c r="L329" s="429">
        <v>3681.7887906002602</v>
      </c>
      <c r="M329" s="429">
        <v>3714.7261222402099</v>
      </c>
      <c r="N329" s="429">
        <v>3747.66345388017</v>
      </c>
      <c r="O329" s="429">
        <v>3780.6007855201201</v>
      </c>
      <c r="P329" s="429">
        <v>3814.4873692287401</v>
      </c>
      <c r="Q329" s="429">
        <v>3849.3232050065199</v>
      </c>
      <c r="R329" s="429">
        <v>3870.6945265053901</v>
      </c>
      <c r="T329" s="429">
        <f t="shared" si="28"/>
        <v>3691.0326391032645</v>
      </c>
    </row>
    <row r="330" spans="1:20">
      <c r="A330" s="429" t="str">
        <f t="shared" si="25"/>
        <v>KU</v>
      </c>
      <c r="B330" s="429" t="str">
        <f t="shared" si="26"/>
        <v>KY</v>
      </c>
      <c r="C330" s="429" t="str">
        <f t="shared" si="27"/>
        <v>346</v>
      </c>
      <c r="D330" s="430" t="s">
        <v>2209</v>
      </c>
      <c r="E330" s="428" t="str">
        <f t="shared" si="24"/>
        <v/>
      </c>
      <c r="F330" s="429">
        <v>279.61830078050002</v>
      </c>
      <c r="G330" s="429">
        <v>290.20496544349999</v>
      </c>
      <c r="H330" s="429">
        <v>301.17684202949903</v>
      </c>
      <c r="I330" s="429">
        <v>312.53393053449997</v>
      </c>
      <c r="J330" s="429">
        <v>323.89101903950001</v>
      </c>
      <c r="K330" s="429">
        <v>335.49406526849998</v>
      </c>
      <c r="L330" s="429">
        <v>347.34306921149999</v>
      </c>
      <c r="M330" s="429">
        <v>359.19207315450001</v>
      </c>
      <c r="N330" s="429">
        <v>371.04107709750002</v>
      </c>
      <c r="O330" s="429">
        <v>382.89008104049998</v>
      </c>
      <c r="P330" s="429">
        <v>394.73908498349999</v>
      </c>
      <c r="Q330" s="429">
        <v>406.97841311550002</v>
      </c>
      <c r="R330" s="429">
        <v>419.60806542649999</v>
      </c>
      <c r="T330" s="429">
        <f t="shared" si="28"/>
        <v>348.05469131734606</v>
      </c>
    </row>
    <row r="331" spans="1:20">
      <c r="A331" s="429" t="str">
        <f t="shared" si="25"/>
        <v>KU</v>
      </c>
      <c r="B331" s="429" t="str">
        <f t="shared" si="26"/>
        <v>KY</v>
      </c>
      <c r="C331" s="429" t="str">
        <f t="shared" si="27"/>
        <v>346</v>
      </c>
      <c r="D331" s="430" t="s">
        <v>2210</v>
      </c>
      <c r="E331" s="428" t="str">
        <f t="shared" si="24"/>
        <v/>
      </c>
      <c r="F331" s="429">
        <v>44.1795807499999</v>
      </c>
      <c r="G331" s="429">
        <v>45.684003824999898</v>
      </c>
      <c r="H331" s="429">
        <v>47.188426899999897</v>
      </c>
      <c r="I331" s="429">
        <v>48.692849974999902</v>
      </c>
      <c r="J331" s="429">
        <v>50.1972730499999</v>
      </c>
      <c r="K331" s="429">
        <v>51.701696124999899</v>
      </c>
      <c r="L331" s="429">
        <v>53.206119199999897</v>
      </c>
      <c r="M331" s="429">
        <v>54.710542274999902</v>
      </c>
      <c r="N331" s="429">
        <v>56.2149653499999</v>
      </c>
      <c r="O331" s="429">
        <v>57.719388424999899</v>
      </c>
      <c r="P331" s="429">
        <v>59.223811499999897</v>
      </c>
      <c r="Q331" s="429">
        <v>60.728234574999902</v>
      </c>
      <c r="R331" s="429">
        <v>62.232657649999901</v>
      </c>
      <c r="T331" s="429">
        <f t="shared" si="28"/>
        <v>53.20611919999989</v>
      </c>
    </row>
    <row r="332" spans="1:20">
      <c r="A332" s="429" t="str">
        <f t="shared" si="25"/>
        <v>KU</v>
      </c>
      <c r="B332" s="429" t="str">
        <f t="shared" si="26"/>
        <v>KY</v>
      </c>
      <c r="C332" s="429" t="str">
        <f t="shared" si="27"/>
        <v>347</v>
      </c>
      <c r="D332" s="430" t="s">
        <v>2211</v>
      </c>
      <c r="E332" s="428" t="str">
        <f t="shared" si="24"/>
        <v>ARO</v>
      </c>
      <c r="F332" s="429">
        <v>80.243499999999898</v>
      </c>
      <c r="G332" s="429">
        <v>81.922619999999895</v>
      </c>
      <c r="H332" s="429">
        <v>83.601739999999893</v>
      </c>
      <c r="I332" s="429">
        <v>85.280859999999905</v>
      </c>
      <c r="J332" s="429">
        <v>86.959979999999902</v>
      </c>
      <c r="K332" s="429">
        <v>88.6390999999999</v>
      </c>
      <c r="L332" s="429">
        <v>90.318219999999897</v>
      </c>
      <c r="M332" s="429">
        <v>91.997339999999895</v>
      </c>
      <c r="N332" s="429">
        <v>93.676459999999906</v>
      </c>
      <c r="O332" s="429">
        <v>93.902442759865195</v>
      </c>
      <c r="P332" s="429">
        <v>94.128425519730499</v>
      </c>
      <c r="Q332" s="429">
        <v>94.354408279595802</v>
      </c>
      <c r="R332" s="429">
        <v>94.580391039461105</v>
      </c>
      <c r="T332" s="429">
        <f t="shared" si="28"/>
        <v>89.200422122973208</v>
      </c>
    </row>
    <row r="333" spans="1:20">
      <c r="A333" s="429" t="str">
        <f t="shared" si="25"/>
        <v>KU</v>
      </c>
      <c r="B333" s="429" t="str">
        <f t="shared" si="26"/>
        <v>KY</v>
      </c>
      <c r="C333" s="429" t="str">
        <f t="shared" si="27"/>
        <v>350</v>
      </c>
      <c r="D333" s="430" t="s">
        <v>1757</v>
      </c>
      <c r="E333" s="428" t="str">
        <f t="shared" si="24"/>
        <v/>
      </c>
      <c r="F333" s="429">
        <v>15963.3332516299</v>
      </c>
      <c r="G333" s="429">
        <v>15983.002020649899</v>
      </c>
      <c r="H333" s="429">
        <v>16002.670789669901</v>
      </c>
      <c r="I333" s="429">
        <v>16022.339558689901</v>
      </c>
      <c r="J333" s="429">
        <v>16042.0083277099</v>
      </c>
      <c r="K333" s="429">
        <v>16061.6770967299</v>
      </c>
      <c r="L333" s="429">
        <v>16081.3458657499</v>
      </c>
      <c r="M333" s="429">
        <v>16101.014634769899</v>
      </c>
      <c r="N333" s="429">
        <v>16120.683403789901</v>
      </c>
      <c r="O333" s="429">
        <v>16140.3521728099</v>
      </c>
      <c r="P333" s="429">
        <v>16160.0209418299</v>
      </c>
      <c r="Q333" s="429">
        <v>16179.6897108499</v>
      </c>
      <c r="R333" s="429">
        <v>16199.358479869899</v>
      </c>
      <c r="T333" s="429">
        <f t="shared" si="28"/>
        <v>16081.345865749898</v>
      </c>
    </row>
    <row r="334" spans="1:20">
      <c r="A334" s="429" t="str">
        <f t="shared" si="25"/>
        <v>KU</v>
      </c>
      <c r="B334" s="429" t="str">
        <f t="shared" si="26"/>
        <v>TN</v>
      </c>
      <c r="C334" s="429" t="str">
        <f t="shared" si="27"/>
        <v>350</v>
      </c>
      <c r="D334" s="430" t="s">
        <v>1758</v>
      </c>
      <c r="E334" s="428" t="str">
        <f t="shared" si="24"/>
        <v/>
      </c>
      <c r="F334" s="429">
        <v>0.374229964999999</v>
      </c>
      <c r="G334" s="429">
        <v>0.374544961499999</v>
      </c>
      <c r="H334" s="429">
        <v>0.37485995799999899</v>
      </c>
      <c r="I334" s="429">
        <v>0.37517495449999899</v>
      </c>
      <c r="J334" s="429">
        <v>0.37548995099999899</v>
      </c>
      <c r="K334" s="429">
        <v>0.37580494749999899</v>
      </c>
      <c r="L334" s="429">
        <v>0.37611994399999898</v>
      </c>
      <c r="M334" s="429">
        <v>0.37643494049999898</v>
      </c>
      <c r="N334" s="429">
        <v>0.37674993699999898</v>
      </c>
      <c r="O334" s="429">
        <v>0.37706493349999898</v>
      </c>
      <c r="P334" s="429">
        <v>0.37737992999999898</v>
      </c>
      <c r="Q334" s="429">
        <v>0.37769492649999897</v>
      </c>
      <c r="R334" s="429">
        <v>0.37800992299999903</v>
      </c>
      <c r="T334" s="429">
        <f t="shared" si="28"/>
        <v>0.37611994399999904</v>
      </c>
    </row>
    <row r="335" spans="1:20">
      <c r="A335" s="429" t="str">
        <f t="shared" si="25"/>
        <v>KU</v>
      </c>
      <c r="B335" s="429" t="str">
        <f t="shared" si="26"/>
        <v>VA</v>
      </c>
      <c r="C335" s="429" t="str">
        <f t="shared" si="27"/>
        <v>350</v>
      </c>
      <c r="D335" s="430" t="s">
        <v>1759</v>
      </c>
      <c r="E335" s="428" t="str">
        <f t="shared" si="24"/>
        <v/>
      </c>
      <c r="F335" s="429">
        <v>1971.3189318</v>
      </c>
      <c r="G335" s="429">
        <v>1972.9095559800001</v>
      </c>
      <c r="H335" s="429">
        <v>1974.5001801599999</v>
      </c>
      <c r="I335" s="429">
        <v>1976.09080434</v>
      </c>
      <c r="J335" s="429">
        <v>1977.6814285200001</v>
      </c>
      <c r="K335" s="429">
        <v>1979.2720526999999</v>
      </c>
      <c r="L335" s="429">
        <v>1980.86267688</v>
      </c>
      <c r="M335" s="429">
        <v>1982.4533010600001</v>
      </c>
      <c r="N335" s="429">
        <v>1984.0439252399999</v>
      </c>
      <c r="O335" s="429">
        <v>1985.63454942</v>
      </c>
      <c r="P335" s="429">
        <v>1987.2251736000001</v>
      </c>
      <c r="Q335" s="429">
        <v>1988.8157977799999</v>
      </c>
      <c r="R335" s="429">
        <v>1990.40642196</v>
      </c>
      <c r="T335" s="429">
        <f t="shared" si="28"/>
        <v>1980.86267688</v>
      </c>
    </row>
    <row r="336" spans="1:20">
      <c r="A336" s="429" t="str">
        <f t="shared" si="25"/>
        <v>KU</v>
      </c>
      <c r="B336" s="429" t="str">
        <f t="shared" si="26"/>
        <v>KY</v>
      </c>
      <c r="C336" s="429" t="str">
        <f t="shared" si="27"/>
        <v>352</v>
      </c>
      <c r="D336" s="430" t="s">
        <v>1760</v>
      </c>
      <c r="E336" s="428" t="str">
        <f t="shared" si="24"/>
        <v/>
      </c>
      <c r="F336" s="429">
        <v>925.52541074799899</v>
      </c>
      <c r="G336" s="429">
        <v>927.38044782279906</v>
      </c>
      <c r="H336" s="429">
        <v>929.23548489759901</v>
      </c>
      <c r="I336" s="429">
        <v>931.09052197239896</v>
      </c>
      <c r="J336" s="429">
        <v>932.94555904719903</v>
      </c>
      <c r="K336" s="429">
        <v>934.80059612199898</v>
      </c>
      <c r="L336" s="429">
        <v>936.71740173579894</v>
      </c>
      <c r="M336" s="429">
        <v>938.69597588859904</v>
      </c>
      <c r="N336" s="429">
        <v>940.67455004139902</v>
      </c>
      <c r="O336" s="429">
        <v>942.65312419419899</v>
      </c>
      <c r="P336" s="429">
        <v>944.63169834699897</v>
      </c>
      <c r="Q336" s="429">
        <v>946.61027249979895</v>
      </c>
      <c r="R336" s="429">
        <v>948.58884665259905</v>
      </c>
      <c r="T336" s="429">
        <f t="shared" si="28"/>
        <v>936.88845307456825</v>
      </c>
    </row>
    <row r="337" spans="1:20">
      <c r="A337" s="429" t="str">
        <f t="shared" si="25"/>
        <v>KU</v>
      </c>
      <c r="B337" s="429" t="str">
        <f t="shared" si="26"/>
        <v>KY</v>
      </c>
      <c r="C337" s="429" t="str">
        <f t="shared" si="27"/>
        <v>352</v>
      </c>
      <c r="D337" s="430" t="s">
        <v>1761</v>
      </c>
      <c r="E337" s="428" t="str">
        <f t="shared" si="24"/>
        <v/>
      </c>
      <c r="F337" s="429">
        <v>6066.0718727200001</v>
      </c>
      <c r="G337" s="429">
        <v>6102.7999309919996</v>
      </c>
      <c r="H337" s="429">
        <v>6139.5279892640001</v>
      </c>
      <c r="I337" s="429">
        <v>6176.2560475359996</v>
      </c>
      <c r="J337" s="429">
        <v>6212.9841058080001</v>
      </c>
      <c r="K337" s="429">
        <v>6249.7121640799996</v>
      </c>
      <c r="L337" s="429">
        <v>6286.4402223520001</v>
      </c>
      <c r="M337" s="429">
        <v>6323.1682806239996</v>
      </c>
      <c r="N337" s="429">
        <v>6359.8963388960001</v>
      </c>
      <c r="O337" s="429">
        <v>6396.6243971679996</v>
      </c>
      <c r="P337" s="429">
        <v>6433.3524554400001</v>
      </c>
      <c r="Q337" s="429">
        <v>6470.0805137120096</v>
      </c>
      <c r="R337" s="429">
        <v>6506.8085719840101</v>
      </c>
      <c r="T337" s="429">
        <f t="shared" si="28"/>
        <v>6286.440222352001</v>
      </c>
    </row>
    <row r="338" spans="1:20">
      <c r="A338" s="429" t="str">
        <f t="shared" si="25"/>
        <v>KU</v>
      </c>
      <c r="B338" s="429" t="str">
        <f t="shared" si="26"/>
        <v>VA</v>
      </c>
      <c r="C338" s="429" t="str">
        <f t="shared" si="27"/>
        <v>352</v>
      </c>
      <c r="D338" s="430" t="s">
        <v>1762</v>
      </c>
      <c r="E338" s="428" t="str">
        <f t="shared" si="24"/>
        <v/>
      </c>
      <c r="F338" s="429">
        <v>825.50015116999896</v>
      </c>
      <c r="G338" s="429">
        <v>827.91157628699898</v>
      </c>
      <c r="H338" s="429">
        <v>830.32300140399798</v>
      </c>
      <c r="I338" s="429">
        <v>832.734426520998</v>
      </c>
      <c r="J338" s="429">
        <v>835.14585163799802</v>
      </c>
      <c r="K338" s="429">
        <v>837.55727675499804</v>
      </c>
      <c r="L338" s="429">
        <v>839.96870187199795</v>
      </c>
      <c r="M338" s="429">
        <v>842.38012698899797</v>
      </c>
      <c r="N338" s="429">
        <v>844.79155210599799</v>
      </c>
      <c r="O338" s="429">
        <v>847.20297722299802</v>
      </c>
      <c r="P338" s="429">
        <v>849.61440233999804</v>
      </c>
      <c r="Q338" s="429">
        <v>852.02582745699794</v>
      </c>
      <c r="R338" s="429">
        <v>854.43725257399797</v>
      </c>
      <c r="T338" s="429">
        <f t="shared" si="28"/>
        <v>839.96870187199829</v>
      </c>
    </row>
    <row r="339" spans="1:20">
      <c r="A339" s="429" t="str">
        <f t="shared" si="25"/>
        <v>KU</v>
      </c>
      <c r="B339" s="429" t="str">
        <f t="shared" si="26"/>
        <v>KY</v>
      </c>
      <c r="C339" s="429" t="str">
        <f t="shared" si="27"/>
        <v>353</v>
      </c>
      <c r="D339" s="430" t="s">
        <v>1763</v>
      </c>
      <c r="E339" s="428" t="str">
        <f t="shared" si="24"/>
        <v/>
      </c>
      <c r="F339" s="429">
        <v>69521.737487880004</v>
      </c>
      <c r="G339" s="429">
        <v>69912.941361449994</v>
      </c>
      <c r="H339" s="429">
        <v>70119.770496810001</v>
      </c>
      <c r="I339" s="429">
        <v>70588.681704319999</v>
      </c>
      <c r="J339" s="429">
        <v>70926.353407190007</v>
      </c>
      <c r="K339" s="429">
        <v>71377.649332410001</v>
      </c>
      <c r="L339" s="429">
        <v>71726.677213160001</v>
      </c>
      <c r="M339" s="429">
        <v>72151.860618680003</v>
      </c>
      <c r="N339" s="429">
        <v>72187.005177159997</v>
      </c>
      <c r="O339" s="429">
        <v>72720.198953879997</v>
      </c>
      <c r="P339" s="429">
        <v>73144.281244800004</v>
      </c>
      <c r="Q339" s="429">
        <v>73525.000051380004</v>
      </c>
      <c r="R339" s="429">
        <v>73855.595949740004</v>
      </c>
      <c r="T339" s="429">
        <f t="shared" si="28"/>
        <v>71673.673307604622</v>
      </c>
    </row>
    <row r="340" spans="1:20">
      <c r="A340" s="429" t="str">
        <f t="shared" si="25"/>
        <v>KU</v>
      </c>
      <c r="B340" s="429" t="s">
        <v>17</v>
      </c>
      <c r="C340" s="429" t="str">
        <f t="shared" si="27"/>
        <v>353</v>
      </c>
      <c r="D340" s="430" t="s">
        <v>1764</v>
      </c>
      <c r="E340" s="428" t="str">
        <f t="shared" si="24"/>
        <v/>
      </c>
      <c r="F340" s="429">
        <v>5685.8793900000001</v>
      </c>
      <c r="G340" s="429">
        <v>5685.8793900000001</v>
      </c>
      <c r="H340" s="429">
        <v>5685.8793900000001</v>
      </c>
      <c r="I340" s="429">
        <v>5685.8793900000001</v>
      </c>
      <c r="J340" s="429">
        <v>5685.8793900000001</v>
      </c>
      <c r="K340" s="429">
        <v>5685.8793900000001</v>
      </c>
      <c r="L340" s="429">
        <v>5685.8793900000001</v>
      </c>
      <c r="M340" s="429">
        <v>5685.8793900000001</v>
      </c>
      <c r="N340" s="429">
        <v>5685.8793900000001</v>
      </c>
      <c r="O340" s="429">
        <v>5685.8793900000001</v>
      </c>
      <c r="P340" s="429">
        <v>5685.8793900000001</v>
      </c>
      <c r="Q340" s="429">
        <v>5685.8793900000001</v>
      </c>
      <c r="R340" s="429">
        <v>5685.8793900000001</v>
      </c>
      <c r="T340" s="429">
        <f t="shared" si="28"/>
        <v>5685.879390000001</v>
      </c>
    </row>
    <row r="341" spans="1:20">
      <c r="A341" s="429" t="str">
        <f t="shared" si="25"/>
        <v>KU</v>
      </c>
      <c r="B341" s="429" t="str">
        <f t="shared" si="26"/>
        <v>VA</v>
      </c>
      <c r="C341" s="429" t="str">
        <f t="shared" si="27"/>
        <v>353</v>
      </c>
      <c r="D341" s="430" t="s">
        <v>1765</v>
      </c>
      <c r="E341" s="428" t="str">
        <f t="shared" si="24"/>
        <v/>
      </c>
      <c r="F341" s="429">
        <v>8462.5771559509794</v>
      </c>
      <c r="G341" s="429">
        <v>8498.9180365460797</v>
      </c>
      <c r="H341" s="429">
        <v>8535.2589171411801</v>
      </c>
      <c r="I341" s="429">
        <v>8571.5997977362804</v>
      </c>
      <c r="J341" s="429">
        <v>8607.9406783313807</v>
      </c>
      <c r="K341" s="429">
        <v>8644.2815589264792</v>
      </c>
      <c r="L341" s="429">
        <v>8680.6224395215704</v>
      </c>
      <c r="M341" s="429">
        <v>8716.9633201166707</v>
      </c>
      <c r="N341" s="429">
        <v>8753.3042007117692</v>
      </c>
      <c r="O341" s="429">
        <v>8789.6450813068695</v>
      </c>
      <c r="P341" s="429">
        <v>8825.9859619019699</v>
      </c>
      <c r="Q341" s="429">
        <v>8862.3268424970702</v>
      </c>
      <c r="R341" s="429">
        <v>8898.6677230921596</v>
      </c>
      <c r="T341" s="429">
        <f t="shared" si="28"/>
        <v>8680.6224395215741</v>
      </c>
    </row>
    <row r="342" spans="1:20">
      <c r="A342" s="429" t="str">
        <f t="shared" si="25"/>
        <v>KU</v>
      </c>
      <c r="B342" s="429" t="str">
        <f t="shared" si="26"/>
        <v>KY</v>
      </c>
      <c r="C342" s="429" t="str">
        <f t="shared" si="27"/>
        <v>354</v>
      </c>
      <c r="D342" s="430" t="s">
        <v>1766</v>
      </c>
      <c r="E342" s="428" t="str">
        <f t="shared" si="24"/>
        <v/>
      </c>
      <c r="F342" s="429">
        <v>47713.513994269902</v>
      </c>
      <c r="G342" s="429">
        <v>47813.2972456969</v>
      </c>
      <c r="H342" s="429">
        <v>47913.080497123898</v>
      </c>
      <c r="I342" s="429">
        <v>48012.863748550903</v>
      </c>
      <c r="J342" s="429">
        <v>48112.6469999779</v>
      </c>
      <c r="K342" s="429">
        <v>48212.430251404898</v>
      </c>
      <c r="L342" s="429">
        <v>48312.213502831903</v>
      </c>
      <c r="M342" s="429">
        <v>48411.9967542589</v>
      </c>
      <c r="N342" s="429">
        <v>48511.780005685898</v>
      </c>
      <c r="O342" s="429">
        <v>48611.563257112903</v>
      </c>
      <c r="P342" s="429">
        <v>48711.3465085399</v>
      </c>
      <c r="Q342" s="429">
        <v>48811.129759966898</v>
      </c>
      <c r="R342" s="429">
        <v>48910.913011393903</v>
      </c>
      <c r="T342" s="429">
        <f t="shared" si="28"/>
        <v>48312.213502831888</v>
      </c>
    </row>
    <row r="343" spans="1:20">
      <c r="A343" s="429" t="str">
        <f t="shared" si="25"/>
        <v>KU</v>
      </c>
      <c r="B343" s="429" t="str">
        <f t="shared" si="26"/>
        <v>VA</v>
      </c>
      <c r="C343" s="429" t="str">
        <f t="shared" si="27"/>
        <v>354</v>
      </c>
      <c r="D343" s="430" t="s">
        <v>1767</v>
      </c>
      <c r="E343" s="428" t="str">
        <f t="shared" si="24"/>
        <v/>
      </c>
      <c r="F343" s="429">
        <v>5196.3759316399901</v>
      </c>
      <c r="G343" s="429">
        <v>5206.48928780399</v>
      </c>
      <c r="H343" s="429">
        <v>5216.6026439679899</v>
      </c>
      <c r="I343" s="429">
        <v>5226.7160001319899</v>
      </c>
      <c r="J343" s="429">
        <v>5236.8293562959898</v>
      </c>
      <c r="K343" s="429">
        <v>5246.9427124599897</v>
      </c>
      <c r="L343" s="429">
        <v>5257.0560686239896</v>
      </c>
      <c r="M343" s="429">
        <v>5267.1694247879896</v>
      </c>
      <c r="N343" s="429">
        <v>5277.2827809519904</v>
      </c>
      <c r="O343" s="429">
        <v>5287.3961371159903</v>
      </c>
      <c r="P343" s="429">
        <v>5297.5094932799902</v>
      </c>
      <c r="Q343" s="429">
        <v>5307.6228494439902</v>
      </c>
      <c r="R343" s="429">
        <v>5317.7362056079901</v>
      </c>
      <c r="T343" s="429">
        <f t="shared" si="28"/>
        <v>5257.0560686239905</v>
      </c>
    </row>
    <row r="344" spans="1:20">
      <c r="A344" s="429" t="str">
        <f t="shared" si="25"/>
        <v>KU</v>
      </c>
      <c r="B344" s="429" t="str">
        <f t="shared" si="26"/>
        <v>KY</v>
      </c>
      <c r="C344" s="429" t="str">
        <f t="shared" si="27"/>
        <v>355</v>
      </c>
      <c r="D344" s="430" t="s">
        <v>1768</v>
      </c>
      <c r="E344" s="428" t="str">
        <f t="shared" si="24"/>
        <v/>
      </c>
      <c r="F344" s="429">
        <v>72087.725757799897</v>
      </c>
      <c r="G344" s="429">
        <v>71917.086294779903</v>
      </c>
      <c r="H344" s="429">
        <v>72534.266637649896</v>
      </c>
      <c r="I344" s="429">
        <v>73428.039290179906</v>
      </c>
      <c r="J344" s="429">
        <v>74144.321183549895</v>
      </c>
      <c r="K344" s="429">
        <v>75090.451100709906</v>
      </c>
      <c r="L344" s="429">
        <v>75847.854837539897</v>
      </c>
      <c r="M344" s="429">
        <v>76711.698493729898</v>
      </c>
      <c r="N344" s="429">
        <v>77074.539193249904</v>
      </c>
      <c r="O344" s="429">
        <v>78134.921099809901</v>
      </c>
      <c r="P344" s="429">
        <v>79083.821024579898</v>
      </c>
      <c r="Q344" s="429">
        <v>80082.848526979898</v>
      </c>
      <c r="R344" s="429">
        <v>80854.225894029994</v>
      </c>
      <c r="T344" s="429">
        <f t="shared" si="28"/>
        <v>75922.446102660673</v>
      </c>
    </row>
    <row r="345" spans="1:20">
      <c r="A345" s="429" t="str">
        <f t="shared" si="25"/>
        <v>KU</v>
      </c>
      <c r="B345" s="429" t="str">
        <f t="shared" si="26"/>
        <v>TN</v>
      </c>
      <c r="C345" s="429" t="str">
        <f t="shared" si="27"/>
        <v>355</v>
      </c>
      <c r="D345" s="430" t="s">
        <v>1769</v>
      </c>
      <c r="E345" s="428" t="str">
        <f t="shared" si="24"/>
        <v/>
      </c>
      <c r="F345" s="429">
        <v>93.228233191200005</v>
      </c>
      <c r="G345" s="429">
        <v>93.542601510319997</v>
      </c>
      <c r="H345" s="429">
        <v>93.856969829440004</v>
      </c>
      <c r="I345" s="429">
        <v>94.171338148560096</v>
      </c>
      <c r="J345" s="429">
        <v>94.485706467680103</v>
      </c>
      <c r="K345" s="429">
        <v>94.800074786800096</v>
      </c>
      <c r="L345" s="429">
        <v>95.114443105920103</v>
      </c>
      <c r="M345" s="429">
        <v>95.428811425040095</v>
      </c>
      <c r="N345" s="429">
        <v>95.743179744160102</v>
      </c>
      <c r="O345" s="429">
        <v>96.057548063280095</v>
      </c>
      <c r="P345" s="429">
        <v>96.371916382400101</v>
      </c>
      <c r="Q345" s="429">
        <v>96.686284701520094</v>
      </c>
      <c r="R345" s="429">
        <v>97.000653020640101</v>
      </c>
      <c r="T345" s="429">
        <f t="shared" si="28"/>
        <v>95.114443105920074</v>
      </c>
    </row>
    <row r="346" spans="1:20">
      <c r="A346" s="429" t="str">
        <f t="shared" si="25"/>
        <v>KU</v>
      </c>
      <c r="B346" s="429" t="str">
        <f t="shared" si="26"/>
        <v>VA</v>
      </c>
      <c r="C346" s="429" t="str">
        <f t="shared" si="27"/>
        <v>355</v>
      </c>
      <c r="D346" s="430" t="s">
        <v>1770</v>
      </c>
      <c r="E346" s="428" t="str">
        <f t="shared" si="24"/>
        <v/>
      </c>
      <c r="F346" s="429">
        <v>4832.5843186880002</v>
      </c>
      <c r="G346" s="429">
        <v>4868.2831025699998</v>
      </c>
      <c r="H346" s="429">
        <v>4904.5977924139997</v>
      </c>
      <c r="I346" s="429">
        <v>4941.5283882200001</v>
      </c>
      <c r="J346" s="429">
        <v>4978.4589840259996</v>
      </c>
      <c r="K346" s="429">
        <v>5015.38957983199</v>
      </c>
      <c r="L346" s="429">
        <v>5052.3201756379904</v>
      </c>
      <c r="M346" s="429">
        <v>5089.2507714439898</v>
      </c>
      <c r="N346" s="429">
        <v>5126.1813672499902</v>
      </c>
      <c r="O346" s="429">
        <v>5163.1119630559897</v>
      </c>
      <c r="P346" s="429">
        <v>5200.0425588619901</v>
      </c>
      <c r="Q346" s="429">
        <v>5236.9731546679895</v>
      </c>
      <c r="R346" s="429">
        <v>5273.9037504739899</v>
      </c>
      <c r="T346" s="429">
        <f t="shared" si="28"/>
        <v>5052.5096851647631</v>
      </c>
    </row>
    <row r="347" spans="1:20">
      <c r="A347" s="429" t="str">
        <f t="shared" si="25"/>
        <v>KU</v>
      </c>
      <c r="B347" s="429" t="str">
        <f t="shared" si="26"/>
        <v>KY</v>
      </c>
      <c r="C347" s="429" t="str">
        <f t="shared" si="27"/>
        <v>356</v>
      </c>
      <c r="D347" s="430" t="s">
        <v>1771</v>
      </c>
      <c r="E347" s="428" t="str">
        <f t="shared" si="24"/>
        <v/>
      </c>
      <c r="F347" s="429">
        <v>106426.81708135</v>
      </c>
      <c r="G347" s="429">
        <v>106667.43974262</v>
      </c>
      <c r="H347" s="429">
        <v>106810.28887501</v>
      </c>
      <c r="I347" s="429">
        <v>107105.38978463</v>
      </c>
      <c r="J347" s="429">
        <v>107294.26535984001</v>
      </c>
      <c r="K347" s="429">
        <v>107609.75598189</v>
      </c>
      <c r="L347" s="429">
        <v>107813.25733222</v>
      </c>
      <c r="M347" s="429">
        <v>108072.95684381</v>
      </c>
      <c r="N347" s="429">
        <v>108244.44827594</v>
      </c>
      <c r="O347" s="429">
        <v>108578.35540108</v>
      </c>
      <c r="P347" s="429">
        <v>108845.65720941999</v>
      </c>
      <c r="Q347" s="429">
        <v>109137.94243959</v>
      </c>
      <c r="R347" s="429">
        <v>109122.42610148901</v>
      </c>
      <c r="T347" s="429">
        <f t="shared" si="28"/>
        <v>107825.30772529915</v>
      </c>
    </row>
    <row r="348" spans="1:20">
      <c r="A348" s="429" t="str">
        <f t="shared" si="25"/>
        <v>KU</v>
      </c>
      <c r="B348" s="429" t="str">
        <f t="shared" si="26"/>
        <v>TN</v>
      </c>
      <c r="C348" s="429" t="str">
        <f t="shared" si="27"/>
        <v>356</v>
      </c>
      <c r="D348" s="430" t="s">
        <v>1772</v>
      </c>
      <c r="E348" s="428" t="str">
        <f t="shared" ref="E348:E428" si="31">IF(ISTEXT(MID($D348,SEARCH("FUTURE USE",$D348),3)),"FUTURE USE",IF(ISTEXT(MID($D348,SEARCH("ECR",$D348),3)),"ECR",IF(ISTEXT(MID($D348,SEARCH("ARO",$D348),3)),"ARO",IF(ISTEXT(MID($D348,SEARCH("DSM",$D348),3)),"DSM",""))))</f>
        <v/>
      </c>
      <c r="F348" s="429">
        <v>55.334696485000002</v>
      </c>
      <c r="G348" s="429">
        <v>55.505493133500003</v>
      </c>
      <c r="H348" s="429">
        <v>55.676289781999998</v>
      </c>
      <c r="I348" s="429">
        <v>55.847086430499999</v>
      </c>
      <c r="J348" s="429">
        <v>56.017883079000001</v>
      </c>
      <c r="K348" s="429">
        <v>56.188679727500002</v>
      </c>
      <c r="L348" s="429">
        <v>56.359476376000003</v>
      </c>
      <c r="M348" s="429">
        <v>56.530273024499998</v>
      </c>
      <c r="N348" s="429">
        <v>56.701069672999999</v>
      </c>
      <c r="O348" s="429">
        <v>56.871866321500001</v>
      </c>
      <c r="P348" s="429">
        <v>57.042662970000002</v>
      </c>
      <c r="Q348" s="429">
        <v>57.213459618500004</v>
      </c>
      <c r="R348" s="429">
        <v>57.384256266999998</v>
      </c>
      <c r="T348" s="429">
        <f t="shared" si="28"/>
        <v>56.359476376000003</v>
      </c>
    </row>
    <row r="349" spans="1:20">
      <c r="A349" s="429" t="str">
        <f t="shared" si="25"/>
        <v>KU</v>
      </c>
      <c r="B349" s="429" t="str">
        <f t="shared" si="26"/>
        <v>VA</v>
      </c>
      <c r="C349" s="429" t="str">
        <f t="shared" si="27"/>
        <v>356</v>
      </c>
      <c r="D349" s="430" t="s">
        <v>1773</v>
      </c>
      <c r="E349" s="428" t="str">
        <f t="shared" si="31"/>
        <v/>
      </c>
      <c r="F349" s="429">
        <v>10688.3205869699</v>
      </c>
      <c r="G349" s="429">
        <v>10727.894378666901</v>
      </c>
      <c r="H349" s="429">
        <v>10767.4681703639</v>
      </c>
      <c r="I349" s="429">
        <v>10807.041962060899</v>
      </c>
      <c r="J349" s="429">
        <v>10846.6157537579</v>
      </c>
      <c r="K349" s="429">
        <v>10886.189545454899</v>
      </c>
      <c r="L349" s="429">
        <v>10925.7633371519</v>
      </c>
      <c r="M349" s="429">
        <v>10965.3371288489</v>
      </c>
      <c r="N349" s="429">
        <v>11004.910920545901</v>
      </c>
      <c r="O349" s="429">
        <v>11044.4847122429</v>
      </c>
      <c r="P349" s="429">
        <v>11084.058503939899</v>
      </c>
      <c r="Q349" s="429">
        <v>11123.6322956369</v>
      </c>
      <c r="R349" s="429">
        <v>11163.2060873339</v>
      </c>
      <c r="T349" s="429">
        <f t="shared" si="28"/>
        <v>10925.7633371519</v>
      </c>
    </row>
    <row r="350" spans="1:20">
      <c r="A350" s="429" t="str">
        <f t="shared" si="25"/>
        <v>KU</v>
      </c>
      <c r="B350" s="429" t="str">
        <f t="shared" si="26"/>
        <v>KY</v>
      </c>
      <c r="C350" s="429" t="str">
        <f t="shared" si="27"/>
        <v>357</v>
      </c>
      <c r="D350" s="430" t="s">
        <v>1774</v>
      </c>
      <c r="E350" s="428" t="str">
        <f t="shared" si="31"/>
        <v/>
      </c>
      <c r="F350" s="429">
        <v>258.91230701699902</v>
      </c>
      <c r="G350" s="429">
        <v>259.54805071869902</v>
      </c>
      <c r="H350" s="429">
        <v>260.18379442039901</v>
      </c>
      <c r="I350" s="429">
        <v>260.819538122099</v>
      </c>
      <c r="J350" s="429">
        <v>261.455281823799</v>
      </c>
      <c r="K350" s="429">
        <v>262.09102552549899</v>
      </c>
      <c r="L350" s="429">
        <v>262.72676922719899</v>
      </c>
      <c r="M350" s="429">
        <v>263.36251292889898</v>
      </c>
      <c r="N350" s="429">
        <v>263.99825663059897</v>
      </c>
      <c r="O350" s="429">
        <v>264.63400033229902</v>
      </c>
      <c r="P350" s="429">
        <v>265.26974403399902</v>
      </c>
      <c r="Q350" s="429">
        <v>265.90548773569901</v>
      </c>
      <c r="R350" s="429">
        <v>266.54123143739901</v>
      </c>
      <c r="T350" s="429">
        <f t="shared" si="28"/>
        <v>262.72676922719899</v>
      </c>
    </row>
    <row r="351" spans="1:20">
      <c r="A351" s="429" t="str">
        <f t="shared" si="25"/>
        <v>KU</v>
      </c>
      <c r="B351" s="429" t="str">
        <f t="shared" si="26"/>
        <v>KY</v>
      </c>
      <c r="C351" s="429" t="str">
        <f t="shared" si="27"/>
        <v>358</v>
      </c>
      <c r="D351" s="430" t="s">
        <v>1775</v>
      </c>
      <c r="E351" s="428" t="str">
        <f t="shared" si="31"/>
        <v/>
      </c>
      <c r="F351" s="429">
        <v>961.57587405799904</v>
      </c>
      <c r="G351" s="429">
        <v>962.377289463799</v>
      </c>
      <c r="H351" s="429">
        <v>963.17870486959896</v>
      </c>
      <c r="I351" s="429">
        <v>963.98012027539903</v>
      </c>
      <c r="J351" s="429">
        <v>964.78153568119899</v>
      </c>
      <c r="K351" s="429">
        <v>965.58295108699895</v>
      </c>
      <c r="L351" s="429">
        <v>966.38436649279902</v>
      </c>
      <c r="M351" s="429">
        <v>967.18578189859898</v>
      </c>
      <c r="N351" s="429">
        <v>843.61764032659903</v>
      </c>
      <c r="O351" s="429">
        <v>850.140939916599</v>
      </c>
      <c r="P351" s="429">
        <v>856.79497745259903</v>
      </c>
      <c r="Q351" s="429">
        <v>863.61829460159902</v>
      </c>
      <c r="R351" s="429">
        <v>870.52625155659905</v>
      </c>
      <c r="T351" s="429">
        <f t="shared" si="28"/>
        <v>923.05728674464513</v>
      </c>
    </row>
    <row r="352" spans="1:20">
      <c r="A352" s="429" t="str">
        <f t="shared" ref="A352:A409" si="32">MID($D352,4,2)</f>
        <v>KU</v>
      </c>
      <c r="B352" s="429" t="str">
        <f t="shared" ref="B352:B409" si="33">IF(MID($D352,12,2)="- ","KY",MID($D352,12,2))</f>
        <v>KY</v>
      </c>
      <c r="C352" s="429" t="str">
        <f t="shared" ref="C352:C409" si="34">MID($D352,8,3)</f>
        <v>359</v>
      </c>
      <c r="D352" s="430" t="s">
        <v>1776</v>
      </c>
      <c r="E352" s="428" t="str">
        <f t="shared" si="31"/>
        <v>ARO</v>
      </c>
      <c r="F352" s="429">
        <v>97.589349999999897</v>
      </c>
      <c r="G352" s="429">
        <v>99.1819899999998</v>
      </c>
      <c r="H352" s="429">
        <v>100.77462999999899</v>
      </c>
      <c r="I352" s="429">
        <v>102.367269999999</v>
      </c>
      <c r="J352" s="429">
        <v>103.959909999999</v>
      </c>
      <c r="K352" s="429">
        <v>105.552549999999</v>
      </c>
      <c r="L352" s="429">
        <v>107.145189999999</v>
      </c>
      <c r="M352" s="429">
        <v>108.73782999999899</v>
      </c>
      <c r="N352" s="429">
        <v>110.330469999999</v>
      </c>
      <c r="O352" s="429">
        <v>110.544813931744</v>
      </c>
      <c r="P352" s="429">
        <v>110.75915786349</v>
      </c>
      <c r="Q352" s="429">
        <v>110.97350179523499</v>
      </c>
      <c r="R352" s="429">
        <v>111.18784572698</v>
      </c>
      <c r="T352" s="429">
        <f t="shared" ref="T352:T409" si="35">SUM(F352:R352)/13</f>
        <v>106.08496225518782</v>
      </c>
    </row>
    <row r="353" spans="1:20">
      <c r="A353" s="429" t="str">
        <f t="shared" si="32"/>
        <v>KU</v>
      </c>
      <c r="B353" s="429" t="str">
        <f t="shared" si="33"/>
        <v>KY</v>
      </c>
      <c r="C353" s="429" t="str">
        <f t="shared" si="34"/>
        <v>360</v>
      </c>
      <c r="D353" s="430" t="s">
        <v>1778</v>
      </c>
      <c r="E353" s="428" t="str">
        <f t="shared" si="31"/>
        <v/>
      </c>
      <c r="F353" s="429">
        <v>1430.0660970399999</v>
      </c>
      <c r="G353" s="429">
        <v>1431.1729237439999</v>
      </c>
      <c r="H353" s="429">
        <v>1432.279750448</v>
      </c>
      <c r="I353" s="429">
        <v>1433.386577152</v>
      </c>
      <c r="J353" s="429">
        <v>1434.493403856</v>
      </c>
      <c r="K353" s="429">
        <v>1435.60023056</v>
      </c>
      <c r="L353" s="429">
        <v>1436.707057264</v>
      </c>
      <c r="M353" s="429">
        <v>1437.813883968</v>
      </c>
      <c r="N353" s="429">
        <v>1438.920710672</v>
      </c>
      <c r="O353" s="429">
        <v>1440.0275373760001</v>
      </c>
      <c r="P353" s="429">
        <v>1441.1343640800001</v>
      </c>
      <c r="Q353" s="429">
        <v>1442.2411907840001</v>
      </c>
      <c r="R353" s="429">
        <v>1443.3480174880001</v>
      </c>
      <c r="T353" s="429">
        <f t="shared" si="35"/>
        <v>1436.707057264</v>
      </c>
    </row>
    <row r="354" spans="1:20">
      <c r="A354" s="429" t="str">
        <f t="shared" si="32"/>
        <v>KU</v>
      </c>
      <c r="B354" s="429" t="str">
        <f t="shared" si="33"/>
        <v>TN</v>
      </c>
      <c r="C354" s="429" t="str">
        <f t="shared" si="34"/>
        <v>360</v>
      </c>
      <c r="D354" s="430" t="s">
        <v>1779</v>
      </c>
      <c r="E354" s="428" t="str">
        <f t="shared" si="31"/>
        <v/>
      </c>
      <c r="F354" s="429">
        <v>2.4915628533299898</v>
      </c>
      <c r="G354" s="429">
        <v>2.4929641386629902</v>
      </c>
      <c r="H354" s="429">
        <v>2.49436542399599</v>
      </c>
      <c r="I354" s="429">
        <v>2.4957667093289899</v>
      </c>
      <c r="J354" s="429">
        <v>2.4971679946619898</v>
      </c>
      <c r="K354" s="429">
        <v>2.4985692799949901</v>
      </c>
      <c r="L354" s="429">
        <v>2.49997056532799</v>
      </c>
      <c r="M354" s="429">
        <v>2.5013718506609899</v>
      </c>
      <c r="N354" s="429">
        <v>2.5027731359939902</v>
      </c>
      <c r="O354" s="429">
        <v>2.5041744213269901</v>
      </c>
      <c r="P354" s="429">
        <v>2.50557570665999</v>
      </c>
      <c r="Q354" s="429">
        <v>2.5069769919929898</v>
      </c>
      <c r="R354" s="429">
        <v>2.5083782773259902</v>
      </c>
      <c r="T354" s="429">
        <f t="shared" si="35"/>
        <v>2.49997056532799</v>
      </c>
    </row>
    <row r="355" spans="1:20">
      <c r="A355" s="429" t="str">
        <f t="shared" si="32"/>
        <v>KU</v>
      </c>
      <c r="B355" s="429" t="str">
        <f t="shared" si="33"/>
        <v>VA</v>
      </c>
      <c r="C355" s="429" t="str">
        <f t="shared" si="34"/>
        <v>360</v>
      </c>
      <c r="D355" s="430" t="s">
        <v>1780</v>
      </c>
      <c r="E355" s="428" t="str">
        <f t="shared" si="31"/>
        <v/>
      </c>
      <c r="F355" s="429">
        <v>69.865643093299894</v>
      </c>
      <c r="G355" s="429">
        <v>69.914177402629903</v>
      </c>
      <c r="H355" s="429">
        <v>69.962711711959898</v>
      </c>
      <c r="I355" s="429">
        <v>70.011246021289907</v>
      </c>
      <c r="J355" s="429">
        <v>70.059780330619901</v>
      </c>
      <c r="K355" s="429">
        <v>70.108314639949896</v>
      </c>
      <c r="L355" s="429">
        <v>70.156848949279905</v>
      </c>
      <c r="M355" s="429">
        <v>70.205383258609899</v>
      </c>
      <c r="N355" s="429">
        <v>70.253917567939894</v>
      </c>
      <c r="O355" s="429">
        <v>70.302451877269903</v>
      </c>
      <c r="P355" s="429">
        <v>70.350986186599897</v>
      </c>
      <c r="Q355" s="429">
        <v>70.399520495929806</v>
      </c>
      <c r="R355" s="429">
        <v>70.448054805259801</v>
      </c>
      <c r="T355" s="429">
        <f t="shared" si="35"/>
        <v>70.156848949279876</v>
      </c>
    </row>
    <row r="356" spans="1:20">
      <c r="A356" s="429" t="str">
        <f t="shared" si="32"/>
        <v>KU</v>
      </c>
      <c r="B356" s="429" t="str">
        <f t="shared" si="33"/>
        <v>KY</v>
      </c>
      <c r="C356" s="429" t="str">
        <f t="shared" si="34"/>
        <v>361</v>
      </c>
      <c r="D356" s="430" t="s">
        <v>1781</v>
      </c>
      <c r="E356" s="428" t="str">
        <f t="shared" si="31"/>
        <v/>
      </c>
      <c r="F356" s="429">
        <v>2419.1995558980002</v>
      </c>
      <c r="G356" s="429">
        <v>2380.6422413099999</v>
      </c>
      <c r="H356" s="429">
        <v>2343.5082549980002</v>
      </c>
      <c r="I356" s="429">
        <v>2307.7975930849998</v>
      </c>
      <c r="J356" s="429">
        <v>2273.5102415719998</v>
      </c>
      <c r="K356" s="429">
        <v>2240.646218071</v>
      </c>
      <c r="L356" s="429">
        <v>2221.2325612469999</v>
      </c>
      <c r="M356" s="429">
        <v>2203.2422358670001</v>
      </c>
      <c r="N356" s="429">
        <v>2177.2894147269999</v>
      </c>
      <c r="O356" s="429">
        <v>2172.795858467</v>
      </c>
      <c r="P356" s="429">
        <v>2169.5714830070001</v>
      </c>
      <c r="Q356" s="429">
        <v>2167.6162883070001</v>
      </c>
      <c r="R356" s="429">
        <v>2156.6029609570001</v>
      </c>
      <c r="T356" s="429">
        <f t="shared" si="35"/>
        <v>2248.7426851933074</v>
      </c>
    </row>
    <row r="357" spans="1:20">
      <c r="A357" s="429" t="str">
        <f t="shared" si="32"/>
        <v>KU</v>
      </c>
      <c r="B357" s="429" t="str">
        <f t="shared" si="33"/>
        <v>TN</v>
      </c>
      <c r="C357" s="429" t="str">
        <f t="shared" si="34"/>
        <v>361</v>
      </c>
      <c r="D357" s="430" t="s">
        <v>1782</v>
      </c>
      <c r="E357" s="428" t="str">
        <f t="shared" si="31"/>
        <v/>
      </c>
      <c r="F357" s="429">
        <v>2.5308202458400002</v>
      </c>
      <c r="G357" s="429">
        <v>2.535380270424</v>
      </c>
      <c r="H357" s="429">
        <v>2.5399402950079999</v>
      </c>
      <c r="I357" s="429">
        <v>2.5445003195920002</v>
      </c>
      <c r="J357" s="429">
        <v>2.549060344176</v>
      </c>
      <c r="K357" s="429">
        <v>2.5536203687599999</v>
      </c>
      <c r="L357" s="429">
        <v>2.5581803933440002</v>
      </c>
      <c r="M357" s="429">
        <v>2.562740417928</v>
      </c>
      <c r="N357" s="429">
        <v>2.5673004425119998</v>
      </c>
      <c r="O357" s="429">
        <v>2.5718604670960001</v>
      </c>
      <c r="P357" s="429">
        <v>2.57642049168</v>
      </c>
      <c r="Q357" s="429">
        <v>2.5809805162639998</v>
      </c>
      <c r="R357" s="429">
        <v>2.5855405408480001</v>
      </c>
      <c r="T357" s="429">
        <f t="shared" si="35"/>
        <v>2.5581803933440002</v>
      </c>
    </row>
    <row r="358" spans="1:20">
      <c r="A358" s="429" t="str">
        <f t="shared" si="32"/>
        <v>KU</v>
      </c>
      <c r="B358" s="429" t="str">
        <f t="shared" si="33"/>
        <v>VA</v>
      </c>
      <c r="C358" s="429" t="str">
        <f t="shared" si="34"/>
        <v>361</v>
      </c>
      <c r="D358" s="430" t="s">
        <v>1783</v>
      </c>
      <c r="E358" s="428" t="str">
        <f t="shared" si="31"/>
        <v/>
      </c>
      <c r="F358" s="429">
        <v>152.466256722</v>
      </c>
      <c r="G358" s="429">
        <v>153.85458165079999</v>
      </c>
      <c r="H358" s="429">
        <v>155.24290657959901</v>
      </c>
      <c r="I358" s="429">
        <v>156.631231508399</v>
      </c>
      <c r="J358" s="429">
        <v>158.01955643719899</v>
      </c>
      <c r="K358" s="429">
        <v>159.407881365999</v>
      </c>
      <c r="L358" s="429">
        <v>160.79620629479899</v>
      </c>
      <c r="M358" s="429">
        <v>162.18453122359901</v>
      </c>
      <c r="N358" s="429">
        <v>163.572856152399</v>
      </c>
      <c r="O358" s="429">
        <v>164.96118108119899</v>
      </c>
      <c r="P358" s="429">
        <v>166.349506009999</v>
      </c>
      <c r="Q358" s="429">
        <v>167.73783093879899</v>
      </c>
      <c r="R358" s="429">
        <v>169.12615586759901</v>
      </c>
      <c r="T358" s="429">
        <f t="shared" si="35"/>
        <v>160.79620629479916</v>
      </c>
    </row>
    <row r="359" spans="1:20">
      <c r="A359" s="429" t="str">
        <f t="shared" si="32"/>
        <v>KU</v>
      </c>
      <c r="B359" s="429" t="str">
        <f t="shared" si="33"/>
        <v>KY</v>
      </c>
      <c r="C359" s="429" t="str">
        <f t="shared" si="34"/>
        <v>362</v>
      </c>
      <c r="D359" s="430" t="s">
        <v>1784</v>
      </c>
      <c r="E359" s="428" t="str">
        <f t="shared" si="31"/>
        <v/>
      </c>
      <c r="F359" s="429">
        <v>51190.858403379898</v>
      </c>
      <c r="G359" s="429">
        <v>51462.145884159901</v>
      </c>
      <c r="H359" s="429">
        <v>51804.751142629902</v>
      </c>
      <c r="I359" s="429">
        <v>51945.0410682699</v>
      </c>
      <c r="J359" s="429">
        <v>52135.034651739901</v>
      </c>
      <c r="K359" s="429">
        <v>52518.502091639901</v>
      </c>
      <c r="L359" s="429">
        <v>52851.863077019902</v>
      </c>
      <c r="M359" s="429">
        <v>53227.825474089899</v>
      </c>
      <c r="N359" s="429">
        <v>52615.646412559901</v>
      </c>
      <c r="O359" s="429">
        <v>53032.575936069901</v>
      </c>
      <c r="P359" s="429">
        <v>53371.700333449902</v>
      </c>
      <c r="Q359" s="429">
        <v>53733.417068149902</v>
      </c>
      <c r="R359" s="429">
        <v>54081.241212159897</v>
      </c>
      <c r="T359" s="429">
        <f t="shared" si="35"/>
        <v>52613.123288870665</v>
      </c>
    </row>
    <row r="360" spans="1:20">
      <c r="A360" s="429" t="str">
        <f t="shared" si="32"/>
        <v>KU</v>
      </c>
      <c r="B360" s="429" t="str">
        <f t="shared" si="33"/>
        <v>TN</v>
      </c>
      <c r="C360" s="429" t="str">
        <f t="shared" si="34"/>
        <v>362</v>
      </c>
      <c r="D360" s="430" t="s">
        <v>1785</v>
      </c>
      <c r="E360" s="428" t="str">
        <f t="shared" si="31"/>
        <v/>
      </c>
      <c r="F360" s="429">
        <v>36.489286195630001</v>
      </c>
      <c r="G360" s="429">
        <v>36.616915815193003</v>
      </c>
      <c r="H360" s="429">
        <v>36.744545434755999</v>
      </c>
      <c r="I360" s="429">
        <v>36.872175054319001</v>
      </c>
      <c r="J360" s="429">
        <v>36.999804673881997</v>
      </c>
      <c r="K360" s="429">
        <v>37.127434293444999</v>
      </c>
      <c r="L360" s="429">
        <v>37.255063913008001</v>
      </c>
      <c r="M360" s="429">
        <v>37.382693532570997</v>
      </c>
      <c r="N360" s="429">
        <v>37.510323152133999</v>
      </c>
      <c r="O360" s="429">
        <v>37.637952771697002</v>
      </c>
      <c r="P360" s="429">
        <v>37.765582391259997</v>
      </c>
      <c r="Q360" s="429">
        <v>37.893212010823</v>
      </c>
      <c r="R360" s="429">
        <v>38.020841630386002</v>
      </c>
      <c r="T360" s="429">
        <f t="shared" si="35"/>
        <v>37.255063913008001</v>
      </c>
    </row>
    <row r="361" spans="1:20">
      <c r="A361" s="429" t="str">
        <f t="shared" si="32"/>
        <v>KU</v>
      </c>
      <c r="B361" s="429" t="str">
        <f t="shared" si="33"/>
        <v>VA</v>
      </c>
      <c r="C361" s="429" t="str">
        <f t="shared" si="34"/>
        <v>362</v>
      </c>
      <c r="D361" s="430" t="s">
        <v>1786</v>
      </c>
      <c r="E361" s="428" t="str">
        <f t="shared" si="31"/>
        <v/>
      </c>
      <c r="F361" s="429">
        <v>3375.9671526769998</v>
      </c>
      <c r="G361" s="429">
        <v>3392.2132369446999</v>
      </c>
      <c r="H361" s="429">
        <v>3408.4593212124</v>
      </c>
      <c r="I361" s="429">
        <v>3424.7054054801001</v>
      </c>
      <c r="J361" s="429">
        <v>3440.9514897478002</v>
      </c>
      <c r="K361" s="429">
        <v>3457.1975740154999</v>
      </c>
      <c r="L361" s="429">
        <v>3473.4436582832</v>
      </c>
      <c r="M361" s="429">
        <v>3489.6897425509001</v>
      </c>
      <c r="N361" s="429">
        <v>3505.9358268186002</v>
      </c>
      <c r="O361" s="429">
        <v>3522.1819110862998</v>
      </c>
      <c r="P361" s="429">
        <v>3538.4279953539999</v>
      </c>
      <c r="Q361" s="429">
        <v>3554.6740796217</v>
      </c>
      <c r="R361" s="429">
        <v>3570.9201638894001</v>
      </c>
      <c r="T361" s="429">
        <f t="shared" si="35"/>
        <v>3473.4436582832004</v>
      </c>
    </row>
    <row r="362" spans="1:20">
      <c r="A362" s="429" t="str">
        <f t="shared" si="32"/>
        <v>KU</v>
      </c>
      <c r="B362" s="429" t="str">
        <f t="shared" si="33"/>
        <v>KY</v>
      </c>
      <c r="C362" s="429" t="str">
        <f t="shared" si="34"/>
        <v>364</v>
      </c>
      <c r="D362" s="430" t="s">
        <v>2212</v>
      </c>
      <c r="E362" s="428" t="str">
        <f t="shared" si="31"/>
        <v>ECR</v>
      </c>
      <c r="F362" s="429">
        <v>3.0245991999999902</v>
      </c>
      <c r="G362" s="429">
        <v>3.08363111999999</v>
      </c>
      <c r="H362" s="429">
        <v>3.1426630399999902</v>
      </c>
      <c r="I362" s="429">
        <v>3.20169495999999</v>
      </c>
      <c r="J362" s="429">
        <v>3.2607268799999898</v>
      </c>
      <c r="K362" s="429">
        <v>3.31975879999999</v>
      </c>
      <c r="L362" s="429">
        <v>3.3787907199999898</v>
      </c>
      <c r="M362" s="429">
        <v>3.43782263999999</v>
      </c>
      <c r="N362" s="429">
        <v>3.4968545599999898</v>
      </c>
      <c r="O362" s="429">
        <v>3.5558864799999901</v>
      </c>
      <c r="P362" s="429">
        <v>3.6149183999999899</v>
      </c>
      <c r="Q362" s="429">
        <v>3.6739503199999901</v>
      </c>
      <c r="R362" s="429">
        <v>3.7329822399999899</v>
      </c>
      <c r="T362" s="429">
        <f t="shared" si="35"/>
        <v>3.3787907199999898</v>
      </c>
    </row>
    <row r="363" spans="1:20">
      <c r="A363" s="429" t="str">
        <f t="shared" si="32"/>
        <v>KU</v>
      </c>
      <c r="B363" s="429" t="str">
        <f t="shared" si="33"/>
        <v>KY</v>
      </c>
      <c r="C363" s="429" t="str">
        <f t="shared" si="34"/>
        <v>364</v>
      </c>
      <c r="D363" s="430" t="s">
        <v>1787</v>
      </c>
      <c r="E363" s="428" t="str">
        <f t="shared" si="31"/>
        <v/>
      </c>
      <c r="F363" s="429">
        <v>160487.259868197</v>
      </c>
      <c r="G363" s="429">
        <v>160969.81680827701</v>
      </c>
      <c r="H363" s="429">
        <v>161580.41902786799</v>
      </c>
      <c r="I363" s="429">
        <v>161803.79140288901</v>
      </c>
      <c r="J363" s="429">
        <v>162090.16309320001</v>
      </c>
      <c r="K363" s="429">
        <v>162769.13977703999</v>
      </c>
      <c r="L363" s="429">
        <v>163364.44962501101</v>
      </c>
      <c r="M363" s="429">
        <v>164057.713146472</v>
      </c>
      <c r="N363" s="429">
        <v>164578.61857847299</v>
      </c>
      <c r="O363" s="429">
        <v>165284.77162827301</v>
      </c>
      <c r="P363" s="429">
        <v>165865.00544916399</v>
      </c>
      <c r="Q363" s="429">
        <v>166487.83582059501</v>
      </c>
      <c r="R363" s="429">
        <v>167071.22851319599</v>
      </c>
      <c r="T363" s="429">
        <f t="shared" si="35"/>
        <v>163570.01636451192</v>
      </c>
    </row>
    <row r="364" spans="1:20">
      <c r="A364" s="429" t="str">
        <f t="shared" si="32"/>
        <v>KU</v>
      </c>
      <c r="B364" s="429" t="str">
        <f t="shared" si="33"/>
        <v>TN</v>
      </c>
      <c r="C364" s="429" t="str">
        <f t="shared" si="34"/>
        <v>364</v>
      </c>
      <c r="D364" s="430" t="s">
        <v>1788</v>
      </c>
      <c r="E364" s="428" t="str">
        <f t="shared" si="31"/>
        <v/>
      </c>
      <c r="F364" s="429">
        <v>49.344638709999899</v>
      </c>
      <c r="G364" s="429">
        <v>49.450961580999902</v>
      </c>
      <c r="H364" s="429">
        <v>49.557284451999898</v>
      </c>
      <c r="I364" s="429">
        <v>49.663607322999901</v>
      </c>
      <c r="J364" s="429">
        <v>49.769930193999897</v>
      </c>
      <c r="K364" s="429">
        <v>49.876253064999901</v>
      </c>
      <c r="L364" s="429">
        <v>49.982575935999897</v>
      </c>
      <c r="M364" s="429">
        <v>50.0888988069999</v>
      </c>
      <c r="N364" s="429">
        <v>50.195221677999903</v>
      </c>
      <c r="O364" s="429">
        <v>50.3015445489999</v>
      </c>
      <c r="P364" s="429">
        <v>50.407867419999903</v>
      </c>
      <c r="Q364" s="429">
        <v>50.514190290999899</v>
      </c>
      <c r="R364" s="429">
        <v>50.620513161999902</v>
      </c>
      <c r="T364" s="429">
        <f t="shared" si="35"/>
        <v>49.982575935999904</v>
      </c>
    </row>
    <row r="365" spans="1:20">
      <c r="A365" s="429" t="str">
        <f t="shared" si="32"/>
        <v>KU</v>
      </c>
      <c r="B365" s="429" t="str">
        <f t="shared" si="33"/>
        <v>VA</v>
      </c>
      <c r="C365" s="429" t="str">
        <f t="shared" si="34"/>
        <v>364</v>
      </c>
      <c r="D365" s="430" t="s">
        <v>1789</v>
      </c>
      <c r="E365" s="428" t="str">
        <f t="shared" si="31"/>
        <v/>
      </c>
      <c r="F365" s="429">
        <v>13360.022975428999</v>
      </c>
      <c r="G365" s="429">
        <v>13425.726542132999</v>
      </c>
      <c r="H365" s="429">
        <v>13491.502207606</v>
      </c>
      <c r="I365" s="429">
        <v>13557.355346314</v>
      </c>
      <c r="J365" s="429">
        <v>13623.290862334999</v>
      </c>
      <c r="K365" s="429">
        <v>13689.297292985</v>
      </c>
      <c r="L365" s="429">
        <v>13755.375786719</v>
      </c>
      <c r="M365" s="429">
        <v>13821.522533559901</v>
      </c>
      <c r="N365" s="429">
        <v>13887.7273724529</v>
      </c>
      <c r="O365" s="429">
        <v>13954.005710404899</v>
      </c>
      <c r="P365" s="429">
        <v>14015.797328941901</v>
      </c>
      <c r="Q365" s="429">
        <v>14077.653592393901</v>
      </c>
      <c r="R365" s="429">
        <v>14141.8595465239</v>
      </c>
      <c r="T365" s="429">
        <f t="shared" si="35"/>
        <v>13753.933622907567</v>
      </c>
    </row>
    <row r="366" spans="1:20">
      <c r="A366" s="429" t="str">
        <f t="shared" si="32"/>
        <v>KU</v>
      </c>
      <c r="B366" s="429" t="str">
        <f t="shared" si="33"/>
        <v>KY</v>
      </c>
      <c r="C366" s="429" t="str">
        <f t="shared" si="34"/>
        <v>365</v>
      </c>
      <c r="D366" s="430" t="s">
        <v>2213</v>
      </c>
      <c r="E366" s="428" t="str">
        <f t="shared" si="31"/>
        <v>ECR</v>
      </c>
      <c r="F366" s="429">
        <v>3.1969645225000001</v>
      </c>
      <c r="G366" s="429">
        <v>3.2455399747499998</v>
      </c>
      <c r="H366" s="429">
        <v>3.2941154269999999</v>
      </c>
      <c r="I366" s="429">
        <v>3.3426908792500001</v>
      </c>
      <c r="J366" s="429">
        <v>3.3912663314999998</v>
      </c>
      <c r="K366" s="429">
        <v>3.4398417837499999</v>
      </c>
      <c r="L366" s="429">
        <v>3.4884172360000001</v>
      </c>
      <c r="M366" s="429">
        <v>3.5369926882499998</v>
      </c>
      <c r="N366" s="429">
        <v>3.5855681404999999</v>
      </c>
      <c r="O366" s="429">
        <v>3.6341435927500001</v>
      </c>
      <c r="P366" s="429">
        <v>3.6827190449999998</v>
      </c>
      <c r="Q366" s="429">
        <v>3.73129449725</v>
      </c>
      <c r="R366" s="429">
        <v>3.7798699495000001</v>
      </c>
      <c r="T366" s="429">
        <f t="shared" si="35"/>
        <v>3.4884172360000005</v>
      </c>
    </row>
    <row r="367" spans="1:20">
      <c r="A367" s="429" t="str">
        <f t="shared" si="32"/>
        <v>KU</v>
      </c>
      <c r="B367" s="429" t="str">
        <f t="shared" si="33"/>
        <v>KY</v>
      </c>
      <c r="C367" s="429" t="str">
        <f t="shared" si="34"/>
        <v>365</v>
      </c>
      <c r="D367" s="430" t="s">
        <v>1790</v>
      </c>
      <c r="E367" s="428" t="str">
        <f t="shared" si="31"/>
        <v/>
      </c>
      <c r="F367" s="429">
        <v>110007.480199029</v>
      </c>
      <c r="G367" s="429">
        <v>109986.42145173901</v>
      </c>
      <c r="H367" s="429">
        <v>110378.188538029</v>
      </c>
      <c r="I367" s="429">
        <v>109396.671181989</v>
      </c>
      <c r="J367" s="429">
        <v>108727.057102619</v>
      </c>
      <c r="K367" s="429">
        <v>109298.05167417901</v>
      </c>
      <c r="L367" s="429">
        <v>109639.004679259</v>
      </c>
      <c r="M367" s="429">
        <v>110254.486504299</v>
      </c>
      <c r="N367" s="429">
        <v>110145.313101149</v>
      </c>
      <c r="O367" s="429">
        <v>110825.351183579</v>
      </c>
      <c r="P367" s="429">
        <v>111029.50467604</v>
      </c>
      <c r="Q367" s="429">
        <v>111332.35675349001</v>
      </c>
      <c r="R367" s="429">
        <v>111572.93317999</v>
      </c>
      <c r="T367" s="429">
        <f t="shared" si="35"/>
        <v>110199.44770964538</v>
      </c>
    </row>
    <row r="368" spans="1:20">
      <c r="A368" s="429" t="str">
        <f t="shared" si="32"/>
        <v>KU</v>
      </c>
      <c r="B368" s="429" t="str">
        <f t="shared" si="33"/>
        <v>TN</v>
      </c>
      <c r="C368" s="429" t="str">
        <f t="shared" si="34"/>
        <v>365</v>
      </c>
      <c r="D368" s="430" t="s">
        <v>1791</v>
      </c>
      <c r="E368" s="428" t="str">
        <f t="shared" si="31"/>
        <v/>
      </c>
      <c r="F368" s="429">
        <v>54.203262944999999</v>
      </c>
      <c r="G368" s="429">
        <v>54.299517239499998</v>
      </c>
      <c r="H368" s="429">
        <v>54.395771533999998</v>
      </c>
      <c r="I368" s="429">
        <v>54.492025828499997</v>
      </c>
      <c r="J368" s="429">
        <v>54.588280122999997</v>
      </c>
      <c r="K368" s="429">
        <v>54.684534417499997</v>
      </c>
      <c r="L368" s="429">
        <v>54.780788711999897</v>
      </c>
      <c r="M368" s="429">
        <v>54.877043006499903</v>
      </c>
      <c r="N368" s="429">
        <v>54.973297300999903</v>
      </c>
      <c r="O368" s="429">
        <v>55.069551595499902</v>
      </c>
      <c r="P368" s="429">
        <v>55.165805889999902</v>
      </c>
      <c r="Q368" s="429">
        <v>55.262060184499902</v>
      </c>
      <c r="R368" s="429">
        <v>55.358314478999901</v>
      </c>
      <c r="T368" s="429">
        <f t="shared" si="35"/>
        <v>54.780788711999939</v>
      </c>
    </row>
    <row r="369" spans="1:20">
      <c r="A369" s="429" t="str">
        <f t="shared" si="32"/>
        <v>KU</v>
      </c>
      <c r="B369" s="429" t="str">
        <f t="shared" si="33"/>
        <v>VA</v>
      </c>
      <c r="C369" s="429" t="str">
        <f t="shared" si="34"/>
        <v>365</v>
      </c>
      <c r="D369" s="430" t="s">
        <v>1792</v>
      </c>
      <c r="E369" s="428" t="str">
        <f t="shared" si="31"/>
        <v/>
      </c>
      <c r="F369" s="429">
        <v>8809.7503059200008</v>
      </c>
      <c r="G369" s="429">
        <v>8854.7304284719994</v>
      </c>
      <c r="H369" s="429">
        <v>8908.2857251019996</v>
      </c>
      <c r="I369" s="429">
        <v>8903.2921389780004</v>
      </c>
      <c r="J369" s="429">
        <v>8957.4443072129998</v>
      </c>
      <c r="K369" s="429">
        <v>9013.1269935569999</v>
      </c>
      <c r="L369" s="429">
        <v>9060.9298781359994</v>
      </c>
      <c r="M369" s="429">
        <v>9114.4241739909994</v>
      </c>
      <c r="N369" s="429">
        <v>9173.0452667000009</v>
      </c>
      <c r="O369" s="429">
        <v>9227.3557493000008</v>
      </c>
      <c r="P369" s="429">
        <v>9278.8286945590007</v>
      </c>
      <c r="Q369" s="429">
        <v>9329.5265615820008</v>
      </c>
      <c r="R369" s="429">
        <v>9385.5282280449992</v>
      </c>
      <c r="T369" s="429">
        <f t="shared" si="35"/>
        <v>9078.1744962734629</v>
      </c>
    </row>
    <row r="370" spans="1:20">
      <c r="A370" s="429" t="str">
        <f t="shared" si="32"/>
        <v>KU</v>
      </c>
      <c r="B370" s="429" t="str">
        <f t="shared" si="33"/>
        <v>KY</v>
      </c>
      <c r="C370" s="429" t="str">
        <f t="shared" si="34"/>
        <v>366</v>
      </c>
      <c r="D370" s="430" t="s">
        <v>2214</v>
      </c>
      <c r="E370" s="428" t="str">
        <f t="shared" si="31"/>
        <v>ECR</v>
      </c>
      <c r="F370" s="429">
        <v>20.162708719999902</v>
      </c>
      <c r="G370" s="429">
        <v>20.4933135919999</v>
      </c>
      <c r="H370" s="429">
        <v>20.823918463999899</v>
      </c>
      <c r="I370" s="429">
        <v>21.154523335999901</v>
      </c>
      <c r="J370" s="429">
        <v>21.4851282079999</v>
      </c>
      <c r="K370" s="429">
        <v>21.815733079999902</v>
      </c>
      <c r="L370" s="429">
        <v>22.1463379519999</v>
      </c>
      <c r="M370" s="429">
        <v>22.476942823999899</v>
      </c>
      <c r="N370" s="429">
        <v>22.807547695999901</v>
      </c>
      <c r="O370" s="429">
        <v>23.138152567999899</v>
      </c>
      <c r="P370" s="429">
        <v>23.468757439999901</v>
      </c>
      <c r="Q370" s="429">
        <v>23.7993623119999</v>
      </c>
      <c r="R370" s="429">
        <v>24.129967183999899</v>
      </c>
      <c r="T370" s="429">
        <f t="shared" si="35"/>
        <v>22.1463379519999</v>
      </c>
    </row>
    <row r="371" spans="1:20">
      <c r="A371" s="429" t="str">
        <f t="shared" si="32"/>
        <v>KU</v>
      </c>
      <c r="B371" s="429" t="str">
        <f t="shared" si="33"/>
        <v>KY</v>
      </c>
      <c r="C371" s="429" t="str">
        <f t="shared" si="34"/>
        <v>366</v>
      </c>
      <c r="D371" s="430" t="s">
        <v>1793</v>
      </c>
      <c r="E371" s="428" t="str">
        <f t="shared" si="31"/>
        <v/>
      </c>
      <c r="F371" s="429">
        <v>1004.8818380499901</v>
      </c>
      <c r="G371" s="429">
        <v>1009.17210485499</v>
      </c>
      <c r="H371" s="429">
        <v>1013.46237165999</v>
      </c>
      <c r="I371" s="429">
        <v>1017.75263846499</v>
      </c>
      <c r="J371" s="429">
        <v>1022.04290526999</v>
      </c>
      <c r="K371" s="429">
        <v>1026.333172075</v>
      </c>
      <c r="L371" s="429">
        <v>1030.6234388800001</v>
      </c>
      <c r="M371" s="429">
        <v>1034.913705685</v>
      </c>
      <c r="N371" s="429">
        <v>1039.2039724900001</v>
      </c>
      <c r="O371" s="429">
        <v>1043.4942392949999</v>
      </c>
      <c r="P371" s="429">
        <v>1047.7845061</v>
      </c>
      <c r="Q371" s="429">
        <v>1052.0747729049999</v>
      </c>
      <c r="R371" s="429">
        <v>1056.36503971</v>
      </c>
      <c r="T371" s="429">
        <f t="shared" si="35"/>
        <v>1030.6234388799962</v>
      </c>
    </row>
    <row r="372" spans="1:20">
      <c r="A372" s="429" t="str">
        <f t="shared" si="32"/>
        <v>KU</v>
      </c>
      <c r="B372" s="429" t="str">
        <f t="shared" si="33"/>
        <v>KY</v>
      </c>
      <c r="C372" s="429" t="str">
        <f t="shared" si="34"/>
        <v>367</v>
      </c>
      <c r="D372" s="430" t="s">
        <v>2215</v>
      </c>
      <c r="E372" s="428" t="str">
        <f t="shared" si="31"/>
        <v>ECR</v>
      </c>
      <c r="F372" s="429">
        <v>146.81757624100001</v>
      </c>
      <c r="G372" s="429">
        <v>149.5029598651</v>
      </c>
      <c r="H372" s="429">
        <v>152.18834348920001</v>
      </c>
      <c r="I372" s="429">
        <v>154.87372711329999</v>
      </c>
      <c r="J372" s="429">
        <v>157.5591107374</v>
      </c>
      <c r="K372" s="429">
        <v>160.24449436149999</v>
      </c>
      <c r="L372" s="429">
        <v>162.9298779856</v>
      </c>
      <c r="M372" s="429">
        <v>165.61526160970001</v>
      </c>
      <c r="N372" s="429">
        <v>168.3006452338</v>
      </c>
      <c r="O372" s="429">
        <v>170.98602885790001</v>
      </c>
      <c r="P372" s="429">
        <v>173.67141248199999</v>
      </c>
      <c r="Q372" s="429">
        <v>176.35679610610001</v>
      </c>
      <c r="R372" s="429">
        <v>179.04217973019999</v>
      </c>
      <c r="T372" s="429">
        <f t="shared" si="35"/>
        <v>162.9298779856</v>
      </c>
    </row>
    <row r="373" spans="1:20">
      <c r="A373" s="429" t="str">
        <f t="shared" si="32"/>
        <v>KU</v>
      </c>
      <c r="B373" s="429" t="str">
        <f t="shared" si="33"/>
        <v>KY</v>
      </c>
      <c r="C373" s="429" t="str">
        <f t="shared" si="34"/>
        <v>367</v>
      </c>
      <c r="D373" s="430" t="s">
        <v>1794</v>
      </c>
      <c r="E373" s="428" t="str">
        <f t="shared" si="31"/>
        <v/>
      </c>
      <c r="F373" s="429">
        <v>52190.038052750002</v>
      </c>
      <c r="G373" s="429">
        <v>52566.565199329998</v>
      </c>
      <c r="H373" s="429">
        <v>52971.507126290002</v>
      </c>
      <c r="I373" s="429">
        <v>53359.647748919997</v>
      </c>
      <c r="J373" s="429">
        <v>53749.497698090003</v>
      </c>
      <c r="K373" s="429">
        <v>54155.76113572</v>
      </c>
      <c r="L373" s="429">
        <v>54557.94897017</v>
      </c>
      <c r="M373" s="429">
        <v>54969.233936080003</v>
      </c>
      <c r="N373" s="429">
        <v>55288.524964600001</v>
      </c>
      <c r="O373" s="429">
        <v>55695.704102000003</v>
      </c>
      <c r="P373" s="429">
        <v>56114.303635730001</v>
      </c>
      <c r="Q373" s="429">
        <v>56539.034629139998</v>
      </c>
      <c r="R373" s="429">
        <v>56956.287825729902</v>
      </c>
      <c r="T373" s="429">
        <f t="shared" si="35"/>
        <v>54547.235001888468</v>
      </c>
    </row>
    <row r="374" spans="1:20">
      <c r="A374" s="429" t="str">
        <f t="shared" si="32"/>
        <v>KU</v>
      </c>
      <c r="B374" s="429" t="str">
        <f t="shared" si="33"/>
        <v>VA</v>
      </c>
      <c r="C374" s="429" t="str">
        <f t="shared" si="34"/>
        <v>367</v>
      </c>
      <c r="D374" s="430" t="s">
        <v>1795</v>
      </c>
      <c r="E374" s="428" t="str">
        <f t="shared" si="31"/>
        <v/>
      </c>
      <c r="F374" s="429">
        <v>782.70053864750003</v>
      </c>
      <c r="G374" s="429">
        <v>790.34100391770005</v>
      </c>
      <c r="H374" s="429">
        <v>798.06515575620006</v>
      </c>
      <c r="I374" s="429">
        <v>801.31161483070002</v>
      </c>
      <c r="J374" s="429">
        <v>809.23808285999996</v>
      </c>
      <c r="K374" s="429">
        <v>819.54742697280005</v>
      </c>
      <c r="L374" s="429">
        <v>827.67674502260002</v>
      </c>
      <c r="M374" s="429">
        <v>838.17981820279999</v>
      </c>
      <c r="N374" s="429">
        <v>848.7317482139</v>
      </c>
      <c r="O374" s="429">
        <v>859.36217317800003</v>
      </c>
      <c r="P374" s="429">
        <v>865.54821322949999</v>
      </c>
      <c r="Q374" s="429">
        <v>874.10885964850002</v>
      </c>
      <c r="R374" s="429">
        <v>879.34333833870005</v>
      </c>
      <c r="T374" s="429">
        <f t="shared" si="35"/>
        <v>830.31959375529993</v>
      </c>
    </row>
    <row r="375" spans="1:20">
      <c r="A375" s="429" t="str">
        <f t="shared" si="32"/>
        <v>KU</v>
      </c>
      <c r="B375" s="429" t="str">
        <f t="shared" si="33"/>
        <v>KY</v>
      </c>
      <c r="C375" s="429" t="str">
        <f t="shared" si="34"/>
        <v>368</v>
      </c>
      <c r="D375" s="430" t="s">
        <v>1796</v>
      </c>
      <c r="E375" s="428" t="str">
        <f t="shared" si="31"/>
        <v/>
      </c>
      <c r="F375" s="429">
        <v>144835.07553205901</v>
      </c>
      <c r="G375" s="429">
        <v>144931.608709739</v>
      </c>
      <c r="H375" s="429">
        <v>145247.11657413901</v>
      </c>
      <c r="I375" s="429">
        <v>144894.02628285901</v>
      </c>
      <c r="J375" s="429">
        <v>144695.61494191899</v>
      </c>
      <c r="K375" s="429">
        <v>145126.26458453899</v>
      </c>
      <c r="L375" s="429">
        <v>145380.334767569</v>
      </c>
      <c r="M375" s="429">
        <v>145775.36524721899</v>
      </c>
      <c r="N375" s="429">
        <v>145841.66497076</v>
      </c>
      <c r="O375" s="429">
        <v>146286.69969804</v>
      </c>
      <c r="P375" s="429">
        <v>146478.32615954001</v>
      </c>
      <c r="Q375" s="429">
        <v>146740.13721009999</v>
      </c>
      <c r="R375" s="429">
        <v>146950.33564345</v>
      </c>
      <c r="T375" s="429">
        <f t="shared" si="35"/>
        <v>145629.42848630247</v>
      </c>
    </row>
    <row r="376" spans="1:20">
      <c r="A376" s="429" t="str">
        <f t="shared" si="32"/>
        <v>KU</v>
      </c>
      <c r="B376" s="429" t="str">
        <f t="shared" si="33"/>
        <v>TN</v>
      </c>
      <c r="C376" s="429" t="str">
        <f t="shared" si="34"/>
        <v>368</v>
      </c>
      <c r="D376" s="430" t="s">
        <v>1797</v>
      </c>
      <c r="E376" s="428" t="str">
        <f t="shared" si="31"/>
        <v/>
      </c>
      <c r="F376" s="429">
        <v>5.2735243433299903</v>
      </c>
      <c r="G376" s="429">
        <v>5.2781757776629901</v>
      </c>
      <c r="H376" s="429">
        <v>5.2828272119959898</v>
      </c>
      <c r="I376" s="429">
        <v>5.2874786463289896</v>
      </c>
      <c r="J376" s="429">
        <v>5.2921300806619902</v>
      </c>
      <c r="K376" s="429">
        <v>5.2967815149949899</v>
      </c>
      <c r="L376" s="429">
        <v>5.3014329493279897</v>
      </c>
      <c r="M376" s="429">
        <v>5.3060843836609903</v>
      </c>
      <c r="N376" s="429">
        <v>5.3107358179939901</v>
      </c>
      <c r="O376" s="429">
        <v>5.3153872523269898</v>
      </c>
      <c r="P376" s="429">
        <v>5.3200386866599896</v>
      </c>
      <c r="Q376" s="429">
        <v>5.3246901209929902</v>
      </c>
      <c r="R376" s="429">
        <v>5.32934155532599</v>
      </c>
      <c r="T376" s="429">
        <f t="shared" si="35"/>
        <v>5.3014329493279897</v>
      </c>
    </row>
    <row r="377" spans="1:20">
      <c r="A377" s="429" t="str">
        <f t="shared" si="32"/>
        <v>KU</v>
      </c>
      <c r="B377" s="429" t="str">
        <f t="shared" si="33"/>
        <v>VA</v>
      </c>
      <c r="C377" s="429" t="str">
        <f t="shared" si="34"/>
        <v>368</v>
      </c>
      <c r="D377" s="430" t="s">
        <v>1798</v>
      </c>
      <c r="E377" s="428" t="str">
        <f t="shared" si="31"/>
        <v/>
      </c>
      <c r="F377" s="429">
        <v>5592.0144231369004</v>
      </c>
      <c r="G377" s="429">
        <v>5608.6478543578996</v>
      </c>
      <c r="H377" s="429">
        <v>5625.2892740115003</v>
      </c>
      <c r="I377" s="429">
        <v>5641.9381222176999</v>
      </c>
      <c r="J377" s="429">
        <v>5656.3134896161</v>
      </c>
      <c r="K377" s="429">
        <v>5670.6958843648999</v>
      </c>
      <c r="L377" s="429">
        <v>5685.0879692679</v>
      </c>
      <c r="M377" s="429">
        <v>5701.7704332429003</v>
      </c>
      <c r="N377" s="429">
        <v>5718.4572617643998</v>
      </c>
      <c r="O377" s="429">
        <v>5735.1501276084</v>
      </c>
      <c r="P377" s="429">
        <v>5751.8516646544003</v>
      </c>
      <c r="Q377" s="429">
        <v>5766.2896328922998</v>
      </c>
      <c r="R377" s="429">
        <v>5780.7336314397999</v>
      </c>
      <c r="T377" s="429">
        <f t="shared" si="35"/>
        <v>5687.2492129673155</v>
      </c>
    </row>
    <row r="378" spans="1:20">
      <c r="A378" s="429" t="str">
        <f t="shared" si="32"/>
        <v>KU</v>
      </c>
      <c r="B378" s="429" t="str">
        <f t="shared" si="33"/>
        <v>KY</v>
      </c>
      <c r="C378" s="429" t="str">
        <f t="shared" si="34"/>
        <v>369</v>
      </c>
      <c r="D378" s="430" t="s">
        <v>1799</v>
      </c>
      <c r="E378" s="428" t="str">
        <f t="shared" si="31"/>
        <v/>
      </c>
      <c r="F378" s="429">
        <v>62120.297093699999</v>
      </c>
      <c r="G378" s="429">
        <v>62267.880757070001</v>
      </c>
      <c r="H378" s="429">
        <v>62415.464420440003</v>
      </c>
      <c r="I378" s="429">
        <v>62563.048083809997</v>
      </c>
      <c r="J378" s="429">
        <v>62710.631747179999</v>
      </c>
      <c r="K378" s="429">
        <v>62858.215410550001</v>
      </c>
      <c r="L378" s="429">
        <v>63005.799073920003</v>
      </c>
      <c r="M378" s="429">
        <v>63153.382737289998</v>
      </c>
      <c r="N378" s="429">
        <v>63301.004433959999</v>
      </c>
      <c r="O378" s="429">
        <v>63448.66416403</v>
      </c>
      <c r="P378" s="429">
        <v>63596.323894100002</v>
      </c>
      <c r="Q378" s="429">
        <v>63743.983624170003</v>
      </c>
      <c r="R378" s="429">
        <v>63891.643354239997</v>
      </c>
      <c r="T378" s="429">
        <f t="shared" si="35"/>
        <v>63005.872214958457</v>
      </c>
    </row>
    <row r="379" spans="1:20">
      <c r="A379" s="429" t="str">
        <f t="shared" si="32"/>
        <v>KU</v>
      </c>
      <c r="B379" s="429" t="str">
        <f t="shared" si="33"/>
        <v>TN</v>
      </c>
      <c r="C379" s="429" t="str">
        <f t="shared" si="34"/>
        <v>369</v>
      </c>
      <c r="D379" s="430" t="s">
        <v>1800</v>
      </c>
      <c r="E379" s="428" t="str">
        <f t="shared" si="31"/>
        <v/>
      </c>
      <c r="F379" s="429">
        <v>1.1547085883299899</v>
      </c>
      <c r="G379" s="429">
        <v>1.15505444716299</v>
      </c>
      <c r="H379" s="429">
        <v>1.1554003059959901</v>
      </c>
      <c r="I379" s="429">
        <v>1.15574616482899</v>
      </c>
      <c r="J379" s="429">
        <v>1.15609202366199</v>
      </c>
      <c r="K379" s="429">
        <v>1.1564378824949899</v>
      </c>
      <c r="L379" s="429">
        <v>1.15678374132799</v>
      </c>
      <c r="M379" s="429">
        <v>1.1571296001609901</v>
      </c>
      <c r="N379" s="429">
        <v>1.15747545899399</v>
      </c>
      <c r="O379" s="429">
        <v>1.15782131782699</v>
      </c>
      <c r="P379" s="429">
        <v>1.1581671766599899</v>
      </c>
      <c r="Q379" s="429">
        <v>1.15851303549299</v>
      </c>
      <c r="R379" s="429">
        <v>1.1588588943259901</v>
      </c>
      <c r="T379" s="429">
        <f t="shared" si="35"/>
        <v>1.15678374132799</v>
      </c>
    </row>
    <row r="380" spans="1:20">
      <c r="A380" s="429" t="str">
        <f t="shared" si="32"/>
        <v>KU</v>
      </c>
      <c r="B380" s="429" t="str">
        <f t="shared" si="33"/>
        <v>VA</v>
      </c>
      <c r="C380" s="429" t="str">
        <f t="shared" si="34"/>
        <v>369</v>
      </c>
      <c r="D380" s="430" t="s">
        <v>1801</v>
      </c>
      <c r="E380" s="428" t="str">
        <f t="shared" si="31"/>
        <v/>
      </c>
      <c r="F380" s="429">
        <v>4392.3588972899997</v>
      </c>
      <c r="G380" s="429">
        <v>4400.3091510189997</v>
      </c>
      <c r="H380" s="429">
        <v>4408.2594047479997</v>
      </c>
      <c r="I380" s="429">
        <v>4416.2096584769997</v>
      </c>
      <c r="J380" s="429">
        <v>4424.1599122059997</v>
      </c>
      <c r="K380" s="429">
        <v>4432.1101659349997</v>
      </c>
      <c r="L380" s="429">
        <v>4440.0604196639997</v>
      </c>
      <c r="M380" s="429">
        <v>4448.0106733929997</v>
      </c>
      <c r="N380" s="429">
        <v>4455.9609271219997</v>
      </c>
      <c r="O380" s="429">
        <v>4463.9111808509997</v>
      </c>
      <c r="P380" s="429">
        <v>4471.8614345799997</v>
      </c>
      <c r="Q380" s="429">
        <v>4479.8116883089997</v>
      </c>
      <c r="R380" s="429">
        <v>4487.7619420379997</v>
      </c>
      <c r="T380" s="429">
        <f t="shared" si="35"/>
        <v>4440.0604196639997</v>
      </c>
    </row>
    <row r="381" spans="1:20">
      <c r="A381" s="429" t="str">
        <f t="shared" si="32"/>
        <v>KU</v>
      </c>
      <c r="B381" s="429" t="str">
        <f t="shared" si="33"/>
        <v>KY</v>
      </c>
      <c r="C381" s="429" t="str">
        <f t="shared" si="34"/>
        <v>370</v>
      </c>
      <c r="D381" s="430" t="s">
        <v>1802</v>
      </c>
      <c r="E381" s="428" t="str">
        <f t="shared" si="31"/>
        <v/>
      </c>
      <c r="F381" s="429">
        <v>40088.995520655997</v>
      </c>
      <c r="G381" s="429">
        <v>40321.999375813</v>
      </c>
      <c r="H381" s="429">
        <v>40555.429293169997</v>
      </c>
      <c r="I381" s="429">
        <v>40789.272171226999</v>
      </c>
      <c r="J381" s="429">
        <v>41023.533322383999</v>
      </c>
      <c r="K381" s="429">
        <v>41258.154336241001</v>
      </c>
      <c r="L381" s="429">
        <v>41493.123256398001</v>
      </c>
      <c r="M381" s="429">
        <v>41728.514293355001</v>
      </c>
      <c r="N381" s="429">
        <v>41965.389281012001</v>
      </c>
      <c r="O381" s="429">
        <v>42203.621852468998</v>
      </c>
      <c r="P381" s="429">
        <v>42442.290672526004</v>
      </c>
      <c r="Q381" s="429">
        <v>42681.452880183002</v>
      </c>
      <c r="R381" s="429">
        <v>42920.982530039997</v>
      </c>
      <c r="T381" s="429">
        <f t="shared" si="35"/>
        <v>41497.904521959535</v>
      </c>
    </row>
    <row r="382" spans="1:20">
      <c r="A382" s="429" t="str">
        <f t="shared" si="32"/>
        <v>KU</v>
      </c>
      <c r="B382" s="429" t="str">
        <f t="shared" si="33"/>
        <v>KY</v>
      </c>
      <c r="C382" s="429" t="str">
        <f t="shared" si="34"/>
        <v>370</v>
      </c>
      <c r="D382" s="430" t="s">
        <v>2678</v>
      </c>
      <c r="E382" s="428" t="str">
        <f t="shared" si="31"/>
        <v>DSM</v>
      </c>
      <c r="F382" s="429">
        <v>192.22854967000001</v>
      </c>
      <c r="G382" s="429">
        <v>199.82824563700001</v>
      </c>
      <c r="H382" s="429">
        <v>207.42794160400001</v>
      </c>
      <c r="I382" s="429">
        <v>215.02763757100001</v>
      </c>
      <c r="J382" s="429">
        <v>222.62733353799999</v>
      </c>
      <c r="K382" s="429">
        <v>230.22702950499999</v>
      </c>
      <c r="L382" s="429">
        <v>237.82672547199999</v>
      </c>
      <c r="M382" s="429">
        <v>245.42642143899999</v>
      </c>
      <c r="N382" s="429">
        <v>253.026117406</v>
      </c>
      <c r="O382" s="429">
        <v>260.62581337300003</v>
      </c>
      <c r="P382" s="429">
        <v>268.22550933999997</v>
      </c>
      <c r="Q382" s="429">
        <v>275.82520530699998</v>
      </c>
      <c r="R382" s="429">
        <v>283.42490127399998</v>
      </c>
      <c r="T382" s="429">
        <f t="shared" si="35"/>
        <v>237.82672547200002</v>
      </c>
    </row>
    <row r="383" spans="1:20">
      <c r="A383" s="429" t="str">
        <f t="shared" si="32"/>
        <v>KU</v>
      </c>
      <c r="B383" s="429" t="str">
        <f t="shared" si="33"/>
        <v>TN</v>
      </c>
      <c r="C383" s="429" t="str">
        <f t="shared" si="34"/>
        <v>370</v>
      </c>
      <c r="D383" s="430" t="s">
        <v>1803</v>
      </c>
      <c r="E383" s="428" t="str">
        <f t="shared" si="31"/>
        <v/>
      </c>
      <c r="F383" s="429">
        <v>0.66608785749999999</v>
      </c>
      <c r="G383" s="429">
        <v>0.68090464325</v>
      </c>
      <c r="H383" s="429">
        <v>0.695721429</v>
      </c>
      <c r="I383" s="429">
        <v>0.71053821475000001</v>
      </c>
      <c r="J383" s="429">
        <v>0.72535500050000001</v>
      </c>
      <c r="K383" s="429">
        <v>0.74017178625000002</v>
      </c>
      <c r="L383" s="429">
        <v>0.75498857200000002</v>
      </c>
      <c r="M383" s="429">
        <v>0.76980535775000003</v>
      </c>
      <c r="N383" s="429">
        <v>0.78462214350000004</v>
      </c>
      <c r="O383" s="429">
        <v>0.79943892925000004</v>
      </c>
      <c r="P383" s="429">
        <v>0.81425571500000005</v>
      </c>
      <c r="Q383" s="429">
        <v>0.82907250075000005</v>
      </c>
      <c r="R383" s="429">
        <v>0.84388928649999995</v>
      </c>
      <c r="T383" s="429">
        <f t="shared" si="35"/>
        <v>0.75498857200000002</v>
      </c>
    </row>
    <row r="384" spans="1:20">
      <c r="A384" s="429" t="str">
        <f t="shared" si="32"/>
        <v>KU</v>
      </c>
      <c r="B384" s="429" t="str">
        <f t="shared" si="33"/>
        <v>VA</v>
      </c>
      <c r="C384" s="429" t="str">
        <f t="shared" si="34"/>
        <v>370</v>
      </c>
      <c r="D384" s="430" t="s">
        <v>1804</v>
      </c>
      <c r="E384" s="428" t="str">
        <f t="shared" si="31"/>
        <v/>
      </c>
      <c r="F384" s="429">
        <v>2745.6752121699901</v>
      </c>
      <c r="G384" s="429">
        <v>2757.2867763869899</v>
      </c>
      <c r="H384" s="429">
        <v>2768.8983406039902</v>
      </c>
      <c r="I384" s="429">
        <v>2780.50990482099</v>
      </c>
      <c r="J384" s="429">
        <v>2792.1214690379902</v>
      </c>
      <c r="K384" s="429">
        <v>2803.73303325499</v>
      </c>
      <c r="L384" s="429">
        <v>2815.3445974719898</v>
      </c>
      <c r="M384" s="429">
        <v>2826.9561616889901</v>
      </c>
      <c r="N384" s="429">
        <v>2838.5677259059898</v>
      </c>
      <c r="O384" s="429">
        <v>2850.1792901229901</v>
      </c>
      <c r="P384" s="429">
        <v>2861.7908543399899</v>
      </c>
      <c r="Q384" s="429">
        <v>2873.4024185569901</v>
      </c>
      <c r="R384" s="429">
        <v>2885.0139827739899</v>
      </c>
      <c r="T384" s="429">
        <f t="shared" si="35"/>
        <v>2815.3445974719898</v>
      </c>
    </row>
    <row r="385" spans="1:20">
      <c r="A385" s="429" t="str">
        <f t="shared" si="32"/>
        <v>KU</v>
      </c>
      <c r="B385" s="429" t="str">
        <f t="shared" si="33"/>
        <v>KY</v>
      </c>
      <c r="C385" s="429" t="str">
        <f t="shared" si="34"/>
        <v>371</v>
      </c>
      <c r="D385" s="430" t="s">
        <v>1805</v>
      </c>
      <c r="E385" s="428" t="str">
        <f t="shared" si="31"/>
        <v/>
      </c>
      <c r="F385" s="429">
        <v>8.5563340000000002E-2</v>
      </c>
      <c r="G385" s="429">
        <v>8.9245673999999997E-2</v>
      </c>
      <c r="H385" s="429">
        <v>9.2928008000000006E-2</v>
      </c>
      <c r="I385" s="429">
        <v>9.6610342000000099E-2</v>
      </c>
      <c r="J385" s="429">
        <v>0.100292676</v>
      </c>
      <c r="K385" s="429">
        <v>0.10397501000000001</v>
      </c>
      <c r="L385" s="429">
        <v>0.107657344</v>
      </c>
      <c r="M385" s="429">
        <v>0.111339678</v>
      </c>
      <c r="N385" s="429">
        <v>0.11502201200000001</v>
      </c>
      <c r="O385" s="429">
        <v>0.118704346</v>
      </c>
      <c r="P385" s="429">
        <v>0.12238668</v>
      </c>
      <c r="Q385" s="429">
        <v>0.12606901400000001</v>
      </c>
      <c r="R385" s="429">
        <v>0.12975134799999999</v>
      </c>
      <c r="T385" s="429">
        <f t="shared" si="35"/>
        <v>0.10765734400000002</v>
      </c>
    </row>
    <row r="386" spans="1:20">
      <c r="A386" s="429" t="str">
        <f t="shared" si="32"/>
        <v>KU</v>
      </c>
      <c r="B386" s="429" t="str">
        <f t="shared" si="33"/>
        <v>KY</v>
      </c>
      <c r="C386" s="429" t="str">
        <f t="shared" si="34"/>
        <v>371</v>
      </c>
      <c r="D386" s="430" t="s">
        <v>2674</v>
      </c>
      <c r="E386" s="428" t="str">
        <f t="shared" si="31"/>
        <v/>
      </c>
      <c r="F386" s="429">
        <v>8.8253028737000001</v>
      </c>
      <c r="G386" s="429">
        <v>9.9959779566999991</v>
      </c>
      <c r="H386" s="429">
        <v>11.1666530397</v>
      </c>
      <c r="I386" s="429">
        <v>12.337328122700001</v>
      </c>
      <c r="J386" s="429">
        <v>13.5080032057</v>
      </c>
      <c r="K386" s="429">
        <v>14.6786782887</v>
      </c>
      <c r="L386" s="429">
        <v>15.849353371699999</v>
      </c>
      <c r="M386" s="429">
        <v>17.0200284547</v>
      </c>
      <c r="N386" s="429">
        <v>18.190703537699999</v>
      </c>
      <c r="O386" s="429">
        <v>19.361378620699998</v>
      </c>
      <c r="P386" s="429">
        <v>20.532053703700001</v>
      </c>
      <c r="Q386" s="429">
        <v>21.7027287867</v>
      </c>
      <c r="R386" s="429">
        <v>22.873403869699999</v>
      </c>
      <c r="T386" s="429">
        <f t="shared" ref="T386" si="36">SUM(F386:R386)/13</f>
        <v>15.849353371699998</v>
      </c>
    </row>
    <row r="387" spans="1:20">
      <c r="A387" s="429" t="str">
        <f t="shared" si="32"/>
        <v>KU</v>
      </c>
      <c r="B387" s="429" t="str">
        <f t="shared" si="33"/>
        <v>KY</v>
      </c>
      <c r="C387" s="429" t="str">
        <f t="shared" si="34"/>
        <v>373</v>
      </c>
      <c r="D387" s="430" t="s">
        <v>1806</v>
      </c>
      <c r="E387" s="428" t="str">
        <f t="shared" si="31"/>
        <v/>
      </c>
      <c r="F387" s="429">
        <v>44298.66815207</v>
      </c>
      <c r="G387" s="429">
        <v>44309.755952849999</v>
      </c>
      <c r="H387" s="429">
        <v>44560.43324703</v>
      </c>
      <c r="I387" s="429">
        <v>44099.106602630003</v>
      </c>
      <c r="J387" s="429">
        <v>43794.970641970001</v>
      </c>
      <c r="K387" s="429">
        <v>44157.911222850002</v>
      </c>
      <c r="L387" s="429">
        <v>44332.451889670003</v>
      </c>
      <c r="M387" s="429">
        <v>44662.021097359997</v>
      </c>
      <c r="N387" s="429">
        <v>44639.167443849998</v>
      </c>
      <c r="O387" s="429">
        <v>45013.223793520003</v>
      </c>
      <c r="P387" s="429">
        <v>45124.637104729998</v>
      </c>
      <c r="Q387" s="429">
        <v>45306.610082419997</v>
      </c>
      <c r="R387" s="429">
        <v>45438.226956259998</v>
      </c>
      <c r="T387" s="429">
        <f t="shared" si="35"/>
        <v>44595.16801440077</v>
      </c>
    </row>
    <row r="388" spans="1:20">
      <c r="A388" s="429" t="str">
        <f t="shared" si="32"/>
        <v>KU</v>
      </c>
      <c r="B388" s="429" t="str">
        <f t="shared" si="33"/>
        <v>VA</v>
      </c>
      <c r="C388" s="429" t="str">
        <f t="shared" si="34"/>
        <v>373</v>
      </c>
      <c r="D388" s="430" t="s">
        <v>1807</v>
      </c>
      <c r="E388" s="428" t="str">
        <f t="shared" si="31"/>
        <v/>
      </c>
      <c r="F388" s="429">
        <v>1872.4386097047</v>
      </c>
      <c r="G388" s="429">
        <v>1885.4603838585999</v>
      </c>
      <c r="H388" s="429">
        <v>1893.9788546937</v>
      </c>
      <c r="I388" s="429">
        <v>1904.8411198802</v>
      </c>
      <c r="J388" s="429">
        <v>1913.4914849127999</v>
      </c>
      <c r="K388" s="429">
        <v>1926.7727521439001</v>
      </c>
      <c r="L388" s="429">
        <v>1937.8302184075999</v>
      </c>
      <c r="M388" s="429">
        <v>1948.9319777926</v>
      </c>
      <c r="N388" s="429">
        <v>1962.3499271559999</v>
      </c>
      <c r="O388" s="429">
        <v>1973.5472411229</v>
      </c>
      <c r="P388" s="429">
        <v>1984.8132576396999</v>
      </c>
      <c r="Q388" s="429">
        <v>1996.1479767269</v>
      </c>
      <c r="R388" s="429">
        <v>2005.2732569575001</v>
      </c>
      <c r="T388" s="429">
        <f t="shared" si="35"/>
        <v>1938.9136200767002</v>
      </c>
    </row>
    <row r="389" spans="1:20">
      <c r="A389" s="429" t="str">
        <f t="shared" si="32"/>
        <v>KU</v>
      </c>
      <c r="B389" s="429" t="str">
        <f t="shared" si="33"/>
        <v>KY</v>
      </c>
      <c r="C389" s="429" t="str">
        <f t="shared" si="34"/>
        <v>374</v>
      </c>
      <c r="D389" s="430" t="s">
        <v>1808</v>
      </c>
      <c r="E389" s="428" t="str">
        <f t="shared" si="31"/>
        <v>ARO</v>
      </c>
      <c r="F389" s="429">
        <v>126.69125</v>
      </c>
      <c r="G389" s="429">
        <v>127.55944</v>
      </c>
      <c r="H389" s="429">
        <v>128.42762999999999</v>
      </c>
      <c r="I389" s="429">
        <v>129.29581999999999</v>
      </c>
      <c r="J389" s="429">
        <v>130.16400999999999</v>
      </c>
      <c r="K389" s="429">
        <v>131.03219999999999</v>
      </c>
      <c r="L389" s="429">
        <v>131.90038999999999</v>
      </c>
      <c r="M389" s="429">
        <v>132.76857999999999</v>
      </c>
      <c r="N389" s="429">
        <v>133.63676999999899</v>
      </c>
      <c r="O389" s="429">
        <v>133.75361452110999</v>
      </c>
      <c r="P389" s="429">
        <v>133.870459042221</v>
      </c>
      <c r="Q389" s="429">
        <v>133.98730356333201</v>
      </c>
      <c r="R389" s="429">
        <v>134.10414808444199</v>
      </c>
      <c r="T389" s="429">
        <f t="shared" si="35"/>
        <v>131.32243193931569</v>
      </c>
    </row>
    <row r="390" spans="1:20">
      <c r="A390" s="429" t="str">
        <f t="shared" si="32"/>
        <v>KU</v>
      </c>
      <c r="B390" s="429" t="str">
        <f t="shared" si="33"/>
        <v>KY</v>
      </c>
      <c r="C390" s="429" t="str">
        <f t="shared" si="34"/>
        <v>390</v>
      </c>
      <c r="D390" s="430" t="s">
        <v>1811</v>
      </c>
      <c r="E390" s="428" t="str">
        <f t="shared" si="31"/>
        <v/>
      </c>
      <c r="F390" s="429">
        <v>799.89783396405903</v>
      </c>
      <c r="G390" s="429">
        <v>805.81448623163499</v>
      </c>
      <c r="H390" s="429">
        <v>811.73113849921106</v>
      </c>
      <c r="I390" s="429">
        <v>817.64779076678701</v>
      </c>
      <c r="J390" s="429">
        <v>823.56444303436297</v>
      </c>
      <c r="K390" s="429">
        <v>829.48109530193904</v>
      </c>
      <c r="L390" s="429">
        <v>835.39774756951499</v>
      </c>
      <c r="M390" s="429">
        <v>841.31439983709095</v>
      </c>
      <c r="N390" s="429">
        <v>847.23105210466701</v>
      </c>
      <c r="O390" s="429">
        <v>853.14770437224297</v>
      </c>
      <c r="P390" s="429">
        <v>859.06435663981904</v>
      </c>
      <c r="Q390" s="429">
        <v>864.98100890739499</v>
      </c>
      <c r="R390" s="429">
        <v>870.89766117497095</v>
      </c>
      <c r="T390" s="429">
        <f t="shared" si="35"/>
        <v>835.39774756951488</v>
      </c>
    </row>
    <row r="391" spans="1:20">
      <c r="A391" s="429" t="str">
        <f t="shared" si="32"/>
        <v>KU</v>
      </c>
      <c r="B391" s="429" t="str">
        <f t="shared" si="33"/>
        <v>KY</v>
      </c>
      <c r="C391" s="429" t="str">
        <f t="shared" si="34"/>
        <v>390</v>
      </c>
      <c r="D391" s="430" t="s">
        <v>1812</v>
      </c>
      <c r="E391" s="428" t="str">
        <f t="shared" si="31"/>
        <v/>
      </c>
      <c r="F391" s="429">
        <v>13437.316281119</v>
      </c>
      <c r="G391" s="429">
        <v>13546.630651622499</v>
      </c>
      <c r="H391" s="429">
        <v>13688.337400576</v>
      </c>
      <c r="I391" s="429">
        <v>13837.7992063495</v>
      </c>
      <c r="J391" s="429">
        <v>13987.460142683</v>
      </c>
      <c r="K391" s="429">
        <v>14137.7268211265</v>
      </c>
      <c r="L391" s="429">
        <v>14289.175104247</v>
      </c>
      <c r="M391" s="429">
        <v>14442.953809103499</v>
      </c>
      <c r="N391" s="429">
        <v>14600.30758558</v>
      </c>
      <c r="O391" s="429">
        <v>14759.6811688465</v>
      </c>
      <c r="P391" s="429">
        <v>14919.096167483</v>
      </c>
      <c r="Q391" s="429">
        <v>15078.547600919501</v>
      </c>
      <c r="R391" s="429">
        <v>15238.033158586</v>
      </c>
      <c r="T391" s="429">
        <f t="shared" si="35"/>
        <v>14304.851161403232</v>
      </c>
    </row>
    <row r="392" spans="1:20">
      <c r="A392" s="429" t="str">
        <f t="shared" si="32"/>
        <v>KU</v>
      </c>
      <c r="B392" s="429" t="str">
        <f t="shared" si="33"/>
        <v>VA</v>
      </c>
      <c r="C392" s="429" t="str">
        <f t="shared" si="34"/>
        <v>390</v>
      </c>
      <c r="D392" s="430" t="s">
        <v>1813</v>
      </c>
      <c r="E392" s="428" t="str">
        <f t="shared" si="31"/>
        <v/>
      </c>
      <c r="F392" s="429">
        <v>378.95404116837</v>
      </c>
      <c r="G392" s="429">
        <v>381.50021112170703</v>
      </c>
      <c r="H392" s="429">
        <v>384.27105086634401</v>
      </c>
      <c r="I392" s="429">
        <v>391.76490892898101</v>
      </c>
      <c r="J392" s="429">
        <v>404.01216440431801</v>
      </c>
      <c r="K392" s="429">
        <v>416.28979896865502</v>
      </c>
      <c r="L392" s="429">
        <v>428.56743353299203</v>
      </c>
      <c r="M392" s="429">
        <v>440.84506809732898</v>
      </c>
      <c r="N392" s="429">
        <v>453.12270266166598</v>
      </c>
      <c r="O392" s="429">
        <v>465.40033722600299</v>
      </c>
      <c r="P392" s="429">
        <v>477.67797179034</v>
      </c>
      <c r="Q392" s="429">
        <v>489.955606354677</v>
      </c>
      <c r="R392" s="429">
        <v>502.23324091901401</v>
      </c>
      <c r="T392" s="429">
        <f t="shared" si="35"/>
        <v>431.89188738772282</v>
      </c>
    </row>
    <row r="393" spans="1:20">
      <c r="A393" s="429" t="str">
        <f t="shared" si="32"/>
        <v>KU</v>
      </c>
      <c r="B393" s="429" t="str">
        <f t="shared" si="33"/>
        <v>KY</v>
      </c>
      <c r="C393" s="429" t="str">
        <f t="shared" si="34"/>
        <v>391</v>
      </c>
      <c r="D393" s="430" t="s">
        <v>1814</v>
      </c>
      <c r="E393" s="428" t="str">
        <f t="shared" si="31"/>
        <v/>
      </c>
      <c r="F393" s="429">
        <v>968.09065499999997</v>
      </c>
      <c r="G393" s="429">
        <v>1090.5174973999999</v>
      </c>
      <c r="H393" s="429">
        <v>1212.9443398000001</v>
      </c>
      <c r="I393" s="429">
        <v>1335.3711822</v>
      </c>
      <c r="J393" s="429">
        <v>1457.7980246</v>
      </c>
      <c r="K393" s="429">
        <v>1529.6060141999999</v>
      </c>
      <c r="L393" s="429">
        <v>891.29269869999996</v>
      </c>
      <c r="M393" s="429">
        <v>1000.4452032</v>
      </c>
      <c r="N393" s="429">
        <v>1134.4905438000001</v>
      </c>
      <c r="O393" s="429">
        <v>1247.3235910000001</v>
      </c>
      <c r="P393" s="429">
        <v>1381.8605414000001</v>
      </c>
      <c r="Q393" s="429">
        <v>1516.3974917999999</v>
      </c>
      <c r="R393" s="429">
        <v>1650.9344421999999</v>
      </c>
      <c r="T393" s="429">
        <f t="shared" si="35"/>
        <v>1262.8517096384617</v>
      </c>
    </row>
    <row r="394" spans="1:20">
      <c r="A394" s="429" t="str">
        <f t="shared" si="32"/>
        <v>KU</v>
      </c>
      <c r="B394" s="429" t="str">
        <f t="shared" si="33"/>
        <v>KY</v>
      </c>
      <c r="C394" s="429" t="str">
        <f t="shared" si="34"/>
        <v>391</v>
      </c>
      <c r="D394" s="430" t="s">
        <v>1815</v>
      </c>
      <c r="E394" s="428" t="str">
        <f t="shared" si="31"/>
        <v/>
      </c>
      <c r="F394" s="429">
        <v>21509.837777499899</v>
      </c>
      <c r="G394" s="429">
        <v>20157.551575899899</v>
      </c>
      <c r="H394" s="429">
        <v>19598.201773139899</v>
      </c>
      <c r="I394" s="429">
        <v>19703.610877369902</v>
      </c>
      <c r="J394" s="429">
        <v>19215.310879429901</v>
      </c>
      <c r="K394" s="429">
        <v>19509.468082579901</v>
      </c>
      <c r="L394" s="429">
        <v>19197.991940079901</v>
      </c>
      <c r="M394" s="429">
        <v>19381.154013589901</v>
      </c>
      <c r="N394" s="429">
        <v>19288.643779669899</v>
      </c>
      <c r="O394" s="429">
        <v>18843.242119149902</v>
      </c>
      <c r="P394" s="429">
        <v>17445.934441919901</v>
      </c>
      <c r="Q394" s="429">
        <v>17480.446744389901</v>
      </c>
      <c r="R394" s="429">
        <v>17719.030236749899</v>
      </c>
      <c r="T394" s="429">
        <f t="shared" si="35"/>
        <v>19157.724941651439</v>
      </c>
    </row>
    <row r="395" spans="1:20">
      <c r="A395" s="429" t="str">
        <f t="shared" si="32"/>
        <v>KU</v>
      </c>
      <c r="B395" s="429" t="str">
        <f t="shared" si="33"/>
        <v>VA</v>
      </c>
      <c r="C395" s="429" t="str">
        <f t="shared" si="34"/>
        <v>391</v>
      </c>
      <c r="D395" s="430" t="s">
        <v>1816</v>
      </c>
      <c r="E395" s="428" t="str">
        <f t="shared" si="31"/>
        <v/>
      </c>
      <c r="F395" s="429">
        <v>-0.30864999999999998</v>
      </c>
      <c r="G395" s="429">
        <v>-0.30864999999999998</v>
      </c>
      <c r="H395" s="429">
        <v>-0.30864999999999998</v>
      </c>
      <c r="I395" s="429">
        <v>-0.30864999999999998</v>
      </c>
      <c r="J395" s="429">
        <v>-0.30864999999999998</v>
      </c>
      <c r="K395" s="429">
        <v>-0.30864999999999998</v>
      </c>
      <c r="L395" s="429">
        <v>-0.30864999999999998</v>
      </c>
      <c r="M395" s="429">
        <v>-0.30864999999999998</v>
      </c>
      <c r="N395" s="429">
        <v>-0.30864999999999998</v>
      </c>
      <c r="O395" s="429">
        <v>-0.30864999999999998</v>
      </c>
      <c r="P395" s="429">
        <v>-0.30864999999999998</v>
      </c>
      <c r="Q395" s="429">
        <v>-0.30864999999999998</v>
      </c>
      <c r="R395" s="429">
        <v>-0.30864999999999998</v>
      </c>
      <c r="T395" s="429">
        <f t="shared" si="35"/>
        <v>-0.30865000000000004</v>
      </c>
    </row>
    <row r="396" spans="1:20">
      <c r="A396" s="429" t="str">
        <f t="shared" si="32"/>
        <v>KU</v>
      </c>
      <c r="B396" s="429" t="str">
        <f t="shared" si="33"/>
        <v>KY</v>
      </c>
      <c r="C396" s="429" t="str">
        <f t="shared" si="34"/>
        <v>392</v>
      </c>
      <c r="D396" s="430" t="s">
        <v>1817</v>
      </c>
      <c r="E396" s="428" t="str">
        <f t="shared" si="31"/>
        <v>ECR</v>
      </c>
      <c r="F396" s="429">
        <v>19.722366045000001</v>
      </c>
      <c r="G396" s="429">
        <v>19.754220649499999</v>
      </c>
      <c r="H396" s="429">
        <v>19.786075254</v>
      </c>
      <c r="I396" s="429">
        <v>19.817929858500001</v>
      </c>
      <c r="J396" s="429">
        <v>19.849784462999999</v>
      </c>
      <c r="K396" s="429">
        <v>19.8816390675</v>
      </c>
      <c r="L396" s="429">
        <v>19.913493672000001</v>
      </c>
      <c r="M396" s="429">
        <v>19.945348276499999</v>
      </c>
      <c r="N396" s="429">
        <v>19.977202881</v>
      </c>
      <c r="O396" s="429">
        <v>20.009057485500001</v>
      </c>
      <c r="P396" s="429">
        <v>20.040912089999999</v>
      </c>
      <c r="Q396" s="429">
        <v>20.0727666945</v>
      </c>
      <c r="R396" s="429">
        <v>20.104621299000001</v>
      </c>
      <c r="T396" s="429">
        <f t="shared" si="35"/>
        <v>19.913493672000001</v>
      </c>
    </row>
    <row r="397" spans="1:20">
      <c r="A397" s="429" t="str">
        <f t="shared" si="32"/>
        <v>KU</v>
      </c>
      <c r="B397" s="429" t="str">
        <f t="shared" si="33"/>
        <v>KY</v>
      </c>
      <c r="C397" s="429" t="str">
        <f t="shared" si="34"/>
        <v>392</v>
      </c>
      <c r="D397" s="430" t="s">
        <v>1818</v>
      </c>
      <c r="E397" s="428" t="str">
        <f t="shared" si="31"/>
        <v/>
      </c>
      <c r="F397" s="429">
        <v>4260.6585634969997</v>
      </c>
      <c r="G397" s="429">
        <v>4278.9520163560001</v>
      </c>
      <c r="H397" s="429">
        <v>4297.2454692150004</v>
      </c>
      <c r="I397" s="429">
        <v>4315.5389220739999</v>
      </c>
      <c r="J397" s="429">
        <v>4333.8323749330002</v>
      </c>
      <c r="K397" s="429">
        <v>4352.1258277919997</v>
      </c>
      <c r="L397" s="429">
        <v>4370.419280651</v>
      </c>
      <c r="M397" s="429">
        <v>4388.7127335100004</v>
      </c>
      <c r="N397" s="429">
        <v>4407.0061863689998</v>
      </c>
      <c r="O397" s="429">
        <v>4425.2996392280002</v>
      </c>
      <c r="P397" s="429">
        <v>4443.5930920869996</v>
      </c>
      <c r="Q397" s="429">
        <v>4461.886544946</v>
      </c>
      <c r="R397" s="429">
        <v>4480.1799978050003</v>
      </c>
      <c r="T397" s="429">
        <f t="shared" si="35"/>
        <v>4370.419280651</v>
      </c>
    </row>
    <row r="398" spans="1:20">
      <c r="A398" s="429" t="str">
        <f t="shared" si="32"/>
        <v>KU</v>
      </c>
      <c r="B398" s="429" t="str">
        <f t="shared" si="33"/>
        <v>VA</v>
      </c>
      <c r="C398" s="429" t="str">
        <f t="shared" si="34"/>
        <v>392</v>
      </c>
      <c r="D398" s="430" t="s">
        <v>2510</v>
      </c>
      <c r="E398" s="428" t="str">
        <f t="shared" si="31"/>
        <v/>
      </c>
      <c r="F398" s="429">
        <v>0.35580006669999997</v>
      </c>
      <c r="G398" s="429">
        <v>0.38033707337</v>
      </c>
      <c r="H398" s="429">
        <v>0.40487408003999997</v>
      </c>
      <c r="I398" s="429">
        <v>0.42941108671</v>
      </c>
      <c r="J398" s="429">
        <v>0.45394809337999997</v>
      </c>
      <c r="K398" s="429">
        <v>0.47848510005</v>
      </c>
      <c r="L398" s="429">
        <v>0.50302210672000003</v>
      </c>
      <c r="M398" s="429">
        <v>0.52755911338999995</v>
      </c>
      <c r="N398" s="429">
        <v>0.55209612005999997</v>
      </c>
      <c r="O398" s="429">
        <v>0.57663312673</v>
      </c>
      <c r="P398" s="429">
        <v>0.60117013340000003</v>
      </c>
      <c r="Q398" s="429">
        <v>0.62570714006999995</v>
      </c>
      <c r="R398" s="429">
        <v>0.65024414673999997</v>
      </c>
      <c r="T398" s="429">
        <f t="shared" si="35"/>
        <v>0.50302210672000003</v>
      </c>
    </row>
    <row r="399" spans="1:20">
      <c r="A399" s="429" t="str">
        <f t="shared" si="32"/>
        <v>KU</v>
      </c>
      <c r="B399" s="429" t="str">
        <f t="shared" si="33"/>
        <v>KY</v>
      </c>
      <c r="C399" s="429" t="str">
        <f t="shared" si="34"/>
        <v>393</v>
      </c>
      <c r="D399" s="430" t="s">
        <v>1819</v>
      </c>
      <c r="E399" s="428" t="str">
        <f t="shared" si="31"/>
        <v/>
      </c>
      <c r="F399" s="429">
        <v>448.49977084399899</v>
      </c>
      <c r="G399" s="429">
        <v>438.84596337699901</v>
      </c>
      <c r="H399" s="429">
        <v>442.215915163999</v>
      </c>
      <c r="I399" s="429">
        <v>445.58586695099899</v>
      </c>
      <c r="J399" s="429">
        <v>447.35439817299903</v>
      </c>
      <c r="K399" s="429">
        <v>444.186385220999</v>
      </c>
      <c r="L399" s="429">
        <v>436.832498743999</v>
      </c>
      <c r="M399" s="429">
        <v>440.13354235099899</v>
      </c>
      <c r="N399" s="429">
        <v>443.43458595799899</v>
      </c>
      <c r="O399" s="429">
        <v>446.73562956499899</v>
      </c>
      <c r="P399" s="429">
        <v>450.03667317199898</v>
      </c>
      <c r="Q399" s="429">
        <v>453.33771677899898</v>
      </c>
      <c r="R399" s="429">
        <v>456.63876038599898</v>
      </c>
      <c r="T399" s="429">
        <f t="shared" si="35"/>
        <v>445.67982359115285</v>
      </c>
    </row>
    <row r="400" spans="1:20">
      <c r="A400" s="429" t="str">
        <f t="shared" si="32"/>
        <v>KU</v>
      </c>
      <c r="B400" s="429" t="str">
        <f t="shared" si="33"/>
        <v>VA</v>
      </c>
      <c r="C400" s="429" t="str">
        <f t="shared" si="34"/>
        <v>393</v>
      </c>
      <c r="D400" s="430" t="s">
        <v>1820</v>
      </c>
      <c r="E400" s="428" t="str">
        <f t="shared" si="31"/>
        <v/>
      </c>
      <c r="F400" s="429">
        <v>0.222095475001999</v>
      </c>
      <c r="G400" s="429">
        <v>0.225309491668999</v>
      </c>
      <c r="H400" s="429">
        <v>0.22852350833599899</v>
      </c>
      <c r="I400" s="429">
        <v>0.23173752500299899</v>
      </c>
      <c r="J400" s="429">
        <v>0.23495154166999899</v>
      </c>
      <c r="K400" s="429">
        <v>0.23816555833699901</v>
      </c>
      <c r="L400" s="429">
        <v>0.24137957500399901</v>
      </c>
      <c r="M400" s="429">
        <v>0.24459359167099901</v>
      </c>
      <c r="N400" s="429">
        <v>0.247807608337999</v>
      </c>
      <c r="O400" s="429">
        <v>0.25102162500499903</v>
      </c>
      <c r="P400" s="429">
        <v>0.25423564167199902</v>
      </c>
      <c r="Q400" s="429">
        <v>0.25744965833899902</v>
      </c>
      <c r="R400" s="429">
        <v>0.26066367500599902</v>
      </c>
      <c r="T400" s="429">
        <f t="shared" si="35"/>
        <v>0.24137957500399904</v>
      </c>
    </row>
    <row r="401" spans="1:20">
      <c r="A401" s="429" t="str">
        <f t="shared" si="32"/>
        <v>KU</v>
      </c>
      <c r="B401" s="429" t="str">
        <f t="shared" si="33"/>
        <v>KY</v>
      </c>
      <c r="C401" s="429" t="str">
        <f t="shared" si="34"/>
        <v>394</v>
      </c>
      <c r="D401" s="430" t="s">
        <v>1821</v>
      </c>
      <c r="E401" s="428" t="str">
        <f t="shared" si="31"/>
        <v/>
      </c>
      <c r="F401" s="429">
        <v>4712.5115057700004</v>
      </c>
      <c r="G401" s="429">
        <v>4760.8850721199997</v>
      </c>
      <c r="H401" s="429">
        <v>4797.0412468200002</v>
      </c>
      <c r="I401" s="429">
        <v>4847.2426891900004</v>
      </c>
      <c r="J401" s="429">
        <v>4878.6252222900002</v>
      </c>
      <c r="K401" s="429">
        <v>4912.2124748699998</v>
      </c>
      <c r="L401" s="429">
        <v>4966.2967548799998</v>
      </c>
      <c r="M401" s="429">
        <v>5019.7671889100002</v>
      </c>
      <c r="N401" s="429">
        <v>5064.8422712900001</v>
      </c>
      <c r="O401" s="429">
        <v>5121.0200996200001</v>
      </c>
      <c r="P401" s="429">
        <v>5177.2266651899999</v>
      </c>
      <c r="Q401" s="429">
        <v>5233.8562881199996</v>
      </c>
      <c r="R401" s="429">
        <v>5276.3850527300001</v>
      </c>
      <c r="T401" s="429">
        <f t="shared" si="35"/>
        <v>4982.1471178307693</v>
      </c>
    </row>
    <row r="402" spans="1:20">
      <c r="A402" s="429" t="str">
        <f t="shared" si="32"/>
        <v>KU</v>
      </c>
      <c r="B402" s="429" t="str">
        <f t="shared" si="33"/>
        <v>VA</v>
      </c>
      <c r="C402" s="429" t="str">
        <f t="shared" si="34"/>
        <v>394</v>
      </c>
      <c r="D402" s="430" t="s">
        <v>1822</v>
      </c>
      <c r="E402" s="428" t="str">
        <f t="shared" si="31"/>
        <v/>
      </c>
      <c r="F402" s="429">
        <v>228.59261959200001</v>
      </c>
      <c r="G402" s="429">
        <v>230.89385683399999</v>
      </c>
      <c r="H402" s="429">
        <v>233.21883653099999</v>
      </c>
      <c r="I402" s="429">
        <v>235.56755868299999</v>
      </c>
      <c r="J402" s="429">
        <v>231.20990919900001</v>
      </c>
      <c r="K402" s="429">
        <v>233.58360808</v>
      </c>
      <c r="L402" s="429">
        <v>235.957306961</v>
      </c>
      <c r="M402" s="429">
        <v>238.331005842</v>
      </c>
      <c r="N402" s="429">
        <v>234.416850178</v>
      </c>
      <c r="O402" s="429">
        <v>236.76951997</v>
      </c>
      <c r="P402" s="429">
        <v>239.122189762</v>
      </c>
      <c r="Q402" s="429">
        <v>241.496108604</v>
      </c>
      <c r="R402" s="429">
        <v>243.89127649599999</v>
      </c>
      <c r="T402" s="429">
        <f t="shared" si="35"/>
        <v>235.61928051784616</v>
      </c>
    </row>
    <row r="403" spans="1:20">
      <c r="A403" s="429" t="str">
        <f t="shared" si="32"/>
        <v>KU</v>
      </c>
      <c r="B403" s="429" t="str">
        <f t="shared" si="33"/>
        <v>KY</v>
      </c>
      <c r="C403" s="429" t="str">
        <f t="shared" si="34"/>
        <v>396</v>
      </c>
      <c r="D403" s="430" t="s">
        <v>1823</v>
      </c>
      <c r="E403" s="428" t="str">
        <f t="shared" si="31"/>
        <v/>
      </c>
      <c r="F403" s="429">
        <v>289.21059109999902</v>
      </c>
      <c r="G403" s="429">
        <v>292.145434209999</v>
      </c>
      <c r="H403" s="429">
        <v>295.08027731999903</v>
      </c>
      <c r="I403" s="429">
        <v>298.015120429999</v>
      </c>
      <c r="J403" s="429">
        <v>300.94996353999898</v>
      </c>
      <c r="K403" s="429">
        <v>303.88480664999901</v>
      </c>
      <c r="L403" s="429">
        <v>306.81964975999898</v>
      </c>
      <c r="M403" s="429">
        <v>309.75449286999901</v>
      </c>
      <c r="N403" s="429">
        <v>312.68933597999899</v>
      </c>
      <c r="O403" s="429">
        <v>315.62417908999902</v>
      </c>
      <c r="P403" s="429">
        <v>318.55902219999899</v>
      </c>
      <c r="Q403" s="429">
        <v>321.49386530999902</v>
      </c>
      <c r="R403" s="429">
        <v>324.428708419999</v>
      </c>
      <c r="T403" s="429">
        <f t="shared" si="35"/>
        <v>306.81964975999898</v>
      </c>
    </row>
    <row r="404" spans="1:20">
      <c r="A404" s="429" t="str">
        <f t="shared" si="32"/>
        <v>KU</v>
      </c>
      <c r="B404" s="429" t="str">
        <f t="shared" si="33"/>
        <v>KY</v>
      </c>
      <c r="C404" s="429" t="str">
        <f t="shared" si="34"/>
        <v>396</v>
      </c>
      <c r="D404" s="430" t="s">
        <v>2511</v>
      </c>
      <c r="E404" s="428" t="str">
        <f t="shared" si="31"/>
        <v/>
      </c>
      <c r="F404" s="429">
        <v>1007.91180270999</v>
      </c>
      <c r="G404" s="429">
        <v>1023.13055150999</v>
      </c>
      <c r="H404" s="429">
        <v>1038.34930030999</v>
      </c>
      <c r="I404" s="429">
        <v>1053.5680491099899</v>
      </c>
      <c r="J404" s="429">
        <v>1068.7867979099899</v>
      </c>
      <c r="K404" s="429">
        <v>1084.0055467099901</v>
      </c>
      <c r="L404" s="429">
        <v>1099.22429550999</v>
      </c>
      <c r="M404" s="429">
        <v>1114.44304430999</v>
      </c>
      <c r="N404" s="429">
        <v>1129.66179310999</v>
      </c>
      <c r="O404" s="429">
        <v>1144.8805419099899</v>
      </c>
      <c r="P404" s="429">
        <v>1160.0992907099901</v>
      </c>
      <c r="Q404" s="429">
        <v>1175.3180395099901</v>
      </c>
      <c r="R404" s="429">
        <v>1190.53678830999</v>
      </c>
      <c r="T404" s="429">
        <f t="shared" si="35"/>
        <v>1099.22429550999</v>
      </c>
    </row>
    <row r="405" spans="1:20">
      <c r="A405" s="429" t="str">
        <f t="shared" si="32"/>
        <v>KU</v>
      </c>
      <c r="B405" s="429" t="str">
        <f t="shared" si="33"/>
        <v>VA</v>
      </c>
      <c r="C405" s="429" t="str">
        <f t="shared" si="34"/>
        <v>396</v>
      </c>
      <c r="D405" s="430" t="s">
        <v>1824</v>
      </c>
      <c r="E405" s="428" t="str">
        <f t="shared" si="31"/>
        <v/>
      </c>
      <c r="F405" s="429">
        <v>0</v>
      </c>
      <c r="G405" s="429">
        <v>0</v>
      </c>
      <c r="H405" s="429">
        <v>0</v>
      </c>
      <c r="I405" s="429">
        <v>0</v>
      </c>
      <c r="J405" s="429">
        <v>0</v>
      </c>
      <c r="K405" s="429">
        <v>0</v>
      </c>
      <c r="L405" s="429">
        <v>0</v>
      </c>
      <c r="M405" s="429">
        <v>0</v>
      </c>
      <c r="N405" s="429">
        <v>0</v>
      </c>
      <c r="O405" s="429">
        <v>0</v>
      </c>
      <c r="P405" s="429">
        <v>0</v>
      </c>
      <c r="Q405" s="429">
        <v>0</v>
      </c>
      <c r="R405" s="429">
        <v>0</v>
      </c>
      <c r="T405" s="429">
        <f t="shared" si="35"/>
        <v>0</v>
      </c>
    </row>
    <row r="406" spans="1:20">
      <c r="A406" s="429" t="str">
        <f t="shared" si="32"/>
        <v>KU</v>
      </c>
      <c r="B406" s="429" t="str">
        <f t="shared" si="33"/>
        <v>VA</v>
      </c>
      <c r="C406" s="429" t="str">
        <f t="shared" si="34"/>
        <v>396</v>
      </c>
      <c r="D406" s="430" t="s">
        <v>2512</v>
      </c>
      <c r="E406" s="428" t="str">
        <f t="shared" si="31"/>
        <v/>
      </c>
      <c r="F406" s="429">
        <v>135.53401432999999</v>
      </c>
      <c r="G406" s="429">
        <v>136.863069763</v>
      </c>
      <c r="H406" s="429">
        <v>138.19212519600001</v>
      </c>
      <c r="I406" s="429">
        <v>139.52118062900001</v>
      </c>
      <c r="J406" s="429">
        <v>140.85023606199999</v>
      </c>
      <c r="K406" s="429">
        <v>142.179291495</v>
      </c>
      <c r="L406" s="429">
        <v>143.50834692800001</v>
      </c>
      <c r="M406" s="429">
        <v>144.83740236099999</v>
      </c>
      <c r="N406" s="429">
        <v>146.166457794</v>
      </c>
      <c r="O406" s="429">
        <v>147.495513227</v>
      </c>
      <c r="P406" s="429">
        <v>148.82456866000001</v>
      </c>
      <c r="Q406" s="429">
        <v>150.15362409299999</v>
      </c>
      <c r="R406" s="429">
        <v>151.482679526</v>
      </c>
      <c r="T406" s="429">
        <f t="shared" si="35"/>
        <v>143.50834692800001</v>
      </c>
    </row>
    <row r="407" spans="1:20">
      <c r="A407" s="429" t="str">
        <f t="shared" si="32"/>
        <v>KU</v>
      </c>
      <c r="B407" s="429" t="str">
        <f t="shared" si="33"/>
        <v>KY</v>
      </c>
      <c r="C407" s="429" t="str">
        <f t="shared" si="34"/>
        <v>397</v>
      </c>
      <c r="D407" s="430" t="s">
        <v>1825</v>
      </c>
      <c r="E407" s="428" t="str">
        <f t="shared" si="31"/>
        <v>DSM</v>
      </c>
      <c r="F407" s="429">
        <v>3027.6392029899998</v>
      </c>
      <c r="G407" s="429">
        <v>3119.9915696999901</v>
      </c>
      <c r="H407" s="429">
        <v>3212.5883808199901</v>
      </c>
      <c r="I407" s="429">
        <v>3305.4296363499998</v>
      </c>
      <c r="J407" s="429">
        <v>3398.5153362799902</v>
      </c>
      <c r="K407" s="429">
        <v>3491.8454806199902</v>
      </c>
      <c r="L407" s="429">
        <v>3585.4200693599901</v>
      </c>
      <c r="M407" s="429">
        <v>3679.2391025099901</v>
      </c>
      <c r="N407" s="429">
        <v>3773.3025800599899</v>
      </c>
      <c r="O407" s="429">
        <v>3867.50319088999</v>
      </c>
      <c r="P407" s="429">
        <v>3961.7336239199899</v>
      </c>
      <c r="Q407" s="429">
        <v>4055.9938792099902</v>
      </c>
      <c r="R407" s="429">
        <v>4150.2839567599904</v>
      </c>
      <c r="T407" s="429">
        <f t="shared" si="35"/>
        <v>3586.8835391899916</v>
      </c>
    </row>
    <row r="408" spans="1:20">
      <c r="A408" s="429" t="str">
        <f t="shared" si="32"/>
        <v>KU</v>
      </c>
      <c r="B408" s="429" t="str">
        <f t="shared" si="33"/>
        <v>KY</v>
      </c>
      <c r="C408" s="429" t="str">
        <f t="shared" si="34"/>
        <v>397</v>
      </c>
      <c r="D408" s="430" t="s">
        <v>1826</v>
      </c>
      <c r="E408" s="428" t="str">
        <f t="shared" si="31"/>
        <v/>
      </c>
      <c r="F408" s="429">
        <v>25129.984956600001</v>
      </c>
      <c r="G408" s="429">
        <v>25476.359890899999</v>
      </c>
      <c r="H408" s="429">
        <v>25822.734825200001</v>
      </c>
      <c r="I408" s="429">
        <v>26169.109759499999</v>
      </c>
      <c r="J408" s="429">
        <v>26515.776229899999</v>
      </c>
      <c r="K408" s="429">
        <v>26863.367152899998</v>
      </c>
      <c r="L408" s="429">
        <v>27211.639992600001</v>
      </c>
      <c r="M408" s="429">
        <v>27562.6128298</v>
      </c>
      <c r="N408" s="429">
        <v>27918.447758300001</v>
      </c>
      <c r="O408" s="429">
        <v>28276.493780699999</v>
      </c>
      <c r="P408" s="429">
        <v>28634.5398031</v>
      </c>
      <c r="Q408" s="429">
        <v>28992.585825499998</v>
      </c>
      <c r="R408" s="429">
        <v>29350.6318479</v>
      </c>
      <c r="T408" s="429">
        <f t="shared" si="35"/>
        <v>27224.9449733</v>
      </c>
    </row>
    <row r="409" spans="1:20">
      <c r="A409" s="429" t="str">
        <f t="shared" si="32"/>
        <v>KU</v>
      </c>
      <c r="B409" s="429" t="str">
        <f t="shared" si="33"/>
        <v>VA</v>
      </c>
      <c r="C409" s="429" t="str">
        <f t="shared" si="34"/>
        <v>397</v>
      </c>
      <c r="D409" s="430" t="s">
        <v>1827</v>
      </c>
      <c r="E409" s="428" t="str">
        <f t="shared" si="31"/>
        <v/>
      </c>
      <c r="F409" s="429">
        <v>729.57011509999995</v>
      </c>
      <c r="G409" s="429">
        <v>735.46548160999998</v>
      </c>
      <c r="H409" s="429">
        <v>741.36084812000001</v>
      </c>
      <c r="I409" s="429">
        <v>747.25621463000004</v>
      </c>
      <c r="J409" s="429">
        <v>753.15158113999996</v>
      </c>
      <c r="K409" s="429">
        <v>759.04694764999999</v>
      </c>
      <c r="L409" s="429">
        <v>764.94231416000002</v>
      </c>
      <c r="M409" s="429">
        <v>770.83768067000005</v>
      </c>
      <c r="N409" s="429">
        <v>776.73304717999997</v>
      </c>
      <c r="O409" s="429">
        <v>782.62841369</v>
      </c>
      <c r="P409" s="429">
        <v>788.52378020000003</v>
      </c>
      <c r="Q409" s="429">
        <v>794.41914670999995</v>
      </c>
      <c r="R409" s="429">
        <v>800.31451321999998</v>
      </c>
      <c r="T409" s="429">
        <f t="shared" si="35"/>
        <v>764.94231415999991</v>
      </c>
    </row>
    <row r="410" spans="1:20">
      <c r="E410" s="428" t="str">
        <f t="shared" si="31"/>
        <v/>
      </c>
    </row>
    <row r="411" spans="1:20">
      <c r="D411" s="721" t="s">
        <v>1832</v>
      </c>
      <c r="E411" s="428" t="str">
        <f t="shared" si="31"/>
        <v/>
      </c>
    </row>
    <row r="412" spans="1:20">
      <c r="A412" s="429" t="str">
        <f t="shared" ref="A412:A475" si="37">MID($D412,4,2)</f>
        <v>KU</v>
      </c>
      <c r="B412" s="429" t="str">
        <f t="shared" ref="B412:B475" si="38">IF(MID($D412,12,2)="- ","KY",MID($D412,12,2))</f>
        <v>KY</v>
      </c>
      <c r="C412" s="429" t="str">
        <f t="shared" ref="C412:C475" si="39">MID($D412,8,3)</f>
        <v>302</v>
      </c>
      <c r="D412" s="430" t="s">
        <v>1725</v>
      </c>
      <c r="E412" s="428" t="str">
        <f t="shared" si="31"/>
        <v/>
      </c>
      <c r="G412" s="429">
        <v>0.16915446079999999</v>
      </c>
      <c r="H412" s="429">
        <v>0.16915446079999999</v>
      </c>
      <c r="I412" s="429">
        <v>0.16915446079999999</v>
      </c>
      <c r="J412" s="429">
        <v>0.16915446079999999</v>
      </c>
      <c r="K412" s="429">
        <v>0.16915446079999999</v>
      </c>
      <c r="L412" s="429">
        <v>0.16915446079999999</v>
      </c>
      <c r="M412" s="429">
        <v>0.16915446079999999</v>
      </c>
      <c r="N412" s="429">
        <v>0.16915446079999999</v>
      </c>
      <c r="O412" s="429">
        <v>0.16915446079999999</v>
      </c>
      <c r="P412" s="429">
        <v>0.16915446079999999</v>
      </c>
      <c r="Q412" s="429">
        <v>0.16915446079999999</v>
      </c>
      <c r="R412" s="429">
        <v>0.16915446079999999</v>
      </c>
      <c r="S412" s="429">
        <f t="shared" ref="S412:S475" si="40">SUM(G412:R412)</f>
        <v>2.0298535296</v>
      </c>
    </row>
    <row r="413" spans="1:20">
      <c r="A413" s="429" t="str">
        <f t="shared" si="37"/>
        <v>KU</v>
      </c>
      <c r="B413" s="429" t="str">
        <f t="shared" si="38"/>
        <v>KY</v>
      </c>
      <c r="C413" s="429" t="str">
        <f t="shared" si="39"/>
        <v>303</v>
      </c>
      <c r="D413" s="430" t="s">
        <v>1726</v>
      </c>
      <c r="E413" s="428" t="str">
        <f t="shared" si="31"/>
        <v/>
      </c>
      <c r="G413" s="429">
        <v>1282.5566249999999</v>
      </c>
      <c r="H413" s="429">
        <v>1340.361664</v>
      </c>
      <c r="I413" s="429">
        <v>1400.7255619999901</v>
      </c>
      <c r="J413" s="429">
        <v>1401.4552839999999</v>
      </c>
      <c r="K413" s="429">
        <v>1399.1325449999999</v>
      </c>
      <c r="L413" s="429">
        <v>1389.5236560000001</v>
      </c>
      <c r="M413" s="429">
        <v>1358.172875</v>
      </c>
      <c r="N413" s="429">
        <v>1355.4729279999999</v>
      </c>
      <c r="O413" s="429">
        <v>1365.03837</v>
      </c>
      <c r="P413" s="429">
        <v>1333.9566629999999</v>
      </c>
      <c r="Q413" s="429">
        <v>1382.9762619999999</v>
      </c>
      <c r="R413" s="429">
        <v>1463.782154</v>
      </c>
      <c r="S413" s="429">
        <f t="shared" si="40"/>
        <v>16473.15458799999</v>
      </c>
    </row>
    <row r="414" spans="1:20">
      <c r="A414" s="429" t="str">
        <f t="shared" si="37"/>
        <v>KU</v>
      </c>
      <c r="B414" s="429" t="str">
        <f t="shared" si="38"/>
        <v>KY</v>
      </c>
      <c r="C414" s="429" t="str">
        <f t="shared" si="39"/>
        <v>303</v>
      </c>
      <c r="D414" s="430" t="s">
        <v>1727</v>
      </c>
      <c r="E414" s="428" t="str">
        <f t="shared" si="31"/>
        <v/>
      </c>
      <c r="G414" s="429">
        <v>160.88206479999999</v>
      </c>
      <c r="H414" s="429">
        <v>161.11679810000001</v>
      </c>
      <c r="I414" s="429">
        <v>161.11679810000001</v>
      </c>
      <c r="J414" s="429">
        <v>161.11679810000001</v>
      </c>
      <c r="K414" s="429">
        <v>161.11679810000001</v>
      </c>
      <c r="L414" s="429">
        <v>161.11679810000001</v>
      </c>
      <c r="M414" s="429">
        <v>161.11679810000001</v>
      </c>
      <c r="N414" s="429">
        <v>161.5811803</v>
      </c>
      <c r="O414" s="429">
        <v>162.04556239999999</v>
      </c>
      <c r="P414" s="429">
        <v>162.4647291</v>
      </c>
      <c r="Q414" s="429">
        <v>162.8838958</v>
      </c>
      <c r="R414" s="429">
        <v>163.58809579999999</v>
      </c>
      <c r="S414" s="429">
        <f t="shared" si="40"/>
        <v>1940.1463168000002</v>
      </c>
    </row>
    <row r="415" spans="1:20">
      <c r="A415" s="429" t="str">
        <f t="shared" si="37"/>
        <v>KU</v>
      </c>
      <c r="B415" s="429" t="str">
        <f t="shared" si="38"/>
        <v>KY</v>
      </c>
      <c r="C415" s="429" t="str">
        <f t="shared" si="39"/>
        <v>311</v>
      </c>
      <c r="D415" s="430" t="s">
        <v>1731</v>
      </c>
      <c r="E415" s="428" t="str">
        <f t="shared" si="31"/>
        <v>ECR</v>
      </c>
      <c r="G415" s="429">
        <v>29.566406165999901</v>
      </c>
      <c r="H415" s="429">
        <v>29.566406165999901</v>
      </c>
      <c r="I415" s="429">
        <v>29.566406165999901</v>
      </c>
      <c r="J415" s="429">
        <v>29.566406165999901</v>
      </c>
      <c r="K415" s="429">
        <v>29.566406165999901</v>
      </c>
      <c r="L415" s="429">
        <v>29.566406165999901</v>
      </c>
      <c r="M415" s="429">
        <v>29.566406165999901</v>
      </c>
      <c r="N415" s="429">
        <v>29.566406165999901</v>
      </c>
      <c r="O415" s="429">
        <v>29.566406165999901</v>
      </c>
      <c r="P415" s="429">
        <v>29.566406165999901</v>
      </c>
      <c r="Q415" s="429">
        <v>29.566406165999901</v>
      </c>
      <c r="R415" s="429">
        <v>29.566406165999901</v>
      </c>
      <c r="S415" s="429">
        <f t="shared" si="40"/>
        <v>354.79687399199884</v>
      </c>
    </row>
    <row r="416" spans="1:20">
      <c r="A416" s="429" t="str">
        <f t="shared" si="37"/>
        <v>KU</v>
      </c>
      <c r="B416" s="429" t="str">
        <f t="shared" si="38"/>
        <v>KY</v>
      </c>
      <c r="C416" s="429" t="str">
        <f t="shared" si="39"/>
        <v>311</v>
      </c>
      <c r="D416" s="430" t="s">
        <v>2194</v>
      </c>
      <c r="E416" s="428" t="str">
        <f t="shared" si="31"/>
        <v>ECR</v>
      </c>
      <c r="G416" s="429">
        <v>30.029720549</v>
      </c>
      <c r="H416" s="429">
        <v>30.029720549</v>
      </c>
      <c r="I416" s="429">
        <v>30.029720549</v>
      </c>
      <c r="J416" s="429">
        <v>30.029720549</v>
      </c>
      <c r="K416" s="429">
        <v>30.029720549</v>
      </c>
      <c r="L416" s="429">
        <v>30.029720549</v>
      </c>
      <c r="M416" s="429">
        <v>30.029720549</v>
      </c>
      <c r="N416" s="429">
        <v>30.029720549</v>
      </c>
      <c r="O416" s="429">
        <v>30.029720549</v>
      </c>
      <c r="P416" s="429">
        <v>30.029720549</v>
      </c>
      <c r="Q416" s="429">
        <v>30.029720549</v>
      </c>
      <c r="R416" s="429">
        <v>30.029720549</v>
      </c>
      <c r="S416" s="429">
        <f t="shared" si="40"/>
        <v>360.35664658799993</v>
      </c>
    </row>
    <row r="417" spans="1:19">
      <c r="A417" s="429" t="str">
        <f t="shared" si="37"/>
        <v>KU</v>
      </c>
      <c r="B417" s="429" t="str">
        <f t="shared" si="38"/>
        <v>KY</v>
      </c>
      <c r="C417" s="429" t="str">
        <f t="shared" si="39"/>
        <v>311</v>
      </c>
      <c r="D417" s="430" t="s">
        <v>1732</v>
      </c>
      <c r="E417" s="428" t="str">
        <f t="shared" si="31"/>
        <v/>
      </c>
      <c r="G417" s="429">
        <v>640.61441761053004</v>
      </c>
      <c r="H417" s="429">
        <v>641.84784217453</v>
      </c>
      <c r="I417" s="429">
        <v>644.04141382853004</v>
      </c>
      <c r="J417" s="429">
        <v>646.02948374052903</v>
      </c>
      <c r="K417" s="429">
        <v>646.34877073453004</v>
      </c>
      <c r="L417" s="429">
        <v>646.59975288853002</v>
      </c>
      <c r="M417" s="429">
        <v>647.17799900753005</v>
      </c>
      <c r="N417" s="429">
        <v>647.52019181852995</v>
      </c>
      <c r="O417" s="429">
        <v>647.52019181852995</v>
      </c>
      <c r="P417" s="429">
        <v>647.52019181852995</v>
      </c>
      <c r="Q417" s="429">
        <v>647.80133729152999</v>
      </c>
      <c r="R417" s="429">
        <v>648.11140929853002</v>
      </c>
      <c r="S417" s="429">
        <f t="shared" si="40"/>
        <v>7751.1330020303603</v>
      </c>
    </row>
    <row r="418" spans="1:19">
      <c r="A418" s="429" t="str">
        <f t="shared" si="37"/>
        <v>KU</v>
      </c>
      <c r="B418" s="429" t="str">
        <f t="shared" si="38"/>
        <v>KY</v>
      </c>
      <c r="C418" s="429" t="str">
        <f t="shared" si="39"/>
        <v>312</v>
      </c>
      <c r="D418" s="430" t="s">
        <v>1733</v>
      </c>
      <c r="E418" s="428" t="str">
        <f t="shared" si="31"/>
        <v/>
      </c>
      <c r="G418" s="429">
        <v>9222.7848818527109</v>
      </c>
      <c r="H418" s="429">
        <v>9253.5971866927102</v>
      </c>
      <c r="I418" s="429">
        <v>9285.9615527127098</v>
      </c>
      <c r="J418" s="429">
        <v>9292.74134506271</v>
      </c>
      <c r="K418" s="429">
        <v>9295.4746240027107</v>
      </c>
      <c r="L418" s="429">
        <v>9298.5391844327096</v>
      </c>
      <c r="M418" s="429">
        <v>9322.4997560027095</v>
      </c>
      <c r="N418" s="429">
        <v>9351.6973674627097</v>
      </c>
      <c r="O418" s="429">
        <v>9358.8182703427101</v>
      </c>
      <c r="P418" s="429">
        <v>9351.5314404227101</v>
      </c>
      <c r="Q418" s="429">
        <v>9357.7806372027098</v>
      </c>
      <c r="R418" s="429">
        <v>9378.6054999227108</v>
      </c>
      <c r="S418" s="429">
        <f t="shared" si="40"/>
        <v>111770.03174611252</v>
      </c>
    </row>
    <row r="419" spans="1:19">
      <c r="A419" s="429" t="str">
        <f t="shared" si="37"/>
        <v>KU</v>
      </c>
      <c r="B419" s="429" t="str">
        <f t="shared" si="38"/>
        <v>KY</v>
      </c>
      <c r="C419" s="429" t="str">
        <f t="shared" si="39"/>
        <v>312</v>
      </c>
      <c r="D419" s="430" t="s">
        <v>1734</v>
      </c>
      <c r="E419" s="428" t="str">
        <f t="shared" si="31"/>
        <v>ECR</v>
      </c>
      <c r="G419" s="429">
        <v>1828.037167429</v>
      </c>
      <c r="H419" s="429">
        <v>1828.0832799289999</v>
      </c>
      <c r="I419" s="429">
        <v>1828.1293924290001</v>
      </c>
      <c r="J419" s="429">
        <v>1828.175504929</v>
      </c>
      <c r="K419" s="429">
        <v>1828.2216174289999</v>
      </c>
      <c r="L419" s="429">
        <v>1828.2677299290001</v>
      </c>
      <c r="M419" s="429">
        <v>1849.5724128919901</v>
      </c>
      <c r="N419" s="429">
        <v>1908.3847978619999</v>
      </c>
      <c r="O419" s="429">
        <v>1946.345324719</v>
      </c>
      <c r="P419" s="429">
        <v>1948.1047607190001</v>
      </c>
      <c r="Q419" s="429">
        <v>1949.4924757189999</v>
      </c>
      <c r="R419" s="429">
        <v>1949.676564049</v>
      </c>
      <c r="S419" s="429">
        <f t="shared" si="40"/>
        <v>22520.491028033994</v>
      </c>
    </row>
    <row r="420" spans="1:19">
      <c r="A420" s="429" t="str">
        <f t="shared" si="37"/>
        <v>KU</v>
      </c>
      <c r="B420" s="429" t="str">
        <f t="shared" si="38"/>
        <v>KY</v>
      </c>
      <c r="C420" s="429" t="str">
        <f t="shared" si="39"/>
        <v>312</v>
      </c>
      <c r="D420" s="430" t="s">
        <v>1735</v>
      </c>
      <c r="E420" s="428" t="str">
        <f t="shared" si="31"/>
        <v>ECR</v>
      </c>
      <c r="G420" s="429">
        <v>3160.2425262699999</v>
      </c>
      <c r="H420" s="429">
        <v>3160.2425262699999</v>
      </c>
      <c r="I420" s="429">
        <v>3160.2425262699999</v>
      </c>
      <c r="J420" s="429">
        <v>3160.2425262699999</v>
      </c>
      <c r="K420" s="429">
        <v>3160.2425262699999</v>
      </c>
      <c r="L420" s="429">
        <v>3160.2425262699999</v>
      </c>
      <c r="M420" s="429">
        <v>3160.2425262699999</v>
      </c>
      <c r="N420" s="429">
        <v>3163.4136989899998</v>
      </c>
      <c r="O420" s="429">
        <v>3166.5848716099999</v>
      </c>
      <c r="P420" s="429">
        <v>3166.5848716099999</v>
      </c>
      <c r="Q420" s="429">
        <v>3167.57654938</v>
      </c>
      <c r="R420" s="429">
        <v>3168.5682270399998</v>
      </c>
      <c r="S420" s="429">
        <f t="shared" si="40"/>
        <v>37954.425902520001</v>
      </c>
    </row>
    <row r="421" spans="1:19">
      <c r="A421" s="429" t="str">
        <f t="shared" si="37"/>
        <v>KU</v>
      </c>
      <c r="B421" s="429" t="str">
        <f t="shared" si="38"/>
        <v>KY</v>
      </c>
      <c r="C421" s="429" t="str">
        <f t="shared" si="39"/>
        <v>312</v>
      </c>
      <c r="D421" s="430" t="s">
        <v>2195</v>
      </c>
      <c r="E421" s="428" t="str">
        <f t="shared" si="31"/>
        <v>ECR</v>
      </c>
      <c r="G421" s="429">
        <v>322.12845152592001</v>
      </c>
      <c r="H421" s="429">
        <v>567.72442088891898</v>
      </c>
      <c r="I421" s="429">
        <v>574.31405192991895</v>
      </c>
      <c r="J421" s="429">
        <v>578.04229349991999</v>
      </c>
      <c r="K421" s="429">
        <v>581.60922226992</v>
      </c>
      <c r="L421" s="429">
        <v>621.32445395191996</v>
      </c>
      <c r="M421" s="429">
        <v>661.11399526191997</v>
      </c>
      <c r="N421" s="429">
        <v>731.59098601391997</v>
      </c>
      <c r="O421" s="429">
        <v>800.34614040791996</v>
      </c>
      <c r="P421" s="429">
        <v>800.56239043792004</v>
      </c>
      <c r="Q421" s="429">
        <v>800.99489040792002</v>
      </c>
      <c r="R421" s="429">
        <v>801.64364040791997</v>
      </c>
      <c r="S421" s="429">
        <f t="shared" si="40"/>
        <v>7841.3949370040373</v>
      </c>
    </row>
    <row r="422" spans="1:19">
      <c r="A422" s="429" t="str">
        <f t="shared" si="37"/>
        <v>KU</v>
      </c>
      <c r="B422" s="429" t="str">
        <f t="shared" si="38"/>
        <v>KY</v>
      </c>
      <c r="C422" s="429" t="str">
        <f t="shared" si="39"/>
        <v>314</v>
      </c>
      <c r="D422" s="430" t="s">
        <v>1737</v>
      </c>
      <c r="E422" s="428" t="str">
        <f t="shared" si="31"/>
        <v/>
      </c>
      <c r="G422" s="429">
        <v>789.91943321551696</v>
      </c>
      <c r="H422" s="429">
        <v>791.32942586051695</v>
      </c>
      <c r="I422" s="429">
        <v>792.47658679751601</v>
      </c>
      <c r="J422" s="429">
        <v>792.69120078151695</v>
      </c>
      <c r="K422" s="429">
        <v>792.69120078151695</v>
      </c>
      <c r="L422" s="429">
        <v>792.69120078151695</v>
      </c>
      <c r="M422" s="429">
        <v>795.04018590051703</v>
      </c>
      <c r="N422" s="429">
        <v>812.15640467051696</v>
      </c>
      <c r="O422" s="429">
        <v>826.92363823151697</v>
      </c>
      <c r="P422" s="429">
        <v>826.92363823151697</v>
      </c>
      <c r="Q422" s="429">
        <v>826.92363823151697</v>
      </c>
      <c r="R422" s="429">
        <v>819.08061578351703</v>
      </c>
      <c r="S422" s="429">
        <f t="shared" si="40"/>
        <v>9658.8471692672028</v>
      </c>
    </row>
    <row r="423" spans="1:19">
      <c r="A423" s="429" t="str">
        <f t="shared" si="37"/>
        <v>KU</v>
      </c>
      <c r="B423" s="429" t="str">
        <f t="shared" si="38"/>
        <v>KY</v>
      </c>
      <c r="C423" s="429" t="str">
        <f t="shared" si="39"/>
        <v>315</v>
      </c>
      <c r="D423" s="430" t="s">
        <v>1738</v>
      </c>
      <c r="E423" s="428" t="str">
        <f t="shared" si="31"/>
        <v/>
      </c>
      <c r="G423" s="429">
        <v>527.528996700687</v>
      </c>
      <c r="H423" s="429">
        <v>527.64419432648697</v>
      </c>
      <c r="I423" s="429">
        <v>527.64419432648697</v>
      </c>
      <c r="J423" s="429">
        <v>527.64419432648697</v>
      </c>
      <c r="K423" s="429">
        <v>527.64419432648697</v>
      </c>
      <c r="L423" s="429">
        <v>527.64419432648697</v>
      </c>
      <c r="M423" s="429">
        <v>532.52288625168705</v>
      </c>
      <c r="N423" s="429">
        <v>539.08511710708694</v>
      </c>
      <c r="O423" s="429">
        <v>540.76865602728697</v>
      </c>
      <c r="P423" s="429">
        <v>540.76865602728697</v>
      </c>
      <c r="Q423" s="429">
        <v>540.76865602728697</v>
      </c>
      <c r="R423" s="429">
        <v>540.19228203948705</v>
      </c>
      <c r="S423" s="429">
        <f t="shared" si="40"/>
        <v>6399.8562218132447</v>
      </c>
    </row>
    <row r="424" spans="1:19">
      <c r="A424" s="429" t="str">
        <f t="shared" si="37"/>
        <v>KU</v>
      </c>
      <c r="B424" s="429" t="str">
        <f t="shared" si="38"/>
        <v>KY</v>
      </c>
      <c r="C424" s="429" t="str">
        <f t="shared" si="39"/>
        <v>315</v>
      </c>
      <c r="D424" s="430" t="s">
        <v>2196</v>
      </c>
      <c r="E424" s="428" t="str">
        <f t="shared" si="31"/>
        <v>ECR</v>
      </c>
      <c r="G424" s="429">
        <v>62.271684961070001</v>
      </c>
      <c r="H424" s="429">
        <v>62.271684961070001</v>
      </c>
      <c r="I424" s="429">
        <v>62.271684961070001</v>
      </c>
      <c r="J424" s="429">
        <v>62.271684961070001</v>
      </c>
      <c r="K424" s="429">
        <v>62.271684961070001</v>
      </c>
      <c r="L424" s="429">
        <v>62.271684961070001</v>
      </c>
      <c r="M424" s="429">
        <v>62.271684961070001</v>
      </c>
      <c r="N424" s="429">
        <v>62.271684961070001</v>
      </c>
      <c r="O424" s="429">
        <v>62.271684961070001</v>
      </c>
      <c r="P424" s="429">
        <v>62.271684961070001</v>
      </c>
      <c r="Q424" s="429">
        <v>62.271684961070001</v>
      </c>
      <c r="R424" s="429">
        <v>62.271684961070001</v>
      </c>
      <c r="S424" s="429">
        <f t="shared" si="40"/>
        <v>747.2602195328401</v>
      </c>
    </row>
    <row r="425" spans="1:19">
      <c r="A425" s="429" t="str">
        <f t="shared" si="37"/>
        <v>KU</v>
      </c>
      <c r="B425" s="429" t="str">
        <f t="shared" si="38"/>
        <v>KY</v>
      </c>
      <c r="C425" s="429" t="str">
        <f t="shared" si="39"/>
        <v>315</v>
      </c>
      <c r="D425" s="430" t="s">
        <v>1739</v>
      </c>
      <c r="E425" s="428" t="str">
        <f t="shared" si="31"/>
        <v>ECR</v>
      </c>
      <c r="G425" s="429">
        <v>37.894107699552997</v>
      </c>
      <c r="H425" s="429">
        <v>37.894107699552997</v>
      </c>
      <c r="I425" s="429">
        <v>37.894107699552997</v>
      </c>
      <c r="J425" s="429">
        <v>37.894107699552997</v>
      </c>
      <c r="K425" s="429">
        <v>37.894107699552997</v>
      </c>
      <c r="L425" s="429">
        <v>37.894107699552997</v>
      </c>
      <c r="M425" s="429">
        <v>37.894107699552997</v>
      </c>
      <c r="N425" s="429">
        <v>37.894107699552997</v>
      </c>
      <c r="O425" s="429">
        <v>37.894107699552997</v>
      </c>
      <c r="P425" s="429">
        <v>37.894107699552997</v>
      </c>
      <c r="Q425" s="429">
        <v>37.894107699552997</v>
      </c>
      <c r="R425" s="429">
        <v>37.894107699552997</v>
      </c>
      <c r="S425" s="429">
        <f t="shared" si="40"/>
        <v>454.72929239463593</v>
      </c>
    </row>
    <row r="426" spans="1:19">
      <c r="A426" s="429" t="str">
        <f t="shared" si="37"/>
        <v>KU</v>
      </c>
      <c r="B426" s="429" t="str">
        <f t="shared" si="38"/>
        <v>KY</v>
      </c>
      <c r="C426" s="429" t="str">
        <f t="shared" si="39"/>
        <v>316</v>
      </c>
      <c r="D426" s="430" t="s">
        <v>2197</v>
      </c>
      <c r="E426" s="428" t="str">
        <f t="shared" si="31"/>
        <v>ECR</v>
      </c>
      <c r="G426" s="429">
        <v>1.491736446</v>
      </c>
      <c r="H426" s="429">
        <v>1.491736446</v>
      </c>
      <c r="I426" s="429">
        <v>1.491736446</v>
      </c>
      <c r="J426" s="429">
        <v>1.491736446</v>
      </c>
      <c r="K426" s="429">
        <v>1.491736446</v>
      </c>
      <c r="L426" s="429">
        <v>1.491736446</v>
      </c>
      <c r="M426" s="429">
        <v>1.491736446</v>
      </c>
      <c r="N426" s="429">
        <v>1.491736446</v>
      </c>
      <c r="O426" s="429">
        <v>1.491736446</v>
      </c>
      <c r="P426" s="429">
        <v>1.491736446</v>
      </c>
      <c r="Q426" s="429">
        <v>1.491736446</v>
      </c>
      <c r="R426" s="429">
        <v>1.491736446</v>
      </c>
      <c r="S426" s="429">
        <f t="shared" si="40"/>
        <v>17.900837352000003</v>
      </c>
    </row>
    <row r="427" spans="1:19">
      <c r="A427" s="429" t="str">
        <f t="shared" si="37"/>
        <v>KU</v>
      </c>
      <c r="B427" s="429" t="str">
        <f t="shared" si="38"/>
        <v>KY</v>
      </c>
      <c r="C427" s="429" t="str">
        <f t="shared" si="39"/>
        <v>316</v>
      </c>
      <c r="D427" s="430" t="s">
        <v>1740</v>
      </c>
      <c r="E427" s="428" t="str">
        <f t="shared" si="31"/>
        <v/>
      </c>
      <c r="G427" s="429">
        <v>93.822863326949999</v>
      </c>
      <c r="H427" s="429">
        <v>95.963683034049893</v>
      </c>
      <c r="I427" s="429">
        <v>96.061213527350006</v>
      </c>
      <c r="J427" s="429">
        <v>96.604458471049995</v>
      </c>
      <c r="K427" s="429">
        <v>97.147703434549996</v>
      </c>
      <c r="L427" s="429">
        <v>97.743951474550002</v>
      </c>
      <c r="M427" s="429">
        <v>98.688265066</v>
      </c>
      <c r="N427" s="429">
        <v>103.63259037970001</v>
      </c>
      <c r="O427" s="429">
        <v>108.2288501498</v>
      </c>
      <c r="P427" s="429">
        <v>108.2288501498</v>
      </c>
      <c r="Q427" s="429">
        <v>108.50420786933</v>
      </c>
      <c r="R427" s="429">
        <v>109.18342523295</v>
      </c>
      <c r="S427" s="429">
        <f t="shared" si="40"/>
        <v>1213.8100621160797</v>
      </c>
    </row>
    <row r="428" spans="1:19">
      <c r="A428" s="429" t="str">
        <f t="shared" si="37"/>
        <v>KU</v>
      </c>
      <c r="B428" s="429" t="str">
        <f t="shared" si="38"/>
        <v>KY</v>
      </c>
      <c r="C428" s="429" t="str">
        <f t="shared" si="39"/>
        <v>317</v>
      </c>
      <c r="D428" s="430" t="s">
        <v>1741</v>
      </c>
      <c r="E428" s="428" t="str">
        <f t="shared" si="31"/>
        <v>ARO</v>
      </c>
      <c r="G428" s="429">
        <v>451.94018000000102</v>
      </c>
      <c r="H428" s="429">
        <v>451.94018000000102</v>
      </c>
      <c r="I428" s="429">
        <v>451.94018000000102</v>
      </c>
      <c r="J428" s="429">
        <v>451.94018000000102</v>
      </c>
      <c r="K428" s="429">
        <v>451.94018000000102</v>
      </c>
      <c r="L428" s="429">
        <v>451.94018000000102</v>
      </c>
      <c r="M428" s="429">
        <v>451.94018000000102</v>
      </c>
      <c r="N428" s="429">
        <v>451.94018000000102</v>
      </c>
      <c r="O428" s="429">
        <v>60.823937044654102</v>
      </c>
      <c r="P428" s="429">
        <v>60.823937044654102</v>
      </c>
      <c r="Q428" s="429">
        <v>60.823937044654102</v>
      </c>
      <c r="R428" s="429">
        <v>60.823937044654102</v>
      </c>
      <c r="S428" s="429">
        <f t="shared" si="40"/>
        <v>3858.8171881786243</v>
      </c>
    </row>
    <row r="429" spans="1:19">
      <c r="A429" s="429" t="str">
        <f t="shared" si="37"/>
        <v>KU</v>
      </c>
      <c r="B429" s="429" t="str">
        <f t="shared" si="38"/>
        <v>KY</v>
      </c>
      <c r="C429" s="429" t="str">
        <f t="shared" si="39"/>
        <v>317</v>
      </c>
      <c r="D429" s="430" t="s">
        <v>2507</v>
      </c>
      <c r="E429" s="428" t="str">
        <f t="shared" ref="E429:E493" si="41">IF(ISTEXT(MID($D429,SEARCH("FUTURE USE",$D429),3)),"FUTURE USE",IF(ISTEXT(MID($D429,SEARCH("ECR",$D429),3)),"ECR",IF(ISTEXT(MID($D429,SEARCH("ARO",$D429),3)),"ARO",IF(ISTEXT(MID($D429,SEARCH("DSM",$D429),3)),"DSM",""))))</f>
        <v>ARO</v>
      </c>
      <c r="G429" s="429">
        <v>1035.3629000000001</v>
      </c>
      <c r="H429" s="429">
        <v>1035.3629000000001</v>
      </c>
      <c r="I429" s="429">
        <v>1035.3629000000001</v>
      </c>
      <c r="J429" s="429">
        <v>1035.3629000000001</v>
      </c>
      <c r="K429" s="429">
        <v>1035.3629000000001</v>
      </c>
      <c r="L429" s="429">
        <v>1035.3629000000001</v>
      </c>
      <c r="M429" s="429">
        <v>1035.3629000000001</v>
      </c>
      <c r="N429" s="429">
        <v>1035.3629000000001</v>
      </c>
      <c r="O429" s="429">
        <v>962.96079999999995</v>
      </c>
      <c r="P429" s="429">
        <v>962.96079999999995</v>
      </c>
      <c r="Q429" s="429">
        <v>962.96079999999995</v>
      </c>
      <c r="R429" s="429">
        <v>962.96079999999995</v>
      </c>
      <c r="S429" s="429">
        <f t="shared" ref="S429" si="42">SUM(G429:R429)</f>
        <v>12134.746400000004</v>
      </c>
    </row>
    <row r="430" spans="1:19">
      <c r="A430" s="429" t="str">
        <f t="shared" si="37"/>
        <v>KU</v>
      </c>
      <c r="B430" s="429" t="str">
        <f t="shared" si="38"/>
        <v>KY</v>
      </c>
      <c r="C430" s="429" t="str">
        <f t="shared" si="39"/>
        <v>331</v>
      </c>
      <c r="D430" s="430" t="s">
        <v>1743</v>
      </c>
      <c r="E430" s="428" t="str">
        <f t="shared" si="41"/>
        <v/>
      </c>
      <c r="G430" s="429">
        <v>9.1136659027999993</v>
      </c>
      <c r="H430" s="429">
        <v>9.2142857027999998</v>
      </c>
      <c r="I430" s="429">
        <v>9.3149055028000003</v>
      </c>
      <c r="J430" s="429">
        <v>9.3149055028000003</v>
      </c>
      <c r="K430" s="429">
        <v>9.3149055028000003</v>
      </c>
      <c r="L430" s="429">
        <v>9.3149055028000003</v>
      </c>
      <c r="M430" s="429">
        <v>9.3149055028000003</v>
      </c>
      <c r="N430" s="429">
        <v>9.3149055028000003</v>
      </c>
      <c r="O430" s="429">
        <v>9.3149055028000003</v>
      </c>
      <c r="P430" s="429">
        <v>9.3149055028000003</v>
      </c>
      <c r="Q430" s="429">
        <v>9.3149055028000003</v>
      </c>
      <c r="R430" s="429">
        <v>9.3149055028000003</v>
      </c>
      <c r="S430" s="429">
        <f t="shared" si="40"/>
        <v>111.47700663360001</v>
      </c>
    </row>
    <row r="431" spans="1:19">
      <c r="A431" s="429" t="str">
        <f t="shared" si="37"/>
        <v>KU</v>
      </c>
      <c r="B431" s="429" t="str">
        <f t="shared" si="38"/>
        <v>KY</v>
      </c>
      <c r="C431" s="429" t="str">
        <f t="shared" si="39"/>
        <v>332</v>
      </c>
      <c r="D431" s="430" t="s">
        <v>1744</v>
      </c>
      <c r="E431" s="428" t="str">
        <f t="shared" si="41"/>
        <v/>
      </c>
      <c r="G431" s="429">
        <v>47.601280850999999</v>
      </c>
      <c r="H431" s="429">
        <v>47.601280850999999</v>
      </c>
      <c r="I431" s="429">
        <v>47.601280850999999</v>
      </c>
      <c r="J431" s="429">
        <v>47.601280850999999</v>
      </c>
      <c r="K431" s="429">
        <v>47.601280850999999</v>
      </c>
      <c r="L431" s="429">
        <v>47.601280850999999</v>
      </c>
      <c r="M431" s="429">
        <v>47.601280850999999</v>
      </c>
      <c r="N431" s="429">
        <v>47.601280850999999</v>
      </c>
      <c r="O431" s="429">
        <v>47.601280850999999</v>
      </c>
      <c r="P431" s="429">
        <v>47.601280850999999</v>
      </c>
      <c r="Q431" s="429">
        <v>47.601280850999999</v>
      </c>
      <c r="R431" s="429">
        <v>47.601280850999999</v>
      </c>
      <c r="S431" s="429">
        <f t="shared" si="40"/>
        <v>571.21537021200004</v>
      </c>
    </row>
    <row r="432" spans="1:19">
      <c r="A432" s="429" t="str">
        <f t="shared" si="37"/>
        <v>KU</v>
      </c>
      <c r="B432" s="429" t="str">
        <f t="shared" si="38"/>
        <v>KY</v>
      </c>
      <c r="C432" s="429" t="str">
        <f t="shared" si="39"/>
        <v>333</v>
      </c>
      <c r="D432" s="430" t="s">
        <v>1745</v>
      </c>
      <c r="E432" s="428" t="str">
        <f t="shared" si="41"/>
        <v/>
      </c>
      <c r="G432" s="429">
        <v>45.183685418700001</v>
      </c>
      <c r="H432" s="429">
        <v>45.183685418700001</v>
      </c>
      <c r="I432" s="429">
        <v>45.183685418700001</v>
      </c>
      <c r="J432" s="429">
        <v>45.183685418700001</v>
      </c>
      <c r="K432" s="429">
        <v>45.183685418700001</v>
      </c>
      <c r="L432" s="429">
        <v>45.183685418700001</v>
      </c>
      <c r="M432" s="429">
        <v>45.183685418700001</v>
      </c>
      <c r="N432" s="429">
        <v>45.183685418700001</v>
      </c>
      <c r="O432" s="429">
        <v>45.183685418700001</v>
      </c>
      <c r="P432" s="429">
        <v>45.183685418700001</v>
      </c>
      <c r="Q432" s="429">
        <v>45.183685418700001</v>
      </c>
      <c r="R432" s="429">
        <v>45.183685418700001</v>
      </c>
      <c r="S432" s="429">
        <f t="shared" si="40"/>
        <v>542.20422502439999</v>
      </c>
    </row>
    <row r="433" spans="1:19">
      <c r="A433" s="429" t="str">
        <f t="shared" si="37"/>
        <v>KU</v>
      </c>
      <c r="B433" s="429" t="str">
        <f t="shared" si="38"/>
        <v>KY</v>
      </c>
      <c r="C433" s="429" t="str">
        <f t="shared" si="39"/>
        <v>334</v>
      </c>
      <c r="D433" s="430" t="s">
        <v>1746</v>
      </c>
      <c r="E433" s="428" t="str">
        <f t="shared" si="41"/>
        <v/>
      </c>
      <c r="G433" s="429">
        <v>4.3874393770999998</v>
      </c>
      <c r="H433" s="429">
        <v>4.3874393770999998</v>
      </c>
      <c r="I433" s="429">
        <v>4.3874393770999998</v>
      </c>
      <c r="J433" s="429">
        <v>4.3874393770999998</v>
      </c>
      <c r="K433" s="429">
        <v>4.3874393770999998</v>
      </c>
      <c r="L433" s="429">
        <v>4.3874393770999998</v>
      </c>
      <c r="M433" s="429">
        <v>4.3874393770999998</v>
      </c>
      <c r="N433" s="429">
        <v>4.3874393770999998</v>
      </c>
      <c r="O433" s="429">
        <v>4.3874393770999998</v>
      </c>
      <c r="P433" s="429">
        <v>4.3874393770999998</v>
      </c>
      <c r="Q433" s="429">
        <v>4.3874393770999998</v>
      </c>
      <c r="R433" s="429">
        <v>4.3874393770999998</v>
      </c>
      <c r="S433" s="429">
        <f t="shared" si="40"/>
        <v>52.649272525200011</v>
      </c>
    </row>
    <row r="434" spans="1:19">
      <c r="A434" s="429" t="str">
        <f t="shared" si="37"/>
        <v>KU</v>
      </c>
      <c r="B434" s="429" t="str">
        <f t="shared" si="38"/>
        <v>KY</v>
      </c>
      <c r="C434" s="429" t="str">
        <f t="shared" si="39"/>
        <v>335</v>
      </c>
      <c r="D434" s="430" t="s">
        <v>1747</v>
      </c>
      <c r="E434" s="428" t="str">
        <f t="shared" si="41"/>
        <v/>
      </c>
      <c r="G434" s="429">
        <v>1.03203909717</v>
      </c>
      <c r="H434" s="429">
        <v>1.03203909717</v>
      </c>
      <c r="I434" s="429">
        <v>1.03203909717</v>
      </c>
      <c r="J434" s="429">
        <v>1.03203909717</v>
      </c>
      <c r="K434" s="429">
        <v>1.03203909717</v>
      </c>
      <c r="L434" s="429">
        <v>1.03203909717</v>
      </c>
      <c r="M434" s="429">
        <v>1.03203909717</v>
      </c>
      <c r="N434" s="429">
        <v>1.03203909717</v>
      </c>
      <c r="O434" s="429">
        <v>1.03203909717</v>
      </c>
      <c r="P434" s="429">
        <v>1.03203909717</v>
      </c>
      <c r="Q434" s="429">
        <v>1.03203909717</v>
      </c>
      <c r="R434" s="429">
        <v>1.03203909717</v>
      </c>
      <c r="S434" s="429">
        <f t="shared" si="40"/>
        <v>12.384469166039997</v>
      </c>
    </row>
    <row r="435" spans="1:19">
      <c r="A435" s="429" t="str">
        <f t="shared" si="37"/>
        <v>KU</v>
      </c>
      <c r="B435" s="429" t="str">
        <f t="shared" si="38"/>
        <v>KY</v>
      </c>
      <c r="C435" s="429" t="str">
        <f t="shared" si="39"/>
        <v>336</v>
      </c>
      <c r="D435" s="430" t="s">
        <v>1748</v>
      </c>
      <c r="E435" s="428" t="str">
        <f t="shared" si="41"/>
        <v/>
      </c>
      <c r="G435" s="429">
        <v>0.65076283580000005</v>
      </c>
      <c r="H435" s="429">
        <v>0.65076283580000005</v>
      </c>
      <c r="I435" s="429">
        <v>0.65076283580000005</v>
      </c>
      <c r="J435" s="429">
        <v>0.65076283580000005</v>
      </c>
      <c r="K435" s="429">
        <v>0.65076283580000005</v>
      </c>
      <c r="L435" s="429">
        <v>0.65076283580000005</v>
      </c>
      <c r="M435" s="429">
        <v>0.65076283580000005</v>
      </c>
      <c r="N435" s="429">
        <v>0.65076283580000005</v>
      </c>
      <c r="O435" s="429">
        <v>0.65076283580000005</v>
      </c>
      <c r="P435" s="429">
        <v>0.65076283580000005</v>
      </c>
      <c r="Q435" s="429">
        <v>0.65076283580000005</v>
      </c>
      <c r="R435" s="429">
        <v>0.65076283580000005</v>
      </c>
      <c r="S435" s="429">
        <f t="shared" si="40"/>
        <v>7.809154029600001</v>
      </c>
    </row>
    <row r="436" spans="1:19">
      <c r="A436" s="429" t="str">
        <f t="shared" si="37"/>
        <v>KU</v>
      </c>
      <c r="B436" s="429" t="str">
        <f t="shared" si="38"/>
        <v>KY</v>
      </c>
      <c r="C436" s="429" t="str">
        <f t="shared" si="39"/>
        <v>337</v>
      </c>
      <c r="D436" s="430" t="s">
        <v>1749</v>
      </c>
      <c r="E436" s="428" t="str">
        <f t="shared" si="41"/>
        <v>ARO</v>
      </c>
      <c r="G436" s="429">
        <v>1.49068</v>
      </c>
      <c r="H436" s="429">
        <v>1.49068</v>
      </c>
      <c r="I436" s="429">
        <v>1.49068</v>
      </c>
      <c r="J436" s="429">
        <v>1.49068</v>
      </c>
      <c r="K436" s="429">
        <v>1.49068</v>
      </c>
      <c r="L436" s="429">
        <v>1.49068</v>
      </c>
      <c r="M436" s="429">
        <v>1.49068</v>
      </c>
      <c r="N436" s="429">
        <v>1.49068</v>
      </c>
      <c r="O436" s="429">
        <v>0.20062174262471</v>
      </c>
      <c r="P436" s="429">
        <v>0.20062174262471</v>
      </c>
      <c r="Q436" s="429">
        <v>0.20062174262471</v>
      </c>
      <c r="R436" s="429">
        <v>0.20062174262471</v>
      </c>
      <c r="S436" s="429">
        <f t="shared" si="40"/>
        <v>12.727926970498839</v>
      </c>
    </row>
    <row r="437" spans="1:19">
      <c r="A437" s="429" t="str">
        <f t="shared" si="37"/>
        <v>KU</v>
      </c>
      <c r="B437" s="429" t="str">
        <f t="shared" si="38"/>
        <v>KY</v>
      </c>
      <c r="C437" s="429" t="str">
        <f t="shared" si="39"/>
        <v>340</v>
      </c>
      <c r="D437" s="430" t="s">
        <v>2199</v>
      </c>
      <c r="E437" s="428" t="str">
        <f t="shared" si="41"/>
        <v/>
      </c>
      <c r="G437" s="429">
        <v>0.43203582699999998</v>
      </c>
      <c r="H437" s="429">
        <v>0.43203582699999998</v>
      </c>
      <c r="I437" s="429">
        <v>0.43203582699999998</v>
      </c>
      <c r="J437" s="429">
        <v>0.43203582699999998</v>
      </c>
      <c r="K437" s="429">
        <v>0.43203582699999998</v>
      </c>
      <c r="L437" s="429">
        <v>0.43203582699999998</v>
      </c>
      <c r="M437" s="429">
        <v>0.43203582699999998</v>
      </c>
      <c r="N437" s="429">
        <v>0.43203582699999998</v>
      </c>
      <c r="O437" s="429">
        <v>0.43203582699999998</v>
      </c>
      <c r="P437" s="429">
        <v>0.43203582699999998</v>
      </c>
      <c r="Q437" s="429">
        <v>0.43203582699999998</v>
      </c>
      <c r="R437" s="429">
        <v>0.43203582699999998</v>
      </c>
      <c r="S437" s="429">
        <f t="shared" si="40"/>
        <v>5.1844299239999998</v>
      </c>
    </row>
    <row r="438" spans="1:19">
      <c r="A438" s="429" t="str">
        <f t="shared" si="37"/>
        <v>KU</v>
      </c>
      <c r="B438" s="429" t="str">
        <f t="shared" si="38"/>
        <v>KY</v>
      </c>
      <c r="C438" s="429" t="str">
        <f t="shared" si="39"/>
        <v>341</v>
      </c>
      <c r="D438" s="430" t="s">
        <v>1751</v>
      </c>
      <c r="E438" s="428" t="str">
        <f t="shared" si="41"/>
        <v/>
      </c>
      <c r="G438" s="429">
        <v>116.43062329750001</v>
      </c>
      <c r="H438" s="429">
        <v>116.43062329750001</v>
      </c>
      <c r="I438" s="429">
        <v>116.43062329750001</v>
      </c>
      <c r="J438" s="429">
        <v>116.43062329750001</v>
      </c>
      <c r="K438" s="429">
        <v>116.43062329750001</v>
      </c>
      <c r="L438" s="429">
        <v>116.43062329750001</v>
      </c>
      <c r="M438" s="429">
        <v>116.43062329750001</v>
      </c>
      <c r="N438" s="429">
        <v>116.43062329750001</v>
      </c>
      <c r="O438" s="429">
        <v>116.43062329750001</v>
      </c>
      <c r="P438" s="429">
        <v>116.43062329750001</v>
      </c>
      <c r="Q438" s="429">
        <v>116.43062329750001</v>
      </c>
      <c r="R438" s="429">
        <v>116.43062329750001</v>
      </c>
      <c r="S438" s="429">
        <f t="shared" si="40"/>
        <v>1397.1674795700001</v>
      </c>
    </row>
    <row r="439" spans="1:19">
      <c r="A439" s="429" t="str">
        <f t="shared" si="37"/>
        <v>KU</v>
      </c>
      <c r="B439" s="429" t="str">
        <f t="shared" si="38"/>
        <v>KY</v>
      </c>
      <c r="C439" s="429" t="str">
        <f t="shared" si="39"/>
        <v>341</v>
      </c>
      <c r="D439" s="430" t="s">
        <v>2200</v>
      </c>
      <c r="E439" s="428" t="str">
        <f t="shared" si="41"/>
        <v/>
      </c>
      <c r="G439" s="429">
        <v>124.19418898000001</v>
      </c>
      <c r="H439" s="429">
        <v>124.19418898000001</v>
      </c>
      <c r="I439" s="429">
        <v>124.19418898000001</v>
      </c>
      <c r="J439" s="429">
        <v>124.19418898000001</v>
      </c>
      <c r="K439" s="429">
        <v>124.19418898000001</v>
      </c>
      <c r="L439" s="429">
        <v>124.19418898000001</v>
      </c>
      <c r="M439" s="429">
        <v>124.19418898000001</v>
      </c>
      <c r="N439" s="429">
        <v>124.19418898000001</v>
      </c>
      <c r="O439" s="429">
        <v>124.19418898000001</v>
      </c>
      <c r="P439" s="429">
        <v>124.19418898000001</v>
      </c>
      <c r="Q439" s="429">
        <v>124.19418898000001</v>
      </c>
      <c r="R439" s="429">
        <v>124.19418898000001</v>
      </c>
      <c r="S439" s="429">
        <f t="shared" si="40"/>
        <v>1490.3302677600002</v>
      </c>
    </row>
    <row r="440" spans="1:19">
      <c r="A440" s="429" t="str">
        <f t="shared" si="37"/>
        <v>KU</v>
      </c>
      <c r="B440" s="429" t="str">
        <f t="shared" si="38"/>
        <v>KY</v>
      </c>
      <c r="C440" s="429" t="str">
        <f t="shared" si="39"/>
        <v>341</v>
      </c>
      <c r="D440" s="430" t="s">
        <v>2201</v>
      </c>
      <c r="E440" s="428" t="str">
        <f t="shared" si="41"/>
        <v/>
      </c>
      <c r="G440" s="429">
        <v>5.1014621416999999</v>
      </c>
      <c r="H440" s="429">
        <v>5.1014621416999999</v>
      </c>
      <c r="I440" s="429">
        <v>5.1014621416999999</v>
      </c>
      <c r="J440" s="429">
        <v>5.1014621416999999</v>
      </c>
      <c r="K440" s="429">
        <v>5.1014621416999999</v>
      </c>
      <c r="L440" s="429">
        <v>5.1014621416999999</v>
      </c>
      <c r="M440" s="429">
        <v>5.1014621416999999</v>
      </c>
      <c r="N440" s="429">
        <v>5.1014621416999999</v>
      </c>
      <c r="O440" s="429">
        <v>5.1014621416999999</v>
      </c>
      <c r="P440" s="429">
        <v>5.1014621416999999</v>
      </c>
      <c r="Q440" s="429">
        <v>5.1014621416999999</v>
      </c>
      <c r="R440" s="429">
        <v>5.1014621416999999</v>
      </c>
      <c r="S440" s="429">
        <f t="shared" si="40"/>
        <v>61.217545700399988</v>
      </c>
    </row>
    <row r="441" spans="1:19">
      <c r="A441" s="429" t="str">
        <f t="shared" si="37"/>
        <v>KU</v>
      </c>
      <c r="B441" s="429" t="str">
        <f t="shared" si="38"/>
        <v>KY</v>
      </c>
      <c r="C441" s="429" t="str">
        <f t="shared" si="39"/>
        <v>342</v>
      </c>
      <c r="D441" s="430" t="s">
        <v>1752</v>
      </c>
      <c r="E441" s="428" t="str">
        <f t="shared" si="41"/>
        <v/>
      </c>
      <c r="G441" s="429">
        <v>55.2186282714</v>
      </c>
      <c r="H441" s="429">
        <v>55.2186282714</v>
      </c>
      <c r="I441" s="429">
        <v>55.2186282714</v>
      </c>
      <c r="J441" s="429">
        <v>55.2186282714</v>
      </c>
      <c r="K441" s="429">
        <v>55.2186282714</v>
      </c>
      <c r="L441" s="429">
        <v>55.2186282714</v>
      </c>
      <c r="M441" s="429">
        <v>55.2186282714</v>
      </c>
      <c r="N441" s="429">
        <v>55.2186282714</v>
      </c>
      <c r="O441" s="429">
        <v>55.2186282714</v>
      </c>
      <c r="P441" s="429">
        <v>55.2186282714</v>
      </c>
      <c r="Q441" s="429">
        <v>55.2186282714</v>
      </c>
      <c r="R441" s="429">
        <v>55.2186282714</v>
      </c>
      <c r="S441" s="429">
        <f t="shared" si="40"/>
        <v>662.62353925679997</v>
      </c>
    </row>
    <row r="442" spans="1:19">
      <c r="A442" s="429" t="str">
        <f t="shared" si="37"/>
        <v>KU</v>
      </c>
      <c r="B442" s="429" t="str">
        <f t="shared" si="38"/>
        <v>KY</v>
      </c>
      <c r="C442" s="429" t="str">
        <f t="shared" si="39"/>
        <v>342</v>
      </c>
      <c r="D442" s="430" t="s">
        <v>2202</v>
      </c>
      <c r="E442" s="428" t="str">
        <f t="shared" si="41"/>
        <v/>
      </c>
      <c r="G442" s="429">
        <v>16.325111757999998</v>
      </c>
      <c r="H442" s="429">
        <v>16.325111757999998</v>
      </c>
      <c r="I442" s="429">
        <v>16.325111757999998</v>
      </c>
      <c r="J442" s="429">
        <v>16.325111757999998</v>
      </c>
      <c r="K442" s="429">
        <v>16.325111757999998</v>
      </c>
      <c r="L442" s="429">
        <v>16.325111757999998</v>
      </c>
      <c r="M442" s="429">
        <v>16.325111757999998</v>
      </c>
      <c r="N442" s="429">
        <v>16.325111757999998</v>
      </c>
      <c r="O442" s="429">
        <v>16.325111757999998</v>
      </c>
      <c r="P442" s="429">
        <v>16.325111757999998</v>
      </c>
      <c r="Q442" s="429">
        <v>16.325111757999998</v>
      </c>
      <c r="R442" s="429">
        <v>16.325111757999998</v>
      </c>
      <c r="S442" s="429">
        <f t="shared" si="40"/>
        <v>195.90134109599992</v>
      </c>
    </row>
    <row r="443" spans="1:19">
      <c r="A443" s="429" t="str">
        <f t="shared" si="37"/>
        <v>KU</v>
      </c>
      <c r="B443" s="429" t="str">
        <f t="shared" si="38"/>
        <v>KY</v>
      </c>
      <c r="C443" s="429" t="str">
        <f t="shared" si="39"/>
        <v>342</v>
      </c>
      <c r="D443" s="430" t="s">
        <v>2203</v>
      </c>
      <c r="E443" s="428" t="str">
        <f t="shared" si="41"/>
        <v/>
      </c>
      <c r="G443" s="429">
        <v>116.444568881</v>
      </c>
      <c r="H443" s="429">
        <v>116.444568881</v>
      </c>
      <c r="I443" s="429">
        <v>116.444568881</v>
      </c>
      <c r="J443" s="429">
        <v>116.444568881</v>
      </c>
      <c r="K443" s="429">
        <v>140.70521931599899</v>
      </c>
      <c r="L443" s="429">
        <v>166.90380724799999</v>
      </c>
      <c r="M443" s="429">
        <v>168.84174475499901</v>
      </c>
      <c r="N443" s="429">
        <v>168.84174475499901</v>
      </c>
      <c r="O443" s="429">
        <v>168.84174475499901</v>
      </c>
      <c r="P443" s="429">
        <v>168.84174475499901</v>
      </c>
      <c r="Q443" s="429">
        <v>168.84174475499901</v>
      </c>
      <c r="R443" s="429">
        <v>168.84174475499901</v>
      </c>
      <c r="S443" s="429">
        <f t="shared" si="40"/>
        <v>1786.4377706179935</v>
      </c>
    </row>
    <row r="444" spans="1:19">
      <c r="A444" s="429" t="str">
        <f t="shared" si="37"/>
        <v>KU</v>
      </c>
      <c r="B444" s="429" t="str">
        <f t="shared" si="38"/>
        <v>KY</v>
      </c>
      <c r="C444" s="429" t="str">
        <f t="shared" si="39"/>
        <v>343</v>
      </c>
      <c r="D444" s="430" t="s">
        <v>1753</v>
      </c>
      <c r="E444" s="428" t="str">
        <f t="shared" si="41"/>
        <v/>
      </c>
      <c r="G444" s="429">
        <v>1668.2288725016999</v>
      </c>
      <c r="H444" s="429">
        <v>1697.8471924758001</v>
      </c>
      <c r="I444" s="429">
        <v>1697.8471924758001</v>
      </c>
      <c r="J444" s="429">
        <v>1697.8471924758001</v>
      </c>
      <c r="K444" s="429">
        <v>1698.8625189828001</v>
      </c>
      <c r="L444" s="429">
        <v>1700.3243401317</v>
      </c>
      <c r="M444" s="429">
        <v>1701.3619114241001</v>
      </c>
      <c r="N444" s="429">
        <v>1703.7845890295</v>
      </c>
      <c r="O444" s="429">
        <v>1705.6161899854999</v>
      </c>
      <c r="P444" s="429">
        <v>1705.6161899854999</v>
      </c>
      <c r="Q444" s="429">
        <v>1705.6161899854999</v>
      </c>
      <c r="R444" s="429">
        <v>1705.6161899854999</v>
      </c>
      <c r="S444" s="429">
        <f t="shared" si="40"/>
        <v>20388.568569439198</v>
      </c>
    </row>
    <row r="445" spans="1:19">
      <c r="A445" s="429" t="str">
        <f t="shared" si="37"/>
        <v>KU</v>
      </c>
      <c r="B445" s="429" t="str">
        <f t="shared" si="38"/>
        <v>KY</v>
      </c>
      <c r="C445" s="429" t="str">
        <f t="shared" si="39"/>
        <v>343</v>
      </c>
      <c r="D445" s="430" t="s">
        <v>2204</v>
      </c>
      <c r="E445" s="428" t="str">
        <f t="shared" si="41"/>
        <v/>
      </c>
      <c r="G445" s="429">
        <v>779.38439768900002</v>
      </c>
      <c r="H445" s="429">
        <v>779.53740575799998</v>
      </c>
      <c r="I445" s="429">
        <v>779.69041372599997</v>
      </c>
      <c r="J445" s="429">
        <v>779.69041372599997</v>
      </c>
      <c r="K445" s="429">
        <v>779.84342179500004</v>
      </c>
      <c r="L445" s="429">
        <v>780.10250710699995</v>
      </c>
      <c r="M445" s="429">
        <v>780.20858434100001</v>
      </c>
      <c r="N445" s="429">
        <v>780.36159240999996</v>
      </c>
      <c r="O445" s="429">
        <v>780.51460037799995</v>
      </c>
      <c r="P445" s="429">
        <v>780.51460037799995</v>
      </c>
      <c r="Q445" s="429">
        <v>780.66796320499998</v>
      </c>
      <c r="R445" s="429">
        <v>801.10733848899997</v>
      </c>
      <c r="S445" s="429">
        <f t="shared" si="40"/>
        <v>9381.6232390019995</v>
      </c>
    </row>
    <row r="446" spans="1:19">
      <c r="A446" s="429" t="str">
        <f t="shared" si="37"/>
        <v>KU</v>
      </c>
      <c r="B446" s="429" t="str">
        <f t="shared" si="38"/>
        <v>KY</v>
      </c>
      <c r="C446" s="429" t="str">
        <f t="shared" si="39"/>
        <v>344</v>
      </c>
      <c r="D446" s="430" t="s">
        <v>1754</v>
      </c>
      <c r="E446" s="428" t="str">
        <f t="shared" si="41"/>
        <v/>
      </c>
      <c r="G446" s="429">
        <v>201.91791984290001</v>
      </c>
      <c r="H446" s="429">
        <v>201.91791984290001</v>
      </c>
      <c r="I446" s="429">
        <v>201.91791984290001</v>
      </c>
      <c r="J446" s="429">
        <v>201.91791984290001</v>
      </c>
      <c r="K446" s="429">
        <v>201.91791984290001</v>
      </c>
      <c r="L446" s="429">
        <v>201.91791984290001</v>
      </c>
      <c r="M446" s="429">
        <v>201.91791984290001</v>
      </c>
      <c r="N446" s="429">
        <v>201.91791984290001</v>
      </c>
      <c r="O446" s="429">
        <v>201.91791984290001</v>
      </c>
      <c r="P446" s="429">
        <v>201.91791984290001</v>
      </c>
      <c r="Q446" s="429">
        <v>201.91791984290001</v>
      </c>
      <c r="R446" s="429">
        <v>203.83331787469999</v>
      </c>
      <c r="S446" s="429">
        <f t="shared" si="40"/>
        <v>2424.9304361466002</v>
      </c>
    </row>
    <row r="447" spans="1:19">
      <c r="A447" s="429" t="str">
        <f t="shared" si="37"/>
        <v>KU</v>
      </c>
      <c r="B447" s="429" t="str">
        <f t="shared" si="38"/>
        <v>KY</v>
      </c>
      <c r="C447" s="429" t="str">
        <f t="shared" si="39"/>
        <v>344</v>
      </c>
      <c r="D447" s="430" t="s">
        <v>2205</v>
      </c>
      <c r="E447" s="428" t="str">
        <f t="shared" si="41"/>
        <v/>
      </c>
      <c r="G447" s="429">
        <v>140.15068509299999</v>
      </c>
      <c r="H447" s="429">
        <v>140.15068509299999</v>
      </c>
      <c r="I447" s="429">
        <v>140.15068509299999</v>
      </c>
      <c r="J447" s="429">
        <v>140.15068509299999</v>
      </c>
      <c r="K447" s="429">
        <v>140.15068509299999</v>
      </c>
      <c r="L447" s="429">
        <v>140.15068509299999</v>
      </c>
      <c r="M447" s="429">
        <v>140.15068509299999</v>
      </c>
      <c r="N447" s="429">
        <v>140.15068509299999</v>
      </c>
      <c r="O447" s="429">
        <v>140.15068509299999</v>
      </c>
      <c r="P447" s="429">
        <v>140.15068509299999</v>
      </c>
      <c r="Q447" s="429">
        <v>140.15068509299999</v>
      </c>
      <c r="R447" s="429">
        <v>140.15068509299999</v>
      </c>
      <c r="S447" s="429">
        <f t="shared" si="40"/>
        <v>1681.8082211159999</v>
      </c>
    </row>
    <row r="448" spans="1:19">
      <c r="A448" s="429" t="str">
        <f t="shared" si="37"/>
        <v>KU</v>
      </c>
      <c r="B448" s="429" t="str">
        <f t="shared" si="38"/>
        <v>KY</v>
      </c>
      <c r="C448" s="429" t="str">
        <f t="shared" si="39"/>
        <v>344</v>
      </c>
      <c r="D448" s="430" t="s">
        <v>2206</v>
      </c>
      <c r="E448" s="428" t="str">
        <f t="shared" si="41"/>
        <v/>
      </c>
      <c r="G448" s="429">
        <v>50.205432538700002</v>
      </c>
      <c r="H448" s="429">
        <v>50.205432538700002</v>
      </c>
      <c r="I448" s="429">
        <v>50.205432538700002</v>
      </c>
      <c r="J448" s="429">
        <v>50.205432538700002</v>
      </c>
      <c r="K448" s="429">
        <v>50.205432538700002</v>
      </c>
      <c r="L448" s="429">
        <v>50.205432538700002</v>
      </c>
      <c r="M448" s="429">
        <v>50.205432538700002</v>
      </c>
      <c r="N448" s="429">
        <v>50.205432538700002</v>
      </c>
      <c r="O448" s="429">
        <v>50.205432538700002</v>
      </c>
      <c r="P448" s="429">
        <v>50.205432538700002</v>
      </c>
      <c r="Q448" s="429">
        <v>50.205432538700002</v>
      </c>
      <c r="R448" s="429">
        <v>50.205432538700002</v>
      </c>
      <c r="S448" s="429">
        <f t="shared" si="40"/>
        <v>602.46519046440005</v>
      </c>
    </row>
    <row r="449" spans="1:22">
      <c r="A449" s="429" t="str">
        <f t="shared" si="37"/>
        <v>KU</v>
      </c>
      <c r="B449" s="429" t="str">
        <f t="shared" si="38"/>
        <v>KY</v>
      </c>
      <c r="C449" s="429" t="str">
        <f t="shared" si="39"/>
        <v>345</v>
      </c>
      <c r="D449" s="430" t="s">
        <v>1755</v>
      </c>
      <c r="E449" s="428" t="str">
        <f t="shared" si="41"/>
        <v/>
      </c>
      <c r="G449" s="429">
        <v>193.94739124770001</v>
      </c>
      <c r="H449" s="429">
        <v>193.94739124770001</v>
      </c>
      <c r="I449" s="429">
        <v>193.94739124770001</v>
      </c>
      <c r="J449" s="429">
        <v>193.94739124770001</v>
      </c>
      <c r="K449" s="429">
        <v>193.94739124770001</v>
      </c>
      <c r="L449" s="429">
        <v>193.94739124770001</v>
      </c>
      <c r="M449" s="429">
        <v>193.94739124770001</v>
      </c>
      <c r="N449" s="429">
        <v>193.94739124770001</v>
      </c>
      <c r="O449" s="429">
        <v>193.94739124770001</v>
      </c>
      <c r="P449" s="429">
        <v>193.94739124770001</v>
      </c>
      <c r="Q449" s="429">
        <v>193.94739124770001</v>
      </c>
      <c r="R449" s="429">
        <v>194.49514064849899</v>
      </c>
      <c r="S449" s="429">
        <f t="shared" si="40"/>
        <v>2327.9164443731993</v>
      </c>
    </row>
    <row r="450" spans="1:22">
      <c r="A450" s="429" t="str">
        <f t="shared" si="37"/>
        <v>KU</v>
      </c>
      <c r="B450" s="429" t="str">
        <f t="shared" si="38"/>
        <v>KY</v>
      </c>
      <c r="C450" s="429" t="str">
        <f t="shared" si="39"/>
        <v>345</v>
      </c>
      <c r="D450" s="430" t="s">
        <v>2207</v>
      </c>
      <c r="E450" s="428" t="str">
        <f t="shared" si="41"/>
        <v/>
      </c>
      <c r="G450" s="429">
        <v>65.150375666000002</v>
      </c>
      <c r="H450" s="429">
        <v>65.150375666000002</v>
      </c>
      <c r="I450" s="429">
        <v>65.150375666000002</v>
      </c>
      <c r="J450" s="429">
        <v>65.150375666000002</v>
      </c>
      <c r="K450" s="429">
        <v>65.150375666000002</v>
      </c>
      <c r="L450" s="429">
        <v>65.150375666000002</v>
      </c>
      <c r="M450" s="429">
        <v>65.150375666000002</v>
      </c>
      <c r="N450" s="429">
        <v>65.150375666000002</v>
      </c>
      <c r="O450" s="429">
        <v>65.150375666000002</v>
      </c>
      <c r="P450" s="429">
        <v>65.150375666000002</v>
      </c>
      <c r="Q450" s="429">
        <v>65.150375666000002</v>
      </c>
      <c r="R450" s="429">
        <v>65.150375666000002</v>
      </c>
      <c r="S450" s="429">
        <f t="shared" si="40"/>
        <v>781.8045079919998</v>
      </c>
    </row>
    <row r="451" spans="1:22">
      <c r="A451" s="429" t="str">
        <f t="shared" si="37"/>
        <v>KU</v>
      </c>
      <c r="B451" s="429" t="str">
        <f t="shared" si="38"/>
        <v>KY</v>
      </c>
      <c r="C451" s="429" t="str">
        <f t="shared" si="39"/>
        <v>345</v>
      </c>
      <c r="D451" s="430" t="s">
        <v>2208</v>
      </c>
      <c r="E451" s="428" t="str">
        <f t="shared" si="41"/>
        <v/>
      </c>
      <c r="G451" s="429">
        <v>1.618539983</v>
      </c>
      <c r="H451" s="429">
        <v>1.618539983</v>
      </c>
      <c r="I451" s="429">
        <v>1.618539983</v>
      </c>
      <c r="J451" s="429">
        <v>1.618539983</v>
      </c>
      <c r="K451" s="429">
        <v>1.618539983</v>
      </c>
      <c r="L451" s="429">
        <v>1.618539983</v>
      </c>
      <c r="M451" s="429">
        <v>1.618539983</v>
      </c>
      <c r="N451" s="429">
        <v>3.5669004499999999</v>
      </c>
      <c r="O451" s="429">
        <v>5.5927721608000001</v>
      </c>
      <c r="P451" s="429">
        <v>5.7477945042999998</v>
      </c>
      <c r="Q451" s="429">
        <v>5.9028167017999902</v>
      </c>
      <c r="R451" s="429">
        <v>6.0578389002999904</v>
      </c>
      <c r="S451" s="429">
        <f t="shared" si="40"/>
        <v>38.197902598199981</v>
      </c>
    </row>
    <row r="452" spans="1:22">
      <c r="A452" s="429" t="str">
        <f t="shared" si="37"/>
        <v>KU</v>
      </c>
      <c r="B452" s="429" t="str">
        <f t="shared" si="38"/>
        <v>KY</v>
      </c>
      <c r="C452" s="429" t="str">
        <f t="shared" si="39"/>
        <v>346</v>
      </c>
      <c r="D452" s="430" t="s">
        <v>1756</v>
      </c>
      <c r="E452" s="428" t="str">
        <f t="shared" si="41"/>
        <v/>
      </c>
      <c r="G452" s="429">
        <v>22.897993433153999</v>
      </c>
      <c r="H452" s="429">
        <v>22.917062546354</v>
      </c>
      <c r="I452" s="429">
        <v>22.936131659453999</v>
      </c>
      <c r="J452" s="429">
        <v>22.936131659453999</v>
      </c>
      <c r="K452" s="429">
        <v>27.936731651753899</v>
      </c>
      <c r="L452" s="429">
        <v>32.937331639953896</v>
      </c>
      <c r="M452" s="429">
        <v>32.937331639953896</v>
      </c>
      <c r="N452" s="429">
        <v>32.937331639953896</v>
      </c>
      <c r="O452" s="429">
        <v>32.937331639953896</v>
      </c>
      <c r="P452" s="429">
        <v>33.886583708616897</v>
      </c>
      <c r="Q452" s="429">
        <v>34.835835777786897</v>
      </c>
      <c r="R452" s="429">
        <v>36.183161498866902</v>
      </c>
      <c r="S452" s="429">
        <f t="shared" si="40"/>
        <v>356.27895849525618</v>
      </c>
    </row>
    <row r="453" spans="1:22">
      <c r="A453" s="429" t="str">
        <f t="shared" si="37"/>
        <v>KU</v>
      </c>
      <c r="B453" s="429" t="str">
        <f t="shared" si="38"/>
        <v>KY</v>
      </c>
      <c r="C453" s="429" t="str">
        <f t="shared" si="39"/>
        <v>346</v>
      </c>
      <c r="D453" s="430" t="s">
        <v>2209</v>
      </c>
      <c r="E453" s="428" t="str">
        <f t="shared" si="41"/>
        <v/>
      </c>
      <c r="G453" s="429">
        <v>10.586664663000001</v>
      </c>
      <c r="H453" s="429">
        <v>10.971876586</v>
      </c>
      <c r="I453" s="429">
        <v>11.357088505</v>
      </c>
      <c r="J453" s="429">
        <v>11.357088505</v>
      </c>
      <c r="K453" s="429">
        <v>11.603046229</v>
      </c>
      <c r="L453" s="429">
        <v>11.849003943</v>
      </c>
      <c r="M453" s="429">
        <v>11.849003943</v>
      </c>
      <c r="N453" s="429">
        <v>11.849003943</v>
      </c>
      <c r="O453" s="429">
        <v>11.849003943</v>
      </c>
      <c r="P453" s="429">
        <v>11.849003943</v>
      </c>
      <c r="Q453" s="429">
        <v>12.239328132000001</v>
      </c>
      <c r="R453" s="429">
        <v>12.629652310999999</v>
      </c>
      <c r="S453" s="429">
        <f t="shared" si="40"/>
        <v>139.989764646</v>
      </c>
    </row>
    <row r="454" spans="1:22">
      <c r="A454" s="429" t="str">
        <f t="shared" si="37"/>
        <v>KU</v>
      </c>
      <c r="B454" s="429" t="str">
        <f t="shared" si="38"/>
        <v>KY</v>
      </c>
      <c r="C454" s="429" t="str">
        <f t="shared" si="39"/>
        <v>346</v>
      </c>
      <c r="D454" s="430" t="s">
        <v>2210</v>
      </c>
      <c r="E454" s="428" t="str">
        <f t="shared" si="41"/>
        <v/>
      </c>
      <c r="G454" s="429">
        <v>1.5044230750000001</v>
      </c>
      <c r="H454" s="429">
        <v>1.5044230750000001</v>
      </c>
      <c r="I454" s="429">
        <v>1.5044230750000001</v>
      </c>
      <c r="J454" s="429">
        <v>1.5044230750000001</v>
      </c>
      <c r="K454" s="429">
        <v>1.5044230750000001</v>
      </c>
      <c r="L454" s="429">
        <v>1.5044230750000001</v>
      </c>
      <c r="M454" s="429">
        <v>1.5044230750000001</v>
      </c>
      <c r="N454" s="429">
        <v>1.5044230750000001</v>
      </c>
      <c r="O454" s="429">
        <v>1.5044230750000001</v>
      </c>
      <c r="P454" s="429">
        <v>1.5044230750000001</v>
      </c>
      <c r="Q454" s="429">
        <v>1.5044230750000001</v>
      </c>
      <c r="R454" s="429">
        <v>1.5044230750000001</v>
      </c>
      <c r="S454" s="429">
        <f t="shared" si="40"/>
        <v>18.053076900000001</v>
      </c>
    </row>
    <row r="455" spans="1:22">
      <c r="A455" s="429" t="str">
        <f t="shared" si="37"/>
        <v>KU</v>
      </c>
      <c r="B455" s="429" t="str">
        <f t="shared" si="38"/>
        <v>KY</v>
      </c>
      <c r="C455" s="429" t="str">
        <f t="shared" si="39"/>
        <v>347</v>
      </c>
      <c r="D455" s="430" t="s">
        <v>2211</v>
      </c>
      <c r="E455" s="428" t="str">
        <f t="shared" si="41"/>
        <v>ARO</v>
      </c>
      <c r="G455" s="429">
        <v>1.6791199999999999</v>
      </c>
      <c r="H455" s="429">
        <v>1.6791199999999999</v>
      </c>
      <c r="I455" s="429">
        <v>1.6791199999999999</v>
      </c>
      <c r="J455" s="429">
        <v>1.6791199999999999</v>
      </c>
      <c r="K455" s="429">
        <v>1.6791199999999999</v>
      </c>
      <c r="L455" s="429">
        <v>1.6791199999999999</v>
      </c>
      <c r="M455" s="429">
        <v>1.6791199999999999</v>
      </c>
      <c r="N455" s="429">
        <v>1.6791199999999999</v>
      </c>
      <c r="O455" s="429">
        <v>0.22598275986529801</v>
      </c>
      <c r="P455" s="429">
        <v>0.22598275986529801</v>
      </c>
      <c r="Q455" s="429">
        <v>0.22598275986529801</v>
      </c>
      <c r="R455" s="429">
        <v>0.22598275986529801</v>
      </c>
      <c r="S455" s="429">
        <f t="shared" si="40"/>
        <v>14.336891039461189</v>
      </c>
    </row>
    <row r="456" spans="1:22">
      <c r="A456" s="429" t="str">
        <f t="shared" si="37"/>
        <v>KU</v>
      </c>
      <c r="B456" s="429" t="str">
        <f t="shared" si="38"/>
        <v>KY</v>
      </c>
      <c r="C456" s="429" t="str">
        <f t="shared" si="39"/>
        <v>350</v>
      </c>
      <c r="D456" s="430" t="s">
        <v>1757</v>
      </c>
      <c r="E456" s="428" t="str">
        <f t="shared" si="41"/>
        <v/>
      </c>
      <c r="G456" s="429">
        <v>19.668769019999999</v>
      </c>
      <c r="H456" s="429">
        <v>19.668769019999999</v>
      </c>
      <c r="I456" s="429">
        <v>19.668769019999999</v>
      </c>
      <c r="J456" s="429">
        <v>19.668769019999999</v>
      </c>
      <c r="K456" s="429">
        <v>19.668769019999999</v>
      </c>
      <c r="L456" s="429">
        <v>19.668769019999999</v>
      </c>
      <c r="M456" s="429">
        <v>19.668769019999999</v>
      </c>
      <c r="N456" s="429">
        <v>19.668769019999999</v>
      </c>
      <c r="O456" s="429">
        <v>19.668769019999999</v>
      </c>
      <c r="P456" s="429">
        <v>19.668769019999999</v>
      </c>
      <c r="Q456" s="429">
        <v>19.668769019999999</v>
      </c>
      <c r="R456" s="429">
        <v>19.668769019999999</v>
      </c>
      <c r="S456" s="429">
        <f t="shared" si="40"/>
        <v>236.02522824000005</v>
      </c>
    </row>
    <row r="457" spans="1:22">
      <c r="A457" s="429" t="str">
        <f t="shared" si="37"/>
        <v>KU</v>
      </c>
      <c r="B457" s="429" t="str">
        <f t="shared" si="38"/>
        <v>TN</v>
      </c>
      <c r="C457" s="429" t="str">
        <f t="shared" si="39"/>
        <v>350</v>
      </c>
      <c r="D457" s="430" t="s">
        <v>1758</v>
      </c>
      <c r="E457" s="428" t="str">
        <f t="shared" si="41"/>
        <v/>
      </c>
      <c r="G457" s="429">
        <v>3.1499650000000001E-4</v>
      </c>
      <c r="H457" s="429">
        <v>3.1499650000000001E-4</v>
      </c>
      <c r="I457" s="429">
        <v>3.1499650000000001E-4</v>
      </c>
      <c r="J457" s="429">
        <v>3.1499650000000001E-4</v>
      </c>
      <c r="K457" s="429">
        <v>3.1499650000000001E-4</v>
      </c>
      <c r="L457" s="429">
        <v>3.1499650000000001E-4</v>
      </c>
      <c r="M457" s="429">
        <v>3.1499650000000001E-4</v>
      </c>
      <c r="N457" s="429">
        <v>3.1499650000000001E-4</v>
      </c>
      <c r="O457" s="429">
        <v>3.1499650000000001E-4</v>
      </c>
      <c r="P457" s="429">
        <v>3.1499650000000001E-4</v>
      </c>
      <c r="Q457" s="429">
        <v>3.1499650000000001E-4</v>
      </c>
      <c r="R457" s="429">
        <v>3.1499650000000001E-4</v>
      </c>
      <c r="S457" s="429">
        <f t="shared" si="40"/>
        <v>3.7799579999999995E-3</v>
      </c>
    </row>
    <row r="458" spans="1:22">
      <c r="A458" s="429" t="str">
        <f t="shared" si="37"/>
        <v>KU</v>
      </c>
      <c r="B458" s="429" t="str">
        <f t="shared" si="38"/>
        <v>VA</v>
      </c>
      <c r="C458" s="429" t="str">
        <f t="shared" si="39"/>
        <v>350</v>
      </c>
      <c r="D458" s="430" t="s">
        <v>1759</v>
      </c>
      <c r="E458" s="428" t="str">
        <f t="shared" si="41"/>
        <v/>
      </c>
      <c r="G458" s="429">
        <v>1.5906241800000001</v>
      </c>
      <c r="H458" s="429">
        <v>1.5906241800000001</v>
      </c>
      <c r="I458" s="429">
        <v>1.5906241800000001</v>
      </c>
      <c r="J458" s="429">
        <v>1.5906241800000001</v>
      </c>
      <c r="K458" s="429">
        <v>1.5906241800000001</v>
      </c>
      <c r="L458" s="429">
        <v>1.5906241800000001</v>
      </c>
      <c r="M458" s="429">
        <v>1.5906241800000001</v>
      </c>
      <c r="N458" s="429">
        <v>1.5906241800000001</v>
      </c>
      <c r="O458" s="429">
        <v>1.5906241800000001</v>
      </c>
      <c r="P458" s="429">
        <v>1.5906241800000001</v>
      </c>
      <c r="Q458" s="429">
        <v>1.5906241800000001</v>
      </c>
      <c r="R458" s="429">
        <v>1.5906241800000001</v>
      </c>
      <c r="S458" s="429">
        <f t="shared" si="40"/>
        <v>19.087490160000002</v>
      </c>
    </row>
    <row r="459" spans="1:22">
      <c r="A459" s="429" t="str">
        <f t="shared" si="37"/>
        <v>KU</v>
      </c>
      <c r="B459" s="429" t="str">
        <f t="shared" si="38"/>
        <v>KY</v>
      </c>
      <c r="C459" s="429" t="str">
        <f t="shared" si="39"/>
        <v>352</v>
      </c>
      <c r="D459" s="430" t="s">
        <v>1760</v>
      </c>
      <c r="E459" s="428" t="str">
        <f t="shared" si="41"/>
        <v/>
      </c>
      <c r="G459" s="429">
        <v>1.85503707479999</v>
      </c>
      <c r="H459" s="429">
        <v>1.85503707479999</v>
      </c>
      <c r="I459" s="429">
        <v>1.85503707479999</v>
      </c>
      <c r="J459" s="429">
        <v>1.85503707479999</v>
      </c>
      <c r="K459" s="429">
        <v>1.85503707479999</v>
      </c>
      <c r="L459" s="429">
        <v>1.91680561379999</v>
      </c>
      <c r="M459" s="429">
        <v>1.97857415279999</v>
      </c>
      <c r="N459" s="429">
        <v>1.97857415279999</v>
      </c>
      <c r="O459" s="429">
        <v>1.97857415279999</v>
      </c>
      <c r="P459" s="429">
        <v>1.97857415279999</v>
      </c>
      <c r="Q459" s="429">
        <v>1.97857415279999</v>
      </c>
      <c r="R459" s="429">
        <v>1.97857415279999</v>
      </c>
      <c r="S459" s="429">
        <f t="shared" si="40"/>
        <v>23.063435904599878</v>
      </c>
    </row>
    <row r="460" spans="1:22">
      <c r="A460" s="429" t="str">
        <f t="shared" si="37"/>
        <v>KU</v>
      </c>
      <c r="B460" s="429" t="str">
        <f t="shared" si="38"/>
        <v>KY</v>
      </c>
      <c r="C460" s="429" t="str">
        <f t="shared" si="39"/>
        <v>352</v>
      </c>
      <c r="D460" s="430" t="s">
        <v>1761</v>
      </c>
      <c r="E460" s="428" t="str">
        <f t="shared" si="41"/>
        <v/>
      </c>
      <c r="G460" s="429">
        <v>36.728058271999998</v>
      </c>
      <c r="H460" s="429">
        <v>36.728058271999998</v>
      </c>
      <c r="I460" s="429">
        <v>36.728058271999998</v>
      </c>
      <c r="J460" s="429">
        <v>36.728058271999998</v>
      </c>
      <c r="K460" s="429">
        <v>36.728058271999998</v>
      </c>
      <c r="L460" s="429">
        <v>36.728058271999998</v>
      </c>
      <c r="M460" s="429">
        <v>36.728058271999998</v>
      </c>
      <c r="N460" s="429">
        <v>36.728058271999998</v>
      </c>
      <c r="O460" s="429">
        <v>36.728058271999998</v>
      </c>
      <c r="P460" s="429">
        <v>36.728058271999998</v>
      </c>
      <c r="Q460" s="429">
        <v>36.728058271999998</v>
      </c>
      <c r="R460" s="429">
        <v>36.728058271999998</v>
      </c>
      <c r="S460" s="429">
        <f t="shared" si="40"/>
        <v>440.73669926399998</v>
      </c>
      <c r="U460" s="404"/>
      <c r="V460" s="404"/>
    </row>
    <row r="461" spans="1:22">
      <c r="A461" s="429" t="str">
        <f t="shared" si="37"/>
        <v>KU</v>
      </c>
      <c r="B461" s="429" t="str">
        <f t="shared" si="38"/>
        <v>VA</v>
      </c>
      <c r="C461" s="429" t="str">
        <f t="shared" si="39"/>
        <v>352</v>
      </c>
      <c r="D461" s="430" t="s">
        <v>1762</v>
      </c>
      <c r="E461" s="428" t="str">
        <f t="shared" si="41"/>
        <v/>
      </c>
      <c r="G461" s="429">
        <v>2.4114251169999998</v>
      </c>
      <c r="H461" s="429">
        <v>2.4114251169999998</v>
      </c>
      <c r="I461" s="429">
        <v>2.4114251169999998</v>
      </c>
      <c r="J461" s="429">
        <v>2.4114251169999998</v>
      </c>
      <c r="K461" s="429">
        <v>2.4114251169999998</v>
      </c>
      <c r="L461" s="429">
        <v>2.4114251169999998</v>
      </c>
      <c r="M461" s="429">
        <v>2.4114251169999998</v>
      </c>
      <c r="N461" s="429">
        <v>2.4114251169999998</v>
      </c>
      <c r="O461" s="429">
        <v>2.4114251169999998</v>
      </c>
      <c r="P461" s="429">
        <v>2.4114251169999998</v>
      </c>
      <c r="Q461" s="429">
        <v>2.4114251169999998</v>
      </c>
      <c r="R461" s="429">
        <v>2.4114251169999998</v>
      </c>
      <c r="S461" s="429">
        <f t="shared" si="40"/>
        <v>28.937101404</v>
      </c>
    </row>
    <row r="462" spans="1:22">
      <c r="A462" s="429" t="str">
        <f t="shared" si="37"/>
        <v>KU</v>
      </c>
      <c r="B462" s="429" t="str">
        <f t="shared" si="38"/>
        <v>KY</v>
      </c>
      <c r="C462" s="429" t="str">
        <f t="shared" si="39"/>
        <v>353</v>
      </c>
      <c r="D462" s="430" t="s">
        <v>1763</v>
      </c>
      <c r="E462" s="428" t="str">
        <f t="shared" si="41"/>
        <v/>
      </c>
      <c r="G462" s="429">
        <v>525.38654356999996</v>
      </c>
      <c r="H462" s="429">
        <v>527.36682536000001</v>
      </c>
      <c r="I462" s="429">
        <v>531.17554751</v>
      </c>
      <c r="J462" s="429">
        <v>533.22366287</v>
      </c>
      <c r="K462" s="429">
        <v>533.55878522</v>
      </c>
      <c r="L462" s="429">
        <v>533.99218074999999</v>
      </c>
      <c r="M462" s="429">
        <v>534.09266551999997</v>
      </c>
      <c r="N462" s="429">
        <v>549.33830848000002</v>
      </c>
      <c r="O462" s="429">
        <v>564.73955672</v>
      </c>
      <c r="P462" s="429">
        <v>565.25051092000001</v>
      </c>
      <c r="Q462" s="429">
        <v>567.44761658000004</v>
      </c>
      <c r="R462" s="429">
        <v>570.21695835999901</v>
      </c>
      <c r="S462" s="429">
        <f t="shared" si="40"/>
        <v>6535.7891618599988</v>
      </c>
    </row>
    <row r="463" spans="1:22">
      <c r="A463" s="429" t="str">
        <f t="shared" si="37"/>
        <v>KU</v>
      </c>
      <c r="B463" s="429" t="str">
        <f t="shared" si="38"/>
        <v>VA</v>
      </c>
      <c r="C463" s="429" t="str">
        <f t="shared" si="39"/>
        <v>353</v>
      </c>
      <c r="D463" s="430" t="s">
        <v>1765</v>
      </c>
      <c r="E463" s="428" t="str">
        <f t="shared" si="41"/>
        <v/>
      </c>
      <c r="G463" s="429">
        <v>36.340880595100003</v>
      </c>
      <c r="H463" s="429">
        <v>36.340880595100003</v>
      </c>
      <c r="I463" s="429">
        <v>36.340880595100003</v>
      </c>
      <c r="J463" s="429">
        <v>36.340880595100003</v>
      </c>
      <c r="K463" s="429">
        <v>36.340880595100003</v>
      </c>
      <c r="L463" s="429">
        <v>36.340880595100003</v>
      </c>
      <c r="M463" s="429">
        <v>36.340880595100003</v>
      </c>
      <c r="N463" s="429">
        <v>36.340880595100003</v>
      </c>
      <c r="O463" s="429">
        <v>36.340880595100003</v>
      </c>
      <c r="P463" s="429">
        <v>36.340880595100003</v>
      </c>
      <c r="Q463" s="429">
        <v>36.340880595100003</v>
      </c>
      <c r="R463" s="429">
        <v>36.340880595100003</v>
      </c>
      <c r="S463" s="429">
        <f t="shared" si="40"/>
        <v>436.09056714119993</v>
      </c>
    </row>
    <row r="464" spans="1:22">
      <c r="A464" s="429" t="str">
        <f t="shared" si="37"/>
        <v>KU</v>
      </c>
      <c r="B464" s="429" t="str">
        <f t="shared" si="38"/>
        <v>KY</v>
      </c>
      <c r="C464" s="429" t="str">
        <f t="shared" si="39"/>
        <v>354</v>
      </c>
      <c r="D464" s="430" t="s">
        <v>1766</v>
      </c>
      <c r="E464" s="428" t="str">
        <f t="shared" si="41"/>
        <v/>
      </c>
      <c r="G464" s="429">
        <v>99.783251426999996</v>
      </c>
      <c r="H464" s="429">
        <v>99.783251426999996</v>
      </c>
      <c r="I464" s="429">
        <v>99.783251426999996</v>
      </c>
      <c r="J464" s="429">
        <v>99.783251426999996</v>
      </c>
      <c r="K464" s="429">
        <v>99.783251426999996</v>
      </c>
      <c r="L464" s="429">
        <v>99.783251426999996</v>
      </c>
      <c r="M464" s="429">
        <v>99.783251426999996</v>
      </c>
      <c r="N464" s="429">
        <v>99.783251426999996</v>
      </c>
      <c r="O464" s="429">
        <v>99.783251426999996</v>
      </c>
      <c r="P464" s="429">
        <v>99.783251426999996</v>
      </c>
      <c r="Q464" s="429">
        <v>99.783251426999996</v>
      </c>
      <c r="R464" s="429">
        <v>99.783251426999996</v>
      </c>
      <c r="S464" s="429">
        <f t="shared" si="40"/>
        <v>1197.399017124</v>
      </c>
    </row>
    <row r="465" spans="1:19">
      <c r="A465" s="429" t="str">
        <f t="shared" si="37"/>
        <v>KU</v>
      </c>
      <c r="B465" s="429" t="str">
        <f t="shared" si="38"/>
        <v>VA</v>
      </c>
      <c r="C465" s="429" t="str">
        <f t="shared" si="39"/>
        <v>354</v>
      </c>
      <c r="D465" s="430" t="s">
        <v>1767</v>
      </c>
      <c r="E465" s="428" t="str">
        <f t="shared" si="41"/>
        <v/>
      </c>
      <c r="G465" s="429">
        <v>10.113356164000001</v>
      </c>
      <c r="H465" s="429">
        <v>10.113356164000001</v>
      </c>
      <c r="I465" s="429">
        <v>10.113356164000001</v>
      </c>
      <c r="J465" s="429">
        <v>10.113356164000001</v>
      </c>
      <c r="K465" s="429">
        <v>10.113356164000001</v>
      </c>
      <c r="L465" s="429">
        <v>10.113356164000001</v>
      </c>
      <c r="M465" s="429">
        <v>10.113356164000001</v>
      </c>
      <c r="N465" s="429">
        <v>10.113356164000001</v>
      </c>
      <c r="O465" s="429">
        <v>10.113356164000001</v>
      </c>
      <c r="P465" s="429">
        <v>10.113356164000001</v>
      </c>
      <c r="Q465" s="429">
        <v>10.113356164000001</v>
      </c>
      <c r="R465" s="429">
        <v>10.113356164000001</v>
      </c>
      <c r="S465" s="429">
        <f t="shared" si="40"/>
        <v>121.36027396799999</v>
      </c>
    </row>
    <row r="466" spans="1:19">
      <c r="A466" s="429" t="str">
        <f t="shared" si="37"/>
        <v>KU</v>
      </c>
      <c r="B466" s="429" t="str">
        <f t="shared" si="38"/>
        <v>KY</v>
      </c>
      <c r="C466" s="429" t="str">
        <f t="shared" si="39"/>
        <v>355</v>
      </c>
      <c r="D466" s="430" t="s">
        <v>1768</v>
      </c>
      <c r="E466" s="428" t="str">
        <f t="shared" si="41"/>
        <v/>
      </c>
      <c r="G466" s="429">
        <v>962.035646979999</v>
      </c>
      <c r="H466" s="429">
        <v>973.58926286999997</v>
      </c>
      <c r="I466" s="429">
        <v>982.53255252999998</v>
      </c>
      <c r="J466" s="429">
        <v>991.47253336999995</v>
      </c>
      <c r="K466" s="429">
        <v>998.82446716000004</v>
      </c>
      <c r="L466" s="429">
        <v>1006.71846683</v>
      </c>
      <c r="M466" s="429">
        <v>1014.26772619</v>
      </c>
      <c r="N466" s="429">
        <v>1048.3736495200001</v>
      </c>
      <c r="O466" s="429">
        <v>1079.3453965599999</v>
      </c>
      <c r="P466" s="429">
        <v>1084.9316947699999</v>
      </c>
      <c r="Q466" s="429">
        <v>1091.1820823999999</v>
      </c>
      <c r="R466" s="429">
        <v>1097.53297705</v>
      </c>
      <c r="S466" s="429">
        <f t="shared" si="40"/>
        <v>12330.806456229997</v>
      </c>
    </row>
    <row r="467" spans="1:19">
      <c r="A467" s="429" t="str">
        <f t="shared" si="37"/>
        <v>KU</v>
      </c>
      <c r="B467" s="429" t="str">
        <f t="shared" si="38"/>
        <v>TN</v>
      </c>
      <c r="C467" s="429" t="str">
        <f t="shared" si="39"/>
        <v>355</v>
      </c>
      <c r="D467" s="430" t="s">
        <v>1769</v>
      </c>
      <c r="E467" s="428" t="str">
        <f t="shared" si="41"/>
        <v/>
      </c>
      <c r="G467" s="429">
        <v>0.31436831912000002</v>
      </c>
      <c r="H467" s="429">
        <v>0.31436831912000002</v>
      </c>
      <c r="I467" s="429">
        <v>0.31436831912000002</v>
      </c>
      <c r="J467" s="429">
        <v>0.31436831912000002</v>
      </c>
      <c r="K467" s="429">
        <v>0.31436831912000002</v>
      </c>
      <c r="L467" s="429">
        <v>0.31436831912000002</v>
      </c>
      <c r="M467" s="429">
        <v>0.31436831912000002</v>
      </c>
      <c r="N467" s="429">
        <v>0.31436831912000002</v>
      </c>
      <c r="O467" s="429">
        <v>0.31436831912000002</v>
      </c>
      <c r="P467" s="429">
        <v>0.31436831912000002</v>
      </c>
      <c r="Q467" s="429">
        <v>0.31436831912000002</v>
      </c>
      <c r="R467" s="429">
        <v>0.31436831912000002</v>
      </c>
      <c r="S467" s="429">
        <f t="shared" si="40"/>
        <v>3.7724198294400009</v>
      </c>
    </row>
    <row r="468" spans="1:19">
      <c r="A468" s="429" t="str">
        <f t="shared" si="37"/>
        <v>KU</v>
      </c>
      <c r="B468" s="429" t="str">
        <f t="shared" si="38"/>
        <v>VA</v>
      </c>
      <c r="C468" s="429" t="str">
        <f t="shared" si="39"/>
        <v>355</v>
      </c>
      <c r="D468" s="430" t="s">
        <v>1770</v>
      </c>
      <c r="E468" s="428" t="str">
        <f t="shared" si="41"/>
        <v/>
      </c>
      <c r="G468" s="429">
        <v>35.698783882000001</v>
      </c>
      <c r="H468" s="429">
        <v>36.314689843999901</v>
      </c>
      <c r="I468" s="429">
        <v>36.930595805999999</v>
      </c>
      <c r="J468" s="429">
        <v>36.930595805999999</v>
      </c>
      <c r="K468" s="429">
        <v>36.930595805999999</v>
      </c>
      <c r="L468" s="429">
        <v>36.930595805999999</v>
      </c>
      <c r="M468" s="429">
        <v>36.930595805999999</v>
      </c>
      <c r="N468" s="429">
        <v>36.930595805999999</v>
      </c>
      <c r="O468" s="429">
        <v>36.930595805999999</v>
      </c>
      <c r="P468" s="429">
        <v>36.930595805999999</v>
      </c>
      <c r="Q468" s="429">
        <v>36.930595805999999</v>
      </c>
      <c r="R468" s="429">
        <v>36.930595805999999</v>
      </c>
      <c r="S468" s="429">
        <f t="shared" si="40"/>
        <v>441.31943178599977</v>
      </c>
    </row>
    <row r="469" spans="1:19">
      <c r="A469" s="429" t="str">
        <f t="shared" si="37"/>
        <v>KU</v>
      </c>
      <c r="B469" s="429" t="str">
        <f t="shared" si="38"/>
        <v>KY</v>
      </c>
      <c r="C469" s="429" t="str">
        <f t="shared" si="39"/>
        <v>356</v>
      </c>
      <c r="D469" s="430" t="s">
        <v>1771</v>
      </c>
      <c r="E469" s="428" t="str">
        <f t="shared" si="41"/>
        <v/>
      </c>
      <c r="G469" s="429">
        <v>361.61784126999999</v>
      </c>
      <c r="H469" s="429">
        <v>361.42816239000001</v>
      </c>
      <c r="I469" s="429">
        <v>361.29647962000001</v>
      </c>
      <c r="J469" s="429">
        <v>361.21373520999998</v>
      </c>
      <c r="K469" s="429">
        <v>361.152722049999</v>
      </c>
      <c r="L469" s="429">
        <v>361.10730032999999</v>
      </c>
      <c r="M469" s="429">
        <v>361.002991589999</v>
      </c>
      <c r="N469" s="429">
        <v>360.86506213000001</v>
      </c>
      <c r="O469" s="429">
        <v>360.80799514</v>
      </c>
      <c r="P469" s="429">
        <v>360.85445834000001</v>
      </c>
      <c r="Q469" s="429">
        <v>360.85682016999999</v>
      </c>
      <c r="R469" s="429">
        <v>365.80129190000002</v>
      </c>
      <c r="S469" s="429">
        <f t="shared" si="40"/>
        <v>4338.0048601399976</v>
      </c>
    </row>
    <row r="470" spans="1:19">
      <c r="A470" s="429" t="str">
        <f t="shared" si="37"/>
        <v>KU</v>
      </c>
      <c r="B470" s="429" t="str">
        <f t="shared" si="38"/>
        <v>TN</v>
      </c>
      <c r="C470" s="429" t="str">
        <f t="shared" si="39"/>
        <v>356</v>
      </c>
      <c r="D470" s="430" t="s">
        <v>1772</v>
      </c>
      <c r="E470" s="428" t="str">
        <f t="shared" si="41"/>
        <v/>
      </c>
      <c r="G470" s="429">
        <v>0.17079664850000001</v>
      </c>
      <c r="H470" s="429">
        <v>0.17079664850000001</v>
      </c>
      <c r="I470" s="429">
        <v>0.17079664850000001</v>
      </c>
      <c r="J470" s="429">
        <v>0.17079664850000001</v>
      </c>
      <c r="K470" s="429">
        <v>0.17079664850000001</v>
      </c>
      <c r="L470" s="429">
        <v>0.17079664850000001</v>
      </c>
      <c r="M470" s="429">
        <v>0.17079664850000001</v>
      </c>
      <c r="N470" s="429">
        <v>0.17079664850000001</v>
      </c>
      <c r="O470" s="429">
        <v>0.17079664850000001</v>
      </c>
      <c r="P470" s="429">
        <v>0.17079664850000001</v>
      </c>
      <c r="Q470" s="429">
        <v>0.17079664850000001</v>
      </c>
      <c r="R470" s="429">
        <v>0.17079664850000001</v>
      </c>
      <c r="S470" s="429">
        <f t="shared" si="40"/>
        <v>2.0495597820000007</v>
      </c>
    </row>
    <row r="471" spans="1:19">
      <c r="A471" s="429" t="str">
        <f t="shared" si="37"/>
        <v>KU</v>
      </c>
      <c r="B471" s="429" t="str">
        <f t="shared" si="38"/>
        <v>VA</v>
      </c>
      <c r="C471" s="429" t="str">
        <f t="shared" si="39"/>
        <v>356</v>
      </c>
      <c r="D471" s="430" t="s">
        <v>1773</v>
      </c>
      <c r="E471" s="428" t="str">
        <f t="shared" si="41"/>
        <v/>
      </c>
      <c r="G471" s="429">
        <v>39.573791696999997</v>
      </c>
      <c r="H471" s="429">
        <v>39.573791696999997</v>
      </c>
      <c r="I471" s="429">
        <v>39.573791696999997</v>
      </c>
      <c r="J471" s="429">
        <v>39.573791696999997</v>
      </c>
      <c r="K471" s="429">
        <v>39.573791696999997</v>
      </c>
      <c r="L471" s="429">
        <v>39.573791696999997</v>
      </c>
      <c r="M471" s="429">
        <v>39.573791696999997</v>
      </c>
      <c r="N471" s="429">
        <v>39.573791696999997</v>
      </c>
      <c r="O471" s="429">
        <v>39.573791696999997</v>
      </c>
      <c r="P471" s="429">
        <v>39.573791696999997</v>
      </c>
      <c r="Q471" s="429">
        <v>39.573791696999997</v>
      </c>
      <c r="R471" s="429">
        <v>39.573791696999997</v>
      </c>
      <c r="S471" s="429">
        <f t="shared" si="40"/>
        <v>474.88550036399994</v>
      </c>
    </row>
    <row r="472" spans="1:19">
      <c r="A472" s="429" t="str">
        <f t="shared" si="37"/>
        <v>KU</v>
      </c>
      <c r="B472" s="429" t="str">
        <f t="shared" si="38"/>
        <v>KY</v>
      </c>
      <c r="C472" s="429" t="str">
        <f t="shared" si="39"/>
        <v>357</v>
      </c>
      <c r="D472" s="430" t="s">
        <v>1774</v>
      </c>
      <c r="E472" s="428" t="str">
        <f t="shared" si="41"/>
        <v/>
      </c>
      <c r="G472" s="429">
        <v>0.63574370169999905</v>
      </c>
      <c r="H472" s="429">
        <v>0.63574370169999905</v>
      </c>
      <c r="I472" s="429">
        <v>0.63574370169999905</v>
      </c>
      <c r="J472" s="429">
        <v>0.63574370169999905</v>
      </c>
      <c r="K472" s="429">
        <v>0.63574370169999905</v>
      </c>
      <c r="L472" s="429">
        <v>0.63574370169999905</v>
      </c>
      <c r="M472" s="429">
        <v>0.63574370169999905</v>
      </c>
      <c r="N472" s="429">
        <v>0.63574370169999905</v>
      </c>
      <c r="O472" s="429">
        <v>0.63574370169999905</v>
      </c>
      <c r="P472" s="429">
        <v>0.63574370169999905</v>
      </c>
      <c r="Q472" s="429">
        <v>0.63574370169999905</v>
      </c>
      <c r="R472" s="429">
        <v>0.63574370169999905</v>
      </c>
      <c r="S472" s="429">
        <f t="shared" si="40"/>
        <v>7.6289244203999891</v>
      </c>
    </row>
    <row r="473" spans="1:19">
      <c r="A473" s="429" t="str">
        <f t="shared" si="37"/>
        <v>KU</v>
      </c>
      <c r="B473" s="429" t="str">
        <f t="shared" si="38"/>
        <v>KY</v>
      </c>
      <c r="C473" s="429" t="str">
        <f t="shared" si="39"/>
        <v>358</v>
      </c>
      <c r="D473" s="430" t="s">
        <v>1775</v>
      </c>
      <c r="E473" s="428" t="str">
        <f t="shared" si="41"/>
        <v/>
      </c>
      <c r="G473" s="429">
        <v>0.80141540580000004</v>
      </c>
      <c r="H473" s="429">
        <v>0.80141540580000004</v>
      </c>
      <c r="I473" s="429">
        <v>0.80141540580000004</v>
      </c>
      <c r="J473" s="429">
        <v>0.80141540580000004</v>
      </c>
      <c r="K473" s="429">
        <v>0.80141540580000004</v>
      </c>
      <c r="L473" s="429">
        <v>0.80141540580000004</v>
      </c>
      <c r="M473" s="429">
        <v>0.80141540580000004</v>
      </c>
      <c r="N473" s="429">
        <v>3.6393084280000001</v>
      </c>
      <c r="O473" s="429">
        <v>6.5232995899999997</v>
      </c>
      <c r="P473" s="429">
        <v>6.6540375359999997</v>
      </c>
      <c r="Q473" s="429">
        <v>6.8233171490000002</v>
      </c>
      <c r="R473" s="429">
        <v>6.9079569549999897</v>
      </c>
      <c r="S473" s="429">
        <f t="shared" si="40"/>
        <v>36.157827498599993</v>
      </c>
    </row>
    <row r="474" spans="1:19">
      <c r="A474" s="429" t="str">
        <f t="shared" si="37"/>
        <v>KU</v>
      </c>
      <c r="B474" s="429" t="str">
        <f t="shared" si="38"/>
        <v>KY</v>
      </c>
      <c r="C474" s="429" t="str">
        <f t="shared" si="39"/>
        <v>359</v>
      </c>
      <c r="D474" s="430" t="s">
        <v>1776</v>
      </c>
      <c r="E474" s="428" t="str">
        <f t="shared" si="41"/>
        <v>ARO</v>
      </c>
      <c r="G474" s="429">
        <v>1.5926399999999901</v>
      </c>
      <c r="H474" s="429">
        <v>1.5926399999999901</v>
      </c>
      <c r="I474" s="429">
        <v>1.5926399999999901</v>
      </c>
      <c r="J474" s="429">
        <v>1.5926399999999901</v>
      </c>
      <c r="K474" s="429">
        <v>1.5926399999999901</v>
      </c>
      <c r="L474" s="429">
        <v>1.5926399999999901</v>
      </c>
      <c r="M474" s="429">
        <v>1.5926399999999901</v>
      </c>
      <c r="N474" s="429">
        <v>1.5926399999999901</v>
      </c>
      <c r="O474" s="429">
        <v>0.21434393174512001</v>
      </c>
      <c r="P474" s="429">
        <v>0.21434393174512001</v>
      </c>
      <c r="Q474" s="429">
        <v>0.21434393174512001</v>
      </c>
      <c r="R474" s="429">
        <v>0.21434393174512001</v>
      </c>
      <c r="S474" s="429">
        <f t="shared" si="40"/>
        <v>13.598495726980401</v>
      </c>
    </row>
    <row r="475" spans="1:19">
      <c r="A475" s="429" t="str">
        <f t="shared" si="37"/>
        <v>KU</v>
      </c>
      <c r="B475" s="429" t="str">
        <f t="shared" si="38"/>
        <v>KY</v>
      </c>
      <c r="C475" s="429" t="str">
        <f t="shared" si="39"/>
        <v>360</v>
      </c>
      <c r="D475" s="430" t="s">
        <v>1778</v>
      </c>
      <c r="E475" s="428" t="str">
        <f t="shared" si="41"/>
        <v/>
      </c>
      <c r="G475" s="429">
        <v>1.1068267039999999</v>
      </c>
      <c r="H475" s="429">
        <v>1.1068267039999999</v>
      </c>
      <c r="I475" s="429">
        <v>1.1068267039999999</v>
      </c>
      <c r="J475" s="429">
        <v>1.1068267039999999</v>
      </c>
      <c r="K475" s="429">
        <v>1.1068267039999999</v>
      </c>
      <c r="L475" s="429">
        <v>1.1068267039999999</v>
      </c>
      <c r="M475" s="429">
        <v>1.1068267039999999</v>
      </c>
      <c r="N475" s="429">
        <v>1.1068267039999999</v>
      </c>
      <c r="O475" s="429">
        <v>1.1068267039999999</v>
      </c>
      <c r="P475" s="429">
        <v>1.1068267039999999</v>
      </c>
      <c r="Q475" s="429">
        <v>1.1068267039999999</v>
      </c>
      <c r="R475" s="429">
        <v>1.1068267039999999</v>
      </c>
      <c r="S475" s="429">
        <f t="shared" si="40"/>
        <v>13.281920447999996</v>
      </c>
    </row>
    <row r="476" spans="1:19">
      <c r="A476" s="429" t="str">
        <f t="shared" ref="A476:A529" si="43">MID($D476,4,2)</f>
        <v>KU</v>
      </c>
      <c r="B476" s="429" t="str">
        <f t="shared" ref="B476:B529" si="44">IF(MID($D476,12,2)="- ","KY",MID($D476,12,2))</f>
        <v>TN</v>
      </c>
      <c r="C476" s="429" t="str">
        <f t="shared" ref="C476:C529" si="45">MID($D476,8,3)</f>
        <v>360</v>
      </c>
      <c r="D476" s="430" t="s">
        <v>1779</v>
      </c>
      <c r="E476" s="428" t="str">
        <f t="shared" si="41"/>
        <v/>
      </c>
      <c r="G476" s="429">
        <v>1.4012853329999999E-3</v>
      </c>
      <c r="H476" s="429">
        <v>1.4012853329999999E-3</v>
      </c>
      <c r="I476" s="429">
        <v>1.4012853329999999E-3</v>
      </c>
      <c r="J476" s="429">
        <v>1.4012853329999999E-3</v>
      </c>
      <c r="K476" s="429">
        <v>1.4012853329999999E-3</v>
      </c>
      <c r="L476" s="429">
        <v>1.4012853329999999E-3</v>
      </c>
      <c r="M476" s="429">
        <v>1.4012853329999999E-3</v>
      </c>
      <c r="N476" s="429">
        <v>1.4012853329999999E-3</v>
      </c>
      <c r="O476" s="429">
        <v>1.4012853329999999E-3</v>
      </c>
      <c r="P476" s="429">
        <v>1.4012853329999999E-3</v>
      </c>
      <c r="Q476" s="429">
        <v>1.4012853329999999E-3</v>
      </c>
      <c r="R476" s="429">
        <v>1.4012853329999999E-3</v>
      </c>
      <c r="S476" s="429">
        <f t="shared" ref="S476:S546" si="46">SUM(G476:R476)</f>
        <v>1.6815423995999997E-2</v>
      </c>
    </row>
    <row r="477" spans="1:19">
      <c r="A477" s="429" t="str">
        <f t="shared" si="43"/>
        <v>KU</v>
      </c>
      <c r="B477" s="429" t="str">
        <f t="shared" si="44"/>
        <v>VA</v>
      </c>
      <c r="C477" s="429" t="str">
        <f t="shared" si="45"/>
        <v>360</v>
      </c>
      <c r="D477" s="430" t="s">
        <v>1780</v>
      </c>
      <c r="E477" s="428" t="str">
        <f t="shared" si="41"/>
        <v/>
      </c>
      <c r="G477" s="429">
        <v>4.8534309329999997E-2</v>
      </c>
      <c r="H477" s="429">
        <v>4.8534309329999997E-2</v>
      </c>
      <c r="I477" s="429">
        <v>4.8534309329999997E-2</v>
      </c>
      <c r="J477" s="429">
        <v>4.8534309329999997E-2</v>
      </c>
      <c r="K477" s="429">
        <v>4.8534309329999997E-2</v>
      </c>
      <c r="L477" s="429">
        <v>4.8534309329999997E-2</v>
      </c>
      <c r="M477" s="429">
        <v>4.8534309329999997E-2</v>
      </c>
      <c r="N477" s="429">
        <v>4.8534309329999997E-2</v>
      </c>
      <c r="O477" s="429">
        <v>4.8534309329999997E-2</v>
      </c>
      <c r="P477" s="429">
        <v>4.8534309329999997E-2</v>
      </c>
      <c r="Q477" s="429">
        <v>4.8534309329999997E-2</v>
      </c>
      <c r="R477" s="429">
        <v>4.8534309329999997E-2</v>
      </c>
      <c r="S477" s="429">
        <f t="shared" si="46"/>
        <v>0.58241171196000008</v>
      </c>
    </row>
    <row r="478" spans="1:19">
      <c r="A478" s="429" t="str">
        <f t="shared" si="43"/>
        <v>KU</v>
      </c>
      <c r="B478" s="429" t="str">
        <f t="shared" si="44"/>
        <v>KY</v>
      </c>
      <c r="C478" s="429" t="str">
        <f t="shared" si="45"/>
        <v>361</v>
      </c>
      <c r="D478" s="430" t="s">
        <v>1781</v>
      </c>
      <c r="E478" s="428" t="str">
        <f t="shared" si="41"/>
        <v/>
      </c>
      <c r="G478" s="429">
        <v>42.622585411999999</v>
      </c>
      <c r="H478" s="429">
        <v>44.045913687999999</v>
      </c>
      <c r="I478" s="429">
        <v>45.469238087000001</v>
      </c>
      <c r="J478" s="429">
        <v>46.892548486999999</v>
      </c>
      <c r="K478" s="429">
        <v>48.315876498999998</v>
      </c>
      <c r="L478" s="429">
        <v>49.739213176</v>
      </c>
      <c r="M478" s="429">
        <v>51.162544619999998</v>
      </c>
      <c r="N478" s="429">
        <v>53.200368859999998</v>
      </c>
      <c r="O478" s="429">
        <v>55.161113739999998</v>
      </c>
      <c r="P478" s="429">
        <v>56.430294539999998</v>
      </c>
      <c r="Q478" s="429">
        <v>57.699475300000003</v>
      </c>
      <c r="R478" s="429">
        <v>59.015122650000002</v>
      </c>
      <c r="S478" s="429">
        <f t="shared" si="46"/>
        <v>609.75429505900001</v>
      </c>
    </row>
    <row r="479" spans="1:19">
      <c r="A479" s="429" t="str">
        <f t="shared" si="43"/>
        <v>KU</v>
      </c>
      <c r="B479" s="429" t="str">
        <f t="shared" si="44"/>
        <v>TN</v>
      </c>
      <c r="C479" s="429" t="str">
        <f t="shared" si="45"/>
        <v>361</v>
      </c>
      <c r="D479" s="430" t="s">
        <v>1782</v>
      </c>
      <c r="E479" s="428" t="str">
        <f t="shared" si="41"/>
        <v/>
      </c>
      <c r="G479" s="429">
        <v>4.5600245839999996E-3</v>
      </c>
      <c r="H479" s="429">
        <v>4.5600245839999996E-3</v>
      </c>
      <c r="I479" s="429">
        <v>4.5600245839999996E-3</v>
      </c>
      <c r="J479" s="429">
        <v>4.5600245839999996E-3</v>
      </c>
      <c r="K479" s="429">
        <v>4.5600245839999996E-3</v>
      </c>
      <c r="L479" s="429">
        <v>4.5600245839999996E-3</v>
      </c>
      <c r="M479" s="429">
        <v>4.5600245839999996E-3</v>
      </c>
      <c r="N479" s="429">
        <v>4.5600245839999996E-3</v>
      </c>
      <c r="O479" s="429">
        <v>4.5600245839999996E-3</v>
      </c>
      <c r="P479" s="429">
        <v>4.5600245839999996E-3</v>
      </c>
      <c r="Q479" s="429">
        <v>4.5600245839999996E-3</v>
      </c>
      <c r="R479" s="429">
        <v>4.5600245839999996E-3</v>
      </c>
      <c r="S479" s="429">
        <f t="shared" si="46"/>
        <v>5.4720295007999985E-2</v>
      </c>
    </row>
    <row r="480" spans="1:19">
      <c r="A480" s="429" t="str">
        <f t="shared" si="43"/>
        <v>KU</v>
      </c>
      <c r="B480" s="429" t="str">
        <f t="shared" si="44"/>
        <v>VA</v>
      </c>
      <c r="C480" s="429" t="str">
        <f t="shared" si="45"/>
        <v>361</v>
      </c>
      <c r="D480" s="430" t="s">
        <v>1783</v>
      </c>
      <c r="E480" s="428" t="str">
        <f t="shared" si="41"/>
        <v/>
      </c>
      <c r="G480" s="429">
        <v>1.3883249287999999</v>
      </c>
      <c r="H480" s="429">
        <v>1.3883249287999999</v>
      </c>
      <c r="I480" s="429">
        <v>1.3883249287999999</v>
      </c>
      <c r="J480" s="429">
        <v>1.3883249287999999</v>
      </c>
      <c r="K480" s="429">
        <v>1.3883249287999999</v>
      </c>
      <c r="L480" s="429">
        <v>1.3883249287999999</v>
      </c>
      <c r="M480" s="429">
        <v>1.3883249287999999</v>
      </c>
      <c r="N480" s="429">
        <v>1.3883249287999999</v>
      </c>
      <c r="O480" s="429">
        <v>1.3883249287999999</v>
      </c>
      <c r="P480" s="429">
        <v>1.3883249287999999</v>
      </c>
      <c r="Q480" s="429">
        <v>1.3883249287999999</v>
      </c>
      <c r="R480" s="429">
        <v>1.3883249287999999</v>
      </c>
      <c r="S480" s="429">
        <f t="shared" si="46"/>
        <v>16.659899145599997</v>
      </c>
    </row>
    <row r="481" spans="1:19">
      <c r="A481" s="429" t="str">
        <f t="shared" si="43"/>
        <v>KU</v>
      </c>
      <c r="B481" s="429" t="str">
        <f t="shared" si="44"/>
        <v>KY</v>
      </c>
      <c r="C481" s="429" t="str">
        <f t="shared" si="45"/>
        <v>362</v>
      </c>
      <c r="D481" s="430" t="s">
        <v>1784</v>
      </c>
      <c r="E481" s="428" t="str">
        <f t="shared" si="41"/>
        <v/>
      </c>
      <c r="G481" s="429">
        <v>446.86980077999999</v>
      </c>
      <c r="H481" s="429">
        <v>450.26456846999997</v>
      </c>
      <c r="I481" s="429">
        <v>453.83338563999899</v>
      </c>
      <c r="J481" s="429">
        <v>455.02150347000003</v>
      </c>
      <c r="K481" s="429">
        <v>457.62987989999903</v>
      </c>
      <c r="L481" s="429">
        <v>460.11759538000001</v>
      </c>
      <c r="M481" s="429">
        <v>461.11425707000001</v>
      </c>
      <c r="N481" s="429">
        <v>476.71997847</v>
      </c>
      <c r="O481" s="429">
        <v>492.07150351000001</v>
      </c>
      <c r="P481" s="429">
        <v>492.60053737999999</v>
      </c>
      <c r="Q481" s="429">
        <v>494.57932469999997</v>
      </c>
      <c r="R481" s="429">
        <v>496.83472400999898</v>
      </c>
      <c r="S481" s="429">
        <f t="shared" si="46"/>
        <v>5637.6570587799979</v>
      </c>
    </row>
    <row r="482" spans="1:19">
      <c r="A482" s="429" t="str">
        <f t="shared" si="43"/>
        <v>KU</v>
      </c>
      <c r="B482" s="429" t="str">
        <f t="shared" si="44"/>
        <v>TN</v>
      </c>
      <c r="C482" s="429" t="str">
        <f t="shared" si="45"/>
        <v>362</v>
      </c>
      <c r="D482" s="430" t="s">
        <v>1785</v>
      </c>
      <c r="E482" s="428" t="str">
        <f t="shared" si="41"/>
        <v/>
      </c>
      <c r="G482" s="429">
        <v>0.12762961956300001</v>
      </c>
      <c r="H482" s="429">
        <v>0.12762961956300001</v>
      </c>
      <c r="I482" s="429">
        <v>0.12762961956300001</v>
      </c>
      <c r="J482" s="429">
        <v>0.12762961956300001</v>
      </c>
      <c r="K482" s="429">
        <v>0.12762961956300001</v>
      </c>
      <c r="L482" s="429">
        <v>0.12762961956300001</v>
      </c>
      <c r="M482" s="429">
        <v>0.12762961956300001</v>
      </c>
      <c r="N482" s="429">
        <v>0.12762961956300001</v>
      </c>
      <c r="O482" s="429">
        <v>0.12762961956300001</v>
      </c>
      <c r="P482" s="429">
        <v>0.12762961956300001</v>
      </c>
      <c r="Q482" s="429">
        <v>0.12762961956300001</v>
      </c>
      <c r="R482" s="429">
        <v>0.12762961956300001</v>
      </c>
      <c r="S482" s="429">
        <f t="shared" si="46"/>
        <v>1.5315554347560001</v>
      </c>
    </row>
    <row r="483" spans="1:19">
      <c r="A483" s="429" t="str">
        <f t="shared" si="43"/>
        <v>KU</v>
      </c>
      <c r="B483" s="429" t="str">
        <f t="shared" si="44"/>
        <v>VA</v>
      </c>
      <c r="C483" s="429" t="str">
        <f t="shared" si="45"/>
        <v>362</v>
      </c>
      <c r="D483" s="430" t="s">
        <v>1786</v>
      </c>
      <c r="E483" s="428" t="str">
        <f t="shared" si="41"/>
        <v/>
      </c>
      <c r="G483" s="429">
        <v>16.246084267699999</v>
      </c>
      <c r="H483" s="429">
        <v>16.246084267699999</v>
      </c>
      <c r="I483" s="429">
        <v>16.246084267699999</v>
      </c>
      <c r="J483" s="429">
        <v>16.246084267699999</v>
      </c>
      <c r="K483" s="429">
        <v>16.246084267699999</v>
      </c>
      <c r="L483" s="429">
        <v>16.246084267699999</v>
      </c>
      <c r="M483" s="429">
        <v>16.246084267699999</v>
      </c>
      <c r="N483" s="429">
        <v>16.246084267699999</v>
      </c>
      <c r="O483" s="429">
        <v>16.246084267699999</v>
      </c>
      <c r="P483" s="429">
        <v>16.246084267699999</v>
      </c>
      <c r="Q483" s="429">
        <v>16.246084267699999</v>
      </c>
      <c r="R483" s="429">
        <v>16.246084267699999</v>
      </c>
      <c r="S483" s="429">
        <f t="shared" si="46"/>
        <v>194.95301121239993</v>
      </c>
    </row>
    <row r="484" spans="1:19">
      <c r="A484" s="429" t="str">
        <f t="shared" si="43"/>
        <v>KU</v>
      </c>
      <c r="B484" s="429" t="str">
        <f t="shared" si="44"/>
        <v>KY</v>
      </c>
      <c r="C484" s="429" t="str">
        <f t="shared" si="45"/>
        <v>364</v>
      </c>
      <c r="D484" s="430" t="s">
        <v>2212</v>
      </c>
      <c r="E484" s="428" t="str">
        <f t="shared" si="41"/>
        <v>ECR</v>
      </c>
      <c r="G484" s="429">
        <v>5.9031920000000002E-2</v>
      </c>
      <c r="H484" s="429">
        <v>5.9031920000000002E-2</v>
      </c>
      <c r="I484" s="429">
        <v>5.9031920000000002E-2</v>
      </c>
      <c r="J484" s="429">
        <v>5.9031920000000002E-2</v>
      </c>
      <c r="K484" s="429">
        <v>5.9031920000000002E-2</v>
      </c>
      <c r="L484" s="429">
        <v>5.9031920000000002E-2</v>
      </c>
      <c r="M484" s="429">
        <v>5.9031920000000002E-2</v>
      </c>
      <c r="N484" s="429">
        <v>5.9031920000000002E-2</v>
      </c>
      <c r="O484" s="429">
        <v>5.9031920000000002E-2</v>
      </c>
      <c r="P484" s="429">
        <v>5.9031920000000002E-2</v>
      </c>
      <c r="Q484" s="429">
        <v>5.9031920000000002E-2</v>
      </c>
      <c r="R484" s="429">
        <v>5.9031920000000002E-2</v>
      </c>
      <c r="S484" s="429">
        <f t="shared" si="46"/>
        <v>0.70838304000000007</v>
      </c>
    </row>
    <row r="485" spans="1:19">
      <c r="A485" s="429" t="str">
        <f t="shared" si="43"/>
        <v>KU</v>
      </c>
      <c r="B485" s="429" t="str">
        <f t="shared" si="44"/>
        <v>KY</v>
      </c>
      <c r="C485" s="429" t="str">
        <f t="shared" si="45"/>
        <v>364</v>
      </c>
      <c r="D485" s="430" t="s">
        <v>1787</v>
      </c>
      <c r="E485" s="428" t="str">
        <f t="shared" si="41"/>
        <v/>
      </c>
      <c r="G485" s="429">
        <v>865.99908008074704</v>
      </c>
      <c r="H485" s="429">
        <v>869.80377959074599</v>
      </c>
      <c r="I485" s="429">
        <v>873.54112502074702</v>
      </c>
      <c r="J485" s="429">
        <v>877.43784031074699</v>
      </c>
      <c r="K485" s="429">
        <v>881.98147384074605</v>
      </c>
      <c r="L485" s="429">
        <v>886.29801797074697</v>
      </c>
      <c r="M485" s="429">
        <v>889.69079146074705</v>
      </c>
      <c r="N485" s="429">
        <v>892.51065200074697</v>
      </c>
      <c r="O485" s="429">
        <v>895.33761980074701</v>
      </c>
      <c r="P485" s="429">
        <v>898.23498089074701</v>
      </c>
      <c r="Q485" s="429">
        <v>901.40852143074699</v>
      </c>
      <c r="R485" s="429">
        <v>905.10672260074705</v>
      </c>
      <c r="S485" s="429">
        <f t="shared" si="46"/>
        <v>10637.350604998963</v>
      </c>
    </row>
    <row r="486" spans="1:19">
      <c r="A486" s="429" t="str">
        <f t="shared" si="43"/>
        <v>KU</v>
      </c>
      <c r="B486" s="429" t="str">
        <f t="shared" si="44"/>
        <v>TN</v>
      </c>
      <c r="C486" s="429" t="str">
        <f t="shared" si="45"/>
        <v>364</v>
      </c>
      <c r="D486" s="430" t="s">
        <v>1788</v>
      </c>
      <c r="E486" s="428" t="str">
        <f t="shared" si="41"/>
        <v/>
      </c>
      <c r="G486" s="429">
        <v>0.106322871</v>
      </c>
      <c r="H486" s="429">
        <v>0.106322871</v>
      </c>
      <c r="I486" s="429">
        <v>0.106322871</v>
      </c>
      <c r="J486" s="429">
        <v>0.106322871</v>
      </c>
      <c r="K486" s="429">
        <v>0.106322871</v>
      </c>
      <c r="L486" s="429">
        <v>0.106322871</v>
      </c>
      <c r="M486" s="429">
        <v>0.106322871</v>
      </c>
      <c r="N486" s="429">
        <v>0.106322871</v>
      </c>
      <c r="O486" s="429">
        <v>0.106322871</v>
      </c>
      <c r="P486" s="429">
        <v>0.106322871</v>
      </c>
      <c r="Q486" s="429">
        <v>0.106322871</v>
      </c>
      <c r="R486" s="429">
        <v>0.106322871</v>
      </c>
      <c r="S486" s="429">
        <f t="shared" si="46"/>
        <v>1.275874452</v>
      </c>
    </row>
    <row r="487" spans="1:19">
      <c r="A487" s="429" t="str">
        <f t="shared" si="43"/>
        <v>KU</v>
      </c>
      <c r="B487" s="429" t="str">
        <f t="shared" si="44"/>
        <v>VA</v>
      </c>
      <c r="C487" s="429" t="str">
        <f t="shared" si="45"/>
        <v>364</v>
      </c>
      <c r="D487" s="430" t="s">
        <v>1789</v>
      </c>
      <c r="E487" s="428" t="str">
        <f t="shared" si="41"/>
        <v/>
      </c>
      <c r="G487" s="429">
        <v>67.985216703999996</v>
      </c>
      <c r="H487" s="429">
        <v>68.057315472999903</v>
      </c>
      <c r="I487" s="429">
        <v>68.134788708000002</v>
      </c>
      <c r="J487" s="429">
        <v>68.217166020999997</v>
      </c>
      <c r="K487" s="429">
        <v>68.288080649999998</v>
      </c>
      <c r="L487" s="429">
        <v>68.360143734000005</v>
      </c>
      <c r="M487" s="429">
        <v>68.428396840999994</v>
      </c>
      <c r="N487" s="429">
        <v>68.486488893000001</v>
      </c>
      <c r="O487" s="429">
        <v>68.550577951999998</v>
      </c>
      <c r="P487" s="429">
        <v>68.618258537000003</v>
      </c>
      <c r="Q487" s="429">
        <v>68.682903452000005</v>
      </c>
      <c r="R487" s="429">
        <v>68.755394129999999</v>
      </c>
      <c r="S487" s="429">
        <f t="shared" si="46"/>
        <v>820.56473109499984</v>
      </c>
    </row>
    <row r="488" spans="1:19">
      <c r="A488" s="429" t="str">
        <f t="shared" si="43"/>
        <v>KU</v>
      </c>
      <c r="B488" s="429" t="str">
        <f t="shared" si="44"/>
        <v>KY</v>
      </c>
      <c r="C488" s="429" t="str">
        <f t="shared" si="45"/>
        <v>365</v>
      </c>
      <c r="D488" s="430" t="s">
        <v>2213</v>
      </c>
      <c r="E488" s="428" t="str">
        <f t="shared" si="41"/>
        <v>ECR</v>
      </c>
      <c r="G488" s="429">
        <v>4.8575452249999998E-2</v>
      </c>
      <c r="H488" s="429">
        <v>4.8575452249999998E-2</v>
      </c>
      <c r="I488" s="429">
        <v>4.8575452249999998E-2</v>
      </c>
      <c r="J488" s="429">
        <v>4.8575452249999998E-2</v>
      </c>
      <c r="K488" s="429">
        <v>4.8575452249999998E-2</v>
      </c>
      <c r="L488" s="429">
        <v>4.8575452249999998E-2</v>
      </c>
      <c r="M488" s="429">
        <v>4.8575452249999998E-2</v>
      </c>
      <c r="N488" s="429">
        <v>4.8575452249999998E-2</v>
      </c>
      <c r="O488" s="429">
        <v>4.8575452249999998E-2</v>
      </c>
      <c r="P488" s="429">
        <v>4.8575452249999998E-2</v>
      </c>
      <c r="Q488" s="429">
        <v>4.8575452249999998E-2</v>
      </c>
      <c r="R488" s="429">
        <v>4.8575452249999998E-2</v>
      </c>
      <c r="S488" s="429">
        <f t="shared" si="46"/>
        <v>0.58290542699999992</v>
      </c>
    </row>
    <row r="489" spans="1:19">
      <c r="A489" s="429" t="str">
        <f t="shared" si="43"/>
        <v>KU</v>
      </c>
      <c r="B489" s="429" t="str">
        <f t="shared" si="44"/>
        <v>KY</v>
      </c>
      <c r="C489" s="429" t="str">
        <f t="shared" si="45"/>
        <v>365</v>
      </c>
      <c r="D489" s="430" t="s">
        <v>1790</v>
      </c>
      <c r="E489" s="428" t="str">
        <f t="shared" si="41"/>
        <v/>
      </c>
      <c r="G489" s="429">
        <v>800.50285270999996</v>
      </c>
      <c r="H489" s="429">
        <v>804.94472628999995</v>
      </c>
      <c r="I489" s="429">
        <v>808.70389395999996</v>
      </c>
      <c r="J489" s="429">
        <v>813.21411063000005</v>
      </c>
      <c r="K489" s="429">
        <v>818.52937155999996</v>
      </c>
      <c r="L489" s="429">
        <v>822.33355508</v>
      </c>
      <c r="M489" s="429">
        <v>825.94896503999996</v>
      </c>
      <c r="N489" s="429">
        <v>831.36126684999999</v>
      </c>
      <c r="O489" s="429">
        <v>836.79110243000002</v>
      </c>
      <c r="P489" s="429">
        <v>840.19334245999903</v>
      </c>
      <c r="Q489" s="429">
        <v>843.54405744999997</v>
      </c>
      <c r="R489" s="429">
        <v>847.11639649999995</v>
      </c>
      <c r="S489" s="429">
        <f t="shared" si="46"/>
        <v>9893.18364096</v>
      </c>
    </row>
    <row r="490" spans="1:19">
      <c r="A490" s="429" t="str">
        <f t="shared" si="43"/>
        <v>KU</v>
      </c>
      <c r="B490" s="429" t="str">
        <f t="shared" si="44"/>
        <v>TN</v>
      </c>
      <c r="C490" s="429" t="str">
        <f t="shared" si="45"/>
        <v>365</v>
      </c>
      <c r="D490" s="430" t="s">
        <v>1791</v>
      </c>
      <c r="E490" s="428" t="str">
        <f t="shared" si="41"/>
        <v/>
      </c>
      <c r="G490" s="429">
        <v>9.6254294500000004E-2</v>
      </c>
      <c r="H490" s="429">
        <v>9.6254294500000004E-2</v>
      </c>
      <c r="I490" s="429">
        <v>9.6254294500000004E-2</v>
      </c>
      <c r="J490" s="429">
        <v>9.6254294500000004E-2</v>
      </c>
      <c r="K490" s="429">
        <v>9.6254294500000004E-2</v>
      </c>
      <c r="L490" s="429">
        <v>9.6254294500000004E-2</v>
      </c>
      <c r="M490" s="429">
        <v>9.6254294500000004E-2</v>
      </c>
      <c r="N490" s="429">
        <v>9.6254294500000004E-2</v>
      </c>
      <c r="O490" s="429">
        <v>9.6254294500000004E-2</v>
      </c>
      <c r="P490" s="429">
        <v>9.6254294500000004E-2</v>
      </c>
      <c r="Q490" s="429">
        <v>9.6254294500000004E-2</v>
      </c>
      <c r="R490" s="429">
        <v>9.6254294500000004E-2</v>
      </c>
      <c r="S490" s="429">
        <f t="shared" si="46"/>
        <v>1.155051534</v>
      </c>
    </row>
    <row r="491" spans="1:19">
      <c r="A491" s="429" t="str">
        <f t="shared" si="43"/>
        <v>KU</v>
      </c>
      <c r="B491" s="429" t="str">
        <f t="shared" si="44"/>
        <v>VA</v>
      </c>
      <c r="C491" s="429" t="str">
        <f t="shared" si="45"/>
        <v>365</v>
      </c>
      <c r="D491" s="430" t="s">
        <v>1792</v>
      </c>
      <c r="E491" s="428" t="str">
        <f t="shared" si="41"/>
        <v/>
      </c>
      <c r="G491" s="429">
        <v>58.670012552000003</v>
      </c>
      <c r="H491" s="429">
        <v>58.945116629999902</v>
      </c>
      <c r="I491" s="429">
        <v>59.473723876000001</v>
      </c>
      <c r="J491" s="429">
        <v>59.997118235000002</v>
      </c>
      <c r="K491" s="429">
        <v>60.245986344000002</v>
      </c>
      <c r="L491" s="429">
        <v>60.492774578999899</v>
      </c>
      <c r="M491" s="429">
        <v>60.722765854999999</v>
      </c>
      <c r="N491" s="429">
        <v>60.902742709000002</v>
      </c>
      <c r="O491" s="429">
        <v>61.127202599999997</v>
      </c>
      <c r="P491" s="429">
        <v>61.387635259</v>
      </c>
      <c r="Q491" s="429">
        <v>61.607597022999997</v>
      </c>
      <c r="R491" s="429">
        <v>61.818386463000003</v>
      </c>
      <c r="S491" s="429">
        <f t="shared" si="46"/>
        <v>725.39106212499985</v>
      </c>
    </row>
    <row r="492" spans="1:19">
      <c r="A492" s="429" t="str">
        <f t="shared" si="43"/>
        <v>KU</v>
      </c>
      <c r="B492" s="429" t="str">
        <f t="shared" si="44"/>
        <v>KY</v>
      </c>
      <c r="C492" s="429" t="str">
        <f t="shared" si="45"/>
        <v>366</v>
      </c>
      <c r="D492" s="430" t="s">
        <v>2214</v>
      </c>
      <c r="E492" s="428" t="str">
        <f t="shared" si="41"/>
        <v>ECR</v>
      </c>
      <c r="G492" s="429">
        <v>0.33060487199999999</v>
      </c>
      <c r="H492" s="429">
        <v>0.33060487199999999</v>
      </c>
      <c r="I492" s="429">
        <v>0.33060487199999999</v>
      </c>
      <c r="J492" s="429">
        <v>0.33060487199999999</v>
      </c>
      <c r="K492" s="429">
        <v>0.33060487199999999</v>
      </c>
      <c r="L492" s="429">
        <v>0.33060487199999999</v>
      </c>
      <c r="M492" s="429">
        <v>0.33060487199999999</v>
      </c>
      <c r="N492" s="429">
        <v>0.33060487199999999</v>
      </c>
      <c r="O492" s="429">
        <v>0.33060487199999999</v>
      </c>
      <c r="P492" s="429">
        <v>0.33060487199999999</v>
      </c>
      <c r="Q492" s="429">
        <v>0.33060487199999999</v>
      </c>
      <c r="R492" s="429">
        <v>0.33060487199999999</v>
      </c>
      <c r="S492" s="429">
        <f t="shared" si="46"/>
        <v>3.967258463999999</v>
      </c>
    </row>
    <row r="493" spans="1:19">
      <c r="A493" s="429" t="str">
        <f t="shared" si="43"/>
        <v>KU</v>
      </c>
      <c r="B493" s="429" t="str">
        <f t="shared" si="44"/>
        <v>KY</v>
      </c>
      <c r="C493" s="429" t="str">
        <f t="shared" si="45"/>
        <v>366</v>
      </c>
      <c r="D493" s="430" t="s">
        <v>1793</v>
      </c>
      <c r="E493" s="428" t="str">
        <f t="shared" si="41"/>
        <v/>
      </c>
      <c r="G493" s="429">
        <v>4.2902668049999999</v>
      </c>
      <c r="H493" s="429">
        <v>4.2902668049999999</v>
      </c>
      <c r="I493" s="429">
        <v>4.2902668049999999</v>
      </c>
      <c r="J493" s="429">
        <v>4.2902668049999999</v>
      </c>
      <c r="K493" s="429">
        <v>4.2902668049999999</v>
      </c>
      <c r="L493" s="429">
        <v>4.2902668049999999</v>
      </c>
      <c r="M493" s="429">
        <v>4.2902668049999999</v>
      </c>
      <c r="N493" s="429">
        <v>4.2902668049999999</v>
      </c>
      <c r="O493" s="429">
        <v>4.2902668049999999</v>
      </c>
      <c r="P493" s="429">
        <v>4.2902668049999999</v>
      </c>
      <c r="Q493" s="429">
        <v>4.2902668049999999</v>
      </c>
      <c r="R493" s="429">
        <v>4.2902668049999999</v>
      </c>
      <c r="S493" s="429">
        <f t="shared" si="46"/>
        <v>51.483201660000013</v>
      </c>
    </row>
    <row r="494" spans="1:19">
      <c r="A494" s="429" t="str">
        <f t="shared" si="43"/>
        <v>KU</v>
      </c>
      <c r="B494" s="429" t="str">
        <f t="shared" si="44"/>
        <v>KY</v>
      </c>
      <c r="C494" s="429" t="str">
        <f t="shared" si="45"/>
        <v>367</v>
      </c>
      <c r="D494" s="430" t="s">
        <v>2215</v>
      </c>
      <c r="E494" s="428" t="str">
        <f t="shared" ref="E494:E581" si="47">IF(ISTEXT(MID($D494,SEARCH("FUTURE USE",$D494),3)),"FUTURE USE",IF(ISTEXT(MID($D494,SEARCH("ECR",$D494),3)),"ECR",IF(ISTEXT(MID($D494,SEARCH("ARO",$D494),3)),"ARO",IF(ISTEXT(MID($D494,SEARCH("DSM",$D494),3)),"DSM",""))))</f>
        <v>ECR</v>
      </c>
      <c r="G494" s="429">
        <v>2.6853836241</v>
      </c>
      <c r="H494" s="429">
        <v>2.6853836241</v>
      </c>
      <c r="I494" s="429">
        <v>2.6853836241</v>
      </c>
      <c r="J494" s="429">
        <v>2.6853836241</v>
      </c>
      <c r="K494" s="429">
        <v>2.6853836241</v>
      </c>
      <c r="L494" s="429">
        <v>2.6853836241</v>
      </c>
      <c r="M494" s="429">
        <v>2.6853836241</v>
      </c>
      <c r="N494" s="429">
        <v>2.6853836241</v>
      </c>
      <c r="O494" s="429">
        <v>2.6853836241</v>
      </c>
      <c r="P494" s="429">
        <v>2.6853836241</v>
      </c>
      <c r="Q494" s="429">
        <v>2.6853836241</v>
      </c>
      <c r="R494" s="429">
        <v>2.6853836241</v>
      </c>
      <c r="S494" s="429">
        <f t="shared" si="46"/>
        <v>32.224603489199993</v>
      </c>
    </row>
    <row r="495" spans="1:19">
      <c r="A495" s="429" t="str">
        <f t="shared" si="43"/>
        <v>KU</v>
      </c>
      <c r="B495" s="429" t="str">
        <f t="shared" si="44"/>
        <v>KY</v>
      </c>
      <c r="C495" s="429" t="str">
        <f t="shared" si="45"/>
        <v>367</v>
      </c>
      <c r="D495" s="430" t="s">
        <v>1794</v>
      </c>
      <c r="E495" s="428" t="str">
        <f t="shared" si="47"/>
        <v/>
      </c>
      <c r="G495" s="429">
        <v>420.76926658000002</v>
      </c>
      <c r="H495" s="429">
        <v>423.44083696000001</v>
      </c>
      <c r="I495" s="429">
        <v>426.168482629999</v>
      </c>
      <c r="J495" s="429">
        <v>429.07237916999998</v>
      </c>
      <c r="K495" s="429">
        <v>431.76793763000001</v>
      </c>
      <c r="L495" s="429">
        <v>435.76093444999998</v>
      </c>
      <c r="M495" s="429">
        <v>439.64735590999999</v>
      </c>
      <c r="N495" s="429">
        <v>442.94387852</v>
      </c>
      <c r="O495" s="429">
        <v>446.44418739999998</v>
      </c>
      <c r="P495" s="429">
        <v>449.04903373000002</v>
      </c>
      <c r="Q495" s="429">
        <v>451.59470341000002</v>
      </c>
      <c r="R495" s="429">
        <v>454.189906589999</v>
      </c>
      <c r="S495" s="429">
        <f t="shared" si="46"/>
        <v>5250.8489029799985</v>
      </c>
    </row>
    <row r="496" spans="1:19">
      <c r="A496" s="429" t="str">
        <f t="shared" si="43"/>
        <v>KU</v>
      </c>
      <c r="B496" s="429" t="str">
        <f t="shared" si="44"/>
        <v>VA</v>
      </c>
      <c r="C496" s="429" t="str">
        <f t="shared" si="45"/>
        <v>367</v>
      </c>
      <c r="D496" s="430" t="s">
        <v>1795</v>
      </c>
      <c r="E496" s="428" t="str">
        <f t="shared" si="47"/>
        <v/>
      </c>
      <c r="G496" s="429">
        <v>9.9221152701999902</v>
      </c>
      <c r="H496" s="429">
        <v>10.005801838499901</v>
      </c>
      <c r="I496" s="429">
        <v>10.0913990745</v>
      </c>
      <c r="J496" s="429">
        <v>10.2081180293</v>
      </c>
      <c r="K496" s="429">
        <v>10.3093441128</v>
      </c>
      <c r="L496" s="429">
        <v>10.410968049799999</v>
      </c>
      <c r="M496" s="429">
        <v>10.503073180199999</v>
      </c>
      <c r="N496" s="429">
        <v>10.5519300111</v>
      </c>
      <c r="O496" s="429">
        <v>10.630424964099999</v>
      </c>
      <c r="P496" s="429">
        <v>10.7354800515</v>
      </c>
      <c r="Q496" s="429">
        <v>10.832886418999999</v>
      </c>
      <c r="R496" s="429">
        <v>10.922518690199899</v>
      </c>
      <c r="S496" s="429">
        <f t="shared" si="46"/>
        <v>125.12405969119979</v>
      </c>
    </row>
    <row r="497" spans="1:19">
      <c r="A497" s="429" t="str">
        <f t="shared" si="43"/>
        <v>KU</v>
      </c>
      <c r="B497" s="429" t="str">
        <f t="shared" si="44"/>
        <v>KY</v>
      </c>
      <c r="C497" s="429" t="str">
        <f t="shared" si="45"/>
        <v>368</v>
      </c>
      <c r="D497" s="430" t="s">
        <v>1796</v>
      </c>
      <c r="E497" s="428" t="str">
        <f t="shared" si="47"/>
        <v/>
      </c>
      <c r="G497" s="429">
        <v>466.60252767999998</v>
      </c>
      <c r="H497" s="429">
        <v>467.62275440000002</v>
      </c>
      <c r="I497" s="429">
        <v>468.21416871999998</v>
      </c>
      <c r="J497" s="429">
        <v>468.39220906000003</v>
      </c>
      <c r="K497" s="429">
        <v>469.24919261999997</v>
      </c>
      <c r="L497" s="429">
        <v>470.65891303000001</v>
      </c>
      <c r="M497" s="429">
        <v>471.99246964999998</v>
      </c>
      <c r="N497" s="429">
        <v>473.019163539999</v>
      </c>
      <c r="O497" s="429">
        <v>473.734317279999</v>
      </c>
      <c r="P497" s="429">
        <v>474.4965115</v>
      </c>
      <c r="Q497" s="429">
        <v>475.47281056000003</v>
      </c>
      <c r="R497" s="429">
        <v>476.36369335000001</v>
      </c>
      <c r="S497" s="429">
        <f t="shared" si="46"/>
        <v>5655.8187313899971</v>
      </c>
    </row>
    <row r="498" spans="1:19">
      <c r="A498" s="429" t="str">
        <f t="shared" si="43"/>
        <v>KU</v>
      </c>
      <c r="B498" s="429" t="str">
        <f t="shared" si="44"/>
        <v>TN</v>
      </c>
      <c r="C498" s="429" t="str">
        <f t="shared" si="45"/>
        <v>368</v>
      </c>
      <c r="D498" s="430" t="s">
        <v>1797</v>
      </c>
      <c r="E498" s="428" t="str">
        <f t="shared" si="47"/>
        <v/>
      </c>
      <c r="G498" s="429">
        <v>4.6514343330000003E-3</v>
      </c>
      <c r="H498" s="429">
        <v>4.6514343330000003E-3</v>
      </c>
      <c r="I498" s="429">
        <v>4.6514343330000003E-3</v>
      </c>
      <c r="J498" s="429">
        <v>4.6514343330000003E-3</v>
      </c>
      <c r="K498" s="429">
        <v>4.6514343330000003E-3</v>
      </c>
      <c r="L498" s="429">
        <v>4.6514343330000003E-3</v>
      </c>
      <c r="M498" s="429">
        <v>4.6514343330000003E-3</v>
      </c>
      <c r="N498" s="429">
        <v>4.6514343330000003E-3</v>
      </c>
      <c r="O498" s="429">
        <v>4.6514343330000003E-3</v>
      </c>
      <c r="P498" s="429">
        <v>4.6514343330000003E-3</v>
      </c>
      <c r="Q498" s="429">
        <v>4.6514343330000003E-3</v>
      </c>
      <c r="R498" s="429">
        <v>4.6514343330000003E-3</v>
      </c>
      <c r="S498" s="429">
        <f t="shared" si="46"/>
        <v>5.5817211995999989E-2</v>
      </c>
    </row>
    <row r="499" spans="1:19">
      <c r="A499" s="429" t="str">
        <f t="shared" si="43"/>
        <v>KU</v>
      </c>
      <c r="B499" s="429" t="str">
        <f t="shared" si="44"/>
        <v>VA</v>
      </c>
      <c r="C499" s="429" t="str">
        <f t="shared" si="45"/>
        <v>368</v>
      </c>
      <c r="D499" s="430" t="s">
        <v>1798</v>
      </c>
      <c r="E499" s="428" t="str">
        <f t="shared" si="47"/>
        <v/>
      </c>
      <c r="G499" s="429">
        <v>16.633431220999999</v>
      </c>
      <c r="H499" s="429">
        <v>16.6414196536</v>
      </c>
      <c r="I499" s="429">
        <v>16.6488482062</v>
      </c>
      <c r="J499" s="429">
        <v>16.657017398400001</v>
      </c>
      <c r="K499" s="429">
        <v>16.664044748799999</v>
      </c>
      <c r="L499" s="429">
        <v>16.673734903</v>
      </c>
      <c r="M499" s="429">
        <v>16.682463975000001</v>
      </c>
      <c r="N499" s="429">
        <v>16.686828521500001</v>
      </c>
      <c r="O499" s="429">
        <v>16.692865844</v>
      </c>
      <c r="P499" s="429">
        <v>16.701537045999999</v>
      </c>
      <c r="Q499" s="429">
        <v>16.710208237899899</v>
      </c>
      <c r="R499" s="429">
        <v>16.716238547500001</v>
      </c>
      <c r="S499" s="429">
        <f t="shared" si="46"/>
        <v>200.10863830289992</v>
      </c>
    </row>
    <row r="500" spans="1:19">
      <c r="A500" s="429" t="str">
        <f t="shared" si="43"/>
        <v>KU</v>
      </c>
      <c r="B500" s="429" t="str">
        <f t="shared" si="44"/>
        <v>KY</v>
      </c>
      <c r="C500" s="429" t="str">
        <f t="shared" si="45"/>
        <v>369</v>
      </c>
      <c r="D500" s="430" t="s">
        <v>1799</v>
      </c>
      <c r="E500" s="428" t="str">
        <f t="shared" si="47"/>
        <v/>
      </c>
      <c r="G500" s="429">
        <v>147.58366337000001</v>
      </c>
      <c r="H500" s="429">
        <v>147.58366337000001</v>
      </c>
      <c r="I500" s="429">
        <v>147.58366337000001</v>
      </c>
      <c r="J500" s="429">
        <v>147.58366337000001</v>
      </c>
      <c r="K500" s="429">
        <v>147.58366337000001</v>
      </c>
      <c r="L500" s="429">
        <v>147.58366337000001</v>
      </c>
      <c r="M500" s="429">
        <v>147.58366337000001</v>
      </c>
      <c r="N500" s="429">
        <v>147.62169667000001</v>
      </c>
      <c r="O500" s="429">
        <v>147.65973006999999</v>
      </c>
      <c r="P500" s="429">
        <v>147.65973006999999</v>
      </c>
      <c r="Q500" s="429">
        <v>147.65973006999999</v>
      </c>
      <c r="R500" s="429">
        <v>147.65973006999999</v>
      </c>
      <c r="S500" s="429">
        <f t="shared" si="46"/>
        <v>1771.3462605400005</v>
      </c>
    </row>
    <row r="501" spans="1:19">
      <c r="A501" s="429" t="str">
        <f t="shared" si="43"/>
        <v>KU</v>
      </c>
      <c r="B501" s="429" t="str">
        <f t="shared" si="44"/>
        <v>TN</v>
      </c>
      <c r="C501" s="429" t="str">
        <f t="shared" si="45"/>
        <v>369</v>
      </c>
      <c r="D501" s="430" t="s">
        <v>1800</v>
      </c>
      <c r="E501" s="428" t="str">
        <f t="shared" si="47"/>
        <v/>
      </c>
      <c r="G501" s="429">
        <v>3.4585883300000003E-4</v>
      </c>
      <c r="H501" s="429">
        <v>3.4585883300000003E-4</v>
      </c>
      <c r="I501" s="429">
        <v>3.4585883300000003E-4</v>
      </c>
      <c r="J501" s="429">
        <v>3.4585883300000003E-4</v>
      </c>
      <c r="K501" s="429">
        <v>3.4585883300000003E-4</v>
      </c>
      <c r="L501" s="429">
        <v>3.4585883300000003E-4</v>
      </c>
      <c r="M501" s="429">
        <v>3.4585883300000003E-4</v>
      </c>
      <c r="N501" s="429">
        <v>3.4585883300000003E-4</v>
      </c>
      <c r="O501" s="429">
        <v>3.4585883300000003E-4</v>
      </c>
      <c r="P501" s="429">
        <v>3.4585883300000003E-4</v>
      </c>
      <c r="Q501" s="429">
        <v>3.4585883300000003E-4</v>
      </c>
      <c r="R501" s="429">
        <v>3.4585883300000003E-4</v>
      </c>
      <c r="S501" s="429">
        <f t="shared" si="46"/>
        <v>4.1503059959999995E-3</v>
      </c>
    </row>
    <row r="502" spans="1:19">
      <c r="A502" s="429" t="str">
        <f t="shared" si="43"/>
        <v>KU</v>
      </c>
      <c r="B502" s="429" t="str">
        <f t="shared" si="44"/>
        <v>VA</v>
      </c>
      <c r="C502" s="429" t="str">
        <f t="shared" si="45"/>
        <v>369</v>
      </c>
      <c r="D502" s="430" t="s">
        <v>1801</v>
      </c>
      <c r="E502" s="428" t="str">
        <f t="shared" si="47"/>
        <v/>
      </c>
      <c r="G502" s="429">
        <v>7.9502537289999999</v>
      </c>
      <c r="H502" s="429">
        <v>7.9502537289999999</v>
      </c>
      <c r="I502" s="429">
        <v>7.9502537289999999</v>
      </c>
      <c r="J502" s="429">
        <v>7.9502537289999999</v>
      </c>
      <c r="K502" s="429">
        <v>7.9502537289999999</v>
      </c>
      <c r="L502" s="429">
        <v>7.9502537289999999</v>
      </c>
      <c r="M502" s="429">
        <v>7.9502537289999999</v>
      </c>
      <c r="N502" s="429">
        <v>7.9502537289999999</v>
      </c>
      <c r="O502" s="429">
        <v>7.9502537289999999</v>
      </c>
      <c r="P502" s="429">
        <v>7.9502537289999999</v>
      </c>
      <c r="Q502" s="429">
        <v>7.9502537289999999</v>
      </c>
      <c r="R502" s="429">
        <v>7.9502537289999999</v>
      </c>
      <c r="S502" s="429">
        <f t="shared" si="46"/>
        <v>95.403044747999971</v>
      </c>
    </row>
    <row r="503" spans="1:19">
      <c r="A503" s="429" t="str">
        <f t="shared" si="43"/>
        <v>KU</v>
      </c>
      <c r="B503" s="429" t="str">
        <f t="shared" si="44"/>
        <v>KY</v>
      </c>
      <c r="C503" s="429" t="str">
        <f t="shared" si="45"/>
        <v>370</v>
      </c>
      <c r="D503" s="430" t="s">
        <v>1802</v>
      </c>
      <c r="E503" s="428" t="str">
        <f t="shared" si="47"/>
        <v/>
      </c>
      <c r="G503" s="429">
        <v>233.003855157</v>
      </c>
      <c r="H503" s="429">
        <v>233.42991735699999</v>
      </c>
      <c r="I503" s="429">
        <v>233.84287805700001</v>
      </c>
      <c r="J503" s="429">
        <v>234.261151157</v>
      </c>
      <c r="K503" s="429">
        <v>234.62101385699901</v>
      </c>
      <c r="L503" s="429">
        <v>234.96892015699899</v>
      </c>
      <c r="M503" s="429">
        <v>235.39103695700001</v>
      </c>
      <c r="N503" s="429">
        <v>236.87498765699999</v>
      </c>
      <c r="O503" s="429">
        <v>238.23257145700001</v>
      </c>
      <c r="P503" s="429">
        <v>238.668820057</v>
      </c>
      <c r="Q503" s="429">
        <v>239.16220765700001</v>
      </c>
      <c r="R503" s="429">
        <v>239.52964985699899</v>
      </c>
      <c r="S503" s="429">
        <f t="shared" si="46"/>
        <v>2831.9870093839977</v>
      </c>
    </row>
    <row r="504" spans="1:19">
      <c r="A504" s="429" t="str">
        <f t="shared" si="43"/>
        <v>KU</v>
      </c>
      <c r="B504" s="429" t="str">
        <f t="shared" si="44"/>
        <v>KY</v>
      </c>
      <c r="C504" s="429" t="str">
        <f t="shared" si="45"/>
        <v>370</v>
      </c>
      <c r="D504" s="430" t="s">
        <v>2508</v>
      </c>
      <c r="E504" s="428" t="str">
        <f t="shared" si="47"/>
        <v>DSM</v>
      </c>
      <c r="G504" s="429">
        <v>7.5996959669999997</v>
      </c>
      <c r="H504" s="429">
        <v>7.5996959669999997</v>
      </c>
      <c r="I504" s="429">
        <v>7.5996959669999997</v>
      </c>
      <c r="J504" s="429">
        <v>7.5996959669999997</v>
      </c>
      <c r="K504" s="429">
        <v>7.5996959669999997</v>
      </c>
      <c r="L504" s="429">
        <v>7.5996959669999997</v>
      </c>
      <c r="M504" s="429">
        <v>7.5996959669999997</v>
      </c>
      <c r="N504" s="429">
        <v>7.5996959669999997</v>
      </c>
      <c r="O504" s="429">
        <v>7.5996959669999997</v>
      </c>
      <c r="P504" s="429">
        <v>7.5996959669999997</v>
      </c>
      <c r="Q504" s="429">
        <v>7.5996959669999997</v>
      </c>
      <c r="R504" s="429">
        <v>7.5996959669999997</v>
      </c>
      <c r="S504" s="429">
        <f t="shared" ref="S504" si="48">SUM(G504:R504)</f>
        <v>91.196351604000014</v>
      </c>
    </row>
    <row r="505" spans="1:19">
      <c r="A505" s="429" t="str">
        <f t="shared" si="43"/>
        <v>KU</v>
      </c>
      <c r="B505" s="429" t="str">
        <f t="shared" si="44"/>
        <v>TN</v>
      </c>
      <c r="C505" s="429" t="str">
        <f t="shared" si="45"/>
        <v>370</v>
      </c>
      <c r="D505" s="430" t="s">
        <v>1803</v>
      </c>
      <c r="E505" s="428" t="str">
        <f t="shared" si="47"/>
        <v/>
      </c>
      <c r="G505" s="429">
        <v>1.481678575E-2</v>
      </c>
      <c r="H505" s="429">
        <v>1.481678575E-2</v>
      </c>
      <c r="I505" s="429">
        <v>1.481678575E-2</v>
      </c>
      <c r="J505" s="429">
        <v>1.481678575E-2</v>
      </c>
      <c r="K505" s="429">
        <v>1.481678575E-2</v>
      </c>
      <c r="L505" s="429">
        <v>1.481678575E-2</v>
      </c>
      <c r="M505" s="429">
        <v>1.481678575E-2</v>
      </c>
      <c r="N505" s="429">
        <v>1.481678575E-2</v>
      </c>
      <c r="O505" s="429">
        <v>1.481678575E-2</v>
      </c>
      <c r="P505" s="429">
        <v>1.481678575E-2</v>
      </c>
      <c r="Q505" s="429">
        <v>1.481678575E-2</v>
      </c>
      <c r="R505" s="429">
        <v>1.481678575E-2</v>
      </c>
      <c r="S505" s="429">
        <f t="shared" si="46"/>
        <v>0.17780142900000004</v>
      </c>
    </row>
    <row r="506" spans="1:19">
      <c r="A506" s="429" t="str">
        <f t="shared" si="43"/>
        <v>KU</v>
      </c>
      <c r="B506" s="429" t="str">
        <f t="shared" si="44"/>
        <v>VA</v>
      </c>
      <c r="C506" s="429" t="str">
        <f t="shared" si="45"/>
        <v>370</v>
      </c>
      <c r="D506" s="430" t="s">
        <v>1804</v>
      </c>
      <c r="E506" s="428" t="str">
        <f t="shared" si="47"/>
        <v/>
      </c>
      <c r="G506" s="429">
        <v>11.611564217</v>
      </c>
      <c r="H506" s="429">
        <v>11.611564217</v>
      </c>
      <c r="I506" s="429">
        <v>11.611564217</v>
      </c>
      <c r="J506" s="429">
        <v>11.611564217</v>
      </c>
      <c r="K506" s="429">
        <v>11.611564217</v>
      </c>
      <c r="L506" s="429">
        <v>11.611564217</v>
      </c>
      <c r="M506" s="429">
        <v>11.611564217</v>
      </c>
      <c r="N506" s="429">
        <v>11.611564217</v>
      </c>
      <c r="O506" s="429">
        <v>11.611564217</v>
      </c>
      <c r="P506" s="429">
        <v>11.611564217</v>
      </c>
      <c r="Q506" s="429">
        <v>11.611564217</v>
      </c>
      <c r="R506" s="429">
        <v>11.611564217</v>
      </c>
      <c r="S506" s="429">
        <f t="shared" si="46"/>
        <v>139.33877060399996</v>
      </c>
    </row>
    <row r="507" spans="1:19">
      <c r="A507" s="429" t="str">
        <f t="shared" si="43"/>
        <v>KU</v>
      </c>
      <c r="B507" s="429" t="str">
        <f t="shared" si="44"/>
        <v>KY</v>
      </c>
      <c r="C507" s="429" t="str">
        <f t="shared" si="45"/>
        <v>371</v>
      </c>
      <c r="D507" s="430" t="s">
        <v>1805</v>
      </c>
      <c r="E507" s="428" t="str">
        <f t="shared" si="47"/>
        <v/>
      </c>
      <c r="G507" s="429">
        <v>3.6823340000000002E-3</v>
      </c>
      <c r="H507" s="429">
        <v>3.6823340000000002E-3</v>
      </c>
      <c r="I507" s="429">
        <v>3.6823340000000002E-3</v>
      </c>
      <c r="J507" s="429">
        <v>3.6823340000000002E-3</v>
      </c>
      <c r="K507" s="429">
        <v>3.6823340000000002E-3</v>
      </c>
      <c r="L507" s="429">
        <v>3.6823340000000002E-3</v>
      </c>
      <c r="M507" s="429">
        <v>3.6823340000000002E-3</v>
      </c>
      <c r="N507" s="429">
        <v>3.6823340000000002E-3</v>
      </c>
      <c r="O507" s="429">
        <v>3.6823340000000002E-3</v>
      </c>
      <c r="P507" s="429">
        <v>3.6823340000000002E-3</v>
      </c>
      <c r="Q507" s="429">
        <v>3.6823340000000002E-3</v>
      </c>
      <c r="R507" s="429">
        <v>3.6823340000000002E-3</v>
      </c>
      <c r="S507" s="429">
        <f t="shared" si="46"/>
        <v>4.4188008000000008E-2</v>
      </c>
    </row>
    <row r="508" spans="1:19">
      <c r="A508" s="429" t="str">
        <f t="shared" si="43"/>
        <v>KU</v>
      </c>
      <c r="B508" s="429" t="str">
        <f t="shared" si="44"/>
        <v>KY</v>
      </c>
      <c r="C508" s="429" t="str">
        <f t="shared" si="45"/>
        <v>371</v>
      </c>
      <c r="D508" s="430" t="s">
        <v>2674</v>
      </c>
      <c r="E508" s="428" t="str">
        <f t="shared" si="47"/>
        <v/>
      </c>
      <c r="G508" s="429">
        <v>1.1706750829999999</v>
      </c>
      <c r="H508" s="429">
        <v>1.1706750829999999</v>
      </c>
      <c r="I508" s="429">
        <v>1.1706750829999999</v>
      </c>
      <c r="J508" s="429">
        <v>1.1706750829999999</v>
      </c>
      <c r="K508" s="429">
        <v>1.1706750829999999</v>
      </c>
      <c r="L508" s="429">
        <v>1.1706750829999999</v>
      </c>
      <c r="M508" s="429">
        <v>1.1706750829999999</v>
      </c>
      <c r="N508" s="429">
        <v>1.1706750829999999</v>
      </c>
      <c r="O508" s="429">
        <v>1.1706750829999999</v>
      </c>
      <c r="P508" s="429">
        <v>1.1706750829999999</v>
      </c>
      <c r="Q508" s="429">
        <v>1.1706750829999999</v>
      </c>
      <c r="R508" s="429">
        <v>1.1706750829999999</v>
      </c>
      <c r="S508" s="429">
        <f t="shared" ref="S508" si="49">SUM(G508:R508)</f>
        <v>14.048100995999995</v>
      </c>
    </row>
    <row r="509" spans="1:19">
      <c r="A509" s="429" t="str">
        <f t="shared" si="43"/>
        <v>KU</v>
      </c>
      <c r="B509" s="429" t="str">
        <f t="shared" si="44"/>
        <v>KY</v>
      </c>
      <c r="C509" s="429" t="str">
        <f t="shared" si="45"/>
        <v>373</v>
      </c>
      <c r="D509" s="430" t="s">
        <v>1806</v>
      </c>
      <c r="E509" s="428" t="str">
        <f t="shared" si="47"/>
        <v/>
      </c>
      <c r="G509" s="429">
        <v>418.93096078000002</v>
      </c>
      <c r="H509" s="429">
        <v>420.12231417999999</v>
      </c>
      <c r="I509" s="429">
        <v>420.56905560000001</v>
      </c>
      <c r="J509" s="429">
        <v>420.11940933999898</v>
      </c>
      <c r="K509" s="429">
        <v>420.97967088000001</v>
      </c>
      <c r="L509" s="429">
        <v>422.66051682</v>
      </c>
      <c r="M509" s="429">
        <v>424.26235768999999</v>
      </c>
      <c r="N509" s="429">
        <v>425.42047649</v>
      </c>
      <c r="O509" s="429">
        <v>426.78416966999998</v>
      </c>
      <c r="P509" s="429">
        <v>428.38106120999998</v>
      </c>
      <c r="Q509" s="429">
        <v>429.62725769000002</v>
      </c>
      <c r="R509" s="429">
        <v>430.90987383999999</v>
      </c>
      <c r="S509" s="429">
        <f t="shared" si="46"/>
        <v>5088.7671241899989</v>
      </c>
    </row>
    <row r="510" spans="1:19">
      <c r="A510" s="429" t="str">
        <f t="shared" si="43"/>
        <v>KU</v>
      </c>
      <c r="B510" s="429" t="str">
        <f t="shared" si="44"/>
        <v>VA</v>
      </c>
      <c r="C510" s="429" t="str">
        <f t="shared" si="45"/>
        <v>373</v>
      </c>
      <c r="D510" s="430" t="s">
        <v>1807</v>
      </c>
      <c r="E510" s="428" t="str">
        <f t="shared" si="47"/>
        <v/>
      </c>
      <c r="G510" s="429">
        <v>13.021774153899999</v>
      </c>
      <c r="H510" s="429">
        <v>13.0817708351</v>
      </c>
      <c r="I510" s="429">
        <v>13.143915186499999</v>
      </c>
      <c r="J510" s="429">
        <v>13.2136650326</v>
      </c>
      <c r="K510" s="429">
        <v>13.281267231099999</v>
      </c>
      <c r="L510" s="429">
        <v>13.339116263699999</v>
      </c>
      <c r="M510" s="429">
        <v>13.383409384999901</v>
      </c>
      <c r="N510" s="429">
        <v>13.4179493634</v>
      </c>
      <c r="O510" s="429">
        <v>13.4695539669</v>
      </c>
      <c r="P510" s="429">
        <v>13.538256516799899</v>
      </c>
      <c r="Q510" s="429">
        <v>13.6069590872</v>
      </c>
      <c r="R510" s="429">
        <v>13.6697602306</v>
      </c>
      <c r="S510" s="429">
        <f t="shared" si="46"/>
        <v>160.16739725279979</v>
      </c>
    </row>
    <row r="511" spans="1:19">
      <c r="A511" s="429" t="str">
        <f t="shared" si="43"/>
        <v>KU</v>
      </c>
      <c r="B511" s="429" t="str">
        <f t="shared" si="44"/>
        <v>KY</v>
      </c>
      <c r="C511" s="429" t="str">
        <f t="shared" si="45"/>
        <v>374</v>
      </c>
      <c r="D511" s="430" t="s">
        <v>1808</v>
      </c>
      <c r="E511" s="428" t="str">
        <f t="shared" si="47"/>
        <v>ARO</v>
      </c>
      <c r="G511" s="429">
        <v>0.86819000000000002</v>
      </c>
      <c r="H511" s="429">
        <v>0.86819000000000002</v>
      </c>
      <c r="I511" s="429">
        <v>0.86819000000000002</v>
      </c>
      <c r="J511" s="429">
        <v>0.86819000000000002</v>
      </c>
      <c r="K511" s="429">
        <v>0.86819000000000002</v>
      </c>
      <c r="L511" s="429">
        <v>0.86819000000000002</v>
      </c>
      <c r="M511" s="429">
        <v>0.86819000000000002</v>
      </c>
      <c r="N511" s="429">
        <v>0.86819000000000002</v>
      </c>
      <c r="O511" s="429">
        <v>0.116844521110732</v>
      </c>
      <c r="P511" s="429">
        <v>0.116844521110732</v>
      </c>
      <c r="Q511" s="429">
        <v>0.116844521110732</v>
      </c>
      <c r="R511" s="429">
        <v>0.116844521110732</v>
      </c>
      <c r="S511" s="429">
        <f t="shared" si="46"/>
        <v>7.4128980844429284</v>
      </c>
    </row>
    <row r="512" spans="1:19">
      <c r="A512" s="429" t="str">
        <f t="shared" si="43"/>
        <v>KU</v>
      </c>
      <c r="B512" s="429" t="str">
        <f t="shared" si="44"/>
        <v>KY</v>
      </c>
      <c r="C512" s="429" t="str">
        <f t="shared" si="45"/>
        <v>390</v>
      </c>
      <c r="D512" s="430" t="s">
        <v>1811</v>
      </c>
      <c r="E512" s="428" t="str">
        <f t="shared" si="47"/>
        <v/>
      </c>
      <c r="G512" s="429">
        <v>5.9166522675759996</v>
      </c>
      <c r="H512" s="429">
        <v>5.9166522675759996</v>
      </c>
      <c r="I512" s="429">
        <v>5.9166522675759996</v>
      </c>
      <c r="J512" s="429">
        <v>5.9166522675759996</v>
      </c>
      <c r="K512" s="429">
        <v>5.9166522675759996</v>
      </c>
      <c r="L512" s="429">
        <v>5.9166522675759996</v>
      </c>
      <c r="M512" s="429">
        <v>5.9166522675759996</v>
      </c>
      <c r="N512" s="429">
        <v>5.9166522675759996</v>
      </c>
      <c r="O512" s="429">
        <v>5.9166522675759996</v>
      </c>
      <c r="P512" s="429">
        <v>5.9166522675759996</v>
      </c>
      <c r="Q512" s="429">
        <v>5.9166522675759996</v>
      </c>
      <c r="R512" s="429">
        <v>5.9166522675759996</v>
      </c>
      <c r="S512" s="429">
        <f t="shared" si="46"/>
        <v>70.999827210911988</v>
      </c>
    </row>
    <row r="513" spans="1:20">
      <c r="A513" s="429" t="str">
        <f t="shared" si="43"/>
        <v>KU</v>
      </c>
      <c r="B513" s="429" t="str">
        <f t="shared" si="44"/>
        <v>KY</v>
      </c>
      <c r="C513" s="429" t="str">
        <f t="shared" si="45"/>
        <v>390</v>
      </c>
      <c r="D513" s="430" t="s">
        <v>1812</v>
      </c>
      <c r="E513" s="428" t="str">
        <f t="shared" si="47"/>
        <v/>
      </c>
      <c r="G513" s="429">
        <v>133.94607050349899</v>
      </c>
      <c r="H513" s="429">
        <v>141.70674895350001</v>
      </c>
      <c r="I513" s="429">
        <v>149.4618057735</v>
      </c>
      <c r="J513" s="429">
        <v>149.66093633349999</v>
      </c>
      <c r="K513" s="429">
        <v>150.26667844349899</v>
      </c>
      <c r="L513" s="429">
        <v>151.44828312049901</v>
      </c>
      <c r="M513" s="429">
        <v>153.77870485649899</v>
      </c>
      <c r="N513" s="429">
        <v>157.3537764765</v>
      </c>
      <c r="O513" s="429">
        <v>159.37358326649999</v>
      </c>
      <c r="P513" s="429">
        <v>159.4149986365</v>
      </c>
      <c r="Q513" s="429">
        <v>159.4514334365</v>
      </c>
      <c r="R513" s="429">
        <v>159.4855576665</v>
      </c>
      <c r="S513" s="429">
        <f t="shared" si="46"/>
        <v>1825.3485774669962</v>
      </c>
    </row>
    <row r="514" spans="1:20">
      <c r="A514" s="429" t="str">
        <f t="shared" si="43"/>
        <v>KU</v>
      </c>
      <c r="B514" s="429" t="str">
        <f t="shared" si="44"/>
        <v>VA</v>
      </c>
      <c r="C514" s="429" t="str">
        <f t="shared" si="45"/>
        <v>390</v>
      </c>
      <c r="D514" s="430" t="s">
        <v>1813</v>
      </c>
      <c r="E514" s="428" t="str">
        <f t="shared" si="47"/>
        <v/>
      </c>
      <c r="G514" s="429">
        <v>2.5461699533369999</v>
      </c>
      <c r="H514" s="429">
        <v>2.7708397446369899</v>
      </c>
      <c r="I514" s="429">
        <v>7.4938580626369999</v>
      </c>
      <c r="J514" s="429">
        <v>12.2472554753369</v>
      </c>
      <c r="K514" s="429">
        <v>12.277634564336999</v>
      </c>
      <c r="L514" s="429">
        <v>12.277634564336999</v>
      </c>
      <c r="M514" s="429">
        <v>12.277634564336999</v>
      </c>
      <c r="N514" s="429">
        <v>12.277634564336999</v>
      </c>
      <c r="O514" s="429">
        <v>12.277634564336999</v>
      </c>
      <c r="P514" s="429">
        <v>12.277634564336999</v>
      </c>
      <c r="Q514" s="429">
        <v>12.277634564336999</v>
      </c>
      <c r="R514" s="429">
        <v>12.277634564336999</v>
      </c>
      <c r="S514" s="429">
        <f t="shared" si="46"/>
        <v>123.2791997506439</v>
      </c>
    </row>
    <row r="515" spans="1:20">
      <c r="A515" s="429" t="str">
        <f t="shared" si="43"/>
        <v>KU</v>
      </c>
      <c r="B515" s="429" t="str">
        <f t="shared" si="44"/>
        <v>KY</v>
      </c>
      <c r="C515" s="429" t="str">
        <f t="shared" si="45"/>
        <v>391</v>
      </c>
      <c r="D515" s="430" t="s">
        <v>1814</v>
      </c>
      <c r="E515" s="428" t="str">
        <f t="shared" si="47"/>
        <v/>
      </c>
      <c r="G515" s="429">
        <v>122.4268424</v>
      </c>
      <c r="H515" s="429">
        <v>122.4268424</v>
      </c>
      <c r="I515" s="429">
        <v>122.4268424</v>
      </c>
      <c r="J515" s="429">
        <v>122.4268424</v>
      </c>
      <c r="K515" s="429">
        <v>122.3125196</v>
      </c>
      <c r="L515" s="429">
        <v>114.3516645</v>
      </c>
      <c r="M515" s="429">
        <v>119.800784499999</v>
      </c>
      <c r="N515" s="429">
        <v>134.0453406</v>
      </c>
      <c r="O515" s="429">
        <v>134.7655972</v>
      </c>
      <c r="P515" s="429">
        <v>134.53695039999999</v>
      </c>
      <c r="Q515" s="429">
        <v>134.53695039999999</v>
      </c>
      <c r="R515" s="429">
        <v>134.53695039999999</v>
      </c>
      <c r="S515" s="429">
        <f t="shared" si="46"/>
        <v>1518.5941271999991</v>
      </c>
    </row>
    <row r="516" spans="1:20">
      <c r="A516" s="429" t="str">
        <f t="shared" si="43"/>
        <v>KU</v>
      </c>
      <c r="B516" s="429" t="str">
        <f t="shared" si="44"/>
        <v>KY</v>
      </c>
      <c r="C516" s="429" t="str">
        <f t="shared" si="45"/>
        <v>391</v>
      </c>
      <c r="D516" s="430" t="s">
        <v>1815</v>
      </c>
      <c r="E516" s="428" t="str">
        <f t="shared" si="47"/>
        <v/>
      </c>
      <c r="G516" s="429">
        <v>307.63913839999998</v>
      </c>
      <c r="H516" s="429">
        <v>297.58474724000001</v>
      </c>
      <c r="I516" s="429">
        <v>294.47544422999999</v>
      </c>
      <c r="J516" s="429">
        <v>293.180822059999</v>
      </c>
      <c r="K516" s="429">
        <v>294.15720314999999</v>
      </c>
      <c r="L516" s="429">
        <v>293.96805749999999</v>
      </c>
      <c r="M516" s="429">
        <v>294.40885350999997</v>
      </c>
      <c r="N516" s="429">
        <v>301.07798607999899</v>
      </c>
      <c r="O516" s="429">
        <v>301.43153948000003</v>
      </c>
      <c r="P516" s="429">
        <v>289.60783277000002</v>
      </c>
      <c r="Q516" s="429">
        <v>280.81376246999997</v>
      </c>
      <c r="R516" s="429">
        <v>280.61614236000003</v>
      </c>
      <c r="S516" s="429">
        <f t="shared" si="46"/>
        <v>3528.961529249998</v>
      </c>
    </row>
    <row r="517" spans="1:20">
      <c r="A517" s="429" t="str">
        <f t="shared" si="43"/>
        <v>KU</v>
      </c>
      <c r="B517" s="429" t="str">
        <f t="shared" si="44"/>
        <v>KY</v>
      </c>
      <c r="C517" s="429" t="str">
        <f t="shared" si="45"/>
        <v>392</v>
      </c>
      <c r="D517" s="430" t="s">
        <v>1817</v>
      </c>
      <c r="E517" s="428" t="str">
        <f t="shared" si="47"/>
        <v>ECR</v>
      </c>
      <c r="G517" s="429">
        <v>3.1854604500000001E-2</v>
      </c>
      <c r="H517" s="429">
        <v>3.1854604500000001E-2</v>
      </c>
      <c r="I517" s="429">
        <v>3.1854604500000001E-2</v>
      </c>
      <c r="J517" s="429">
        <v>3.1854604500000001E-2</v>
      </c>
      <c r="K517" s="429">
        <v>3.1854604500000001E-2</v>
      </c>
      <c r="L517" s="429">
        <v>3.1854604500000001E-2</v>
      </c>
      <c r="M517" s="429">
        <v>3.1854604500000001E-2</v>
      </c>
      <c r="N517" s="429">
        <v>3.1854604500000001E-2</v>
      </c>
      <c r="O517" s="429">
        <v>3.1854604500000001E-2</v>
      </c>
      <c r="P517" s="429">
        <v>3.1854604500000001E-2</v>
      </c>
      <c r="Q517" s="429">
        <v>3.1854604500000001E-2</v>
      </c>
      <c r="R517" s="429">
        <v>3.1854604500000001E-2</v>
      </c>
      <c r="S517" s="429">
        <f t="shared" si="46"/>
        <v>0.38225525399999999</v>
      </c>
      <c r="T517" s="430"/>
    </row>
    <row r="518" spans="1:20">
      <c r="A518" s="429" t="str">
        <f t="shared" si="43"/>
        <v>KU</v>
      </c>
      <c r="B518" s="429" t="str">
        <f t="shared" si="44"/>
        <v>KY</v>
      </c>
      <c r="C518" s="429" t="str">
        <f t="shared" si="45"/>
        <v>392</v>
      </c>
      <c r="D518" s="430" t="s">
        <v>1818</v>
      </c>
      <c r="E518" s="428" t="str">
        <f t="shared" si="47"/>
        <v/>
      </c>
      <c r="G518" s="429">
        <v>18.293452858999999</v>
      </c>
      <c r="H518" s="429">
        <v>18.293452858999999</v>
      </c>
      <c r="I518" s="429">
        <v>18.293452858999999</v>
      </c>
      <c r="J518" s="429">
        <v>18.293452858999999</v>
      </c>
      <c r="K518" s="429">
        <v>18.293452858999999</v>
      </c>
      <c r="L518" s="429">
        <v>18.293452858999999</v>
      </c>
      <c r="M518" s="429">
        <v>18.293452858999999</v>
      </c>
      <c r="N518" s="429">
        <v>18.293452858999999</v>
      </c>
      <c r="O518" s="429">
        <v>18.293452858999999</v>
      </c>
      <c r="P518" s="429">
        <v>18.293452858999999</v>
      </c>
      <c r="Q518" s="429">
        <v>18.293452858999999</v>
      </c>
      <c r="R518" s="429">
        <v>18.293452858999999</v>
      </c>
      <c r="S518" s="429">
        <f t="shared" si="46"/>
        <v>219.52143430800004</v>
      </c>
    </row>
    <row r="519" spans="1:20">
      <c r="A519" s="429" t="str">
        <f t="shared" si="43"/>
        <v>KU</v>
      </c>
      <c r="B519" s="429" t="str">
        <f t="shared" si="44"/>
        <v>VA</v>
      </c>
      <c r="C519" s="429" t="str">
        <f t="shared" si="45"/>
        <v>392</v>
      </c>
      <c r="D519" s="430" t="s">
        <v>2510</v>
      </c>
      <c r="E519" s="428" t="str">
        <f t="shared" si="47"/>
        <v/>
      </c>
      <c r="G519" s="429">
        <v>2.453700667E-2</v>
      </c>
      <c r="H519" s="429">
        <v>2.453700667E-2</v>
      </c>
      <c r="I519" s="429">
        <v>2.453700667E-2</v>
      </c>
      <c r="J519" s="429">
        <v>2.453700667E-2</v>
      </c>
      <c r="K519" s="429">
        <v>2.453700667E-2</v>
      </c>
      <c r="L519" s="429">
        <v>2.453700667E-2</v>
      </c>
      <c r="M519" s="429">
        <v>2.453700667E-2</v>
      </c>
      <c r="N519" s="429">
        <v>2.453700667E-2</v>
      </c>
      <c r="O519" s="429">
        <v>2.453700667E-2</v>
      </c>
      <c r="P519" s="429">
        <v>2.453700667E-2</v>
      </c>
      <c r="Q519" s="429">
        <v>2.453700667E-2</v>
      </c>
      <c r="R519" s="429">
        <v>2.453700667E-2</v>
      </c>
      <c r="S519" s="429">
        <f t="shared" ref="S519" si="50">SUM(G519:R519)</f>
        <v>0.29444408004</v>
      </c>
    </row>
    <row r="520" spans="1:20">
      <c r="A520" s="429" t="str">
        <f t="shared" si="43"/>
        <v>KU</v>
      </c>
      <c r="B520" s="429" t="str">
        <f t="shared" si="44"/>
        <v>KY</v>
      </c>
      <c r="C520" s="429" t="str">
        <f t="shared" si="45"/>
        <v>393</v>
      </c>
      <c r="D520" s="430" t="s">
        <v>1819</v>
      </c>
      <c r="E520" s="428" t="str">
        <f t="shared" si="47"/>
        <v/>
      </c>
      <c r="G520" s="429">
        <v>3.3938725330000001</v>
      </c>
      <c r="H520" s="429">
        <v>3.3699517870000002</v>
      </c>
      <c r="I520" s="429">
        <v>3.3699517870000002</v>
      </c>
      <c r="J520" s="429">
        <v>3.367021222</v>
      </c>
      <c r="K520" s="429">
        <v>3.3521370479999999</v>
      </c>
      <c r="L520" s="429">
        <v>3.320613523</v>
      </c>
      <c r="M520" s="429">
        <v>3.301043607</v>
      </c>
      <c r="N520" s="429">
        <v>3.301043607</v>
      </c>
      <c r="O520" s="429">
        <v>3.301043607</v>
      </c>
      <c r="P520" s="429">
        <v>3.301043607</v>
      </c>
      <c r="Q520" s="429">
        <v>3.301043607</v>
      </c>
      <c r="R520" s="429">
        <v>3.301043607</v>
      </c>
      <c r="S520" s="429">
        <f t="shared" si="46"/>
        <v>39.979809541999991</v>
      </c>
    </row>
    <row r="521" spans="1:20">
      <c r="A521" s="429" t="str">
        <f t="shared" si="43"/>
        <v>KU</v>
      </c>
      <c r="B521" s="429" t="str">
        <f t="shared" si="44"/>
        <v>VA</v>
      </c>
      <c r="C521" s="429" t="str">
        <f t="shared" si="45"/>
        <v>393</v>
      </c>
      <c r="D521" s="430" t="s">
        <v>1820</v>
      </c>
      <c r="E521" s="428" t="str">
        <f t="shared" si="47"/>
        <v/>
      </c>
      <c r="G521" s="429">
        <v>3.214016667E-3</v>
      </c>
      <c r="H521" s="429">
        <v>3.214016667E-3</v>
      </c>
      <c r="I521" s="429">
        <v>3.214016667E-3</v>
      </c>
      <c r="J521" s="429">
        <v>3.214016667E-3</v>
      </c>
      <c r="K521" s="429">
        <v>3.214016667E-3</v>
      </c>
      <c r="L521" s="429">
        <v>3.214016667E-3</v>
      </c>
      <c r="M521" s="429">
        <v>3.214016667E-3</v>
      </c>
      <c r="N521" s="429">
        <v>3.214016667E-3</v>
      </c>
      <c r="O521" s="429">
        <v>3.214016667E-3</v>
      </c>
      <c r="P521" s="429">
        <v>3.214016667E-3</v>
      </c>
      <c r="Q521" s="429">
        <v>3.214016667E-3</v>
      </c>
      <c r="R521" s="429">
        <v>3.214016667E-3</v>
      </c>
      <c r="S521" s="429">
        <f t="shared" si="46"/>
        <v>3.8568200003999992E-2</v>
      </c>
    </row>
    <row r="522" spans="1:20">
      <c r="A522" s="429" t="str">
        <f t="shared" si="43"/>
        <v>KU</v>
      </c>
      <c r="B522" s="429" t="str">
        <f t="shared" si="44"/>
        <v>KY</v>
      </c>
      <c r="C522" s="429" t="str">
        <f t="shared" si="45"/>
        <v>394</v>
      </c>
      <c r="D522" s="430" t="s">
        <v>1821</v>
      </c>
      <c r="E522" s="428" t="str">
        <f t="shared" si="47"/>
        <v/>
      </c>
      <c r="G522" s="429">
        <v>50.730986350000002</v>
      </c>
      <c r="H522" s="429">
        <v>51.899204699999999</v>
      </c>
      <c r="I522" s="429">
        <v>52.74148237</v>
      </c>
      <c r="J522" s="429">
        <v>53.106003100000002</v>
      </c>
      <c r="K522" s="429">
        <v>54.501262580000002</v>
      </c>
      <c r="L522" s="429">
        <v>55.668510009999999</v>
      </c>
      <c r="M522" s="429">
        <v>55.713434029999902</v>
      </c>
      <c r="N522" s="429">
        <v>55.958452379999997</v>
      </c>
      <c r="O522" s="429">
        <v>56.177828329999997</v>
      </c>
      <c r="P522" s="429">
        <v>56.206565570000002</v>
      </c>
      <c r="Q522" s="429">
        <v>56.629622929999996</v>
      </c>
      <c r="R522" s="429">
        <v>57.558964609999997</v>
      </c>
      <c r="S522" s="429">
        <f t="shared" si="46"/>
        <v>656.8923169599999</v>
      </c>
    </row>
    <row r="523" spans="1:20">
      <c r="A523" s="429" t="str">
        <f t="shared" si="43"/>
        <v>KU</v>
      </c>
      <c r="B523" s="429" t="str">
        <f t="shared" si="44"/>
        <v>VA</v>
      </c>
      <c r="C523" s="429" t="str">
        <f t="shared" si="45"/>
        <v>394</v>
      </c>
      <c r="D523" s="430" t="s">
        <v>1822</v>
      </c>
      <c r="E523" s="428" t="str">
        <f t="shared" si="47"/>
        <v/>
      </c>
      <c r="G523" s="429">
        <v>2.301237242</v>
      </c>
      <c r="H523" s="429">
        <v>2.3249796969999998</v>
      </c>
      <c r="I523" s="429">
        <v>2.3487221519999899</v>
      </c>
      <c r="J523" s="429">
        <v>2.3612105159999999</v>
      </c>
      <c r="K523" s="429">
        <v>2.3736988809999899</v>
      </c>
      <c r="L523" s="429">
        <v>2.3736988809999899</v>
      </c>
      <c r="M523" s="429">
        <v>2.3736988809999899</v>
      </c>
      <c r="N523" s="429">
        <v>2.36318433599999</v>
      </c>
      <c r="O523" s="429">
        <v>2.3526697919999999</v>
      </c>
      <c r="P523" s="429">
        <v>2.3526697919999999</v>
      </c>
      <c r="Q523" s="429">
        <v>2.3739188420000001</v>
      </c>
      <c r="R523" s="429">
        <v>2.3951678919999999</v>
      </c>
      <c r="S523" s="429">
        <f t="shared" si="46"/>
        <v>28.294856903999946</v>
      </c>
    </row>
    <row r="524" spans="1:20">
      <c r="A524" s="429" t="str">
        <f t="shared" si="43"/>
        <v>KU</v>
      </c>
      <c r="B524" s="429" t="str">
        <f t="shared" si="44"/>
        <v>KY</v>
      </c>
      <c r="C524" s="429" t="str">
        <f t="shared" si="45"/>
        <v>396</v>
      </c>
      <c r="D524" s="430" t="s">
        <v>1823</v>
      </c>
      <c r="E524" s="428" t="str">
        <f t="shared" si="47"/>
        <v/>
      </c>
      <c r="G524" s="429">
        <v>2.9348431099999899</v>
      </c>
      <c r="H524" s="429">
        <v>2.9348431099999899</v>
      </c>
      <c r="I524" s="429">
        <v>2.9348431099999899</v>
      </c>
      <c r="J524" s="429">
        <v>2.9348431099999899</v>
      </c>
      <c r="K524" s="429">
        <v>2.9348431099999899</v>
      </c>
      <c r="L524" s="429">
        <v>2.9348431099999899</v>
      </c>
      <c r="M524" s="429">
        <v>2.9348431099999899</v>
      </c>
      <c r="N524" s="429">
        <v>2.9348431099999899</v>
      </c>
      <c r="O524" s="429">
        <v>2.9348431099999899</v>
      </c>
      <c r="P524" s="429">
        <v>2.9348431099999899</v>
      </c>
      <c r="Q524" s="429">
        <v>2.9348431099999899</v>
      </c>
      <c r="R524" s="429">
        <v>2.9348431099999899</v>
      </c>
      <c r="S524" s="429">
        <f t="shared" si="46"/>
        <v>35.21811731999987</v>
      </c>
    </row>
    <row r="525" spans="1:20">
      <c r="A525" s="429" t="str">
        <f t="shared" si="43"/>
        <v>KU</v>
      </c>
      <c r="B525" s="429" t="str">
        <f t="shared" si="44"/>
        <v>KY</v>
      </c>
      <c r="C525" s="429" t="str">
        <f t="shared" si="45"/>
        <v>396</v>
      </c>
      <c r="D525" s="430" t="s">
        <v>2511</v>
      </c>
      <c r="E525" s="428" t="str">
        <f t="shared" si="47"/>
        <v/>
      </c>
      <c r="G525" s="429">
        <v>15.2187488</v>
      </c>
      <c r="H525" s="429">
        <v>15.2187488</v>
      </c>
      <c r="I525" s="429">
        <v>15.2187488</v>
      </c>
      <c r="J525" s="429">
        <v>15.2187488</v>
      </c>
      <c r="K525" s="429">
        <v>15.2187488</v>
      </c>
      <c r="L525" s="429">
        <v>15.2187488</v>
      </c>
      <c r="M525" s="429">
        <v>15.2187488</v>
      </c>
      <c r="N525" s="429">
        <v>15.2187488</v>
      </c>
      <c r="O525" s="429">
        <v>15.2187488</v>
      </c>
      <c r="P525" s="429">
        <v>15.2187488</v>
      </c>
      <c r="Q525" s="429">
        <v>15.2187488</v>
      </c>
      <c r="R525" s="429">
        <v>15.2187488</v>
      </c>
      <c r="S525" s="429">
        <f t="shared" ref="S525" si="51">SUM(G525:R525)</f>
        <v>182.62498560000006</v>
      </c>
    </row>
    <row r="526" spans="1:20">
      <c r="A526" s="429" t="str">
        <f t="shared" si="43"/>
        <v>KU</v>
      </c>
      <c r="B526" s="429" t="str">
        <f t="shared" si="44"/>
        <v>VA</v>
      </c>
      <c r="C526" s="429" t="str">
        <f t="shared" si="45"/>
        <v>396</v>
      </c>
      <c r="D526" s="430" t="s">
        <v>2512</v>
      </c>
      <c r="E526" s="428" t="str">
        <f t="shared" si="47"/>
        <v/>
      </c>
      <c r="G526" s="429">
        <v>1.329055433</v>
      </c>
      <c r="H526" s="429">
        <v>1.329055433</v>
      </c>
      <c r="I526" s="429">
        <v>1.329055433</v>
      </c>
      <c r="J526" s="429">
        <v>1.329055433</v>
      </c>
      <c r="K526" s="429">
        <v>1.329055433</v>
      </c>
      <c r="L526" s="429">
        <v>1.329055433</v>
      </c>
      <c r="M526" s="429">
        <v>1.329055433</v>
      </c>
      <c r="N526" s="429">
        <v>1.329055433</v>
      </c>
      <c r="O526" s="429">
        <v>1.329055433</v>
      </c>
      <c r="P526" s="429">
        <v>1.329055433</v>
      </c>
      <c r="Q526" s="429">
        <v>1.329055433</v>
      </c>
      <c r="R526" s="429">
        <v>1.329055433</v>
      </c>
      <c r="S526" s="429">
        <f t="shared" si="46"/>
        <v>15.948665196000002</v>
      </c>
    </row>
    <row r="527" spans="1:20">
      <c r="A527" s="429" t="str">
        <f t="shared" si="43"/>
        <v>KU</v>
      </c>
      <c r="B527" s="429" t="str">
        <f t="shared" si="44"/>
        <v>KY</v>
      </c>
      <c r="C527" s="429" t="str">
        <f t="shared" si="45"/>
        <v>397</v>
      </c>
      <c r="D527" s="430" t="s">
        <v>1825</v>
      </c>
      <c r="E527" s="428" t="str">
        <f t="shared" si="47"/>
        <v>DSM</v>
      </c>
      <c r="G527" s="429">
        <v>92.352366709999998</v>
      </c>
      <c r="H527" s="429">
        <v>92.596811119999998</v>
      </c>
      <c r="I527" s="429">
        <v>92.841255529999998</v>
      </c>
      <c r="J527" s="429">
        <v>93.085699930000004</v>
      </c>
      <c r="K527" s="429">
        <v>93.330144340000004</v>
      </c>
      <c r="L527" s="429">
        <v>93.574588739999996</v>
      </c>
      <c r="M527" s="429">
        <v>93.819033149999996</v>
      </c>
      <c r="N527" s="429">
        <v>94.063477550000002</v>
      </c>
      <c r="O527" s="429">
        <v>94.200610830000002</v>
      </c>
      <c r="P527" s="429">
        <v>94.23043303</v>
      </c>
      <c r="Q527" s="429">
        <v>94.260255290000003</v>
      </c>
      <c r="R527" s="429">
        <v>94.290077550000007</v>
      </c>
      <c r="S527" s="429">
        <f t="shared" si="46"/>
        <v>1122.6447537699999</v>
      </c>
    </row>
    <row r="528" spans="1:20">
      <c r="A528" s="429" t="str">
        <f t="shared" si="43"/>
        <v>KU</v>
      </c>
      <c r="B528" s="429" t="str">
        <f t="shared" si="44"/>
        <v>KY</v>
      </c>
      <c r="C528" s="429" t="str">
        <f t="shared" si="45"/>
        <v>397</v>
      </c>
      <c r="D528" s="430" t="s">
        <v>1826</v>
      </c>
      <c r="E528" s="428" t="str">
        <f t="shared" si="47"/>
        <v/>
      </c>
      <c r="G528" s="429">
        <v>346.37493430000001</v>
      </c>
      <c r="H528" s="429">
        <v>346.37493430000001</v>
      </c>
      <c r="I528" s="429">
        <v>346.37493430000001</v>
      </c>
      <c r="J528" s="429">
        <v>346.66647039999998</v>
      </c>
      <c r="K528" s="429">
        <v>347.59092299999998</v>
      </c>
      <c r="L528" s="429">
        <v>348.27283970000002</v>
      </c>
      <c r="M528" s="429">
        <v>350.97283720000001</v>
      </c>
      <c r="N528" s="429">
        <v>355.83492849999999</v>
      </c>
      <c r="O528" s="429">
        <v>358.04602240000003</v>
      </c>
      <c r="P528" s="429">
        <v>358.04602240000003</v>
      </c>
      <c r="Q528" s="429">
        <v>358.04602240000003</v>
      </c>
      <c r="R528" s="429">
        <v>358.04602240000003</v>
      </c>
      <c r="S528" s="429">
        <f t="shared" si="46"/>
        <v>4220.6468912999999</v>
      </c>
    </row>
    <row r="529" spans="1:20">
      <c r="A529" s="429" t="str">
        <f t="shared" si="43"/>
        <v>KU</v>
      </c>
      <c r="B529" s="429" t="str">
        <f t="shared" si="44"/>
        <v>VA</v>
      </c>
      <c r="C529" s="429" t="str">
        <f t="shared" si="45"/>
        <v>397</v>
      </c>
      <c r="D529" s="430" t="s">
        <v>1827</v>
      </c>
      <c r="E529" s="428" t="str">
        <f t="shared" si="47"/>
        <v/>
      </c>
      <c r="G529" s="429">
        <v>5.8953665099999997</v>
      </c>
      <c r="H529" s="429">
        <v>5.8953665099999997</v>
      </c>
      <c r="I529" s="429">
        <v>5.8953665099999997</v>
      </c>
      <c r="J529" s="429">
        <v>5.8953665099999997</v>
      </c>
      <c r="K529" s="429">
        <v>5.8953665099999997</v>
      </c>
      <c r="L529" s="429">
        <v>5.8953665099999997</v>
      </c>
      <c r="M529" s="429">
        <v>5.8953665099999997</v>
      </c>
      <c r="N529" s="429">
        <v>5.8953665099999997</v>
      </c>
      <c r="O529" s="429">
        <v>5.8953665099999997</v>
      </c>
      <c r="P529" s="429">
        <v>5.8953665099999997</v>
      </c>
      <c r="Q529" s="429">
        <v>5.8953665099999997</v>
      </c>
      <c r="R529" s="429">
        <v>5.8953665099999997</v>
      </c>
      <c r="S529" s="429">
        <f t="shared" si="46"/>
        <v>70.744398120000014</v>
      </c>
    </row>
    <row r="530" spans="1:20">
      <c r="T530" s="430"/>
    </row>
    <row r="531" spans="1:20">
      <c r="D531" s="430" t="s">
        <v>1829</v>
      </c>
      <c r="E531" s="428" t="str">
        <f t="shared" si="47"/>
        <v/>
      </c>
      <c r="G531" s="429">
        <f t="shared" ref="G531:R531" si="52">SUM(G412:G530)</f>
        <v>30670.680756543774</v>
      </c>
      <c r="H531" s="429">
        <f t="shared" si="52"/>
        <v>31072.526901565372</v>
      </c>
      <c r="I531" s="429">
        <f t="shared" si="52"/>
        <v>31217.131220075764</v>
      </c>
      <c r="J531" s="429">
        <f t="shared" si="52"/>
        <v>31261.50366753227</v>
      </c>
      <c r="K531" s="429">
        <f t="shared" si="52"/>
        <v>31327.910210109469</v>
      </c>
      <c r="L531" s="429">
        <f t="shared" si="52"/>
        <v>31418.529202681377</v>
      </c>
      <c r="M531" s="429">
        <f t="shared" si="52"/>
        <v>31519.977862042106</v>
      </c>
      <c r="N531" s="429">
        <f t="shared" si="52"/>
        <v>31827.97565823462</v>
      </c>
      <c r="O531" s="429">
        <f t="shared" si="52"/>
        <v>31599.498728928727</v>
      </c>
      <c r="P531" s="429">
        <f t="shared" si="52"/>
        <v>31572.959932570175</v>
      </c>
      <c r="Q531" s="429">
        <f t="shared" si="52"/>
        <v>31649.493043407183</v>
      </c>
      <c r="R531" s="429">
        <f t="shared" si="52"/>
        <v>31802.403341985369</v>
      </c>
      <c r="S531" s="723">
        <f>SUM(G531:R531)</f>
        <v>376940.59052567615</v>
      </c>
    </row>
    <row r="532" spans="1:20">
      <c r="D532" s="724" t="s">
        <v>1833</v>
      </c>
      <c r="E532" s="428" t="str">
        <f t="shared" si="47"/>
        <v/>
      </c>
      <c r="S532" s="723">
        <f>SUM(S412:S530)</f>
        <v>376940.59052567615</v>
      </c>
    </row>
    <row r="533" spans="1:20">
      <c r="A533" s="429" t="str">
        <f t="shared" ref="A533:A544" si="53">MID($D533,4,2)</f>
        <v>KU</v>
      </c>
      <c r="B533" s="429" t="str">
        <f t="shared" ref="B533:B544" si="54">IF(MID($D533,12,2)="- ","KY",MID($D533,12,2))</f>
        <v>KY</v>
      </c>
      <c r="C533" s="429" t="str">
        <f t="shared" ref="C533:C544" si="55">MID($D533,8,3)</f>
        <v>340</v>
      </c>
      <c r="D533" s="430" t="s">
        <v>2199</v>
      </c>
      <c r="E533" s="428" t="str">
        <f t="shared" si="47"/>
        <v/>
      </c>
      <c r="G533" s="429">
        <v>-0.43203582699999998</v>
      </c>
      <c r="H533" s="429">
        <v>-0.43203582699999998</v>
      </c>
      <c r="I533" s="429">
        <v>-0.43203582699999998</v>
      </c>
      <c r="J533" s="429">
        <v>-0.43203582699999998</v>
      </c>
      <c r="K533" s="429">
        <v>-0.43203582699999998</v>
      </c>
      <c r="L533" s="429">
        <v>-0.43203582699999998</v>
      </c>
      <c r="M533" s="429">
        <v>-0.43203582699999998</v>
      </c>
      <c r="N533" s="429">
        <v>-0.43203582699999998</v>
      </c>
      <c r="O533" s="429">
        <v>-0.43203582699999998</v>
      </c>
      <c r="P533" s="429">
        <v>-0.43203582699999998</v>
      </c>
      <c r="Q533" s="429">
        <v>-0.43203582699999998</v>
      </c>
      <c r="R533" s="429">
        <v>-0.43203582699999998</v>
      </c>
      <c r="S533" s="429">
        <f t="shared" si="46"/>
        <v>-5.1844299239999998</v>
      </c>
    </row>
    <row r="534" spans="1:20">
      <c r="A534" s="429" t="str">
        <f t="shared" si="53"/>
        <v>KU</v>
      </c>
      <c r="B534" s="429" t="str">
        <f t="shared" si="54"/>
        <v>KY</v>
      </c>
      <c r="C534" s="429" t="str">
        <f t="shared" si="55"/>
        <v>342</v>
      </c>
      <c r="D534" s="430" t="s">
        <v>2203</v>
      </c>
      <c r="E534" s="428" t="str">
        <f t="shared" si="47"/>
        <v/>
      </c>
      <c r="G534" s="429">
        <v>-116.444568881</v>
      </c>
      <c r="H534" s="429">
        <v>-116.444568881</v>
      </c>
      <c r="I534" s="429">
        <v>-116.444568881</v>
      </c>
      <c r="J534" s="429">
        <v>-116.444568881</v>
      </c>
      <c r="K534" s="429">
        <v>-140.70521931599899</v>
      </c>
      <c r="L534" s="429">
        <v>-166.90380724799999</v>
      </c>
      <c r="M534" s="429">
        <v>-168.84174475499901</v>
      </c>
      <c r="N534" s="429">
        <v>-168.84174475499901</v>
      </c>
      <c r="O534" s="429">
        <v>-168.84174475499901</v>
      </c>
      <c r="P534" s="429">
        <v>-168.84174475499901</v>
      </c>
      <c r="Q534" s="429">
        <v>-168.84174475499901</v>
      </c>
      <c r="R534" s="429">
        <v>-168.84174475499901</v>
      </c>
      <c r="S534" s="429">
        <f t="shared" si="46"/>
        <v>-1786.4377706179935</v>
      </c>
    </row>
    <row r="535" spans="1:20">
      <c r="A535" s="429" t="str">
        <f t="shared" si="53"/>
        <v>KU</v>
      </c>
      <c r="B535" s="429" t="str">
        <f t="shared" si="54"/>
        <v>KY</v>
      </c>
      <c r="C535" s="429" t="str">
        <f t="shared" si="55"/>
        <v>392</v>
      </c>
      <c r="D535" s="430" t="s">
        <v>1818</v>
      </c>
      <c r="E535" s="428" t="str">
        <f t="shared" si="47"/>
        <v/>
      </c>
      <c r="G535" s="429">
        <v>-18.293452858999999</v>
      </c>
      <c r="H535" s="429">
        <v>-18.293452858999999</v>
      </c>
      <c r="I535" s="429">
        <v>-18.293452858999999</v>
      </c>
      <c r="J535" s="429">
        <v>-18.293452858999999</v>
      </c>
      <c r="K535" s="429">
        <v>-18.293452858999999</v>
      </c>
      <c r="L535" s="429">
        <v>-18.293452858999999</v>
      </c>
      <c r="M535" s="429">
        <v>-18.293452858999999</v>
      </c>
      <c r="N535" s="429">
        <v>-18.293452858999999</v>
      </c>
      <c r="O535" s="429">
        <v>-18.293452858999999</v>
      </c>
      <c r="P535" s="429">
        <v>-18.293452858999999</v>
      </c>
      <c r="Q535" s="429">
        <v>-18.293452858999999</v>
      </c>
      <c r="R535" s="429">
        <v>-18.293452858999999</v>
      </c>
      <c r="S535" s="429">
        <f>SUM(G535:R535)</f>
        <v>-219.52143430800004</v>
      </c>
      <c r="T535" s="430"/>
    </row>
    <row r="536" spans="1:20">
      <c r="A536" s="429" t="str">
        <f t="shared" si="53"/>
        <v>KU</v>
      </c>
      <c r="B536" s="429" t="str">
        <f t="shared" si="54"/>
        <v>VA</v>
      </c>
      <c r="C536" s="429" t="str">
        <f t="shared" si="55"/>
        <v>392</v>
      </c>
      <c r="D536" s="430" t="s">
        <v>2510</v>
      </c>
      <c r="E536" s="428" t="str">
        <f t="shared" si="47"/>
        <v/>
      </c>
      <c r="G536" s="429">
        <v>-2.453700667E-2</v>
      </c>
      <c r="H536" s="429">
        <v>-2.453700667E-2</v>
      </c>
      <c r="I536" s="429">
        <v>-2.453700667E-2</v>
      </c>
      <c r="J536" s="429">
        <v>-2.453700667E-2</v>
      </c>
      <c r="K536" s="429">
        <v>-2.453700667E-2</v>
      </c>
      <c r="L536" s="429">
        <v>-2.453700667E-2</v>
      </c>
      <c r="M536" s="429">
        <v>-2.453700667E-2</v>
      </c>
      <c r="N536" s="429">
        <v>-2.453700667E-2</v>
      </c>
      <c r="O536" s="429">
        <v>-2.453700667E-2</v>
      </c>
      <c r="P536" s="429">
        <v>-2.453700667E-2</v>
      </c>
      <c r="Q536" s="429">
        <v>-2.453700667E-2</v>
      </c>
      <c r="R536" s="429">
        <v>-2.453700667E-2</v>
      </c>
      <c r="S536" s="429">
        <f t="shared" si="46"/>
        <v>-0.29444408004</v>
      </c>
    </row>
    <row r="537" spans="1:20">
      <c r="A537" s="429" t="str">
        <f t="shared" si="53"/>
        <v>KU</v>
      </c>
      <c r="B537" s="429" t="str">
        <f t="shared" si="54"/>
        <v>KY</v>
      </c>
      <c r="C537" s="429" t="str">
        <f t="shared" si="55"/>
        <v>396</v>
      </c>
      <c r="D537" s="430" t="s">
        <v>2511</v>
      </c>
      <c r="G537" s="429">
        <v>-15.2187488</v>
      </c>
      <c r="H537" s="429">
        <v>-15.2187488</v>
      </c>
      <c r="I537" s="429">
        <v>-15.2187488</v>
      </c>
      <c r="J537" s="429">
        <v>-15.2187488</v>
      </c>
      <c r="K537" s="429">
        <v>-15.2187488</v>
      </c>
      <c r="L537" s="429">
        <v>-15.2187488</v>
      </c>
      <c r="M537" s="429">
        <v>-15.2187488</v>
      </c>
      <c r="N537" s="429">
        <v>-15.2187488</v>
      </c>
      <c r="O537" s="429">
        <v>-15.2187488</v>
      </c>
      <c r="P537" s="429">
        <v>-15.2187488</v>
      </c>
      <c r="Q537" s="429">
        <v>-15.2187488</v>
      </c>
      <c r="R537" s="429">
        <v>-15.2187488</v>
      </c>
      <c r="S537" s="429">
        <f t="shared" si="46"/>
        <v>-182.62498560000006</v>
      </c>
    </row>
    <row r="538" spans="1:20">
      <c r="A538" s="429" t="str">
        <f t="shared" si="53"/>
        <v>KU</v>
      </c>
      <c r="B538" s="429" t="str">
        <f t="shared" si="54"/>
        <v>VA</v>
      </c>
      <c r="C538" s="429" t="str">
        <f t="shared" si="55"/>
        <v>396</v>
      </c>
      <c r="D538" s="430" t="s">
        <v>2512</v>
      </c>
      <c r="G538" s="429">
        <v>-1.329055433</v>
      </c>
      <c r="H538" s="429">
        <v>-1.329055433</v>
      </c>
      <c r="I538" s="429">
        <v>-1.329055433</v>
      </c>
      <c r="J538" s="429">
        <v>-1.329055433</v>
      </c>
      <c r="K538" s="429">
        <v>-1.329055433</v>
      </c>
      <c r="L538" s="429">
        <v>-1.329055433</v>
      </c>
      <c r="M538" s="429">
        <v>-1.329055433</v>
      </c>
      <c r="N538" s="429">
        <v>-1.329055433</v>
      </c>
      <c r="O538" s="429">
        <v>-1.329055433</v>
      </c>
      <c r="P538" s="429">
        <v>-1.329055433</v>
      </c>
      <c r="Q538" s="429">
        <v>-1.329055433</v>
      </c>
      <c r="R538" s="429">
        <v>-1.329055433</v>
      </c>
      <c r="S538" s="429">
        <f t="shared" si="46"/>
        <v>-15.948665196000002</v>
      </c>
    </row>
    <row r="539" spans="1:20">
      <c r="A539" s="429" t="str">
        <f t="shared" si="53"/>
        <v>KU</v>
      </c>
      <c r="B539" s="429" t="str">
        <f t="shared" si="54"/>
        <v>KY</v>
      </c>
      <c r="C539" s="429" t="str">
        <f t="shared" si="55"/>
        <v>317</v>
      </c>
      <c r="D539" s="430" t="s">
        <v>1741</v>
      </c>
      <c r="E539" s="428" t="str">
        <f t="shared" si="47"/>
        <v>ARO</v>
      </c>
      <c r="G539" s="429">
        <v>-451.94018000000102</v>
      </c>
      <c r="H539" s="429">
        <v>-451.94018000000102</v>
      </c>
      <c r="I539" s="429">
        <v>-451.94018000000102</v>
      </c>
      <c r="J539" s="429">
        <v>-451.94018000000102</v>
      </c>
      <c r="K539" s="429">
        <v>-451.94018000000102</v>
      </c>
      <c r="L539" s="429">
        <v>-451.94018000000102</v>
      </c>
      <c r="M539" s="429">
        <v>-451.94018000000102</v>
      </c>
      <c r="N539" s="429">
        <v>-451.94018000000102</v>
      </c>
      <c r="O539" s="429">
        <v>-60.823937044654102</v>
      </c>
      <c r="P539" s="429">
        <v>-60.823937044654102</v>
      </c>
      <c r="Q539" s="429">
        <v>-60.823937044654102</v>
      </c>
      <c r="R539" s="429">
        <v>-60.823937044654102</v>
      </c>
      <c r="S539" s="429">
        <f t="shared" si="46"/>
        <v>-3858.8171881786243</v>
      </c>
    </row>
    <row r="540" spans="1:20">
      <c r="A540" s="429" t="str">
        <f t="shared" si="53"/>
        <v>KU</v>
      </c>
      <c r="B540" s="429" t="str">
        <f t="shared" si="54"/>
        <v>KY</v>
      </c>
      <c r="C540" s="429" t="str">
        <f t="shared" si="55"/>
        <v>317</v>
      </c>
      <c r="D540" s="430" t="s">
        <v>2507</v>
      </c>
      <c r="E540" s="428" t="str">
        <f t="shared" si="47"/>
        <v>ARO</v>
      </c>
      <c r="G540" s="429">
        <v>-1035.3629000000001</v>
      </c>
      <c r="H540" s="429">
        <v>-1035.3629000000001</v>
      </c>
      <c r="I540" s="429">
        <v>-1035.3629000000001</v>
      </c>
      <c r="J540" s="429">
        <v>-1035.3629000000001</v>
      </c>
      <c r="K540" s="429">
        <v>-1035.3629000000001</v>
      </c>
      <c r="L540" s="429">
        <v>-1035.3629000000001</v>
      </c>
      <c r="M540" s="429">
        <v>-1035.3629000000001</v>
      </c>
      <c r="N540" s="429">
        <v>-1035.3629000000001</v>
      </c>
      <c r="O540" s="429">
        <v>-962.96079999999995</v>
      </c>
      <c r="P540" s="429">
        <v>-962.96079999999995</v>
      </c>
      <c r="Q540" s="429">
        <v>-962.96079999999995</v>
      </c>
      <c r="R540" s="429">
        <v>-962.96079999999995</v>
      </c>
      <c r="S540" s="429">
        <f t="shared" ref="S540:S542" si="56">SUM(G540:R540)</f>
        <v>-12134.746400000004</v>
      </c>
    </row>
    <row r="541" spans="1:20">
      <c r="A541" s="429" t="str">
        <f t="shared" si="53"/>
        <v>KU</v>
      </c>
      <c r="B541" s="429" t="str">
        <f t="shared" si="54"/>
        <v>KY</v>
      </c>
      <c r="C541" s="429" t="str">
        <f t="shared" si="55"/>
        <v>337</v>
      </c>
      <c r="D541" s="430" t="s">
        <v>1749</v>
      </c>
      <c r="E541" s="428" t="str">
        <f t="shared" si="47"/>
        <v>ARO</v>
      </c>
      <c r="G541" s="429">
        <v>-1.49068</v>
      </c>
      <c r="H541" s="429">
        <v>-1.49068</v>
      </c>
      <c r="I541" s="429">
        <v>-1.49068</v>
      </c>
      <c r="J541" s="429">
        <v>-1.49068</v>
      </c>
      <c r="K541" s="429">
        <v>-1.49068</v>
      </c>
      <c r="L541" s="429">
        <v>-1.49068</v>
      </c>
      <c r="M541" s="429">
        <v>-1.49068</v>
      </c>
      <c r="N541" s="429">
        <v>-1.49068</v>
      </c>
      <c r="O541" s="429">
        <v>-0.20062174262471</v>
      </c>
      <c r="P541" s="429">
        <v>-0.20062174262471</v>
      </c>
      <c r="Q541" s="429">
        <v>-0.20062174262471</v>
      </c>
      <c r="R541" s="429">
        <v>-0.20062174262471</v>
      </c>
      <c r="S541" s="429">
        <f t="shared" si="56"/>
        <v>-12.727926970498839</v>
      </c>
    </row>
    <row r="542" spans="1:20">
      <c r="A542" s="429" t="str">
        <f t="shared" si="53"/>
        <v>KU</v>
      </c>
      <c r="B542" s="429" t="str">
        <f t="shared" si="54"/>
        <v>KY</v>
      </c>
      <c r="C542" s="429" t="str">
        <f t="shared" si="55"/>
        <v>347</v>
      </c>
      <c r="D542" s="430" t="s">
        <v>2211</v>
      </c>
      <c r="E542" s="428" t="str">
        <f t="shared" si="47"/>
        <v>ARO</v>
      </c>
      <c r="G542" s="429">
        <v>-1.6791199999999999</v>
      </c>
      <c r="H542" s="429">
        <v>-1.6791199999999999</v>
      </c>
      <c r="I542" s="429">
        <v>-1.6791199999999999</v>
      </c>
      <c r="J542" s="429">
        <v>-1.6791199999999999</v>
      </c>
      <c r="K542" s="429">
        <v>-1.6791199999999999</v>
      </c>
      <c r="L542" s="429">
        <v>-1.6791199999999999</v>
      </c>
      <c r="M542" s="429">
        <v>-1.6791199999999999</v>
      </c>
      <c r="N542" s="429">
        <v>-1.6791199999999999</v>
      </c>
      <c r="O542" s="429">
        <v>-0.22598275986529801</v>
      </c>
      <c r="P542" s="429">
        <v>-0.22598275986529801</v>
      </c>
      <c r="Q542" s="429">
        <v>-0.22598275986529801</v>
      </c>
      <c r="R542" s="429">
        <v>-0.22598275986529801</v>
      </c>
      <c r="S542" s="429">
        <f t="shared" si="56"/>
        <v>-14.336891039461189</v>
      </c>
    </row>
    <row r="543" spans="1:20">
      <c r="A543" s="429" t="str">
        <f t="shared" si="53"/>
        <v>KU</v>
      </c>
      <c r="B543" s="429" t="str">
        <f t="shared" si="54"/>
        <v>KY</v>
      </c>
      <c r="C543" s="429" t="str">
        <f t="shared" si="55"/>
        <v>359</v>
      </c>
      <c r="D543" s="430" t="s">
        <v>1776</v>
      </c>
      <c r="E543" s="428" t="str">
        <f t="shared" si="47"/>
        <v>ARO</v>
      </c>
      <c r="G543" s="429">
        <v>-1.5926399999999901</v>
      </c>
      <c r="H543" s="429">
        <v>-1.5926399999999901</v>
      </c>
      <c r="I543" s="429">
        <v>-1.5926399999999901</v>
      </c>
      <c r="J543" s="429">
        <v>-1.5926399999999901</v>
      </c>
      <c r="K543" s="429">
        <v>-1.5926399999999901</v>
      </c>
      <c r="L543" s="429">
        <v>-1.5926399999999901</v>
      </c>
      <c r="M543" s="429">
        <v>-1.5926399999999901</v>
      </c>
      <c r="N543" s="429">
        <v>-1.5926399999999901</v>
      </c>
      <c r="O543" s="429">
        <v>-0.21434393174512001</v>
      </c>
      <c r="P543" s="429">
        <v>-0.21434393174512001</v>
      </c>
      <c r="Q543" s="429">
        <v>-0.21434393174512001</v>
      </c>
      <c r="R543" s="429">
        <v>-0.21434393174512001</v>
      </c>
      <c r="S543" s="429">
        <f t="shared" si="46"/>
        <v>-13.598495726980401</v>
      </c>
    </row>
    <row r="544" spans="1:20">
      <c r="A544" s="429" t="str">
        <f t="shared" si="53"/>
        <v>KU</v>
      </c>
      <c r="B544" s="429" t="str">
        <f t="shared" si="54"/>
        <v>KY</v>
      </c>
      <c r="C544" s="429" t="str">
        <f t="shared" si="55"/>
        <v>374</v>
      </c>
      <c r="D544" s="430" t="s">
        <v>1808</v>
      </c>
      <c r="E544" s="428" t="str">
        <f t="shared" si="47"/>
        <v>ARO</v>
      </c>
      <c r="F544" s="429">
        <f>-F530</f>
        <v>0</v>
      </c>
      <c r="G544" s="429">
        <v>-0.86819000000000002</v>
      </c>
      <c r="H544" s="429">
        <v>-0.86819000000000002</v>
      </c>
      <c r="I544" s="429">
        <v>-0.86819000000000002</v>
      </c>
      <c r="J544" s="429">
        <v>-0.86819000000000002</v>
      </c>
      <c r="K544" s="429">
        <v>-0.86819000000000002</v>
      </c>
      <c r="L544" s="429">
        <v>-0.86819000000000002</v>
      </c>
      <c r="M544" s="429">
        <v>-0.86819000000000002</v>
      </c>
      <c r="N544" s="429">
        <v>-0.86819000000000002</v>
      </c>
      <c r="O544" s="429">
        <v>-0.116844521110732</v>
      </c>
      <c r="P544" s="429">
        <v>-0.116844521110732</v>
      </c>
      <c r="Q544" s="429">
        <v>-0.116844521110732</v>
      </c>
      <c r="R544" s="429">
        <v>-0.116844521110732</v>
      </c>
      <c r="S544" s="723">
        <f t="shared" si="46"/>
        <v>-7.4128980844429284</v>
      </c>
    </row>
    <row r="545" spans="1:20">
      <c r="D545" s="430" t="s">
        <v>1834</v>
      </c>
      <c r="E545" s="428" t="str">
        <f t="shared" si="47"/>
        <v/>
      </c>
      <c r="F545" s="429">
        <f t="shared" ref="F545:R545" si="57">SUM(F531:F544)</f>
        <v>0</v>
      </c>
      <c r="G545" s="429">
        <f t="shared" si="57"/>
        <v>29026.004647737096</v>
      </c>
      <c r="H545" s="429">
        <f t="shared" si="57"/>
        <v>29427.850792758694</v>
      </c>
      <c r="I545" s="429">
        <f t="shared" si="57"/>
        <v>29572.455111269086</v>
      </c>
      <c r="J545" s="429">
        <f t="shared" si="57"/>
        <v>29616.827558725592</v>
      </c>
      <c r="K545" s="429">
        <f t="shared" si="57"/>
        <v>29658.973450867794</v>
      </c>
      <c r="L545" s="429">
        <f t="shared" si="57"/>
        <v>29723.3938555077</v>
      </c>
      <c r="M545" s="429">
        <f t="shared" si="57"/>
        <v>29822.904577361431</v>
      </c>
      <c r="N545" s="429">
        <f t="shared" si="57"/>
        <v>30130.902373553945</v>
      </c>
      <c r="O545" s="429">
        <f t="shared" si="57"/>
        <v>30370.816624248055</v>
      </c>
      <c r="P545" s="429">
        <f t="shared" si="57"/>
        <v>30344.277827889502</v>
      </c>
      <c r="Q545" s="429">
        <f t="shared" si="57"/>
        <v>30420.81093872651</v>
      </c>
      <c r="R545" s="429">
        <f t="shared" si="57"/>
        <v>30573.721237304697</v>
      </c>
      <c r="S545" s="723">
        <f t="shared" si="46"/>
        <v>358688.9389959501</v>
      </c>
    </row>
    <row r="546" spans="1:20">
      <c r="E546" s="428" t="str">
        <f t="shared" si="47"/>
        <v/>
      </c>
      <c r="G546" s="429">
        <v>29026.004647737002</v>
      </c>
      <c r="H546" s="429">
        <v>29427.8507927586</v>
      </c>
      <c r="I546" s="429">
        <v>29572.455111268999</v>
      </c>
      <c r="J546" s="429">
        <v>29616.827558725501</v>
      </c>
      <c r="K546" s="429">
        <v>29658.973450867699</v>
      </c>
      <c r="L546" s="429">
        <v>29723.3938555077</v>
      </c>
      <c r="M546" s="429">
        <v>29822.904577361402</v>
      </c>
      <c r="N546" s="429">
        <v>30130.902373553898</v>
      </c>
      <c r="O546" s="429">
        <v>30370.816624248</v>
      </c>
      <c r="P546" s="429">
        <v>30344.277827889491</v>
      </c>
      <c r="Q546" s="429">
        <v>30420.810938726398</v>
      </c>
      <c r="R546" s="429">
        <v>30573.721237304697</v>
      </c>
      <c r="S546" s="723">
        <f t="shared" si="46"/>
        <v>358688.93899594934</v>
      </c>
      <c r="T546" s="430"/>
    </row>
    <row r="547" spans="1:20">
      <c r="E547" s="428" t="str">
        <f t="shared" si="47"/>
        <v/>
      </c>
      <c r="G547" s="725">
        <f>G545-G546</f>
        <v>9.4587448984384537E-11</v>
      </c>
      <c r="H547" s="723">
        <f t="shared" ref="H547:R547" si="58">H545-H546</f>
        <v>9.4587448984384537E-11</v>
      </c>
      <c r="I547" s="723">
        <f t="shared" si="58"/>
        <v>8.7311491370201111E-11</v>
      </c>
      <c r="J547" s="723">
        <f t="shared" si="58"/>
        <v>9.0949470177292824E-11</v>
      </c>
      <c r="K547" s="723">
        <f t="shared" si="58"/>
        <v>9.4587448984384537E-11</v>
      </c>
      <c r="L547" s="723">
        <f t="shared" si="58"/>
        <v>0</v>
      </c>
      <c r="M547" s="723">
        <f t="shared" si="58"/>
        <v>2.9103830456733704E-11</v>
      </c>
      <c r="N547" s="723">
        <f t="shared" si="58"/>
        <v>4.7293724492192268E-11</v>
      </c>
      <c r="O547" s="723">
        <f t="shared" si="58"/>
        <v>5.4569682106375694E-11</v>
      </c>
      <c r="P547" s="723">
        <f t="shared" si="58"/>
        <v>0</v>
      </c>
      <c r="Q547" s="723">
        <f t="shared" si="58"/>
        <v>1.127773430198431E-10</v>
      </c>
      <c r="R547" s="723">
        <f t="shared" si="58"/>
        <v>0</v>
      </c>
      <c r="S547" s="723">
        <f t="shared" ref="S547" si="59">SUM(G547:R547)</f>
        <v>7.0576788857579231E-10</v>
      </c>
      <c r="T547" s="430"/>
    </row>
    <row r="548" spans="1:20">
      <c r="D548" s="721" t="s">
        <v>2547</v>
      </c>
      <c r="E548" s="428" t="str">
        <f t="shared" si="47"/>
        <v/>
      </c>
    </row>
    <row r="549" spans="1:20">
      <c r="A549" s="429" t="str">
        <f t="shared" ref="A549:A569" si="60">MID($D549,4,2)</f>
        <v>KU</v>
      </c>
      <c r="B549" s="429" t="str">
        <f t="shared" ref="B549:B569" si="61">IF(MID($D549,12,2)="- ","KY",MID($D549,12,2))</f>
        <v>KY</v>
      </c>
      <c r="C549" s="429" t="str">
        <f t="shared" ref="C549:C569" si="62">MID($D549,8,3)</f>
        <v>311</v>
      </c>
      <c r="D549" s="430" t="s">
        <v>1732</v>
      </c>
      <c r="E549" s="428" t="str">
        <f t="shared" si="47"/>
        <v/>
      </c>
      <c r="F549" s="429">
        <v>1882.47603</v>
      </c>
      <c r="G549" s="429">
        <v>1882.47603</v>
      </c>
      <c r="H549" s="429">
        <v>1882.47603</v>
      </c>
      <c r="I549" s="429">
        <v>1882.47603</v>
      </c>
      <c r="J549" s="429">
        <v>1882.47603</v>
      </c>
      <c r="K549" s="429">
        <v>1882.47603</v>
      </c>
      <c r="L549" s="429">
        <v>1882.47603</v>
      </c>
      <c r="M549" s="429">
        <v>1882.47603</v>
      </c>
      <c r="N549" s="429">
        <v>1882.47603</v>
      </c>
      <c r="O549" s="429">
        <v>1882.47603</v>
      </c>
      <c r="P549" s="429">
        <v>1882.47603</v>
      </c>
      <c r="Q549" s="429">
        <v>1882.47603</v>
      </c>
      <c r="R549" s="429">
        <v>1882.47603</v>
      </c>
      <c r="T549" s="429">
        <f t="shared" ref="T549:T569" si="63">SUM(F549:R549)/13</f>
        <v>1882.4760300000005</v>
      </c>
    </row>
    <row r="550" spans="1:20">
      <c r="A550" s="429" t="str">
        <f t="shared" si="60"/>
        <v>KU</v>
      </c>
      <c r="B550" s="429" t="str">
        <f t="shared" si="61"/>
        <v>KY</v>
      </c>
      <c r="C550" s="429" t="str">
        <f t="shared" si="62"/>
        <v>312</v>
      </c>
      <c r="D550" s="430" t="s">
        <v>1733</v>
      </c>
      <c r="E550" s="428" t="str">
        <f t="shared" si="47"/>
        <v/>
      </c>
      <c r="F550" s="429">
        <v>10076.09427</v>
      </c>
      <c r="G550" s="429">
        <v>10076.09427</v>
      </c>
      <c r="H550" s="429">
        <v>10076.09427</v>
      </c>
      <c r="I550" s="429">
        <v>10076.09427</v>
      </c>
      <c r="J550" s="429">
        <v>10076.09427</v>
      </c>
      <c r="K550" s="429">
        <v>10076.09427</v>
      </c>
      <c r="L550" s="429">
        <v>10076.09427</v>
      </c>
      <c r="M550" s="429">
        <v>10076.09427</v>
      </c>
      <c r="N550" s="429">
        <v>10076.09427</v>
      </c>
      <c r="O550" s="429">
        <v>10076.09427</v>
      </c>
      <c r="P550" s="429">
        <v>10076.09427</v>
      </c>
      <c r="Q550" s="429">
        <v>10076.09427</v>
      </c>
      <c r="R550" s="429">
        <v>10076.09427</v>
      </c>
      <c r="T550" s="429">
        <f t="shared" si="63"/>
        <v>10076.09427</v>
      </c>
    </row>
    <row r="551" spans="1:20">
      <c r="A551" s="429" t="str">
        <f t="shared" si="60"/>
        <v>KU</v>
      </c>
      <c r="B551" s="429" t="str">
        <f t="shared" si="61"/>
        <v>KY</v>
      </c>
      <c r="C551" s="429" t="str">
        <f t="shared" si="62"/>
        <v>314</v>
      </c>
      <c r="D551" s="430" t="s">
        <v>1737</v>
      </c>
      <c r="E551" s="428" t="str">
        <f t="shared" si="47"/>
        <v/>
      </c>
      <c r="F551" s="429">
        <v>2805.7896999999998</v>
      </c>
      <c r="G551" s="429">
        <v>2805.7896999999998</v>
      </c>
      <c r="H551" s="429">
        <v>2805.7896999999998</v>
      </c>
      <c r="I551" s="429">
        <v>2805.7896999999998</v>
      </c>
      <c r="J551" s="429">
        <v>2805.7896999999998</v>
      </c>
      <c r="K551" s="429">
        <v>2805.7896999999998</v>
      </c>
      <c r="L551" s="429">
        <v>2805.7896999999998</v>
      </c>
      <c r="M551" s="429">
        <v>2805.7896999999998</v>
      </c>
      <c r="N551" s="429">
        <v>2805.7896999999998</v>
      </c>
      <c r="O551" s="429">
        <v>2805.7896999999998</v>
      </c>
      <c r="P551" s="429">
        <v>2805.7896999999998</v>
      </c>
      <c r="Q551" s="429">
        <v>2805.7896999999998</v>
      </c>
      <c r="R551" s="429">
        <v>2805.7896999999998</v>
      </c>
      <c r="T551" s="429">
        <f t="shared" si="63"/>
        <v>2805.7897000000007</v>
      </c>
    </row>
    <row r="552" spans="1:20">
      <c r="A552" s="429" t="str">
        <f t="shared" si="60"/>
        <v>KU</v>
      </c>
      <c r="B552" s="429" t="str">
        <f t="shared" si="61"/>
        <v>KY</v>
      </c>
      <c r="C552" s="429" t="str">
        <f t="shared" si="62"/>
        <v>315</v>
      </c>
      <c r="D552" s="430" t="s">
        <v>1738</v>
      </c>
      <c r="E552" s="428" t="str">
        <f t="shared" si="47"/>
        <v/>
      </c>
      <c r="F552" s="429">
        <v>1844.98704</v>
      </c>
      <c r="G552" s="429">
        <v>1844.98704</v>
      </c>
      <c r="H552" s="429">
        <v>1844.98704</v>
      </c>
      <c r="I552" s="429">
        <v>1844.98704</v>
      </c>
      <c r="J552" s="429">
        <v>1844.98704</v>
      </c>
      <c r="K552" s="429">
        <v>1844.98704</v>
      </c>
      <c r="L552" s="429">
        <v>1844.98704</v>
      </c>
      <c r="M552" s="429">
        <v>1844.98704</v>
      </c>
      <c r="N552" s="429">
        <v>1844.98704</v>
      </c>
      <c r="O552" s="429">
        <v>1844.98704</v>
      </c>
      <c r="P552" s="429">
        <v>1844.98704</v>
      </c>
      <c r="Q552" s="429">
        <v>1844.98704</v>
      </c>
      <c r="R552" s="429">
        <v>1844.98704</v>
      </c>
      <c r="T552" s="429">
        <f t="shared" si="63"/>
        <v>1844.98704</v>
      </c>
    </row>
    <row r="553" spans="1:20">
      <c r="A553" s="429" t="str">
        <f t="shared" si="60"/>
        <v>KU</v>
      </c>
      <c r="B553" s="429" t="str">
        <f t="shared" si="61"/>
        <v>KY</v>
      </c>
      <c r="C553" s="429" t="str">
        <f t="shared" si="62"/>
        <v>316</v>
      </c>
      <c r="D553" s="430" t="s">
        <v>1740</v>
      </c>
      <c r="E553" s="428" t="str">
        <f t="shared" si="47"/>
        <v/>
      </c>
      <c r="F553" s="429">
        <v>173.32499000000001</v>
      </c>
      <c r="G553" s="429">
        <v>173.32499000000001</v>
      </c>
      <c r="H553" s="429">
        <v>173.32499000000001</v>
      </c>
      <c r="I553" s="429">
        <v>173.32499000000001</v>
      </c>
      <c r="J553" s="429">
        <v>173.32499000000001</v>
      </c>
      <c r="K553" s="429">
        <v>173.32499000000001</v>
      </c>
      <c r="L553" s="429">
        <v>173.32499000000001</v>
      </c>
      <c r="M553" s="429">
        <v>173.32499000000001</v>
      </c>
      <c r="N553" s="429">
        <v>173.32499000000001</v>
      </c>
      <c r="O553" s="429">
        <v>173.32499000000001</v>
      </c>
      <c r="P553" s="429">
        <v>173.32499000000001</v>
      </c>
      <c r="Q553" s="429">
        <v>173.32499000000001</v>
      </c>
      <c r="R553" s="429">
        <v>173.32499000000001</v>
      </c>
      <c r="T553" s="429">
        <f t="shared" si="63"/>
        <v>173.32499000000004</v>
      </c>
    </row>
    <row r="554" spans="1:20">
      <c r="A554" s="429" t="str">
        <f t="shared" si="60"/>
        <v>KU</v>
      </c>
      <c r="B554" s="429" t="str">
        <f t="shared" si="61"/>
        <v>KY</v>
      </c>
      <c r="C554" s="429" t="str">
        <f t="shared" si="62"/>
        <v>335</v>
      </c>
      <c r="D554" s="430" t="s">
        <v>1747</v>
      </c>
      <c r="E554" s="428" t="str">
        <f t="shared" si="47"/>
        <v/>
      </c>
      <c r="F554" s="429">
        <v>0.82</v>
      </c>
      <c r="G554" s="429">
        <v>0.82</v>
      </c>
      <c r="H554" s="429">
        <v>0.82</v>
      </c>
      <c r="I554" s="429">
        <v>0.82</v>
      </c>
      <c r="J554" s="429">
        <v>0.82</v>
      </c>
      <c r="K554" s="429">
        <v>0.82</v>
      </c>
      <c r="L554" s="429">
        <v>0.82</v>
      </c>
      <c r="M554" s="429">
        <v>0.82</v>
      </c>
      <c r="N554" s="429">
        <v>0.82</v>
      </c>
      <c r="O554" s="429">
        <v>0.82</v>
      </c>
      <c r="P554" s="429">
        <v>0.82</v>
      </c>
      <c r="Q554" s="429">
        <v>0.82</v>
      </c>
      <c r="R554" s="429">
        <v>0.82</v>
      </c>
      <c r="T554" s="429">
        <f t="shared" si="63"/>
        <v>0.82000000000000017</v>
      </c>
    </row>
    <row r="555" spans="1:20">
      <c r="A555" s="429" t="str">
        <f t="shared" si="60"/>
        <v>KU</v>
      </c>
      <c r="B555" s="429" t="str">
        <f t="shared" si="61"/>
        <v>KY</v>
      </c>
      <c r="C555" s="429" t="str">
        <f t="shared" si="62"/>
        <v>341</v>
      </c>
      <c r="D555" s="430" t="s">
        <v>1751</v>
      </c>
      <c r="E555" s="428" t="str">
        <f t="shared" si="47"/>
        <v/>
      </c>
      <c r="F555" s="429">
        <v>0.18792</v>
      </c>
      <c r="G555" s="429">
        <v>0.18792</v>
      </c>
      <c r="H555" s="429">
        <v>0.18792</v>
      </c>
      <c r="I555" s="429">
        <v>0.18792</v>
      </c>
      <c r="J555" s="429">
        <v>0.18792</v>
      </c>
      <c r="K555" s="429">
        <v>0.18792</v>
      </c>
      <c r="L555" s="429">
        <v>0.18792</v>
      </c>
      <c r="M555" s="429">
        <v>0.18792</v>
      </c>
      <c r="N555" s="429">
        <v>0.18792</v>
      </c>
      <c r="O555" s="429">
        <v>0.18792</v>
      </c>
      <c r="P555" s="429">
        <v>0.18792</v>
      </c>
      <c r="Q555" s="429">
        <v>0.18792</v>
      </c>
      <c r="R555" s="429">
        <v>0.18792</v>
      </c>
      <c r="T555" s="429">
        <f t="shared" si="63"/>
        <v>0.18792000000000006</v>
      </c>
    </row>
    <row r="556" spans="1:20">
      <c r="A556" s="429" t="str">
        <f t="shared" si="60"/>
        <v>KU</v>
      </c>
      <c r="B556" s="429" t="str">
        <f t="shared" si="61"/>
        <v>KY</v>
      </c>
      <c r="C556" s="429" t="str">
        <f t="shared" si="62"/>
        <v>342</v>
      </c>
      <c r="D556" s="430" t="s">
        <v>1752</v>
      </c>
      <c r="E556" s="428" t="str">
        <f t="shared" si="47"/>
        <v/>
      </c>
      <c r="F556" s="429">
        <v>3.2500000000000001E-2</v>
      </c>
      <c r="G556" s="429">
        <v>3.2500000000000001E-2</v>
      </c>
      <c r="H556" s="429">
        <v>3.2500000000000001E-2</v>
      </c>
      <c r="I556" s="429">
        <v>3.2500000000000001E-2</v>
      </c>
      <c r="J556" s="429">
        <v>3.2500000000000001E-2</v>
      </c>
      <c r="K556" s="429">
        <v>3.2500000000000001E-2</v>
      </c>
      <c r="L556" s="429">
        <v>3.2500000000000001E-2</v>
      </c>
      <c r="M556" s="429">
        <v>3.2500000000000001E-2</v>
      </c>
      <c r="N556" s="429">
        <v>3.2500000000000001E-2</v>
      </c>
      <c r="O556" s="429">
        <v>3.2500000000000001E-2</v>
      </c>
      <c r="P556" s="429">
        <v>3.2500000000000001E-2</v>
      </c>
      <c r="Q556" s="429">
        <v>3.2500000000000001E-2</v>
      </c>
      <c r="R556" s="429">
        <v>3.2500000000000001E-2</v>
      </c>
      <c r="T556" s="429">
        <f t="shared" si="63"/>
        <v>3.2499999999999987E-2</v>
      </c>
    </row>
    <row r="557" spans="1:20">
      <c r="A557" s="429" t="str">
        <f t="shared" si="60"/>
        <v>KU</v>
      </c>
      <c r="B557" s="429" t="str">
        <f t="shared" si="61"/>
        <v>KY</v>
      </c>
      <c r="C557" s="429" t="str">
        <f t="shared" si="62"/>
        <v>343</v>
      </c>
      <c r="D557" s="430" t="s">
        <v>1753</v>
      </c>
      <c r="E557" s="428" t="str">
        <f t="shared" si="47"/>
        <v/>
      </c>
      <c r="F557" s="429">
        <v>1.1640900000000001</v>
      </c>
      <c r="G557" s="429">
        <v>1.1640900000000001</v>
      </c>
      <c r="H557" s="429">
        <v>1.1640900000000001</v>
      </c>
      <c r="I557" s="429">
        <v>1.1640900000000001</v>
      </c>
      <c r="J557" s="429">
        <v>1.1640900000000001</v>
      </c>
      <c r="K557" s="429">
        <v>1.1640900000000001</v>
      </c>
      <c r="L557" s="429">
        <v>1.1640900000000001</v>
      </c>
      <c r="M557" s="429">
        <v>1.1640900000000001</v>
      </c>
      <c r="N557" s="429">
        <v>1.1640900000000001</v>
      </c>
      <c r="O557" s="429">
        <v>1.1640900000000001</v>
      </c>
      <c r="P557" s="429">
        <v>1.1640900000000001</v>
      </c>
      <c r="Q557" s="429">
        <v>1.1640900000000001</v>
      </c>
      <c r="R557" s="429">
        <v>1.1640900000000001</v>
      </c>
      <c r="T557" s="429">
        <f t="shared" si="63"/>
        <v>1.1640900000000001</v>
      </c>
    </row>
    <row r="558" spans="1:20">
      <c r="A558" s="429" t="str">
        <f t="shared" si="60"/>
        <v>KU</v>
      </c>
      <c r="B558" s="429" t="str">
        <f t="shared" si="61"/>
        <v>KY</v>
      </c>
      <c r="C558" s="429" t="str">
        <f t="shared" si="62"/>
        <v>344</v>
      </c>
      <c r="D558" s="430" t="s">
        <v>1754</v>
      </c>
      <c r="E558" s="428" t="str">
        <f t="shared" si="47"/>
        <v/>
      </c>
      <c r="F558" s="429">
        <v>0.29022999999999999</v>
      </c>
      <c r="G558" s="429">
        <v>0.29022999999999999</v>
      </c>
      <c r="H558" s="429">
        <v>0.29022999999999999</v>
      </c>
      <c r="I558" s="429">
        <v>0.29022999999999999</v>
      </c>
      <c r="J558" s="429">
        <v>0.29022999999999999</v>
      </c>
      <c r="K558" s="429">
        <v>0.29022999999999999</v>
      </c>
      <c r="L558" s="429">
        <v>0.29022999999999999</v>
      </c>
      <c r="M558" s="429">
        <v>0.29022999999999999</v>
      </c>
      <c r="N558" s="429">
        <v>0.29022999999999999</v>
      </c>
      <c r="O558" s="429">
        <v>0.29022999999999999</v>
      </c>
      <c r="P558" s="429">
        <v>0.29022999999999999</v>
      </c>
      <c r="Q558" s="429">
        <v>0.29022999999999999</v>
      </c>
      <c r="R558" s="429">
        <v>0.29022999999999999</v>
      </c>
      <c r="T558" s="429">
        <f t="shared" si="63"/>
        <v>0.2902300000000001</v>
      </c>
    </row>
    <row r="559" spans="1:20">
      <c r="A559" s="429" t="str">
        <f t="shared" si="60"/>
        <v>KU</v>
      </c>
      <c r="B559" s="429" t="str">
        <f t="shared" si="61"/>
        <v>KY</v>
      </c>
      <c r="C559" s="429" t="str">
        <f t="shared" si="62"/>
        <v>345</v>
      </c>
      <c r="D559" s="430" t="s">
        <v>1755</v>
      </c>
      <c r="E559" s="428" t="str">
        <f t="shared" si="47"/>
        <v/>
      </c>
      <c r="F559" s="429">
        <v>0.23452000000000001</v>
      </c>
      <c r="G559" s="429">
        <v>0.23452000000000001</v>
      </c>
      <c r="H559" s="429">
        <v>0.23452000000000001</v>
      </c>
      <c r="I559" s="429">
        <v>0.23452000000000001</v>
      </c>
      <c r="J559" s="429">
        <v>0.23452000000000001</v>
      </c>
      <c r="K559" s="429">
        <v>0.23452000000000001</v>
      </c>
      <c r="L559" s="429">
        <v>0.23452000000000001</v>
      </c>
      <c r="M559" s="429">
        <v>0.23452000000000001</v>
      </c>
      <c r="N559" s="429">
        <v>0.23452000000000001</v>
      </c>
      <c r="O559" s="429">
        <v>0.23452000000000001</v>
      </c>
      <c r="P559" s="429">
        <v>0.23452000000000001</v>
      </c>
      <c r="Q559" s="429">
        <v>0.23452000000000001</v>
      </c>
      <c r="R559" s="429">
        <v>0.23452000000000001</v>
      </c>
      <c r="T559" s="429">
        <f t="shared" si="63"/>
        <v>0.23451999999999998</v>
      </c>
    </row>
    <row r="560" spans="1:20">
      <c r="A560" s="429" t="str">
        <f t="shared" si="60"/>
        <v>KU</v>
      </c>
      <c r="B560" s="429" t="str">
        <f t="shared" si="61"/>
        <v>KY</v>
      </c>
      <c r="C560" s="429" t="str">
        <f t="shared" si="62"/>
        <v>346</v>
      </c>
      <c r="D560" s="430" t="s">
        <v>1756</v>
      </c>
      <c r="E560" s="428" t="str">
        <f t="shared" si="47"/>
        <v/>
      </c>
      <c r="F560" s="429">
        <v>2.5000000000000001E-2</v>
      </c>
      <c r="G560" s="429">
        <v>2.5000000000000001E-2</v>
      </c>
      <c r="H560" s="429">
        <v>2.5000000000000001E-2</v>
      </c>
      <c r="I560" s="429">
        <v>2.5000000000000001E-2</v>
      </c>
      <c r="J560" s="429">
        <v>2.5000000000000001E-2</v>
      </c>
      <c r="K560" s="429">
        <v>2.5000000000000001E-2</v>
      </c>
      <c r="L560" s="429">
        <v>2.5000000000000001E-2</v>
      </c>
      <c r="M560" s="429">
        <v>2.5000000000000001E-2</v>
      </c>
      <c r="N560" s="429">
        <v>2.5000000000000001E-2</v>
      </c>
      <c r="O560" s="429">
        <v>2.5000000000000001E-2</v>
      </c>
      <c r="P560" s="429">
        <v>2.5000000000000001E-2</v>
      </c>
      <c r="Q560" s="429">
        <v>2.5000000000000001E-2</v>
      </c>
      <c r="R560" s="429">
        <v>2.5000000000000001E-2</v>
      </c>
      <c r="T560" s="429">
        <f t="shared" si="63"/>
        <v>2.5000000000000001E-2</v>
      </c>
    </row>
    <row r="561" spans="1:20">
      <c r="A561" s="429" t="str">
        <f t="shared" si="60"/>
        <v>KU</v>
      </c>
      <c r="B561" s="429" t="str">
        <f t="shared" si="61"/>
        <v>KY</v>
      </c>
      <c r="C561" s="429" t="str">
        <f t="shared" si="62"/>
        <v>350</v>
      </c>
      <c r="D561" s="430" t="s">
        <v>1757</v>
      </c>
      <c r="E561" s="428" t="str">
        <f t="shared" si="47"/>
        <v/>
      </c>
      <c r="F561" s="429">
        <v>76.67</v>
      </c>
      <c r="G561" s="429">
        <v>76.67</v>
      </c>
      <c r="H561" s="429">
        <v>76.67</v>
      </c>
      <c r="I561" s="429">
        <v>76.67</v>
      </c>
      <c r="J561" s="429">
        <v>76.67</v>
      </c>
      <c r="K561" s="429">
        <v>76.67</v>
      </c>
      <c r="L561" s="429">
        <v>76.67</v>
      </c>
      <c r="M561" s="429">
        <v>76.67</v>
      </c>
      <c r="N561" s="429">
        <v>76.67</v>
      </c>
      <c r="O561" s="429">
        <v>76.67</v>
      </c>
      <c r="P561" s="429">
        <v>76.67</v>
      </c>
      <c r="Q561" s="429">
        <v>76.67</v>
      </c>
      <c r="R561" s="429">
        <v>76.67</v>
      </c>
      <c r="T561" s="429">
        <f t="shared" si="63"/>
        <v>76.669999999999987</v>
      </c>
    </row>
    <row r="562" spans="1:20">
      <c r="A562" s="429" t="str">
        <f t="shared" si="60"/>
        <v>KU</v>
      </c>
      <c r="B562" s="429" t="str">
        <f t="shared" si="61"/>
        <v>KY</v>
      </c>
      <c r="C562" s="429" t="str">
        <f t="shared" si="62"/>
        <v>352</v>
      </c>
      <c r="D562" s="430" t="s">
        <v>1761</v>
      </c>
      <c r="E562" s="428" t="str">
        <f t="shared" si="47"/>
        <v/>
      </c>
      <c r="F562" s="429">
        <v>72.901480000000006</v>
      </c>
      <c r="G562" s="429">
        <v>72.901480000000006</v>
      </c>
      <c r="H562" s="429">
        <v>72.901480000000006</v>
      </c>
      <c r="I562" s="429">
        <v>72.901480000000006</v>
      </c>
      <c r="J562" s="429">
        <v>72.901480000000006</v>
      </c>
      <c r="K562" s="429">
        <v>72.901480000000006</v>
      </c>
      <c r="L562" s="429">
        <v>72.901480000000006</v>
      </c>
      <c r="M562" s="429">
        <v>72.901480000000006</v>
      </c>
      <c r="N562" s="429">
        <v>72.901480000000006</v>
      </c>
      <c r="O562" s="429">
        <v>72.901480000000006</v>
      </c>
      <c r="P562" s="429">
        <v>72.901480000000006</v>
      </c>
      <c r="Q562" s="429">
        <v>72.901480000000006</v>
      </c>
      <c r="R562" s="429">
        <v>72.901480000000006</v>
      </c>
      <c r="T562" s="429">
        <f t="shared" si="63"/>
        <v>72.901480000000006</v>
      </c>
    </row>
    <row r="563" spans="1:20">
      <c r="A563" s="429" t="str">
        <f t="shared" si="60"/>
        <v>KU</v>
      </c>
      <c r="B563" s="429" t="str">
        <f t="shared" si="61"/>
        <v>KY</v>
      </c>
      <c r="C563" s="429" t="str">
        <f t="shared" si="62"/>
        <v>353</v>
      </c>
      <c r="D563" s="430" t="s">
        <v>1763</v>
      </c>
      <c r="E563" s="428" t="str">
        <f t="shared" si="47"/>
        <v/>
      </c>
      <c r="F563" s="429">
        <v>539.84231</v>
      </c>
      <c r="G563" s="429">
        <v>539.84231</v>
      </c>
      <c r="H563" s="429">
        <v>539.84231</v>
      </c>
      <c r="I563" s="429">
        <v>539.84231</v>
      </c>
      <c r="J563" s="429">
        <v>539.84231</v>
      </c>
      <c r="K563" s="429">
        <v>539.84231</v>
      </c>
      <c r="L563" s="429">
        <v>539.84231</v>
      </c>
      <c r="M563" s="429">
        <v>539.84231</v>
      </c>
      <c r="N563" s="429">
        <v>539.84231</v>
      </c>
      <c r="O563" s="429">
        <v>539.84231</v>
      </c>
      <c r="P563" s="429">
        <v>539.84231</v>
      </c>
      <c r="Q563" s="429">
        <v>539.84231</v>
      </c>
      <c r="R563" s="429">
        <v>539.84231</v>
      </c>
      <c r="T563" s="429">
        <f t="shared" si="63"/>
        <v>539.84231</v>
      </c>
    </row>
    <row r="564" spans="1:20">
      <c r="A564" s="429" t="str">
        <f t="shared" si="60"/>
        <v>KU</v>
      </c>
      <c r="B564" s="429" t="str">
        <f t="shared" si="61"/>
        <v>VA</v>
      </c>
      <c r="C564" s="429" t="str">
        <f t="shared" si="62"/>
        <v>353</v>
      </c>
      <c r="D564" s="430" t="s">
        <v>1765</v>
      </c>
      <c r="E564" s="428" t="str">
        <f t="shared" si="47"/>
        <v/>
      </c>
      <c r="F564" s="429">
        <v>2E-3</v>
      </c>
      <c r="G564" s="429">
        <v>2E-3</v>
      </c>
      <c r="H564" s="429">
        <v>2E-3</v>
      </c>
      <c r="I564" s="429">
        <v>2E-3</v>
      </c>
      <c r="J564" s="429">
        <v>2E-3</v>
      </c>
      <c r="K564" s="429">
        <v>2E-3</v>
      </c>
      <c r="L564" s="429">
        <v>2E-3</v>
      </c>
      <c r="M564" s="429">
        <v>2E-3</v>
      </c>
      <c r="N564" s="429">
        <v>2E-3</v>
      </c>
      <c r="O564" s="429">
        <v>2E-3</v>
      </c>
      <c r="P564" s="429">
        <v>2E-3</v>
      </c>
      <c r="Q564" s="429">
        <v>2E-3</v>
      </c>
      <c r="R564" s="429">
        <v>2E-3</v>
      </c>
      <c r="T564" s="429">
        <f t="shared" si="63"/>
        <v>2.0000000000000009E-3</v>
      </c>
    </row>
    <row r="565" spans="1:20">
      <c r="A565" s="429" t="str">
        <f t="shared" si="60"/>
        <v>KU</v>
      </c>
      <c r="B565" s="429" t="str">
        <f t="shared" si="61"/>
        <v>KY</v>
      </c>
      <c r="C565" s="429" t="str">
        <f t="shared" si="62"/>
        <v>354</v>
      </c>
      <c r="D565" s="430" t="s">
        <v>1766</v>
      </c>
      <c r="E565" s="428" t="str">
        <f t="shared" si="47"/>
        <v/>
      </c>
      <c r="F565" s="429">
        <v>842.03867000000002</v>
      </c>
      <c r="G565" s="429">
        <v>842.03867000000002</v>
      </c>
      <c r="H565" s="429">
        <v>842.03867000000002</v>
      </c>
      <c r="I565" s="429">
        <v>842.03867000000002</v>
      </c>
      <c r="J565" s="429">
        <v>842.03867000000002</v>
      </c>
      <c r="K565" s="429">
        <v>842.03867000000002</v>
      </c>
      <c r="L565" s="429">
        <v>842.03867000000002</v>
      </c>
      <c r="M565" s="429">
        <v>842.03867000000002</v>
      </c>
      <c r="N565" s="429">
        <v>842.03867000000002</v>
      </c>
      <c r="O565" s="429">
        <v>842.03867000000002</v>
      </c>
      <c r="P565" s="429">
        <v>842.03867000000002</v>
      </c>
      <c r="Q565" s="429">
        <v>842.03867000000002</v>
      </c>
      <c r="R565" s="429">
        <v>842.03867000000002</v>
      </c>
      <c r="T565" s="429">
        <f t="shared" si="63"/>
        <v>842.03867000000002</v>
      </c>
    </row>
    <row r="566" spans="1:20">
      <c r="A566" s="429" t="str">
        <f t="shared" si="60"/>
        <v>KU</v>
      </c>
      <c r="B566" s="429" t="str">
        <f t="shared" si="61"/>
        <v>KY</v>
      </c>
      <c r="C566" s="429" t="str">
        <f t="shared" si="62"/>
        <v>355</v>
      </c>
      <c r="D566" s="430" t="s">
        <v>1768</v>
      </c>
      <c r="E566" s="428" t="str">
        <f t="shared" si="47"/>
        <v/>
      </c>
      <c r="F566" s="429">
        <v>229.75781000000001</v>
      </c>
      <c r="G566" s="429">
        <v>229.75781000000001</v>
      </c>
      <c r="H566" s="429">
        <v>229.75781000000001</v>
      </c>
      <c r="I566" s="429">
        <v>229.75781000000001</v>
      </c>
      <c r="J566" s="429">
        <v>229.75781000000001</v>
      </c>
      <c r="K566" s="429">
        <v>229.75781000000001</v>
      </c>
      <c r="L566" s="429">
        <v>229.75781000000001</v>
      </c>
      <c r="M566" s="429">
        <v>229.75781000000001</v>
      </c>
      <c r="N566" s="429">
        <v>229.75781000000001</v>
      </c>
      <c r="O566" s="429">
        <v>229.75781000000001</v>
      </c>
      <c r="P566" s="429">
        <v>229.75781000000001</v>
      </c>
      <c r="Q566" s="429">
        <v>229.75781000000001</v>
      </c>
      <c r="R566" s="429">
        <v>229.75781000000001</v>
      </c>
      <c r="T566" s="429">
        <f t="shared" si="63"/>
        <v>229.75781000000003</v>
      </c>
    </row>
    <row r="567" spans="1:20">
      <c r="A567" s="429" t="str">
        <f t="shared" si="60"/>
        <v>KU</v>
      </c>
      <c r="B567" s="429" t="str">
        <f t="shared" si="61"/>
        <v>KY</v>
      </c>
      <c r="C567" s="429" t="str">
        <f t="shared" si="62"/>
        <v>356</v>
      </c>
      <c r="D567" s="430" t="s">
        <v>1771</v>
      </c>
      <c r="E567" s="428" t="str">
        <f t="shared" si="47"/>
        <v/>
      </c>
      <c r="F567" s="429">
        <v>1047.1483900000001</v>
      </c>
      <c r="G567" s="429">
        <v>1047.1483900000001</v>
      </c>
      <c r="H567" s="429">
        <v>1047.1483900000001</v>
      </c>
      <c r="I567" s="429">
        <v>1047.1483900000001</v>
      </c>
      <c r="J567" s="429">
        <v>1047.1483900000001</v>
      </c>
      <c r="K567" s="429">
        <v>1047.1483900000001</v>
      </c>
      <c r="L567" s="429">
        <v>1047.1483900000001</v>
      </c>
      <c r="M567" s="429">
        <v>1047.1483900000001</v>
      </c>
      <c r="N567" s="429">
        <v>1047.1483900000001</v>
      </c>
      <c r="O567" s="429">
        <v>1047.1483900000001</v>
      </c>
      <c r="P567" s="429">
        <v>1047.1483900000001</v>
      </c>
      <c r="Q567" s="429">
        <v>1047.1483900000001</v>
      </c>
      <c r="R567" s="429">
        <v>1047.1483900000001</v>
      </c>
      <c r="T567" s="429">
        <f t="shared" si="63"/>
        <v>1047.1483900000001</v>
      </c>
    </row>
    <row r="568" spans="1:20">
      <c r="A568" s="429" t="str">
        <f t="shared" si="60"/>
        <v>KU</v>
      </c>
      <c r="B568" s="429" t="str">
        <f t="shared" si="61"/>
        <v>KY</v>
      </c>
      <c r="C568" s="429" t="str">
        <f t="shared" si="62"/>
        <v>357</v>
      </c>
      <c r="D568" s="430" t="s">
        <v>1774</v>
      </c>
      <c r="E568" s="428" t="str">
        <f t="shared" si="47"/>
        <v/>
      </c>
      <c r="F568" s="429">
        <v>0.27500000000000002</v>
      </c>
      <c r="G568" s="429">
        <v>0.27500000000000002</v>
      </c>
      <c r="H568" s="429">
        <v>0.27500000000000002</v>
      </c>
      <c r="I568" s="429">
        <v>0.27500000000000002</v>
      </c>
      <c r="J568" s="429">
        <v>0.27500000000000002</v>
      </c>
      <c r="K568" s="429">
        <v>0.27500000000000002</v>
      </c>
      <c r="L568" s="429">
        <v>0.27500000000000002</v>
      </c>
      <c r="M568" s="429">
        <v>0.27500000000000002</v>
      </c>
      <c r="N568" s="429">
        <v>0.27500000000000002</v>
      </c>
      <c r="O568" s="429">
        <v>0.27500000000000002</v>
      </c>
      <c r="P568" s="429">
        <v>0.27500000000000002</v>
      </c>
      <c r="Q568" s="429">
        <v>0.27500000000000002</v>
      </c>
      <c r="R568" s="429">
        <v>0.27500000000000002</v>
      </c>
      <c r="T568" s="429">
        <f t="shared" si="63"/>
        <v>0.27499999999999997</v>
      </c>
    </row>
    <row r="569" spans="1:20">
      <c r="A569" s="429" t="str">
        <f t="shared" si="60"/>
        <v>KU</v>
      </c>
      <c r="B569" s="429" t="str">
        <f t="shared" si="61"/>
        <v>KY</v>
      </c>
      <c r="C569" s="429" t="str">
        <f t="shared" si="62"/>
        <v>358</v>
      </c>
      <c r="D569" s="430" t="s">
        <v>1775</v>
      </c>
      <c r="E569" s="428" t="str">
        <f t="shared" si="47"/>
        <v/>
      </c>
      <c r="F569" s="429">
        <v>2.2109999999999999</v>
      </c>
      <c r="G569" s="429">
        <v>2.2109999999999999</v>
      </c>
      <c r="H569" s="429">
        <v>2.2109999999999999</v>
      </c>
      <c r="I569" s="429">
        <v>2.2109999999999999</v>
      </c>
      <c r="J569" s="429">
        <v>2.2109999999999999</v>
      </c>
      <c r="K569" s="429">
        <v>2.2109999999999999</v>
      </c>
      <c r="L569" s="429">
        <v>2.2109999999999999</v>
      </c>
      <c r="M569" s="429">
        <v>2.2109999999999999</v>
      </c>
      <c r="N569" s="429">
        <v>2.2109999999999999</v>
      </c>
      <c r="O569" s="429">
        <v>2.2109999999999999</v>
      </c>
      <c r="P569" s="429">
        <v>2.2109999999999999</v>
      </c>
      <c r="Q569" s="429">
        <v>2.2109999999999999</v>
      </c>
      <c r="R569" s="429">
        <v>2.2109999999999999</v>
      </c>
      <c r="T569" s="429">
        <f t="shared" si="63"/>
        <v>2.2109999999999994</v>
      </c>
    </row>
    <row r="570" spans="1:20">
      <c r="E570" s="428" t="str">
        <f t="shared" si="47"/>
        <v/>
      </c>
      <c r="R570" s="723">
        <f>SUM(R549:R569)</f>
        <v>19596.272950000002</v>
      </c>
    </row>
    <row r="571" spans="1:20">
      <c r="D571" s="721" t="s">
        <v>2513</v>
      </c>
      <c r="E571" s="428" t="str">
        <f t="shared" si="47"/>
        <v/>
      </c>
    </row>
    <row r="572" spans="1:20">
      <c r="A572" s="429" t="str">
        <f t="shared" ref="A572:A601" si="64">MID($D572,4,2)</f>
        <v>KU</v>
      </c>
      <c r="B572" s="429" t="str">
        <f t="shared" ref="B572:B601" si="65">IF(MID($D572,12,2)="- ","KY",MID($D572,12,2))</f>
        <v>KY</v>
      </c>
      <c r="C572" s="429" t="str">
        <f t="shared" ref="C572:C601" si="66">MID($D572,8,3)</f>
        <v>311</v>
      </c>
      <c r="D572" s="430" t="s">
        <v>2194</v>
      </c>
      <c r="E572" s="428" t="str">
        <f t="shared" si="47"/>
        <v>ECR</v>
      </c>
      <c r="F572" s="429">
        <v>39.993479999999998</v>
      </c>
      <c r="G572" s="429">
        <v>39.993479999999998</v>
      </c>
      <c r="H572" s="429">
        <v>39.993479999999998</v>
      </c>
      <c r="I572" s="429">
        <v>39.993479999999998</v>
      </c>
      <c r="J572" s="429">
        <v>39.993479999999998</v>
      </c>
      <c r="K572" s="429">
        <v>39.993479999999998</v>
      </c>
      <c r="L572" s="429">
        <v>39.993479999999998</v>
      </c>
      <c r="M572" s="429">
        <v>39.993479999999998</v>
      </c>
      <c r="N572" s="429">
        <v>39.993479999999998</v>
      </c>
      <c r="O572" s="429">
        <v>39.993479999999998</v>
      </c>
      <c r="P572" s="429">
        <v>39.993479999999998</v>
      </c>
      <c r="Q572" s="429">
        <v>39.993479999999998</v>
      </c>
      <c r="R572" s="429">
        <v>39.993479999999998</v>
      </c>
      <c r="T572" s="429">
        <f t="shared" ref="T572:T601" si="67">SUM(F572:R572)/13</f>
        <v>39.993479999999991</v>
      </c>
    </row>
    <row r="573" spans="1:20">
      <c r="A573" s="429" t="str">
        <f t="shared" si="64"/>
        <v>KU</v>
      </c>
      <c r="B573" s="429" t="str">
        <f t="shared" si="65"/>
        <v>KY</v>
      </c>
      <c r="C573" s="429" t="str">
        <f t="shared" si="66"/>
        <v>311</v>
      </c>
      <c r="D573" s="430" t="s">
        <v>1732</v>
      </c>
      <c r="E573" s="428" t="str">
        <f t="shared" si="47"/>
        <v/>
      </c>
      <c r="F573" s="429">
        <v>1668.10751</v>
      </c>
      <c r="G573" s="429">
        <v>1668.10751</v>
      </c>
      <c r="H573" s="429">
        <v>1668.10751</v>
      </c>
      <c r="I573" s="429">
        <v>1668.10751</v>
      </c>
      <c r="J573" s="429">
        <v>1668.10751</v>
      </c>
      <c r="K573" s="429">
        <v>1668.10751</v>
      </c>
      <c r="L573" s="429">
        <v>1668.10751</v>
      </c>
      <c r="M573" s="429">
        <v>1668.10751</v>
      </c>
      <c r="N573" s="429">
        <v>1668.10751</v>
      </c>
      <c r="O573" s="429">
        <v>1668.10751</v>
      </c>
      <c r="P573" s="429">
        <v>1668.10751</v>
      </c>
      <c r="Q573" s="429">
        <v>1668.10751</v>
      </c>
      <c r="R573" s="429">
        <v>1668.10751</v>
      </c>
      <c r="T573" s="429">
        <f t="shared" si="67"/>
        <v>1668.1075100000005</v>
      </c>
    </row>
    <row r="574" spans="1:20">
      <c r="A574" s="429" t="str">
        <f t="shared" si="64"/>
        <v>KU</v>
      </c>
      <c r="B574" s="429" t="str">
        <f t="shared" si="65"/>
        <v>KY</v>
      </c>
      <c r="C574" s="429" t="str">
        <f t="shared" si="66"/>
        <v>312</v>
      </c>
      <c r="D574" s="430" t="s">
        <v>1733</v>
      </c>
      <c r="E574" s="428" t="str">
        <f t="shared" si="47"/>
        <v/>
      </c>
      <c r="F574" s="429">
        <v>17814.356110000001</v>
      </c>
      <c r="G574" s="429">
        <v>17814.356110000001</v>
      </c>
      <c r="H574" s="429">
        <v>17814.356110000001</v>
      </c>
      <c r="I574" s="429">
        <v>17814.356110000001</v>
      </c>
      <c r="J574" s="429">
        <v>17814.356110000001</v>
      </c>
      <c r="K574" s="429">
        <v>17814.356110000001</v>
      </c>
      <c r="L574" s="429">
        <v>17814.356110000001</v>
      </c>
      <c r="M574" s="429">
        <v>17814.356110000001</v>
      </c>
      <c r="N574" s="429">
        <v>17814.356110000001</v>
      </c>
      <c r="O574" s="429">
        <v>17814.356110000001</v>
      </c>
      <c r="P574" s="429">
        <v>17814.356110000001</v>
      </c>
      <c r="Q574" s="429">
        <v>17814.356110000001</v>
      </c>
      <c r="R574" s="429">
        <v>17814.356110000001</v>
      </c>
      <c r="T574" s="429">
        <f t="shared" si="67"/>
        <v>17814.356109999997</v>
      </c>
    </row>
    <row r="575" spans="1:20">
      <c r="A575" s="429" t="str">
        <f t="shared" si="64"/>
        <v>KU</v>
      </c>
      <c r="B575" s="429" t="str">
        <f t="shared" si="65"/>
        <v>KY</v>
      </c>
      <c r="C575" s="429" t="str">
        <f t="shared" si="66"/>
        <v>312</v>
      </c>
      <c r="D575" s="430" t="s">
        <v>1734</v>
      </c>
      <c r="E575" s="428" t="str">
        <f t="shared" si="47"/>
        <v>ECR</v>
      </c>
      <c r="F575" s="429">
        <v>54.588720000000002</v>
      </c>
      <c r="G575" s="429">
        <v>54.588720000000002</v>
      </c>
      <c r="H575" s="429">
        <v>54.588720000000002</v>
      </c>
      <c r="I575" s="429">
        <v>54.588720000000002</v>
      </c>
      <c r="J575" s="429">
        <v>54.588720000000002</v>
      </c>
      <c r="K575" s="429">
        <v>54.588720000000002</v>
      </c>
      <c r="L575" s="429">
        <v>54.588720000000002</v>
      </c>
      <c r="M575" s="429">
        <v>54.588720000000002</v>
      </c>
      <c r="N575" s="429">
        <v>54.588720000000002</v>
      </c>
      <c r="O575" s="429">
        <v>54.588720000000002</v>
      </c>
      <c r="P575" s="429">
        <v>54.588720000000002</v>
      </c>
      <c r="Q575" s="429">
        <v>54.588720000000002</v>
      </c>
      <c r="R575" s="429">
        <v>54.588720000000002</v>
      </c>
      <c r="T575" s="429">
        <f t="shared" si="67"/>
        <v>54.588720000000002</v>
      </c>
    </row>
    <row r="576" spans="1:20">
      <c r="A576" s="429" t="str">
        <f t="shared" si="64"/>
        <v>KU</v>
      </c>
      <c r="B576" s="429" t="str">
        <f t="shared" si="65"/>
        <v>KY</v>
      </c>
      <c r="C576" s="429" t="str">
        <f t="shared" si="66"/>
        <v>312</v>
      </c>
      <c r="D576" s="430" t="s">
        <v>1735</v>
      </c>
      <c r="E576" s="428" t="str">
        <f t="shared" si="47"/>
        <v>ECR</v>
      </c>
      <c r="F576" s="429">
        <v>2589.31324</v>
      </c>
      <c r="G576" s="429">
        <v>2589.31324</v>
      </c>
      <c r="H576" s="429">
        <v>2589.31324</v>
      </c>
      <c r="I576" s="429">
        <v>2589.31324</v>
      </c>
      <c r="J576" s="429">
        <v>2589.31324</v>
      </c>
      <c r="K576" s="429">
        <v>2589.31324</v>
      </c>
      <c r="L576" s="429">
        <v>2589.31324</v>
      </c>
      <c r="M576" s="429">
        <v>2589.31324</v>
      </c>
      <c r="N576" s="429">
        <v>2589.31324</v>
      </c>
      <c r="O576" s="429">
        <v>2589.31324</v>
      </c>
      <c r="P576" s="429">
        <v>2589.31324</v>
      </c>
      <c r="Q576" s="429">
        <v>2589.31324</v>
      </c>
      <c r="R576" s="429">
        <v>2589.31324</v>
      </c>
      <c r="T576" s="429">
        <f t="shared" si="67"/>
        <v>2589.31324</v>
      </c>
    </row>
    <row r="577" spans="1:20">
      <c r="A577" s="429" t="str">
        <f t="shared" si="64"/>
        <v>KU</v>
      </c>
      <c r="B577" s="429" t="str">
        <f t="shared" si="65"/>
        <v>KY</v>
      </c>
      <c r="C577" s="429" t="str">
        <f t="shared" si="66"/>
        <v>314</v>
      </c>
      <c r="D577" s="430" t="s">
        <v>1737</v>
      </c>
      <c r="E577" s="428" t="str">
        <f t="shared" si="47"/>
        <v/>
      </c>
      <c r="F577" s="429">
        <v>1245.2610999999999</v>
      </c>
      <c r="G577" s="429">
        <v>1245.2610999999999</v>
      </c>
      <c r="H577" s="429">
        <v>1245.2610999999999</v>
      </c>
      <c r="I577" s="429">
        <v>1245.2610999999999</v>
      </c>
      <c r="J577" s="429">
        <v>1245.2610999999999</v>
      </c>
      <c r="K577" s="429">
        <v>1245.2610999999999</v>
      </c>
      <c r="L577" s="429">
        <v>1245.2610999999999</v>
      </c>
      <c r="M577" s="429">
        <v>1245.2610999999999</v>
      </c>
      <c r="N577" s="429">
        <v>1245.2610999999999</v>
      </c>
      <c r="O577" s="429">
        <v>1245.2610999999999</v>
      </c>
      <c r="P577" s="429">
        <v>1245.2610999999999</v>
      </c>
      <c r="Q577" s="429">
        <v>1245.2610999999999</v>
      </c>
      <c r="R577" s="429">
        <v>1245.2610999999999</v>
      </c>
      <c r="T577" s="429">
        <f t="shared" si="67"/>
        <v>1245.2610999999999</v>
      </c>
    </row>
    <row r="578" spans="1:20">
      <c r="A578" s="429" t="str">
        <f t="shared" si="64"/>
        <v>KU</v>
      </c>
      <c r="B578" s="429" t="str">
        <f t="shared" si="65"/>
        <v>KY</v>
      </c>
      <c r="C578" s="429" t="str">
        <f t="shared" si="66"/>
        <v>315</v>
      </c>
      <c r="D578" s="430" t="s">
        <v>1738</v>
      </c>
      <c r="E578" s="428" t="str">
        <f t="shared" si="47"/>
        <v/>
      </c>
      <c r="F578" s="429">
        <v>1021.18362</v>
      </c>
      <c r="G578" s="429">
        <v>1021.18362</v>
      </c>
      <c r="H578" s="429">
        <v>1021.18362</v>
      </c>
      <c r="I578" s="429">
        <v>1021.18362</v>
      </c>
      <c r="J578" s="429">
        <v>1021.18362</v>
      </c>
      <c r="K578" s="429">
        <v>1021.18362</v>
      </c>
      <c r="L578" s="429">
        <v>1021.18362</v>
      </c>
      <c r="M578" s="429">
        <v>1021.18362</v>
      </c>
      <c r="N578" s="429">
        <v>1021.18362</v>
      </c>
      <c r="O578" s="429">
        <v>1021.18362</v>
      </c>
      <c r="P578" s="429">
        <v>1021.18362</v>
      </c>
      <c r="Q578" s="429">
        <v>1021.18362</v>
      </c>
      <c r="R578" s="429">
        <v>1021.18362</v>
      </c>
      <c r="T578" s="429">
        <f t="shared" si="67"/>
        <v>1021.1836199999999</v>
      </c>
    </row>
    <row r="579" spans="1:20">
      <c r="A579" s="429" t="str">
        <f t="shared" si="64"/>
        <v>KU</v>
      </c>
      <c r="B579" s="429" t="str">
        <f t="shared" si="65"/>
        <v>KY</v>
      </c>
      <c r="C579" s="429" t="str">
        <f t="shared" si="66"/>
        <v>315</v>
      </c>
      <c r="D579" s="430" t="s">
        <v>1739</v>
      </c>
      <c r="E579" s="428" t="str">
        <f t="shared" si="47"/>
        <v>ECR</v>
      </c>
      <c r="F579" s="429">
        <v>64.003950000000003</v>
      </c>
      <c r="G579" s="429">
        <v>64.003950000000003</v>
      </c>
      <c r="H579" s="429">
        <v>64.003950000000003</v>
      </c>
      <c r="I579" s="429">
        <v>64.003950000000003</v>
      </c>
      <c r="J579" s="429">
        <v>64.003950000000003</v>
      </c>
      <c r="K579" s="429">
        <v>64.003950000000003</v>
      </c>
      <c r="L579" s="429">
        <v>64.003950000000003</v>
      </c>
      <c r="M579" s="429">
        <v>64.003950000000003</v>
      </c>
      <c r="N579" s="429">
        <v>64.003950000000003</v>
      </c>
      <c r="O579" s="429">
        <v>64.003950000000003</v>
      </c>
      <c r="P579" s="429">
        <v>64.003950000000003</v>
      </c>
      <c r="Q579" s="429">
        <v>64.003950000000003</v>
      </c>
      <c r="R579" s="429">
        <v>64.003950000000003</v>
      </c>
      <c r="T579" s="429">
        <f t="shared" si="67"/>
        <v>64.003950000000017</v>
      </c>
    </row>
    <row r="580" spans="1:20">
      <c r="A580" s="429" t="str">
        <f t="shared" si="64"/>
        <v>KU</v>
      </c>
      <c r="B580" s="429" t="str">
        <f t="shared" si="65"/>
        <v>KY</v>
      </c>
      <c r="C580" s="429" t="str">
        <f t="shared" si="66"/>
        <v>316</v>
      </c>
      <c r="D580" s="430" t="s">
        <v>1740</v>
      </c>
      <c r="E580" s="428" t="str">
        <f t="shared" si="47"/>
        <v/>
      </c>
      <c r="F580" s="429">
        <v>83.497619999999998</v>
      </c>
      <c r="G580" s="429">
        <v>83.497619999999998</v>
      </c>
      <c r="H580" s="429">
        <v>83.497619999999998</v>
      </c>
      <c r="I580" s="429">
        <v>83.497619999999998</v>
      </c>
      <c r="J580" s="429">
        <v>83.497619999999998</v>
      </c>
      <c r="K580" s="429">
        <v>83.497619999999998</v>
      </c>
      <c r="L580" s="429">
        <v>83.497619999999998</v>
      </c>
      <c r="M580" s="429">
        <v>83.497619999999998</v>
      </c>
      <c r="N580" s="429">
        <v>83.497619999999998</v>
      </c>
      <c r="O580" s="429">
        <v>83.497619999999998</v>
      </c>
      <c r="P580" s="429">
        <v>83.497619999999998</v>
      </c>
      <c r="Q580" s="429">
        <v>83.497619999999998</v>
      </c>
      <c r="R580" s="429">
        <v>83.497619999999998</v>
      </c>
      <c r="T580" s="429">
        <f t="shared" si="67"/>
        <v>83.497619999999998</v>
      </c>
    </row>
    <row r="581" spans="1:20">
      <c r="A581" s="429" t="str">
        <f t="shared" si="64"/>
        <v>KU</v>
      </c>
      <c r="B581" s="429" t="str">
        <f t="shared" si="65"/>
        <v>KY</v>
      </c>
      <c r="C581" s="429" t="str">
        <f t="shared" si="66"/>
        <v>332</v>
      </c>
      <c r="D581" s="430" t="s">
        <v>1744</v>
      </c>
      <c r="E581" s="428" t="str">
        <f t="shared" si="47"/>
        <v/>
      </c>
      <c r="F581" s="429">
        <v>42.95232</v>
      </c>
      <c r="G581" s="429">
        <v>42.95232</v>
      </c>
      <c r="H581" s="429">
        <v>42.95232</v>
      </c>
      <c r="I581" s="429">
        <v>42.95232</v>
      </c>
      <c r="J581" s="429">
        <v>42.95232</v>
      </c>
      <c r="K581" s="429">
        <v>42.95232</v>
      </c>
      <c r="L581" s="429">
        <v>42.95232</v>
      </c>
      <c r="M581" s="429">
        <v>42.95232</v>
      </c>
      <c r="N581" s="429">
        <v>42.95232</v>
      </c>
      <c r="O581" s="429">
        <v>42.95232</v>
      </c>
      <c r="P581" s="429">
        <v>42.95232</v>
      </c>
      <c r="Q581" s="429">
        <v>42.95232</v>
      </c>
      <c r="R581" s="429">
        <v>42.95232</v>
      </c>
      <c r="T581" s="429">
        <f t="shared" si="67"/>
        <v>42.952319999999993</v>
      </c>
    </row>
    <row r="582" spans="1:20">
      <c r="A582" s="429" t="str">
        <f t="shared" si="64"/>
        <v>KU</v>
      </c>
      <c r="B582" s="429" t="str">
        <f t="shared" si="65"/>
        <v>KY</v>
      </c>
      <c r="C582" s="429" t="str">
        <f t="shared" si="66"/>
        <v>333</v>
      </c>
      <c r="D582" s="430" t="s">
        <v>1745</v>
      </c>
      <c r="E582" s="428" t="str">
        <f t="shared" ref="E582:E653" si="68">IF(ISTEXT(MID($D582,SEARCH("FUTURE USE",$D582),3)),"FUTURE USE",IF(ISTEXT(MID($D582,SEARCH("ECR",$D582),3)),"ECR",IF(ISTEXT(MID($D582,SEARCH("ARO",$D582),3)),"ARO",IF(ISTEXT(MID($D582,SEARCH("DSM",$D582),3)),"DSM",""))))</f>
        <v/>
      </c>
      <c r="F582" s="429">
        <v>58.5</v>
      </c>
      <c r="G582" s="429">
        <v>58.5</v>
      </c>
      <c r="H582" s="429">
        <v>58.5</v>
      </c>
      <c r="I582" s="429">
        <v>58.5</v>
      </c>
      <c r="J582" s="429">
        <v>58.5</v>
      </c>
      <c r="K582" s="429">
        <v>58.5</v>
      </c>
      <c r="L582" s="429">
        <v>58.5</v>
      </c>
      <c r="M582" s="429">
        <v>58.5</v>
      </c>
      <c r="N582" s="429">
        <v>58.5</v>
      </c>
      <c r="O582" s="429">
        <v>58.5</v>
      </c>
      <c r="P582" s="429">
        <v>58.5</v>
      </c>
      <c r="Q582" s="429">
        <v>58.5</v>
      </c>
      <c r="R582" s="429">
        <v>58.5</v>
      </c>
      <c r="T582" s="429">
        <f t="shared" si="67"/>
        <v>58.5</v>
      </c>
    </row>
    <row r="583" spans="1:20">
      <c r="A583" s="429" t="str">
        <f t="shared" si="64"/>
        <v>KU</v>
      </c>
      <c r="B583" s="429" t="str">
        <f t="shared" si="65"/>
        <v>KY</v>
      </c>
      <c r="C583" s="429" t="str">
        <f t="shared" si="66"/>
        <v>334</v>
      </c>
      <c r="D583" s="430" t="s">
        <v>1746</v>
      </c>
      <c r="E583" s="428" t="str">
        <f t="shared" si="68"/>
        <v/>
      </c>
      <c r="F583" s="429">
        <v>3.8844400000000001</v>
      </c>
      <c r="G583" s="429">
        <v>3.8844400000000001</v>
      </c>
      <c r="H583" s="429">
        <v>3.8844400000000001</v>
      </c>
      <c r="I583" s="429">
        <v>3.8844400000000001</v>
      </c>
      <c r="J583" s="429">
        <v>3.8844400000000001</v>
      </c>
      <c r="K583" s="429">
        <v>3.8844400000000001</v>
      </c>
      <c r="L583" s="429">
        <v>3.8844400000000001</v>
      </c>
      <c r="M583" s="429">
        <v>3.8844400000000001</v>
      </c>
      <c r="N583" s="429">
        <v>3.8844400000000001</v>
      </c>
      <c r="O583" s="429">
        <v>3.8844400000000001</v>
      </c>
      <c r="P583" s="429">
        <v>3.8844400000000001</v>
      </c>
      <c r="Q583" s="429">
        <v>3.8844400000000001</v>
      </c>
      <c r="R583" s="429">
        <v>3.8844400000000001</v>
      </c>
      <c r="T583" s="429">
        <f t="shared" si="67"/>
        <v>3.8844399999999997</v>
      </c>
    </row>
    <row r="584" spans="1:20">
      <c r="A584" s="429" t="str">
        <f t="shared" si="64"/>
        <v>KU</v>
      </c>
      <c r="B584" s="429" t="str">
        <f t="shared" si="65"/>
        <v>KY</v>
      </c>
      <c r="C584" s="429" t="str">
        <f t="shared" si="66"/>
        <v>341</v>
      </c>
      <c r="D584" s="430" t="s">
        <v>1751</v>
      </c>
      <c r="E584" s="428" t="str">
        <f t="shared" si="68"/>
        <v/>
      </c>
      <c r="F584" s="429">
        <v>557.31254999999999</v>
      </c>
      <c r="G584" s="429">
        <v>557.31254999999999</v>
      </c>
      <c r="H584" s="429">
        <v>557.31254999999999</v>
      </c>
      <c r="I584" s="429">
        <v>557.31254999999999</v>
      </c>
      <c r="J584" s="429">
        <v>557.31254999999999</v>
      </c>
      <c r="K584" s="429">
        <v>557.31254999999999</v>
      </c>
      <c r="L584" s="429">
        <v>557.31254999999999</v>
      </c>
      <c r="M584" s="429">
        <v>557.31254999999999</v>
      </c>
      <c r="N584" s="429">
        <v>557.31254999999999</v>
      </c>
      <c r="O584" s="429">
        <v>557.31254999999999</v>
      </c>
      <c r="P584" s="429">
        <v>557.31254999999999</v>
      </c>
      <c r="Q584" s="429">
        <v>557.31254999999999</v>
      </c>
      <c r="R584" s="429">
        <v>557.31254999999999</v>
      </c>
      <c r="T584" s="429">
        <f t="shared" si="67"/>
        <v>557.31254999999987</v>
      </c>
    </row>
    <row r="585" spans="1:20">
      <c r="A585" s="429" t="str">
        <f t="shared" si="64"/>
        <v>KU</v>
      </c>
      <c r="B585" s="429" t="str">
        <f t="shared" si="65"/>
        <v>KY</v>
      </c>
      <c r="C585" s="429" t="str">
        <f t="shared" si="66"/>
        <v>342</v>
      </c>
      <c r="D585" s="430" t="s">
        <v>1752</v>
      </c>
      <c r="E585" s="428" t="str">
        <f t="shared" si="68"/>
        <v/>
      </c>
      <c r="F585" s="429">
        <v>121.09593</v>
      </c>
      <c r="G585" s="429">
        <v>121.09593</v>
      </c>
      <c r="H585" s="429">
        <v>121.09593</v>
      </c>
      <c r="I585" s="429">
        <v>121.09593</v>
      </c>
      <c r="J585" s="429">
        <v>121.09593</v>
      </c>
      <c r="K585" s="429">
        <v>121.09593</v>
      </c>
      <c r="L585" s="429">
        <v>121.09593</v>
      </c>
      <c r="M585" s="429">
        <v>121.09593</v>
      </c>
      <c r="N585" s="429">
        <v>121.09593</v>
      </c>
      <c r="O585" s="429">
        <v>121.09593</v>
      </c>
      <c r="P585" s="429">
        <v>121.09593</v>
      </c>
      <c r="Q585" s="429">
        <v>121.09593</v>
      </c>
      <c r="R585" s="429">
        <v>121.09593</v>
      </c>
      <c r="T585" s="429">
        <f t="shared" si="67"/>
        <v>121.09592999999997</v>
      </c>
    </row>
    <row r="586" spans="1:20">
      <c r="A586" s="429" t="str">
        <f t="shared" si="64"/>
        <v>KU</v>
      </c>
      <c r="B586" s="429" t="str">
        <f t="shared" si="65"/>
        <v>KY</v>
      </c>
      <c r="C586" s="429" t="str">
        <f t="shared" si="66"/>
        <v>343</v>
      </c>
      <c r="D586" s="430" t="s">
        <v>1753</v>
      </c>
      <c r="E586" s="428" t="str">
        <f t="shared" si="68"/>
        <v/>
      </c>
      <c r="F586" s="429">
        <v>3196.3693800000001</v>
      </c>
      <c r="G586" s="429">
        <v>3196.3693800000001</v>
      </c>
      <c r="H586" s="429">
        <v>3196.3693800000001</v>
      </c>
      <c r="I586" s="429">
        <v>3196.3693800000001</v>
      </c>
      <c r="J586" s="429">
        <v>3196.3693800000001</v>
      </c>
      <c r="K586" s="429">
        <v>3196.3693800000001</v>
      </c>
      <c r="L586" s="429">
        <v>3196.3693800000001</v>
      </c>
      <c r="M586" s="429">
        <v>3196.3693800000001</v>
      </c>
      <c r="N586" s="429">
        <v>3196.3693800000001</v>
      </c>
      <c r="O586" s="429">
        <v>3196.3693800000001</v>
      </c>
      <c r="P586" s="429">
        <v>3196.3693800000001</v>
      </c>
      <c r="Q586" s="429">
        <v>3196.3693800000001</v>
      </c>
      <c r="R586" s="429">
        <v>3196.3693800000001</v>
      </c>
      <c r="T586" s="429">
        <f t="shared" si="67"/>
        <v>3196.3693800000005</v>
      </c>
    </row>
    <row r="587" spans="1:20">
      <c r="A587" s="429" t="str">
        <f t="shared" si="64"/>
        <v>KU</v>
      </c>
      <c r="B587" s="429" t="str">
        <f t="shared" si="65"/>
        <v>KY</v>
      </c>
      <c r="C587" s="429" t="str">
        <f t="shared" si="66"/>
        <v>344</v>
      </c>
      <c r="D587" s="430" t="s">
        <v>1754</v>
      </c>
      <c r="E587" s="428" t="str">
        <f t="shared" si="68"/>
        <v/>
      </c>
      <c r="F587" s="429">
        <v>715.27536999999995</v>
      </c>
      <c r="G587" s="429">
        <v>715.27536999999995</v>
      </c>
      <c r="H587" s="429">
        <v>715.27536999999995</v>
      </c>
      <c r="I587" s="429">
        <v>715.27536999999995</v>
      </c>
      <c r="J587" s="429">
        <v>715.27536999999995</v>
      </c>
      <c r="K587" s="429">
        <v>715.27536999999995</v>
      </c>
      <c r="L587" s="429">
        <v>715.27536999999995</v>
      </c>
      <c r="M587" s="429">
        <v>715.27536999999995</v>
      </c>
      <c r="N587" s="429">
        <v>715.27536999999995</v>
      </c>
      <c r="O587" s="429">
        <v>715.27536999999995</v>
      </c>
      <c r="P587" s="429">
        <v>715.27536999999995</v>
      </c>
      <c r="Q587" s="429">
        <v>715.27536999999995</v>
      </c>
      <c r="R587" s="429">
        <v>715.27536999999995</v>
      </c>
      <c r="T587" s="429">
        <f t="shared" si="67"/>
        <v>715.27537000000007</v>
      </c>
    </row>
    <row r="588" spans="1:20">
      <c r="A588" s="429" t="str">
        <f t="shared" si="64"/>
        <v>KU</v>
      </c>
      <c r="B588" s="429" t="str">
        <f t="shared" si="65"/>
        <v>KY</v>
      </c>
      <c r="C588" s="429" t="str">
        <f t="shared" si="66"/>
        <v>345</v>
      </c>
      <c r="D588" s="430" t="s">
        <v>1755</v>
      </c>
      <c r="E588" s="428" t="str">
        <f t="shared" si="68"/>
        <v/>
      </c>
      <c r="F588" s="429">
        <v>358.09240999999997</v>
      </c>
      <c r="G588" s="429">
        <v>358.09240999999997</v>
      </c>
      <c r="H588" s="429">
        <v>358.09240999999997</v>
      </c>
      <c r="I588" s="429">
        <v>358.09240999999997</v>
      </c>
      <c r="J588" s="429">
        <v>358.09240999999997</v>
      </c>
      <c r="K588" s="429">
        <v>358.09240999999997</v>
      </c>
      <c r="L588" s="429">
        <v>358.09240999999997</v>
      </c>
      <c r="M588" s="429">
        <v>358.09240999999997</v>
      </c>
      <c r="N588" s="429">
        <v>358.09240999999997</v>
      </c>
      <c r="O588" s="429">
        <v>358.09240999999997</v>
      </c>
      <c r="P588" s="429">
        <v>358.09240999999997</v>
      </c>
      <c r="Q588" s="429">
        <v>358.09240999999997</v>
      </c>
      <c r="R588" s="429">
        <v>358.09240999999997</v>
      </c>
      <c r="T588" s="429">
        <f t="shared" si="67"/>
        <v>358.09241000000009</v>
      </c>
    </row>
    <row r="589" spans="1:20">
      <c r="A589" s="429" t="str">
        <f t="shared" si="64"/>
        <v>KU</v>
      </c>
      <c r="B589" s="429" t="str">
        <f t="shared" si="65"/>
        <v>KY</v>
      </c>
      <c r="C589" s="429" t="str">
        <f t="shared" si="66"/>
        <v>346</v>
      </c>
      <c r="D589" s="430" t="s">
        <v>1756</v>
      </c>
      <c r="E589" s="428" t="str">
        <f t="shared" si="68"/>
        <v/>
      </c>
      <c r="F589" s="429">
        <v>34.127940000000002</v>
      </c>
      <c r="G589" s="429">
        <v>34.127940000000002</v>
      </c>
      <c r="H589" s="429">
        <v>34.127940000000002</v>
      </c>
      <c r="I589" s="429">
        <v>34.127940000000002</v>
      </c>
      <c r="J589" s="429">
        <v>34.127940000000002</v>
      </c>
      <c r="K589" s="429">
        <v>34.127940000000002</v>
      </c>
      <c r="L589" s="429">
        <v>34.127940000000002</v>
      </c>
      <c r="M589" s="429">
        <v>34.127940000000002</v>
      </c>
      <c r="N589" s="429">
        <v>34.127940000000002</v>
      </c>
      <c r="O589" s="429">
        <v>34.127940000000002</v>
      </c>
      <c r="P589" s="429">
        <v>34.127940000000002</v>
      </c>
      <c r="Q589" s="429">
        <v>34.127940000000002</v>
      </c>
      <c r="R589" s="429">
        <v>34.127940000000002</v>
      </c>
      <c r="T589" s="429">
        <f t="shared" si="67"/>
        <v>34.127940000000009</v>
      </c>
    </row>
    <row r="590" spans="1:20">
      <c r="A590" s="429" t="str">
        <f t="shared" si="64"/>
        <v>KU</v>
      </c>
      <c r="B590" s="429" t="str">
        <f t="shared" si="65"/>
        <v>KY</v>
      </c>
      <c r="C590" s="429" t="str">
        <f t="shared" si="66"/>
        <v>350</v>
      </c>
      <c r="D590" s="430" t="s">
        <v>1757</v>
      </c>
      <c r="E590" s="428" t="str">
        <f t="shared" si="68"/>
        <v/>
      </c>
      <c r="F590" s="429">
        <v>5.8478599999999998</v>
      </c>
      <c r="G590" s="429">
        <v>5.8478599999999998</v>
      </c>
      <c r="H590" s="429">
        <v>5.8478599999999998</v>
      </c>
      <c r="I590" s="429">
        <v>5.8478599999999998</v>
      </c>
      <c r="J590" s="429">
        <v>5.8478599999999998</v>
      </c>
      <c r="K590" s="429">
        <v>5.8478599999999998</v>
      </c>
      <c r="L590" s="429">
        <v>5.8478599999999998</v>
      </c>
      <c r="M590" s="429">
        <v>5.8478599999999998</v>
      </c>
      <c r="N590" s="429">
        <v>5.8478599999999998</v>
      </c>
      <c r="O590" s="429">
        <v>5.8478599999999998</v>
      </c>
      <c r="P590" s="429">
        <v>5.8478599999999998</v>
      </c>
      <c r="Q590" s="429">
        <v>5.8478599999999998</v>
      </c>
      <c r="R590" s="429">
        <v>5.8478599999999998</v>
      </c>
      <c r="T590" s="429">
        <f t="shared" si="67"/>
        <v>5.8478599999999981</v>
      </c>
    </row>
    <row r="591" spans="1:20">
      <c r="A591" s="429" t="str">
        <f t="shared" si="64"/>
        <v>KU</v>
      </c>
      <c r="B591" s="429" t="str">
        <f t="shared" si="65"/>
        <v>KY</v>
      </c>
      <c r="C591" s="429" t="str">
        <f t="shared" si="66"/>
        <v>352</v>
      </c>
      <c r="D591" s="430" t="s">
        <v>1761</v>
      </c>
      <c r="E591" s="428" t="str">
        <f t="shared" si="68"/>
        <v/>
      </c>
      <c r="F591" s="429">
        <v>38.295990000000003</v>
      </c>
      <c r="G591" s="429">
        <v>38.295990000000003</v>
      </c>
      <c r="H591" s="429">
        <v>38.295990000000003</v>
      </c>
      <c r="I591" s="429">
        <v>38.295990000000003</v>
      </c>
      <c r="J591" s="429">
        <v>38.295990000000003</v>
      </c>
      <c r="K591" s="429">
        <v>38.295990000000003</v>
      </c>
      <c r="L591" s="429">
        <v>38.295990000000003</v>
      </c>
      <c r="M591" s="429">
        <v>38.295990000000003</v>
      </c>
      <c r="N591" s="429">
        <v>38.295990000000003</v>
      </c>
      <c r="O591" s="429">
        <v>38.295990000000003</v>
      </c>
      <c r="P591" s="429">
        <v>38.295990000000003</v>
      </c>
      <c r="Q591" s="429">
        <v>38.295990000000003</v>
      </c>
      <c r="R591" s="429">
        <v>38.295990000000003</v>
      </c>
      <c r="T591" s="429">
        <f t="shared" si="67"/>
        <v>38.29599000000001</v>
      </c>
    </row>
    <row r="592" spans="1:20">
      <c r="A592" s="429" t="str">
        <f t="shared" si="64"/>
        <v>KU</v>
      </c>
      <c r="B592" s="429" t="str">
        <f t="shared" si="65"/>
        <v>VA</v>
      </c>
      <c r="C592" s="429" t="str">
        <f t="shared" si="66"/>
        <v>352</v>
      </c>
      <c r="D592" s="430" t="s">
        <v>1762</v>
      </c>
      <c r="E592" s="428" t="str">
        <f t="shared" si="68"/>
        <v/>
      </c>
      <c r="F592" s="429">
        <v>3.0000000000000001E-3</v>
      </c>
      <c r="G592" s="429">
        <v>3.0000000000000001E-3</v>
      </c>
      <c r="H592" s="429">
        <v>3.0000000000000001E-3</v>
      </c>
      <c r="I592" s="429">
        <v>3.0000000000000001E-3</v>
      </c>
      <c r="J592" s="429">
        <v>3.0000000000000001E-3</v>
      </c>
      <c r="K592" s="429">
        <v>3.0000000000000001E-3</v>
      </c>
      <c r="L592" s="429">
        <v>3.0000000000000001E-3</v>
      </c>
      <c r="M592" s="429">
        <v>3.0000000000000001E-3</v>
      </c>
      <c r="N592" s="429">
        <v>3.0000000000000001E-3</v>
      </c>
      <c r="O592" s="429">
        <v>3.0000000000000001E-3</v>
      </c>
      <c r="P592" s="429">
        <v>3.0000000000000001E-3</v>
      </c>
      <c r="Q592" s="429">
        <v>3.0000000000000001E-3</v>
      </c>
      <c r="R592" s="429">
        <v>3.0000000000000001E-3</v>
      </c>
      <c r="T592" s="429">
        <f t="shared" si="67"/>
        <v>3.0000000000000001E-3</v>
      </c>
    </row>
    <row r="593" spans="1:20">
      <c r="A593" s="429" t="str">
        <f t="shared" si="64"/>
        <v>KU</v>
      </c>
      <c r="B593" s="429" t="str">
        <f t="shared" si="65"/>
        <v>KY</v>
      </c>
      <c r="C593" s="429" t="str">
        <f t="shared" si="66"/>
        <v>353</v>
      </c>
      <c r="D593" s="430" t="s">
        <v>1763</v>
      </c>
      <c r="E593" s="428" t="str">
        <f t="shared" si="68"/>
        <v/>
      </c>
      <c r="F593" s="429">
        <v>482.69191999999998</v>
      </c>
      <c r="G593" s="429">
        <v>482.69191999999998</v>
      </c>
      <c r="H593" s="429">
        <v>482.69191999999998</v>
      </c>
      <c r="I593" s="429">
        <v>482.69191999999998</v>
      </c>
      <c r="J593" s="429">
        <v>482.69191999999998</v>
      </c>
      <c r="K593" s="429">
        <v>482.69191999999998</v>
      </c>
      <c r="L593" s="429">
        <v>482.69191999999998</v>
      </c>
      <c r="M593" s="429">
        <v>482.69191999999998</v>
      </c>
      <c r="N593" s="429">
        <v>482.69191999999998</v>
      </c>
      <c r="O593" s="429">
        <v>482.69191999999998</v>
      </c>
      <c r="P593" s="429">
        <v>482.69191999999998</v>
      </c>
      <c r="Q593" s="429">
        <v>482.69191999999998</v>
      </c>
      <c r="R593" s="429">
        <v>482.69191999999998</v>
      </c>
      <c r="T593" s="429">
        <f t="shared" si="67"/>
        <v>482.69192000000015</v>
      </c>
    </row>
    <row r="594" spans="1:20">
      <c r="A594" s="429" t="str">
        <f t="shared" si="64"/>
        <v>KU</v>
      </c>
      <c r="B594" s="429" t="str">
        <f t="shared" si="65"/>
        <v>VA</v>
      </c>
      <c r="C594" s="429" t="str">
        <f t="shared" si="66"/>
        <v>353</v>
      </c>
      <c r="D594" s="430" t="s">
        <v>1765</v>
      </c>
      <c r="E594" s="428" t="str">
        <f t="shared" si="68"/>
        <v/>
      </c>
      <c r="F594" s="429">
        <v>1.571</v>
      </c>
      <c r="G594" s="429">
        <v>1.571</v>
      </c>
      <c r="H594" s="429">
        <v>1.571</v>
      </c>
      <c r="I594" s="429">
        <v>1.571</v>
      </c>
      <c r="J594" s="429">
        <v>1.571</v>
      </c>
      <c r="K594" s="429">
        <v>1.571</v>
      </c>
      <c r="L594" s="429">
        <v>1.571</v>
      </c>
      <c r="M594" s="429">
        <v>1.571</v>
      </c>
      <c r="N594" s="429">
        <v>1.571</v>
      </c>
      <c r="O594" s="429">
        <v>1.571</v>
      </c>
      <c r="P594" s="429">
        <v>1.571</v>
      </c>
      <c r="Q594" s="429">
        <v>1.571</v>
      </c>
      <c r="R594" s="429">
        <v>1.571</v>
      </c>
      <c r="T594" s="429">
        <f t="shared" si="67"/>
        <v>1.5710000000000002</v>
      </c>
    </row>
    <row r="595" spans="1:20">
      <c r="A595" s="429" t="str">
        <f t="shared" si="64"/>
        <v>KU</v>
      </c>
      <c r="B595" s="429" t="str">
        <f t="shared" si="65"/>
        <v>KY</v>
      </c>
      <c r="C595" s="429" t="str">
        <f t="shared" si="66"/>
        <v>354</v>
      </c>
      <c r="D595" s="430" t="s">
        <v>1766</v>
      </c>
      <c r="E595" s="428" t="str">
        <f t="shared" si="68"/>
        <v/>
      </c>
      <c r="F595" s="429">
        <v>120.31005999999999</v>
      </c>
      <c r="G595" s="429">
        <v>120.31005999999999</v>
      </c>
      <c r="H595" s="429">
        <v>120.31005999999999</v>
      </c>
      <c r="I595" s="429">
        <v>120.31005999999999</v>
      </c>
      <c r="J595" s="429">
        <v>120.31005999999999</v>
      </c>
      <c r="K595" s="429">
        <v>120.31005999999999</v>
      </c>
      <c r="L595" s="429">
        <v>120.31005999999999</v>
      </c>
      <c r="M595" s="429">
        <v>120.31005999999999</v>
      </c>
      <c r="N595" s="429">
        <v>120.31005999999999</v>
      </c>
      <c r="O595" s="429">
        <v>120.31005999999999</v>
      </c>
      <c r="P595" s="429">
        <v>120.31005999999999</v>
      </c>
      <c r="Q595" s="429">
        <v>120.31005999999999</v>
      </c>
      <c r="R595" s="429">
        <v>120.31005999999999</v>
      </c>
      <c r="T595" s="429">
        <f t="shared" si="67"/>
        <v>120.31006000000001</v>
      </c>
    </row>
    <row r="596" spans="1:20">
      <c r="A596" s="429" t="str">
        <f t="shared" si="64"/>
        <v>KU</v>
      </c>
      <c r="B596" s="429" t="str">
        <f t="shared" si="65"/>
        <v>KY</v>
      </c>
      <c r="C596" s="429" t="str">
        <f t="shared" si="66"/>
        <v>355</v>
      </c>
      <c r="D596" s="430" t="s">
        <v>1768</v>
      </c>
      <c r="E596" s="428" t="str">
        <f t="shared" si="68"/>
        <v/>
      </c>
      <c r="F596" s="429">
        <v>579.74188000000004</v>
      </c>
      <c r="G596" s="429">
        <v>579.74188000000004</v>
      </c>
      <c r="H596" s="429">
        <v>579.74188000000004</v>
      </c>
      <c r="I596" s="429">
        <v>579.74188000000004</v>
      </c>
      <c r="J596" s="429">
        <v>579.74188000000004</v>
      </c>
      <c r="K596" s="429">
        <v>579.74188000000004</v>
      </c>
      <c r="L596" s="429">
        <v>579.74188000000004</v>
      </c>
      <c r="M596" s="429">
        <v>579.74188000000004</v>
      </c>
      <c r="N596" s="429">
        <v>579.74188000000004</v>
      </c>
      <c r="O596" s="429">
        <v>579.74188000000004</v>
      </c>
      <c r="P596" s="429">
        <v>579.74188000000004</v>
      </c>
      <c r="Q596" s="429">
        <v>579.74188000000004</v>
      </c>
      <c r="R596" s="429">
        <v>579.74188000000004</v>
      </c>
      <c r="T596" s="429">
        <f t="shared" si="67"/>
        <v>579.74187999999981</v>
      </c>
    </row>
    <row r="597" spans="1:20">
      <c r="A597" s="429" t="str">
        <f t="shared" si="64"/>
        <v>KU</v>
      </c>
      <c r="B597" s="429" t="str">
        <f t="shared" si="65"/>
        <v>VA</v>
      </c>
      <c r="C597" s="429" t="str">
        <f t="shared" si="66"/>
        <v>355</v>
      </c>
      <c r="D597" s="430" t="s">
        <v>1770</v>
      </c>
      <c r="E597" s="428" t="str">
        <f t="shared" si="68"/>
        <v/>
      </c>
      <c r="F597" s="429">
        <v>0.64976999999999996</v>
      </c>
      <c r="G597" s="429">
        <v>0.64976999999999996</v>
      </c>
      <c r="H597" s="429">
        <v>0.64976999999999996</v>
      </c>
      <c r="I597" s="429">
        <v>0.64976999999999996</v>
      </c>
      <c r="J597" s="429">
        <v>0.64976999999999996</v>
      </c>
      <c r="K597" s="429">
        <v>0.64976999999999996</v>
      </c>
      <c r="L597" s="429">
        <v>0.64976999999999996</v>
      </c>
      <c r="M597" s="429">
        <v>0.64976999999999996</v>
      </c>
      <c r="N597" s="429">
        <v>0.64976999999999996</v>
      </c>
      <c r="O597" s="429">
        <v>0.64976999999999996</v>
      </c>
      <c r="P597" s="429">
        <v>0.64976999999999996</v>
      </c>
      <c r="Q597" s="429">
        <v>0.64976999999999996</v>
      </c>
      <c r="R597" s="429">
        <v>0.64976999999999996</v>
      </c>
      <c r="T597" s="429">
        <f t="shared" si="67"/>
        <v>0.64977000000000007</v>
      </c>
    </row>
    <row r="598" spans="1:20">
      <c r="A598" s="429" t="str">
        <f t="shared" si="64"/>
        <v>KU</v>
      </c>
      <c r="B598" s="429" t="str">
        <f t="shared" si="65"/>
        <v>KY</v>
      </c>
      <c r="C598" s="429" t="str">
        <f t="shared" si="66"/>
        <v>356</v>
      </c>
      <c r="D598" s="430" t="s">
        <v>1771</v>
      </c>
      <c r="E598" s="428" t="str">
        <f t="shared" si="68"/>
        <v/>
      </c>
      <c r="F598" s="429">
        <v>191.09273999999999</v>
      </c>
      <c r="G598" s="429">
        <v>191.09273999999999</v>
      </c>
      <c r="H598" s="429">
        <v>191.09273999999999</v>
      </c>
      <c r="I598" s="429">
        <v>191.09273999999999</v>
      </c>
      <c r="J598" s="429">
        <v>191.09273999999999</v>
      </c>
      <c r="K598" s="429">
        <v>191.09273999999999</v>
      </c>
      <c r="L598" s="429">
        <v>191.09273999999999</v>
      </c>
      <c r="M598" s="429">
        <v>191.09273999999999</v>
      </c>
      <c r="N598" s="429">
        <v>191.09273999999999</v>
      </c>
      <c r="O598" s="429">
        <v>191.09273999999999</v>
      </c>
      <c r="P598" s="429">
        <v>191.09273999999999</v>
      </c>
      <c r="Q598" s="429">
        <v>191.09273999999999</v>
      </c>
      <c r="R598" s="429">
        <v>191.09273999999999</v>
      </c>
      <c r="T598" s="429">
        <f t="shared" si="67"/>
        <v>191.09274000000002</v>
      </c>
    </row>
    <row r="599" spans="1:20">
      <c r="A599" s="429" t="str">
        <f t="shared" si="64"/>
        <v>KU</v>
      </c>
      <c r="B599" s="429" t="str">
        <f t="shared" si="65"/>
        <v>VA</v>
      </c>
      <c r="C599" s="429" t="str">
        <f t="shared" si="66"/>
        <v>356</v>
      </c>
      <c r="D599" s="430" t="s">
        <v>1773</v>
      </c>
      <c r="E599" s="428" t="str">
        <f t="shared" si="68"/>
        <v/>
      </c>
      <c r="F599" s="429">
        <v>2.0646100000000001</v>
      </c>
      <c r="G599" s="429">
        <v>2.0646100000000001</v>
      </c>
      <c r="H599" s="429">
        <v>2.0646100000000001</v>
      </c>
      <c r="I599" s="429">
        <v>2.0646100000000001</v>
      </c>
      <c r="J599" s="429">
        <v>2.0646100000000001</v>
      </c>
      <c r="K599" s="429">
        <v>2.0646100000000001</v>
      </c>
      <c r="L599" s="429">
        <v>2.0646100000000001</v>
      </c>
      <c r="M599" s="429">
        <v>2.0646100000000001</v>
      </c>
      <c r="N599" s="429">
        <v>2.0646100000000001</v>
      </c>
      <c r="O599" s="429">
        <v>2.0646100000000001</v>
      </c>
      <c r="P599" s="429">
        <v>2.0646100000000001</v>
      </c>
      <c r="Q599" s="429">
        <v>2.0646100000000001</v>
      </c>
      <c r="R599" s="429">
        <v>2.0646100000000001</v>
      </c>
      <c r="T599" s="429">
        <f t="shared" si="67"/>
        <v>2.0646100000000009</v>
      </c>
    </row>
    <row r="600" spans="1:20">
      <c r="A600" s="429" t="str">
        <f t="shared" si="64"/>
        <v>KU</v>
      </c>
      <c r="B600" s="429" t="str">
        <f t="shared" si="65"/>
        <v>KY</v>
      </c>
      <c r="C600" s="429" t="str">
        <f t="shared" si="66"/>
        <v>357</v>
      </c>
      <c r="D600" s="430" t="s">
        <v>1774</v>
      </c>
      <c r="E600" s="428" t="str">
        <f t="shared" si="68"/>
        <v/>
      </c>
      <c r="F600" s="429">
        <v>1.1220000000000001</v>
      </c>
      <c r="G600" s="429">
        <v>1.1220000000000001</v>
      </c>
      <c r="H600" s="429">
        <v>1.1220000000000001</v>
      </c>
      <c r="I600" s="429">
        <v>1.1220000000000001</v>
      </c>
      <c r="J600" s="429">
        <v>1.1220000000000001</v>
      </c>
      <c r="K600" s="429">
        <v>1.1220000000000001</v>
      </c>
      <c r="L600" s="429">
        <v>1.1220000000000001</v>
      </c>
      <c r="M600" s="429">
        <v>1.1220000000000001</v>
      </c>
      <c r="N600" s="429">
        <v>1.1220000000000001</v>
      </c>
      <c r="O600" s="429">
        <v>1.1220000000000001</v>
      </c>
      <c r="P600" s="429">
        <v>1.1220000000000001</v>
      </c>
      <c r="Q600" s="429">
        <v>1.1220000000000001</v>
      </c>
      <c r="R600" s="429">
        <v>1.1220000000000001</v>
      </c>
      <c r="T600" s="429">
        <f t="shared" si="67"/>
        <v>1.1220000000000001</v>
      </c>
    </row>
    <row r="601" spans="1:20">
      <c r="A601" s="429" t="str">
        <f t="shared" si="64"/>
        <v>KU</v>
      </c>
      <c r="B601" s="429" t="str">
        <f t="shared" si="65"/>
        <v>KY</v>
      </c>
      <c r="C601" s="429" t="str">
        <f t="shared" si="66"/>
        <v>358</v>
      </c>
      <c r="D601" s="430" t="s">
        <v>1775</v>
      </c>
      <c r="E601" s="428" t="str">
        <f t="shared" si="68"/>
        <v/>
      </c>
      <c r="F601" s="429">
        <v>1.1279999999999999</v>
      </c>
      <c r="G601" s="429">
        <v>1.1279999999999999</v>
      </c>
      <c r="H601" s="429">
        <v>1.1279999999999999</v>
      </c>
      <c r="I601" s="429">
        <v>1.1279999999999999</v>
      </c>
      <c r="J601" s="429">
        <v>1.1279999999999999</v>
      </c>
      <c r="K601" s="429">
        <v>1.1279999999999999</v>
      </c>
      <c r="L601" s="429">
        <v>1.1279999999999999</v>
      </c>
      <c r="M601" s="429">
        <v>1.1279999999999999</v>
      </c>
      <c r="N601" s="429">
        <v>1.1279999999999999</v>
      </c>
      <c r="O601" s="429">
        <v>1.1279999999999999</v>
      </c>
      <c r="P601" s="429">
        <v>1.1279999999999999</v>
      </c>
      <c r="Q601" s="429">
        <v>1.1279999999999999</v>
      </c>
      <c r="R601" s="429">
        <v>1.1279999999999999</v>
      </c>
      <c r="T601" s="429">
        <f t="shared" si="67"/>
        <v>1.1279999999999999</v>
      </c>
    </row>
    <row r="602" spans="1:20">
      <c r="E602" s="428" t="str">
        <f t="shared" si="68"/>
        <v/>
      </c>
      <c r="R602" s="723">
        <f>SUM(R572:R601)</f>
        <v>31092.434519999999</v>
      </c>
    </row>
    <row r="603" spans="1:20">
      <c r="D603" s="721" t="s">
        <v>2514</v>
      </c>
      <c r="E603" s="428" t="str">
        <f t="shared" si="68"/>
        <v/>
      </c>
    </row>
    <row r="604" spans="1:20">
      <c r="A604" s="429" t="str">
        <f t="shared" ref="A604:A607" si="69">MID($D604,4,2)</f>
        <v>KU</v>
      </c>
      <c r="B604" s="429" t="str">
        <f t="shared" ref="B604:B607" si="70">IF(MID($D604,12,2)="- ","KY",MID($D604,12,2))</f>
        <v>KY</v>
      </c>
      <c r="C604" s="429" t="str">
        <f t="shared" ref="C604:C607" si="71">MID($D604,8,3)</f>
        <v>312</v>
      </c>
      <c r="D604" s="430" t="s">
        <v>1733</v>
      </c>
      <c r="E604" s="428" t="str">
        <f t="shared" si="68"/>
        <v/>
      </c>
      <c r="F604" s="429">
        <v>32.226750000000003</v>
      </c>
      <c r="G604" s="429">
        <v>32.226750000000003</v>
      </c>
      <c r="H604" s="429">
        <v>32.226750000000003</v>
      </c>
      <c r="I604" s="429">
        <v>32.226750000000003</v>
      </c>
      <c r="J604" s="429">
        <v>32.226750000000003</v>
      </c>
      <c r="K604" s="429">
        <v>32.226750000000003</v>
      </c>
      <c r="L604" s="429">
        <v>32.226750000000003</v>
      </c>
      <c r="M604" s="429">
        <v>32.226750000000003</v>
      </c>
      <c r="N604" s="429">
        <v>32.226750000000003</v>
      </c>
      <c r="O604" s="429">
        <v>32.226750000000003</v>
      </c>
      <c r="P604" s="429">
        <v>32.226750000000003</v>
      </c>
      <c r="Q604" s="429">
        <v>32.226750000000003</v>
      </c>
      <c r="R604" s="429">
        <v>32.226750000000003</v>
      </c>
      <c r="S604" s="429">
        <f t="shared" ref="S604:S619" si="72">SUM(G604:R604)</f>
        <v>386.72099999999995</v>
      </c>
    </row>
    <row r="605" spans="1:20">
      <c r="A605" s="429" t="str">
        <f t="shared" si="69"/>
        <v>KU</v>
      </c>
      <c r="B605" s="429" t="str">
        <f t="shared" si="70"/>
        <v>KY</v>
      </c>
      <c r="C605" s="429" t="str">
        <f t="shared" si="71"/>
        <v>334</v>
      </c>
      <c r="D605" s="430" t="s">
        <v>1746</v>
      </c>
      <c r="E605" s="428" t="str">
        <f t="shared" si="68"/>
        <v/>
      </c>
      <c r="F605" s="429">
        <v>2.0833333333333298E-3</v>
      </c>
      <c r="G605" s="429">
        <v>2.0833333333333298E-3</v>
      </c>
      <c r="H605" s="429">
        <v>2.0833333333333298E-3</v>
      </c>
      <c r="I605" s="429">
        <v>2.0833333333333298E-3</v>
      </c>
      <c r="J605" s="429">
        <v>2.0833333333333298E-3</v>
      </c>
      <c r="K605" s="429">
        <v>2.0833333333333298E-3</v>
      </c>
      <c r="L605" s="429">
        <v>2.0833333333333298E-3</v>
      </c>
      <c r="M605" s="429">
        <v>2.0833333333333298E-3</v>
      </c>
      <c r="N605" s="429">
        <v>2.0833333333333298E-3</v>
      </c>
      <c r="O605" s="429">
        <v>2.0833333333333298E-3</v>
      </c>
      <c r="P605" s="429">
        <v>2.0833333333333298E-3</v>
      </c>
      <c r="Q605" s="429">
        <v>2.0833333333333298E-3</v>
      </c>
      <c r="R605" s="429">
        <v>2.0833333333333298E-3</v>
      </c>
      <c r="S605" s="429">
        <f t="shared" si="72"/>
        <v>2.4999999999999956E-2</v>
      </c>
    </row>
    <row r="606" spans="1:20">
      <c r="A606" s="429" t="str">
        <f t="shared" si="69"/>
        <v>KU</v>
      </c>
      <c r="B606" s="429" t="str">
        <f t="shared" si="70"/>
        <v>KY</v>
      </c>
      <c r="C606" s="429" t="str">
        <f t="shared" si="71"/>
        <v>342</v>
      </c>
      <c r="D606" s="430" t="s">
        <v>1752</v>
      </c>
      <c r="E606" s="428" t="str">
        <f t="shared" si="68"/>
        <v/>
      </c>
      <c r="F606" s="429">
        <v>7.8333333333333293E-3</v>
      </c>
      <c r="G606" s="429">
        <v>7.8333333333333293E-3</v>
      </c>
      <c r="H606" s="429">
        <v>7.8333333333333293E-3</v>
      </c>
      <c r="I606" s="429">
        <v>7.8333333333333293E-3</v>
      </c>
      <c r="J606" s="429">
        <v>7.8333333333333293E-3</v>
      </c>
      <c r="K606" s="429">
        <v>7.8333333333333293E-3</v>
      </c>
      <c r="L606" s="429">
        <v>7.8333333333333293E-3</v>
      </c>
      <c r="M606" s="429">
        <v>7.8333333333333293E-3</v>
      </c>
      <c r="N606" s="429">
        <v>7.8333333333333293E-3</v>
      </c>
      <c r="O606" s="429">
        <v>7.8333333333333293E-3</v>
      </c>
      <c r="P606" s="429">
        <v>7.8333333333333293E-3</v>
      </c>
      <c r="Q606" s="429">
        <v>7.8333333333333293E-3</v>
      </c>
      <c r="R606" s="429">
        <v>7.8333333333333293E-3</v>
      </c>
      <c r="S606" s="429">
        <f t="shared" si="72"/>
        <v>9.3999999999999959E-2</v>
      </c>
    </row>
    <row r="607" spans="1:20">
      <c r="A607" s="429" t="str">
        <f t="shared" si="69"/>
        <v>KU</v>
      </c>
      <c r="B607" s="429" t="str">
        <f t="shared" si="70"/>
        <v>KY</v>
      </c>
      <c r="C607" s="429" t="str">
        <f t="shared" si="71"/>
        <v>353</v>
      </c>
      <c r="D607" s="430" t="s">
        <v>1763</v>
      </c>
      <c r="E607" s="428" t="str">
        <f t="shared" si="68"/>
        <v/>
      </c>
      <c r="F607" s="429">
        <v>5.2703333333333298</v>
      </c>
      <c r="G607" s="429">
        <v>5.2703333333333298</v>
      </c>
      <c r="H607" s="429">
        <v>5.2703333333333298</v>
      </c>
      <c r="I607" s="429">
        <v>5.2703333333333298</v>
      </c>
      <c r="J607" s="429">
        <v>5.2703333333333298</v>
      </c>
      <c r="K607" s="429">
        <v>5.2703333333333298</v>
      </c>
      <c r="L607" s="429">
        <v>5.2703333333333298</v>
      </c>
      <c r="M607" s="429">
        <v>5.2703333333333298</v>
      </c>
      <c r="N607" s="429">
        <v>5.2703333333333298</v>
      </c>
      <c r="O607" s="429">
        <v>5.2703333333333298</v>
      </c>
      <c r="P607" s="429">
        <v>5.2703333333333298</v>
      </c>
      <c r="Q607" s="429">
        <v>5.2703333333333298</v>
      </c>
      <c r="R607" s="429">
        <v>5.2703333333333298</v>
      </c>
      <c r="S607" s="429">
        <f t="shared" si="72"/>
        <v>63.243999999999943</v>
      </c>
    </row>
    <row r="608" spans="1:20">
      <c r="D608" s="430" t="s">
        <v>1829</v>
      </c>
      <c r="E608" s="428" t="str">
        <f t="shared" si="68"/>
        <v/>
      </c>
      <c r="F608" s="429">
        <f t="shared" ref="F608:R608" si="73">SUM(F604:F607)</f>
        <v>37.506999999999991</v>
      </c>
      <c r="G608" s="429">
        <f t="shared" si="73"/>
        <v>37.506999999999991</v>
      </c>
      <c r="H608" s="429">
        <f t="shared" si="73"/>
        <v>37.506999999999991</v>
      </c>
      <c r="I608" s="429">
        <f t="shared" si="73"/>
        <v>37.506999999999991</v>
      </c>
      <c r="J608" s="429">
        <f t="shared" si="73"/>
        <v>37.506999999999991</v>
      </c>
      <c r="K608" s="429">
        <f t="shared" si="73"/>
        <v>37.506999999999991</v>
      </c>
      <c r="L608" s="429">
        <f t="shared" si="73"/>
        <v>37.506999999999991</v>
      </c>
      <c r="M608" s="429">
        <f t="shared" si="73"/>
        <v>37.506999999999991</v>
      </c>
      <c r="N608" s="429">
        <f t="shared" si="73"/>
        <v>37.506999999999991</v>
      </c>
      <c r="O608" s="429">
        <f t="shared" si="73"/>
        <v>37.506999999999991</v>
      </c>
      <c r="P608" s="429">
        <f t="shared" si="73"/>
        <v>37.506999999999991</v>
      </c>
      <c r="Q608" s="429">
        <f t="shared" si="73"/>
        <v>37.506999999999991</v>
      </c>
      <c r="R608" s="429">
        <f t="shared" si="73"/>
        <v>37.506999999999991</v>
      </c>
      <c r="S608" s="429">
        <f t="shared" si="72"/>
        <v>450.084</v>
      </c>
    </row>
    <row r="609" spans="1:20">
      <c r="E609" s="428" t="str">
        <f t="shared" si="68"/>
        <v/>
      </c>
      <c r="S609" s="429">
        <f t="shared" si="72"/>
        <v>0</v>
      </c>
    </row>
    <row r="610" spans="1:20">
      <c r="D610" s="721" t="s">
        <v>2515</v>
      </c>
      <c r="E610" s="428" t="str">
        <f t="shared" si="68"/>
        <v/>
      </c>
      <c r="S610" s="429">
        <f t="shared" si="72"/>
        <v>0</v>
      </c>
    </row>
    <row r="611" spans="1:20">
      <c r="A611" s="429" t="str">
        <f t="shared" ref="A611:A618" si="74">MID($D611,4,2)</f>
        <v>KU</v>
      </c>
      <c r="B611" s="429" t="str">
        <f t="shared" ref="B611:B618" si="75">IF(MID($D611,12,2)="- ","KY",MID($D611,12,2))</f>
        <v>KY</v>
      </c>
      <c r="C611" s="429" t="str">
        <f t="shared" ref="C611:C618" si="76">MID($D611,8,3)</f>
        <v>311</v>
      </c>
      <c r="D611" s="430" t="s">
        <v>2194</v>
      </c>
      <c r="E611" s="428" t="str">
        <f t="shared" si="68"/>
        <v>ECR</v>
      </c>
      <c r="F611" s="429">
        <v>0.06</v>
      </c>
      <c r="G611" s="429">
        <v>0.06</v>
      </c>
      <c r="H611" s="429">
        <v>0.06</v>
      </c>
      <c r="I611" s="429">
        <v>0.06</v>
      </c>
      <c r="J611" s="429">
        <v>0.06</v>
      </c>
      <c r="K611" s="429">
        <v>0.06</v>
      </c>
      <c r="L611" s="429">
        <v>0.06</v>
      </c>
      <c r="M611" s="429">
        <v>0.06</v>
      </c>
      <c r="N611" s="429">
        <v>0.06</v>
      </c>
      <c r="O611" s="429">
        <v>0.06</v>
      </c>
      <c r="P611" s="429">
        <v>0.06</v>
      </c>
      <c r="Q611" s="429">
        <v>0.06</v>
      </c>
      <c r="R611" s="429">
        <v>0.06</v>
      </c>
      <c r="S611" s="429">
        <f t="shared" si="72"/>
        <v>0.7200000000000002</v>
      </c>
    </row>
    <row r="612" spans="1:20">
      <c r="A612" s="429" t="str">
        <f t="shared" si="74"/>
        <v>KU</v>
      </c>
      <c r="B612" s="429" t="str">
        <f t="shared" si="75"/>
        <v>KY</v>
      </c>
      <c r="C612" s="429" t="str">
        <f t="shared" si="76"/>
        <v>312</v>
      </c>
      <c r="D612" s="430" t="s">
        <v>1733</v>
      </c>
      <c r="E612" s="428" t="str">
        <f t="shared" si="68"/>
        <v/>
      </c>
      <c r="F612" s="429">
        <v>51.9151666666667</v>
      </c>
      <c r="G612" s="429">
        <v>51.9151666666667</v>
      </c>
      <c r="H612" s="429">
        <v>51.9151666666667</v>
      </c>
      <c r="I612" s="429">
        <v>51.9151666666667</v>
      </c>
      <c r="J612" s="429">
        <v>51.9151666666667</v>
      </c>
      <c r="K612" s="429">
        <v>51.9151666666667</v>
      </c>
      <c r="L612" s="429">
        <v>51.9151666666667</v>
      </c>
      <c r="M612" s="429">
        <v>51.9151666666667</v>
      </c>
      <c r="N612" s="429">
        <v>51.9151666666667</v>
      </c>
      <c r="O612" s="429">
        <v>51.9151666666667</v>
      </c>
      <c r="P612" s="429">
        <v>51.9151666666667</v>
      </c>
      <c r="Q612" s="429">
        <v>51.9151666666667</v>
      </c>
      <c r="R612" s="429">
        <v>51.9151666666667</v>
      </c>
      <c r="S612" s="429">
        <f t="shared" si="72"/>
        <v>622.98200000000043</v>
      </c>
    </row>
    <row r="613" spans="1:20">
      <c r="A613" s="429" t="str">
        <f t="shared" si="74"/>
        <v>KU</v>
      </c>
      <c r="B613" s="429" t="str">
        <f t="shared" si="75"/>
        <v>KY</v>
      </c>
      <c r="C613" s="429" t="str">
        <f t="shared" si="76"/>
        <v>312</v>
      </c>
      <c r="D613" s="430" t="s">
        <v>1734</v>
      </c>
      <c r="E613" s="428" t="str">
        <f t="shared" si="68"/>
        <v>ECR</v>
      </c>
      <c r="F613" s="429">
        <v>0.118333333333333</v>
      </c>
      <c r="G613" s="429">
        <v>0.118333333333333</v>
      </c>
      <c r="H613" s="429">
        <v>0.118333333333333</v>
      </c>
      <c r="I613" s="429">
        <v>0.118333333333333</v>
      </c>
      <c r="J613" s="429">
        <v>0.118333333333333</v>
      </c>
      <c r="K613" s="429">
        <v>0.118333333333333</v>
      </c>
      <c r="L613" s="429">
        <v>0.118333333333333</v>
      </c>
      <c r="M613" s="429">
        <v>0.118333333333333</v>
      </c>
      <c r="N613" s="429">
        <v>0.118333333333333</v>
      </c>
      <c r="O613" s="429">
        <v>0.118333333333333</v>
      </c>
      <c r="P613" s="429">
        <v>0.118333333333333</v>
      </c>
      <c r="Q613" s="429">
        <v>0.118333333333333</v>
      </c>
      <c r="R613" s="429">
        <v>0.118333333333333</v>
      </c>
      <c r="S613" s="429">
        <f t="shared" si="72"/>
        <v>1.4199999999999957</v>
      </c>
    </row>
    <row r="614" spans="1:20">
      <c r="A614" s="429" t="str">
        <f t="shared" si="74"/>
        <v>KU</v>
      </c>
      <c r="B614" s="429" t="str">
        <f t="shared" si="75"/>
        <v>KY</v>
      </c>
      <c r="C614" s="429" t="str">
        <f t="shared" si="76"/>
        <v>312</v>
      </c>
      <c r="D614" s="430" t="s">
        <v>1735</v>
      </c>
      <c r="F614" s="429">
        <v>5.3594999999999997</v>
      </c>
      <c r="G614" s="429">
        <v>5.3594999999999997</v>
      </c>
      <c r="H614" s="429">
        <v>5.3594999999999997</v>
      </c>
      <c r="I614" s="429">
        <v>5.3594999999999997</v>
      </c>
      <c r="J614" s="429">
        <v>5.3594999999999997</v>
      </c>
      <c r="K614" s="429">
        <v>5.3594999999999997</v>
      </c>
      <c r="L614" s="429">
        <v>5.3594999999999997</v>
      </c>
      <c r="M614" s="429">
        <v>5.3594999999999997</v>
      </c>
      <c r="N614" s="429">
        <v>5.3594999999999997</v>
      </c>
      <c r="O614" s="429">
        <v>5.3594999999999997</v>
      </c>
      <c r="P614" s="429">
        <v>5.3594999999999997</v>
      </c>
      <c r="Q614" s="429">
        <v>5.3594999999999997</v>
      </c>
      <c r="R614" s="429">
        <v>5.3594999999999997</v>
      </c>
      <c r="S614" s="429">
        <f t="shared" si="72"/>
        <v>64.313999999999979</v>
      </c>
    </row>
    <row r="615" spans="1:20">
      <c r="A615" s="429" t="str">
        <f t="shared" si="74"/>
        <v>KU</v>
      </c>
      <c r="B615" s="429" t="str">
        <f t="shared" si="75"/>
        <v>KY</v>
      </c>
      <c r="C615" s="429" t="str">
        <f t="shared" si="76"/>
        <v>315</v>
      </c>
      <c r="D615" s="430" t="s">
        <v>1739</v>
      </c>
      <c r="F615" s="429">
        <v>6.7916666666666695E-2</v>
      </c>
      <c r="G615" s="429">
        <v>6.7916666666666695E-2</v>
      </c>
      <c r="H615" s="429">
        <v>6.7916666666666695E-2</v>
      </c>
      <c r="I615" s="429">
        <v>6.7916666666666695E-2</v>
      </c>
      <c r="J615" s="429">
        <v>6.7916666666666695E-2</v>
      </c>
      <c r="K615" s="429">
        <v>6.7916666666666695E-2</v>
      </c>
      <c r="L615" s="429">
        <v>6.7916666666666695E-2</v>
      </c>
      <c r="M615" s="429">
        <v>6.7916666666666695E-2</v>
      </c>
      <c r="N615" s="429">
        <v>6.7916666666666695E-2</v>
      </c>
      <c r="O615" s="429">
        <v>6.7916666666666695E-2</v>
      </c>
      <c r="P615" s="429">
        <v>6.7916666666666695E-2</v>
      </c>
      <c r="Q615" s="429">
        <v>6.7916666666666695E-2</v>
      </c>
      <c r="R615" s="429">
        <v>6.7916666666666695E-2</v>
      </c>
      <c r="S615" s="429">
        <f t="shared" si="72"/>
        <v>0.8150000000000005</v>
      </c>
    </row>
    <row r="616" spans="1:20">
      <c r="A616" s="429" t="str">
        <f t="shared" si="74"/>
        <v>KU</v>
      </c>
      <c r="B616" s="429" t="str">
        <f t="shared" si="75"/>
        <v>KY</v>
      </c>
      <c r="C616" s="429" t="str">
        <f t="shared" si="76"/>
        <v>334</v>
      </c>
      <c r="D616" s="430" t="s">
        <v>1746</v>
      </c>
      <c r="F616" s="429">
        <v>0.26774999999999999</v>
      </c>
      <c r="G616" s="429">
        <v>0.26774999999999999</v>
      </c>
      <c r="H616" s="429">
        <v>0.26774999999999999</v>
      </c>
      <c r="I616" s="429">
        <v>0.26774999999999999</v>
      </c>
      <c r="J616" s="429">
        <v>0.26774999999999999</v>
      </c>
      <c r="K616" s="429">
        <v>0.26774999999999999</v>
      </c>
      <c r="L616" s="429">
        <v>0.26774999999999999</v>
      </c>
      <c r="M616" s="429">
        <v>0.26774999999999999</v>
      </c>
      <c r="N616" s="429">
        <v>0.26774999999999999</v>
      </c>
      <c r="O616" s="429">
        <v>0.26774999999999999</v>
      </c>
      <c r="P616" s="429">
        <v>0.26774999999999999</v>
      </c>
      <c r="Q616" s="429">
        <v>0.26774999999999999</v>
      </c>
      <c r="R616" s="429">
        <v>0.26774999999999999</v>
      </c>
      <c r="S616" s="429">
        <f t="shared" si="72"/>
        <v>3.2129999999999996</v>
      </c>
    </row>
    <row r="617" spans="1:20">
      <c r="A617" s="429" t="str">
        <f t="shared" si="74"/>
        <v>KU</v>
      </c>
      <c r="B617" s="429" t="str">
        <f t="shared" si="75"/>
        <v>KY</v>
      </c>
      <c r="C617" s="429" t="str">
        <f t="shared" si="76"/>
        <v>342</v>
      </c>
      <c r="D617" s="430" t="s">
        <v>1752</v>
      </c>
      <c r="F617" s="429">
        <v>15.355499999999999</v>
      </c>
      <c r="G617" s="429">
        <v>15.355499999999999</v>
      </c>
      <c r="H617" s="429">
        <v>15.355499999999999</v>
      </c>
      <c r="I617" s="429">
        <v>15.355499999999999</v>
      </c>
      <c r="J617" s="429">
        <v>15.355499999999999</v>
      </c>
      <c r="K617" s="429">
        <v>15.355499999999999</v>
      </c>
      <c r="L617" s="429">
        <v>15.355499999999999</v>
      </c>
      <c r="M617" s="429">
        <v>15.355499999999999</v>
      </c>
      <c r="N617" s="429">
        <v>15.355499999999999</v>
      </c>
      <c r="O617" s="429">
        <v>15.355499999999999</v>
      </c>
      <c r="P617" s="429">
        <v>15.355499999999999</v>
      </c>
      <c r="Q617" s="429">
        <v>15.355499999999999</v>
      </c>
      <c r="R617" s="429">
        <v>15.355499999999999</v>
      </c>
      <c r="S617" s="429">
        <f t="shared" si="72"/>
        <v>184.26600000000005</v>
      </c>
    </row>
    <row r="618" spans="1:20">
      <c r="A618" s="429" t="str">
        <f t="shared" si="74"/>
        <v>KU</v>
      </c>
      <c r="B618" s="429" t="str">
        <f t="shared" si="75"/>
        <v>KY</v>
      </c>
      <c r="C618" s="429" t="str">
        <f t="shared" si="76"/>
        <v>353</v>
      </c>
      <c r="D618" s="430" t="s">
        <v>1763</v>
      </c>
      <c r="E618" s="428" t="str">
        <f t="shared" si="68"/>
        <v/>
      </c>
      <c r="F618" s="429">
        <v>2.6709999999999998</v>
      </c>
      <c r="G618" s="429">
        <v>2.6709999999999998</v>
      </c>
      <c r="H618" s="429">
        <v>2.6709999999999998</v>
      </c>
      <c r="I618" s="429">
        <v>2.6709999999999998</v>
      </c>
      <c r="J618" s="429">
        <v>2.6709999999999998</v>
      </c>
      <c r="K618" s="429">
        <v>2.6709999999999998</v>
      </c>
      <c r="L618" s="429">
        <v>2.6709999999999998</v>
      </c>
      <c r="M618" s="429">
        <v>2.6709999999999998</v>
      </c>
      <c r="N618" s="429">
        <v>2.6709999999999998</v>
      </c>
      <c r="O618" s="429">
        <v>2.6709999999999998</v>
      </c>
      <c r="P618" s="429">
        <v>2.6709999999999998</v>
      </c>
      <c r="Q618" s="429">
        <v>2.6709999999999998</v>
      </c>
      <c r="R618" s="429">
        <v>2.6709999999999998</v>
      </c>
      <c r="S618" s="429">
        <f t="shared" si="72"/>
        <v>32.052</v>
      </c>
    </row>
    <row r="619" spans="1:20">
      <c r="D619" s="430" t="s">
        <v>1829</v>
      </c>
      <c r="E619" s="428" t="str">
        <f t="shared" si="68"/>
        <v/>
      </c>
      <c r="F619" s="429">
        <f t="shared" ref="F619:R619" si="77">SUM(F611:F618)</f>
        <v>75.815166666666713</v>
      </c>
      <c r="G619" s="429">
        <f t="shared" si="77"/>
        <v>75.815166666666713</v>
      </c>
      <c r="H619" s="429">
        <f t="shared" si="77"/>
        <v>75.815166666666713</v>
      </c>
      <c r="I619" s="429">
        <f t="shared" si="77"/>
        <v>75.815166666666713</v>
      </c>
      <c r="J619" s="429">
        <f t="shared" si="77"/>
        <v>75.815166666666713</v>
      </c>
      <c r="K619" s="429">
        <f t="shared" si="77"/>
        <v>75.815166666666713</v>
      </c>
      <c r="L619" s="429">
        <f t="shared" si="77"/>
        <v>75.815166666666713</v>
      </c>
      <c r="M619" s="429">
        <f t="shared" si="77"/>
        <v>75.815166666666713</v>
      </c>
      <c r="N619" s="429">
        <f t="shared" si="77"/>
        <v>75.815166666666713</v>
      </c>
      <c r="O619" s="429">
        <f t="shared" si="77"/>
        <v>75.815166666666713</v>
      </c>
      <c r="P619" s="429">
        <f t="shared" si="77"/>
        <v>75.815166666666713</v>
      </c>
      <c r="Q619" s="429">
        <f t="shared" si="77"/>
        <v>75.815166666666713</v>
      </c>
      <c r="R619" s="429">
        <f t="shared" si="77"/>
        <v>75.815166666666713</v>
      </c>
      <c r="S619" s="429">
        <f t="shared" si="72"/>
        <v>909.78200000000072</v>
      </c>
    </row>
    <row r="620" spans="1:20">
      <c r="E620" s="428" t="str">
        <f t="shared" si="68"/>
        <v/>
      </c>
    </row>
    <row r="621" spans="1:20">
      <c r="D621" s="721" t="s">
        <v>2516</v>
      </c>
      <c r="E621" s="428" t="str">
        <f t="shared" si="68"/>
        <v/>
      </c>
    </row>
    <row r="622" spans="1:20">
      <c r="A622" s="429" t="str">
        <f t="shared" ref="A622:A625" si="78">MID($D622,4,2)</f>
        <v>KU</v>
      </c>
      <c r="B622" s="429" t="str">
        <f t="shared" ref="B622:B625" si="79">IF(MID($D622,12,2)="- ","KY",MID($D622,12,2))</f>
        <v>KY</v>
      </c>
      <c r="C622" s="429" t="str">
        <f t="shared" ref="C622:C625" si="80">MID($D622,8,3)</f>
        <v>312</v>
      </c>
      <c r="D622" s="430" t="s">
        <v>1733</v>
      </c>
      <c r="E622" s="428" t="str">
        <f t="shared" si="68"/>
        <v/>
      </c>
      <c r="F622" s="429">
        <v>17815.230153333399</v>
      </c>
      <c r="G622" s="429">
        <v>17847.456903333401</v>
      </c>
      <c r="H622" s="429">
        <v>17879.683653333399</v>
      </c>
      <c r="I622" s="429">
        <v>17911.910403333401</v>
      </c>
      <c r="J622" s="429">
        <v>17944.137153333399</v>
      </c>
      <c r="K622" s="429">
        <v>17976.3639033334</v>
      </c>
      <c r="L622" s="429">
        <v>18008.590653333398</v>
      </c>
      <c r="M622" s="429">
        <v>18040.8174033334</v>
      </c>
      <c r="N622" s="429">
        <v>18073.044153333401</v>
      </c>
      <c r="O622" s="429">
        <v>18105.270903333399</v>
      </c>
      <c r="P622" s="429">
        <v>18137.497653333401</v>
      </c>
      <c r="Q622" s="429">
        <v>18169.724403333399</v>
      </c>
      <c r="R622" s="429">
        <v>18201.951153333401</v>
      </c>
      <c r="T622" s="429">
        <f t="shared" ref="T622:T637" si="81">SUM(F622:R622)/13</f>
        <v>18008.590653333405</v>
      </c>
    </row>
    <row r="623" spans="1:20">
      <c r="A623" s="429" t="str">
        <f t="shared" si="78"/>
        <v>KU</v>
      </c>
      <c r="B623" s="429" t="str">
        <f t="shared" si="79"/>
        <v>KY</v>
      </c>
      <c r="C623" s="429" t="str">
        <f t="shared" si="80"/>
        <v>334</v>
      </c>
      <c r="D623" s="430" t="s">
        <v>1746</v>
      </c>
      <c r="E623" s="428" t="str">
        <f t="shared" si="68"/>
        <v/>
      </c>
      <c r="F623" s="429">
        <v>3.4018333333333399</v>
      </c>
      <c r="G623" s="429">
        <v>3.40391666666667</v>
      </c>
      <c r="H623" s="429">
        <v>3.4060000000000099</v>
      </c>
      <c r="I623" s="429">
        <v>3.40808333333334</v>
      </c>
      <c r="J623" s="429">
        <v>3.4101666666666701</v>
      </c>
      <c r="K623" s="429">
        <v>3.41225000000001</v>
      </c>
      <c r="L623" s="429">
        <v>3.4143333333333401</v>
      </c>
      <c r="M623" s="429">
        <v>3.4164166666666702</v>
      </c>
      <c r="N623" s="429">
        <v>3.4185000000000101</v>
      </c>
      <c r="O623" s="429">
        <v>3.4205833333333402</v>
      </c>
      <c r="P623" s="429">
        <v>3.4226666666666699</v>
      </c>
      <c r="Q623" s="429">
        <v>3.4247500000000102</v>
      </c>
      <c r="R623" s="429">
        <v>3.4268333333333398</v>
      </c>
      <c r="T623" s="429">
        <f t="shared" si="81"/>
        <v>3.4143333333333405</v>
      </c>
    </row>
    <row r="624" spans="1:20">
      <c r="A624" s="429" t="str">
        <f t="shared" si="78"/>
        <v>KU</v>
      </c>
      <c r="B624" s="429" t="str">
        <f t="shared" si="79"/>
        <v>KY</v>
      </c>
      <c r="C624" s="429" t="str">
        <f t="shared" si="80"/>
        <v>342</v>
      </c>
      <c r="D624" s="430" t="s">
        <v>1752</v>
      </c>
      <c r="E624" s="428" t="str">
        <f t="shared" si="68"/>
        <v/>
      </c>
      <c r="F624" s="429">
        <v>1.7951566666666701</v>
      </c>
      <c r="G624" s="429">
        <v>1.8029900000000001</v>
      </c>
      <c r="H624" s="429">
        <v>1.8108233333333299</v>
      </c>
      <c r="I624" s="429">
        <v>1.8186566666666699</v>
      </c>
      <c r="J624" s="429">
        <v>1.8264899999999999</v>
      </c>
      <c r="K624" s="429">
        <v>1.83432333333333</v>
      </c>
      <c r="L624" s="429">
        <v>1.84215666666667</v>
      </c>
      <c r="M624" s="429">
        <v>1.84999</v>
      </c>
      <c r="N624" s="429">
        <v>1.8578233333333301</v>
      </c>
      <c r="O624" s="429">
        <v>1.8656566666666701</v>
      </c>
      <c r="P624" s="429">
        <v>1.8734900000000001</v>
      </c>
      <c r="Q624" s="429">
        <v>1.8813233333333299</v>
      </c>
      <c r="R624" s="429">
        <v>1.8891566666666699</v>
      </c>
      <c r="T624" s="429">
        <f t="shared" si="81"/>
        <v>1.8421566666666669</v>
      </c>
    </row>
    <row r="625" spans="1:20">
      <c r="A625" s="429" t="str">
        <f t="shared" si="78"/>
        <v>KU</v>
      </c>
      <c r="B625" s="429" t="str">
        <f t="shared" si="79"/>
        <v>KY</v>
      </c>
      <c r="C625" s="429" t="str">
        <f t="shared" si="80"/>
        <v>353</v>
      </c>
      <c r="D625" s="430" t="s">
        <v>1763</v>
      </c>
      <c r="E625" s="428" t="str">
        <f t="shared" si="68"/>
        <v/>
      </c>
      <c r="F625" s="429">
        <v>2672.03501333333</v>
      </c>
      <c r="G625" s="429">
        <v>2677.3053466666702</v>
      </c>
      <c r="H625" s="429">
        <v>2682.5756799999999</v>
      </c>
      <c r="I625" s="429">
        <v>2687.8460133333301</v>
      </c>
      <c r="J625" s="429">
        <v>2693.1163466666699</v>
      </c>
      <c r="K625" s="429">
        <v>2698.3866800000001</v>
      </c>
      <c r="L625" s="429">
        <v>2703.6570133333298</v>
      </c>
      <c r="M625" s="429">
        <v>2708.92734666667</v>
      </c>
      <c r="N625" s="429">
        <v>2714.1976800000002</v>
      </c>
      <c r="O625" s="429">
        <v>2719.46801333333</v>
      </c>
      <c r="P625" s="429">
        <v>2724.7383466666702</v>
      </c>
      <c r="Q625" s="429">
        <v>2730.0086799999999</v>
      </c>
      <c r="R625" s="429">
        <v>2735.2790133333301</v>
      </c>
      <c r="T625" s="429">
        <f t="shared" si="81"/>
        <v>2703.657013333333</v>
      </c>
    </row>
    <row r="626" spans="1:20">
      <c r="D626" s="430" t="s">
        <v>1829</v>
      </c>
      <c r="E626" s="428" t="str">
        <f t="shared" si="68"/>
        <v/>
      </c>
      <c r="F626" s="429">
        <f t="shared" ref="F626:R626" si="82">SUM(F622:F625)</f>
        <v>20492.46215666673</v>
      </c>
      <c r="G626" s="429">
        <f t="shared" si="82"/>
        <v>20529.969156666739</v>
      </c>
      <c r="H626" s="429">
        <f t="shared" si="82"/>
        <v>20567.476156666729</v>
      </c>
      <c r="I626" s="429">
        <f t="shared" si="82"/>
        <v>20604.983156666727</v>
      </c>
      <c r="J626" s="429">
        <f t="shared" si="82"/>
        <v>20642.490156666736</v>
      </c>
      <c r="K626" s="429">
        <f t="shared" si="82"/>
        <v>20679.997156666734</v>
      </c>
      <c r="L626" s="429">
        <f t="shared" si="82"/>
        <v>20717.504156666728</v>
      </c>
      <c r="M626" s="429">
        <f t="shared" si="82"/>
        <v>20755.011156666736</v>
      </c>
      <c r="N626" s="429">
        <f t="shared" si="82"/>
        <v>20792.518156666734</v>
      </c>
      <c r="O626" s="429">
        <f t="shared" si="82"/>
        <v>20830.025156666728</v>
      </c>
      <c r="P626" s="429">
        <f t="shared" si="82"/>
        <v>20867.532156666737</v>
      </c>
      <c r="Q626" s="429">
        <f t="shared" si="82"/>
        <v>20905.039156666731</v>
      </c>
      <c r="R626" s="429">
        <f t="shared" si="82"/>
        <v>20942.546156666733</v>
      </c>
      <c r="T626" s="429">
        <f t="shared" si="81"/>
        <v>20717.504156666731</v>
      </c>
    </row>
    <row r="627" spans="1:20">
      <c r="E627" s="428" t="str">
        <f t="shared" si="68"/>
        <v/>
      </c>
      <c r="T627" s="429">
        <f t="shared" si="81"/>
        <v>0</v>
      </c>
    </row>
    <row r="628" spans="1:20">
      <c r="D628" s="721" t="s">
        <v>2517</v>
      </c>
      <c r="E628" s="428" t="str">
        <f t="shared" si="68"/>
        <v/>
      </c>
      <c r="T628" s="429">
        <f t="shared" si="81"/>
        <v>0</v>
      </c>
    </row>
    <row r="629" spans="1:20">
      <c r="A629" s="429" t="str">
        <f t="shared" ref="A629:A636" si="83">MID($D629,4,2)</f>
        <v>KU</v>
      </c>
      <c r="B629" s="429" t="str">
        <f t="shared" ref="B629:B636" si="84">IF(MID($D629,12,2)="- ","KY",MID($D629,12,2))</f>
        <v>KY</v>
      </c>
      <c r="C629" s="429" t="str">
        <f t="shared" ref="C629:C636" si="85">MID($D629,8,3)</f>
        <v>311</v>
      </c>
      <c r="D629" s="430" t="s">
        <v>2194</v>
      </c>
      <c r="E629" s="428" t="str">
        <f t="shared" si="68"/>
        <v>ECR</v>
      </c>
      <c r="F629" s="429">
        <v>1.5177499999999999</v>
      </c>
      <c r="G629" s="429">
        <v>1.57775</v>
      </c>
      <c r="H629" s="429">
        <v>1.63775</v>
      </c>
      <c r="I629" s="429">
        <v>1.6977500000000001</v>
      </c>
      <c r="J629" s="429">
        <v>1.7577499999999999</v>
      </c>
      <c r="K629" s="429">
        <v>1.81775</v>
      </c>
      <c r="L629" s="429">
        <v>1.87775</v>
      </c>
      <c r="M629" s="429">
        <v>1.9377500000000001</v>
      </c>
      <c r="N629" s="429">
        <v>1.9977499999999999</v>
      </c>
      <c r="O629" s="429">
        <v>2.05775</v>
      </c>
      <c r="P629" s="429">
        <v>2.11775</v>
      </c>
      <c r="Q629" s="429">
        <v>2.1777500000000001</v>
      </c>
      <c r="R629" s="429">
        <v>2.2377500000000001</v>
      </c>
      <c r="T629" s="429">
        <f t="shared" si="81"/>
        <v>1.87775</v>
      </c>
    </row>
    <row r="630" spans="1:20">
      <c r="A630" s="429" t="str">
        <f t="shared" si="83"/>
        <v>KU</v>
      </c>
      <c r="B630" s="429" t="str">
        <f t="shared" si="84"/>
        <v>KY</v>
      </c>
      <c r="C630" s="429" t="str">
        <f t="shared" si="85"/>
        <v>312</v>
      </c>
      <c r="D630" s="430" t="s">
        <v>1733</v>
      </c>
      <c r="E630" s="428" t="str">
        <f t="shared" si="68"/>
        <v/>
      </c>
      <c r="F630" s="429">
        <v>6851.6649233333401</v>
      </c>
      <c r="G630" s="429">
        <v>6903.5800900000004</v>
      </c>
      <c r="H630" s="429">
        <v>6955.4952566666698</v>
      </c>
      <c r="I630" s="429">
        <v>7007.4104233333401</v>
      </c>
      <c r="J630" s="429">
        <v>7059.3255900000004</v>
      </c>
      <c r="K630" s="429">
        <v>7111.2407566666698</v>
      </c>
      <c r="L630" s="429">
        <v>7163.1559233333401</v>
      </c>
      <c r="M630" s="429">
        <v>7215.0710900000004</v>
      </c>
      <c r="N630" s="429">
        <v>7266.9862566666698</v>
      </c>
      <c r="O630" s="429">
        <v>7318.9014233333401</v>
      </c>
      <c r="P630" s="429">
        <v>7370.8165900000004</v>
      </c>
      <c r="Q630" s="429">
        <v>7422.7317566666698</v>
      </c>
      <c r="R630" s="429">
        <v>7474.6469233333401</v>
      </c>
      <c r="T630" s="429">
        <f t="shared" si="81"/>
        <v>7163.1559233333373</v>
      </c>
    </row>
    <row r="631" spans="1:20">
      <c r="A631" s="429" t="str">
        <f t="shared" si="83"/>
        <v>KU</v>
      </c>
      <c r="B631" s="429" t="str">
        <f t="shared" si="84"/>
        <v>KY</v>
      </c>
      <c r="C631" s="429" t="str">
        <f t="shared" si="85"/>
        <v>312</v>
      </c>
      <c r="D631" s="430" t="s">
        <v>1734</v>
      </c>
      <c r="E631" s="428" t="str">
        <f t="shared" si="68"/>
        <v>ECR</v>
      </c>
      <c r="F631" s="429">
        <v>3.8643333333333301</v>
      </c>
      <c r="G631" s="429">
        <v>3.9826666666666699</v>
      </c>
      <c r="H631" s="429">
        <v>4.101</v>
      </c>
      <c r="I631" s="429">
        <v>4.2193333333333296</v>
      </c>
      <c r="J631" s="429">
        <v>4.3376666666666699</v>
      </c>
      <c r="K631" s="429">
        <v>4.4560000000000004</v>
      </c>
      <c r="L631" s="429">
        <v>4.57433333333333</v>
      </c>
      <c r="M631" s="429">
        <v>4.6926666666666703</v>
      </c>
      <c r="N631" s="429">
        <v>4.8109999999999999</v>
      </c>
      <c r="O631" s="429">
        <v>4.9293333333333296</v>
      </c>
      <c r="P631" s="429">
        <v>5.0476666666666699</v>
      </c>
      <c r="Q631" s="429">
        <v>5.1660000000000004</v>
      </c>
      <c r="R631" s="429">
        <v>5.28433333333333</v>
      </c>
      <c r="T631" s="429">
        <f t="shared" si="81"/>
        <v>4.5743333333333336</v>
      </c>
    </row>
    <row r="632" spans="1:20">
      <c r="A632" s="429" t="str">
        <f t="shared" si="83"/>
        <v>KU</v>
      </c>
      <c r="B632" s="429" t="str">
        <f t="shared" si="84"/>
        <v>KY</v>
      </c>
      <c r="C632" s="429" t="str">
        <f t="shared" si="85"/>
        <v>312</v>
      </c>
      <c r="D632" s="430" t="s">
        <v>1735</v>
      </c>
      <c r="F632" s="429">
        <v>206.128166666667</v>
      </c>
      <c r="G632" s="429">
        <v>211.487666666667</v>
      </c>
      <c r="H632" s="429">
        <v>216.84716666666699</v>
      </c>
      <c r="I632" s="429">
        <v>222.20666666666699</v>
      </c>
      <c r="J632" s="429">
        <v>227.56616666666699</v>
      </c>
      <c r="K632" s="429">
        <v>232.92566666666701</v>
      </c>
      <c r="L632" s="429">
        <v>238.28516666666701</v>
      </c>
      <c r="M632" s="429">
        <v>243.64466666666701</v>
      </c>
      <c r="N632" s="429">
        <v>249.004166666667</v>
      </c>
      <c r="O632" s="429">
        <v>254.363666666667</v>
      </c>
      <c r="P632" s="429">
        <v>259.723166666667</v>
      </c>
      <c r="Q632" s="429">
        <v>265.08266666666702</v>
      </c>
      <c r="R632" s="429">
        <v>270.44216666666699</v>
      </c>
      <c r="T632" s="429">
        <f t="shared" si="81"/>
        <v>238.28516666666704</v>
      </c>
    </row>
    <row r="633" spans="1:20">
      <c r="A633" s="429" t="str">
        <f t="shared" si="83"/>
        <v>KU</v>
      </c>
      <c r="B633" s="429" t="str">
        <f t="shared" si="84"/>
        <v>KY</v>
      </c>
      <c r="C633" s="429" t="str">
        <f t="shared" si="85"/>
        <v>315</v>
      </c>
      <c r="D633" s="430" t="s">
        <v>1739</v>
      </c>
      <c r="F633" s="429">
        <v>2.3035000000000001</v>
      </c>
      <c r="G633" s="429">
        <v>2.3714166666666698</v>
      </c>
      <c r="H633" s="429">
        <v>2.4393333333333298</v>
      </c>
      <c r="I633" s="429">
        <v>2.50725</v>
      </c>
      <c r="J633" s="429">
        <v>2.5751666666666702</v>
      </c>
      <c r="K633" s="429">
        <v>2.6430833333333301</v>
      </c>
      <c r="L633" s="429">
        <v>2.7109999999999999</v>
      </c>
      <c r="M633" s="429">
        <v>2.77891666666667</v>
      </c>
      <c r="N633" s="429">
        <v>2.84683333333333</v>
      </c>
      <c r="O633" s="429">
        <v>2.9147500000000002</v>
      </c>
      <c r="P633" s="429">
        <v>2.9826666666666699</v>
      </c>
      <c r="Q633" s="429">
        <v>3.0505833333333299</v>
      </c>
      <c r="R633" s="429">
        <v>3.1185</v>
      </c>
      <c r="T633" s="429">
        <f t="shared" si="81"/>
        <v>2.7110000000000003</v>
      </c>
    </row>
    <row r="634" spans="1:20">
      <c r="A634" s="429" t="str">
        <f t="shared" si="83"/>
        <v>KU</v>
      </c>
      <c r="B634" s="429" t="str">
        <f t="shared" si="84"/>
        <v>KY</v>
      </c>
      <c r="C634" s="429" t="str">
        <f t="shared" si="85"/>
        <v>334</v>
      </c>
      <c r="D634" s="430" t="s">
        <v>1746</v>
      </c>
      <c r="F634" s="429">
        <v>19.841999999999999</v>
      </c>
      <c r="G634" s="429">
        <v>20.109749999999998</v>
      </c>
      <c r="H634" s="429">
        <v>20.377500000000001</v>
      </c>
      <c r="I634" s="429">
        <v>20.645250000000001</v>
      </c>
      <c r="J634" s="429">
        <v>20.913</v>
      </c>
      <c r="K634" s="429">
        <v>21.18075</v>
      </c>
      <c r="L634" s="429">
        <v>21.448499999999999</v>
      </c>
      <c r="M634" s="429">
        <v>21.716249999999999</v>
      </c>
      <c r="N634" s="429">
        <v>21.984000000000002</v>
      </c>
      <c r="O634" s="429">
        <v>22.251750000000001</v>
      </c>
      <c r="P634" s="429">
        <v>22.519500000000001</v>
      </c>
      <c r="Q634" s="429">
        <v>22.78725</v>
      </c>
      <c r="R634" s="429">
        <v>23.055</v>
      </c>
      <c r="T634" s="429">
        <f t="shared" si="81"/>
        <v>21.448499999999999</v>
      </c>
    </row>
    <row r="635" spans="1:20">
      <c r="A635" s="429" t="str">
        <f t="shared" si="83"/>
        <v>KU</v>
      </c>
      <c r="B635" s="429" t="str">
        <f t="shared" si="84"/>
        <v>KY</v>
      </c>
      <c r="C635" s="429" t="str">
        <f t="shared" si="85"/>
        <v>342</v>
      </c>
      <c r="D635" s="430" t="s">
        <v>1752</v>
      </c>
      <c r="F635" s="429">
        <v>1776.4663499999999</v>
      </c>
      <c r="G635" s="429">
        <v>1791.82185</v>
      </c>
      <c r="H635" s="429">
        <v>1807.1773499999999</v>
      </c>
      <c r="I635" s="429">
        <v>1822.5328500000001</v>
      </c>
      <c r="J635" s="429">
        <v>1837.8883499999999</v>
      </c>
      <c r="K635" s="429">
        <v>1853.2438500000001</v>
      </c>
      <c r="L635" s="429">
        <v>1868.59935</v>
      </c>
      <c r="M635" s="429">
        <v>1883.9548500000001</v>
      </c>
      <c r="N635" s="429">
        <v>1899.31035</v>
      </c>
      <c r="O635" s="429">
        <v>1914.6658500000001</v>
      </c>
      <c r="P635" s="429">
        <v>1930.02135</v>
      </c>
      <c r="Q635" s="429">
        <v>1945.3768500000001</v>
      </c>
      <c r="R635" s="429">
        <v>1960.73235</v>
      </c>
      <c r="T635" s="429">
        <f t="shared" si="81"/>
        <v>1868.5993500000002</v>
      </c>
    </row>
    <row r="636" spans="1:20">
      <c r="A636" s="429" t="str">
        <f t="shared" si="83"/>
        <v>KU</v>
      </c>
      <c r="B636" s="429" t="str">
        <f t="shared" si="84"/>
        <v>KY</v>
      </c>
      <c r="C636" s="429" t="str">
        <f t="shared" si="85"/>
        <v>353</v>
      </c>
      <c r="D636" s="430" t="s">
        <v>1763</v>
      </c>
      <c r="E636" s="428" t="str">
        <f t="shared" si="68"/>
        <v/>
      </c>
      <c r="F636" s="429">
        <v>339.08556333333303</v>
      </c>
      <c r="G636" s="429">
        <v>341.75656333333302</v>
      </c>
      <c r="H636" s="429">
        <v>344.42756333333301</v>
      </c>
      <c r="I636" s="429">
        <v>347.098563333333</v>
      </c>
      <c r="J636" s="429">
        <v>349.769563333333</v>
      </c>
      <c r="K636" s="429">
        <v>352.44056333333299</v>
      </c>
      <c r="L636" s="429">
        <v>355.11156333333298</v>
      </c>
      <c r="M636" s="429">
        <v>357.78256333333297</v>
      </c>
      <c r="N636" s="429">
        <v>360.45356333333302</v>
      </c>
      <c r="O636" s="429">
        <v>363.12456333333301</v>
      </c>
      <c r="P636" s="429">
        <v>365.79556333333301</v>
      </c>
      <c r="Q636" s="429">
        <v>368.466563333333</v>
      </c>
      <c r="R636" s="429">
        <v>371.13756333333299</v>
      </c>
      <c r="T636" s="429">
        <f t="shared" si="81"/>
        <v>355.11156333333298</v>
      </c>
    </row>
    <row r="637" spans="1:20">
      <c r="D637" s="430" t="s">
        <v>1829</v>
      </c>
      <c r="E637" s="428" t="str">
        <f t="shared" si="68"/>
        <v/>
      </c>
      <c r="F637" s="429">
        <f t="shared" ref="F637:R637" si="86">SUM(F629:F636)</f>
        <v>9200.8725866666719</v>
      </c>
      <c r="G637" s="429">
        <f t="shared" si="86"/>
        <v>9276.6877533333336</v>
      </c>
      <c r="H637" s="429">
        <f t="shared" si="86"/>
        <v>9352.5029200000026</v>
      </c>
      <c r="I637" s="429">
        <f t="shared" si="86"/>
        <v>9428.3180866666735</v>
      </c>
      <c r="J637" s="429">
        <f t="shared" si="86"/>
        <v>9504.1332533333334</v>
      </c>
      <c r="K637" s="429">
        <f t="shared" si="86"/>
        <v>9579.9484200000043</v>
      </c>
      <c r="L637" s="429">
        <f t="shared" si="86"/>
        <v>9655.7635866666733</v>
      </c>
      <c r="M637" s="429">
        <f t="shared" si="86"/>
        <v>9731.5787533333332</v>
      </c>
      <c r="N637" s="429">
        <f t="shared" si="86"/>
        <v>9807.3939200000023</v>
      </c>
      <c r="O637" s="429">
        <f t="shared" si="86"/>
        <v>9883.2090866666731</v>
      </c>
      <c r="P637" s="429">
        <f t="shared" si="86"/>
        <v>9959.024253333333</v>
      </c>
      <c r="Q637" s="429">
        <f t="shared" si="86"/>
        <v>10034.839420000004</v>
      </c>
      <c r="R637" s="429">
        <f t="shared" si="86"/>
        <v>10110.654586666673</v>
      </c>
      <c r="T637" s="429">
        <f t="shared" si="81"/>
        <v>9655.7635866666697</v>
      </c>
    </row>
    <row r="638" spans="1:20">
      <c r="E638" s="428" t="str">
        <f t="shared" si="68"/>
        <v/>
      </c>
    </row>
    <row r="639" spans="1:20">
      <c r="D639" s="721" t="s">
        <v>2548</v>
      </c>
      <c r="E639" s="428" t="str">
        <f t="shared" si="68"/>
        <v/>
      </c>
    </row>
    <row r="640" spans="1:20">
      <c r="A640" s="429" t="str">
        <f t="shared" ref="A640:A653" si="87">MID($D640,4,2)</f>
        <v>KU</v>
      </c>
      <c r="B640" s="429" t="str">
        <f t="shared" ref="B640:B653" si="88">IF(MID($D640,12,2)="- ","KY",MID($D640,12,2))</f>
        <v>KY</v>
      </c>
      <c r="C640" s="429" t="str">
        <f t="shared" ref="C640:C653" si="89">MID($D640,8,3)</f>
        <v>311</v>
      </c>
      <c r="D640" s="430" t="s">
        <v>1732</v>
      </c>
      <c r="E640" s="428" t="str">
        <f t="shared" si="68"/>
        <v/>
      </c>
      <c r="F640" s="429">
        <v>0</v>
      </c>
      <c r="G640" s="429">
        <v>0</v>
      </c>
      <c r="H640" s="429">
        <v>0</v>
      </c>
      <c r="I640" s="429">
        <v>0</v>
      </c>
      <c r="J640" s="429">
        <v>0</v>
      </c>
      <c r="K640" s="429">
        <v>0</v>
      </c>
      <c r="L640" s="429">
        <v>0</v>
      </c>
      <c r="M640" s="429">
        <v>0</v>
      </c>
      <c r="N640" s="429">
        <v>0</v>
      </c>
      <c r="O640" s="429">
        <v>0</v>
      </c>
      <c r="P640" s="429">
        <v>0</v>
      </c>
      <c r="Q640" s="429">
        <v>0</v>
      </c>
      <c r="R640" s="429">
        <v>0</v>
      </c>
      <c r="S640" s="429">
        <f t="shared" ref="S640:S653" si="90">SUM(G640:R640)</f>
        <v>0</v>
      </c>
    </row>
    <row r="641" spans="1:19">
      <c r="A641" s="429" t="str">
        <f t="shared" si="87"/>
        <v>KU</v>
      </c>
      <c r="B641" s="429" t="str">
        <f t="shared" si="88"/>
        <v>KY</v>
      </c>
      <c r="C641" s="429" t="str">
        <f t="shared" si="89"/>
        <v>312</v>
      </c>
      <c r="D641" s="430" t="s">
        <v>1733</v>
      </c>
      <c r="E641" s="428" t="str">
        <f t="shared" si="68"/>
        <v/>
      </c>
      <c r="F641" s="429">
        <v>0</v>
      </c>
      <c r="G641" s="429">
        <v>0</v>
      </c>
      <c r="H641" s="429">
        <v>0</v>
      </c>
      <c r="I641" s="429">
        <v>0</v>
      </c>
      <c r="J641" s="429">
        <v>0</v>
      </c>
      <c r="K641" s="429">
        <v>0</v>
      </c>
      <c r="L641" s="429">
        <v>0</v>
      </c>
      <c r="M641" s="429">
        <v>0</v>
      </c>
      <c r="N641" s="429">
        <v>0</v>
      </c>
      <c r="O641" s="429">
        <v>0</v>
      </c>
      <c r="P641" s="429">
        <v>0</v>
      </c>
      <c r="Q641" s="429">
        <v>0</v>
      </c>
      <c r="R641" s="429">
        <v>0</v>
      </c>
      <c r="S641" s="429">
        <f t="shared" si="90"/>
        <v>0</v>
      </c>
    </row>
    <row r="642" spans="1:19">
      <c r="A642" s="429" t="str">
        <f t="shared" si="87"/>
        <v>KU</v>
      </c>
      <c r="B642" s="429" t="str">
        <f t="shared" si="88"/>
        <v>KY</v>
      </c>
      <c r="C642" s="429" t="str">
        <f t="shared" si="89"/>
        <v>312</v>
      </c>
      <c r="D642" s="430" t="s">
        <v>1734</v>
      </c>
      <c r="E642" s="428" t="str">
        <f t="shared" si="68"/>
        <v>ECR</v>
      </c>
      <c r="F642" s="429">
        <v>0</v>
      </c>
      <c r="G642" s="429">
        <v>0</v>
      </c>
      <c r="H642" s="429">
        <v>0</v>
      </c>
      <c r="I642" s="429">
        <v>0</v>
      </c>
      <c r="J642" s="429">
        <v>0</v>
      </c>
      <c r="K642" s="429">
        <v>0</v>
      </c>
      <c r="L642" s="429">
        <v>0</v>
      </c>
      <c r="M642" s="429">
        <v>0</v>
      </c>
      <c r="N642" s="429">
        <v>0</v>
      </c>
      <c r="O642" s="429">
        <v>0</v>
      </c>
      <c r="P642" s="429">
        <v>0</v>
      </c>
      <c r="Q642" s="429">
        <v>0</v>
      </c>
      <c r="R642" s="429">
        <v>0</v>
      </c>
      <c r="S642" s="429">
        <f t="shared" si="90"/>
        <v>0</v>
      </c>
    </row>
    <row r="643" spans="1:19">
      <c r="A643" s="429" t="str">
        <f t="shared" si="87"/>
        <v>KU</v>
      </c>
      <c r="B643" s="429" t="str">
        <f t="shared" si="88"/>
        <v>KY</v>
      </c>
      <c r="C643" s="429" t="str">
        <f t="shared" si="89"/>
        <v>314</v>
      </c>
      <c r="D643" s="430" t="s">
        <v>1737</v>
      </c>
      <c r="E643" s="428" t="str">
        <f t="shared" si="68"/>
        <v/>
      </c>
      <c r="F643" s="429">
        <v>0</v>
      </c>
      <c r="G643" s="429">
        <v>0</v>
      </c>
      <c r="H643" s="429">
        <v>0</v>
      </c>
      <c r="I643" s="429">
        <v>0</v>
      </c>
      <c r="J643" s="429">
        <v>0</v>
      </c>
      <c r="K643" s="429">
        <v>0</v>
      </c>
      <c r="L643" s="429">
        <v>0</v>
      </c>
      <c r="M643" s="429">
        <v>0</v>
      </c>
      <c r="N643" s="429">
        <v>0</v>
      </c>
      <c r="O643" s="429">
        <v>0</v>
      </c>
      <c r="P643" s="429">
        <v>0</v>
      </c>
      <c r="Q643" s="429">
        <v>0</v>
      </c>
      <c r="R643" s="429">
        <v>0</v>
      </c>
      <c r="S643" s="429">
        <f t="shared" si="90"/>
        <v>0</v>
      </c>
    </row>
    <row r="644" spans="1:19">
      <c r="A644" s="429" t="str">
        <f t="shared" si="87"/>
        <v>KU</v>
      </c>
      <c r="B644" s="429" t="str">
        <f t="shared" si="88"/>
        <v>KY</v>
      </c>
      <c r="C644" s="429" t="str">
        <f t="shared" si="89"/>
        <v>315</v>
      </c>
      <c r="D644" s="430" t="s">
        <v>1738</v>
      </c>
      <c r="E644" s="428" t="str">
        <f t="shared" si="68"/>
        <v/>
      </c>
      <c r="F644" s="429">
        <v>0</v>
      </c>
      <c r="G644" s="429">
        <v>0</v>
      </c>
      <c r="H644" s="429">
        <v>0</v>
      </c>
      <c r="I644" s="429">
        <v>0</v>
      </c>
      <c r="J644" s="429">
        <v>0</v>
      </c>
      <c r="K644" s="429">
        <v>0</v>
      </c>
      <c r="L644" s="429">
        <v>0</v>
      </c>
      <c r="M644" s="429">
        <v>0</v>
      </c>
      <c r="N644" s="429">
        <v>0</v>
      </c>
      <c r="O644" s="429">
        <v>0</v>
      </c>
      <c r="P644" s="429">
        <v>0</v>
      </c>
      <c r="Q644" s="429">
        <v>0</v>
      </c>
      <c r="R644" s="429">
        <v>0</v>
      </c>
      <c r="S644" s="429">
        <f t="shared" si="90"/>
        <v>0</v>
      </c>
    </row>
    <row r="645" spans="1:19">
      <c r="A645" s="429" t="str">
        <f t="shared" si="87"/>
        <v>KU</v>
      </c>
      <c r="B645" s="429" t="str">
        <f t="shared" si="88"/>
        <v>KY</v>
      </c>
      <c r="C645" s="429" t="str">
        <f t="shared" si="89"/>
        <v>316</v>
      </c>
      <c r="D645" s="430" t="s">
        <v>1740</v>
      </c>
      <c r="E645" s="428" t="str">
        <f t="shared" si="68"/>
        <v/>
      </c>
      <c r="F645" s="429">
        <v>0</v>
      </c>
      <c r="G645" s="429">
        <v>0</v>
      </c>
      <c r="H645" s="429">
        <v>0</v>
      </c>
      <c r="I645" s="429">
        <v>0</v>
      </c>
      <c r="J645" s="429">
        <v>0</v>
      </c>
      <c r="K645" s="429">
        <v>0</v>
      </c>
      <c r="L645" s="429">
        <v>0</v>
      </c>
      <c r="M645" s="429">
        <v>0</v>
      </c>
      <c r="N645" s="429">
        <v>0</v>
      </c>
      <c r="O645" s="429">
        <v>0</v>
      </c>
      <c r="P645" s="429">
        <v>0</v>
      </c>
      <c r="Q645" s="429">
        <v>0</v>
      </c>
      <c r="R645" s="429">
        <v>0</v>
      </c>
      <c r="S645" s="429">
        <f t="shared" si="90"/>
        <v>0</v>
      </c>
    </row>
    <row r="646" spans="1:19">
      <c r="A646" s="429" t="str">
        <f t="shared" si="87"/>
        <v>KU</v>
      </c>
      <c r="B646" s="429" t="str">
        <f t="shared" si="88"/>
        <v>KY</v>
      </c>
      <c r="C646" s="429" t="str">
        <f t="shared" si="89"/>
        <v>317</v>
      </c>
      <c r="D646" s="430" t="s">
        <v>1741</v>
      </c>
      <c r="E646" s="428" t="str">
        <f t="shared" si="68"/>
        <v>ARO</v>
      </c>
      <c r="F646" s="429">
        <v>0</v>
      </c>
      <c r="G646" s="429">
        <v>0</v>
      </c>
      <c r="H646" s="429">
        <v>0</v>
      </c>
      <c r="I646" s="429">
        <v>0</v>
      </c>
      <c r="J646" s="429">
        <v>0</v>
      </c>
      <c r="K646" s="429">
        <v>0</v>
      </c>
      <c r="L646" s="429">
        <v>0</v>
      </c>
      <c r="M646" s="429">
        <v>0</v>
      </c>
      <c r="N646" s="429">
        <v>0</v>
      </c>
      <c r="O646" s="429">
        <v>0</v>
      </c>
      <c r="P646" s="429">
        <v>0</v>
      </c>
      <c r="Q646" s="429">
        <v>0</v>
      </c>
      <c r="R646" s="429">
        <v>0</v>
      </c>
      <c r="S646" s="429">
        <f t="shared" si="90"/>
        <v>0</v>
      </c>
    </row>
    <row r="647" spans="1:19">
      <c r="A647" s="429" t="str">
        <f t="shared" si="87"/>
        <v>KU</v>
      </c>
      <c r="B647" s="429" t="str">
        <f t="shared" si="88"/>
        <v>KY</v>
      </c>
      <c r="C647" s="429" t="str">
        <f t="shared" si="89"/>
        <v>317</v>
      </c>
      <c r="D647" s="430" t="s">
        <v>2507</v>
      </c>
      <c r="E647" s="428" t="str">
        <f t="shared" si="68"/>
        <v>ARO</v>
      </c>
      <c r="F647" s="429">
        <v>0</v>
      </c>
      <c r="G647" s="429">
        <v>0</v>
      </c>
      <c r="H647" s="429">
        <v>0</v>
      </c>
      <c r="I647" s="429">
        <v>0</v>
      </c>
      <c r="J647" s="429">
        <v>0</v>
      </c>
      <c r="K647" s="429">
        <v>0</v>
      </c>
      <c r="L647" s="429">
        <v>0</v>
      </c>
      <c r="M647" s="429">
        <v>0</v>
      </c>
      <c r="N647" s="429">
        <v>0</v>
      </c>
      <c r="O647" s="429">
        <v>0</v>
      </c>
      <c r="P647" s="429">
        <v>0</v>
      </c>
      <c r="Q647" s="429">
        <v>0</v>
      </c>
      <c r="R647" s="429">
        <v>0</v>
      </c>
      <c r="S647" s="429">
        <f t="shared" si="90"/>
        <v>0</v>
      </c>
    </row>
    <row r="648" spans="1:19">
      <c r="A648" s="429" t="str">
        <f t="shared" si="87"/>
        <v>KU</v>
      </c>
      <c r="B648" s="429" t="str">
        <f t="shared" si="88"/>
        <v>KY</v>
      </c>
      <c r="C648" s="429" t="str">
        <f t="shared" si="89"/>
        <v>361</v>
      </c>
      <c r="D648" s="430" t="s">
        <v>1781</v>
      </c>
      <c r="E648" s="428" t="str">
        <f t="shared" si="68"/>
        <v/>
      </c>
      <c r="F648" s="429">
        <v>0</v>
      </c>
      <c r="G648" s="429">
        <v>0</v>
      </c>
      <c r="H648" s="429">
        <v>0</v>
      </c>
      <c r="I648" s="429">
        <v>0</v>
      </c>
      <c r="J648" s="429">
        <v>0</v>
      </c>
      <c r="K648" s="429">
        <v>0</v>
      </c>
      <c r="L648" s="429">
        <v>0</v>
      </c>
      <c r="M648" s="429">
        <v>0</v>
      </c>
      <c r="N648" s="429">
        <v>0</v>
      </c>
      <c r="O648" s="429">
        <v>0</v>
      </c>
      <c r="P648" s="429">
        <v>0</v>
      </c>
      <c r="Q648" s="429">
        <v>0</v>
      </c>
      <c r="R648" s="429">
        <v>0</v>
      </c>
      <c r="S648" s="429">
        <f t="shared" si="90"/>
        <v>0</v>
      </c>
    </row>
    <row r="649" spans="1:19">
      <c r="A649" s="429" t="str">
        <f t="shared" si="87"/>
        <v>KU</v>
      </c>
      <c r="B649" s="429" t="str">
        <f t="shared" si="88"/>
        <v>KY</v>
      </c>
      <c r="C649" s="429" t="str">
        <f t="shared" si="89"/>
        <v>390</v>
      </c>
      <c r="D649" s="430" t="s">
        <v>1812</v>
      </c>
      <c r="E649" s="428" t="str">
        <f t="shared" si="68"/>
        <v/>
      </c>
      <c r="F649" s="429">
        <v>0</v>
      </c>
      <c r="G649" s="429">
        <v>0</v>
      </c>
      <c r="H649" s="429">
        <v>0</v>
      </c>
      <c r="I649" s="429">
        <v>0</v>
      </c>
      <c r="J649" s="429">
        <v>0</v>
      </c>
      <c r="K649" s="429">
        <v>0</v>
      </c>
      <c r="L649" s="429">
        <v>0</v>
      </c>
      <c r="M649" s="429">
        <v>0</v>
      </c>
      <c r="N649" s="429">
        <v>0</v>
      </c>
      <c r="O649" s="429">
        <v>0</v>
      </c>
      <c r="P649" s="429">
        <v>0</v>
      </c>
      <c r="Q649" s="429">
        <v>0</v>
      </c>
      <c r="R649" s="429">
        <v>0</v>
      </c>
      <c r="S649" s="429">
        <f t="shared" si="90"/>
        <v>0</v>
      </c>
    </row>
    <row r="650" spans="1:19">
      <c r="A650" s="429" t="str">
        <f t="shared" si="87"/>
        <v>KU</v>
      </c>
      <c r="B650" s="429" t="str">
        <f t="shared" si="88"/>
        <v>KY</v>
      </c>
      <c r="C650" s="429" t="str">
        <f t="shared" si="89"/>
        <v>396</v>
      </c>
      <c r="D650" s="430" t="s">
        <v>1823</v>
      </c>
      <c r="E650" s="428" t="str">
        <f t="shared" si="68"/>
        <v/>
      </c>
      <c r="F650" s="429">
        <v>0</v>
      </c>
      <c r="G650" s="429">
        <v>0</v>
      </c>
      <c r="H650" s="429">
        <v>0</v>
      </c>
      <c r="I650" s="429">
        <v>0</v>
      </c>
      <c r="J650" s="429">
        <v>0</v>
      </c>
      <c r="K650" s="429">
        <v>0</v>
      </c>
      <c r="L650" s="429">
        <v>0</v>
      </c>
      <c r="M650" s="429">
        <v>0</v>
      </c>
      <c r="N650" s="429">
        <v>0</v>
      </c>
      <c r="O650" s="429">
        <v>0</v>
      </c>
      <c r="P650" s="429">
        <v>0</v>
      </c>
      <c r="Q650" s="429">
        <v>0</v>
      </c>
      <c r="R650" s="429">
        <v>0</v>
      </c>
      <c r="S650" s="429">
        <f t="shared" si="90"/>
        <v>0</v>
      </c>
    </row>
    <row r="651" spans="1:19">
      <c r="A651" s="429" t="str">
        <f t="shared" si="87"/>
        <v>KU</v>
      </c>
      <c r="B651" s="429" t="str">
        <f t="shared" si="88"/>
        <v>KY</v>
      </c>
      <c r="C651" s="429" t="str">
        <f t="shared" si="89"/>
        <v>396</v>
      </c>
      <c r="D651" s="430" t="s">
        <v>2511</v>
      </c>
      <c r="E651" s="428" t="str">
        <f t="shared" si="68"/>
        <v/>
      </c>
      <c r="F651" s="429">
        <v>0</v>
      </c>
      <c r="G651" s="429">
        <v>0</v>
      </c>
      <c r="H651" s="429">
        <v>0</v>
      </c>
      <c r="I651" s="429">
        <v>0</v>
      </c>
      <c r="J651" s="429">
        <v>0</v>
      </c>
      <c r="K651" s="429">
        <v>0</v>
      </c>
      <c r="L651" s="429">
        <v>0</v>
      </c>
      <c r="M651" s="429">
        <v>0</v>
      </c>
      <c r="N651" s="429">
        <v>0</v>
      </c>
      <c r="O651" s="429">
        <v>0</v>
      </c>
      <c r="P651" s="429">
        <v>0</v>
      </c>
      <c r="Q651" s="429">
        <v>0</v>
      </c>
      <c r="R651" s="429">
        <v>0</v>
      </c>
      <c r="S651" s="429">
        <f t="shared" si="90"/>
        <v>0</v>
      </c>
    </row>
    <row r="652" spans="1:19">
      <c r="A652" s="429" t="str">
        <f t="shared" si="87"/>
        <v>KU</v>
      </c>
      <c r="B652" s="429" t="str">
        <f t="shared" si="88"/>
        <v>VA</v>
      </c>
      <c r="C652" s="429" t="str">
        <f t="shared" si="89"/>
        <v>396</v>
      </c>
      <c r="D652" s="430" t="s">
        <v>1824</v>
      </c>
      <c r="E652" s="428" t="str">
        <f t="shared" si="68"/>
        <v/>
      </c>
      <c r="F652" s="429">
        <v>0</v>
      </c>
      <c r="G652" s="429">
        <v>0</v>
      </c>
      <c r="H652" s="429">
        <v>0</v>
      </c>
      <c r="I652" s="429">
        <v>0</v>
      </c>
      <c r="J652" s="429">
        <v>0</v>
      </c>
      <c r="K652" s="429">
        <v>0</v>
      </c>
      <c r="L652" s="429">
        <v>0</v>
      </c>
      <c r="M652" s="429">
        <v>0</v>
      </c>
      <c r="N652" s="429">
        <v>0</v>
      </c>
      <c r="O652" s="429">
        <v>0</v>
      </c>
      <c r="P652" s="429">
        <v>0</v>
      </c>
      <c r="Q652" s="429">
        <v>0</v>
      </c>
      <c r="R652" s="429">
        <v>0</v>
      </c>
      <c r="S652" s="429">
        <f t="shared" si="90"/>
        <v>0</v>
      </c>
    </row>
    <row r="653" spans="1:19">
      <c r="A653" s="429" t="str">
        <f t="shared" si="87"/>
        <v>KU</v>
      </c>
      <c r="B653" s="429" t="str">
        <f t="shared" si="88"/>
        <v>VA</v>
      </c>
      <c r="C653" s="429" t="str">
        <f t="shared" si="89"/>
        <v>396</v>
      </c>
      <c r="D653" s="430" t="s">
        <v>2512</v>
      </c>
      <c r="E653" s="428" t="str">
        <f t="shared" si="68"/>
        <v/>
      </c>
      <c r="F653" s="429">
        <v>0</v>
      </c>
      <c r="G653" s="429">
        <v>0</v>
      </c>
      <c r="H653" s="429">
        <v>0</v>
      </c>
      <c r="I653" s="429">
        <v>0</v>
      </c>
      <c r="J653" s="429">
        <v>0</v>
      </c>
      <c r="K653" s="429">
        <v>0</v>
      </c>
      <c r="L653" s="429">
        <v>0</v>
      </c>
      <c r="M653" s="429">
        <v>0</v>
      </c>
      <c r="N653" s="429">
        <v>0</v>
      </c>
      <c r="O653" s="429">
        <v>0</v>
      </c>
      <c r="P653" s="429">
        <v>0</v>
      </c>
      <c r="Q653" s="429">
        <v>0</v>
      </c>
      <c r="R653" s="429">
        <v>0</v>
      </c>
      <c r="S653" s="429">
        <f t="shared" si="90"/>
        <v>0</v>
      </c>
    </row>
  </sheetData>
  <pageMargins left="0.75" right="0.75" top="1" bottom="1" header="0.5" footer="0.5"/>
  <pageSetup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pageSetUpPr fitToPage="1"/>
  </sheetPr>
  <dimension ref="A1:I52"/>
  <sheetViews>
    <sheetView tabSelected="1" zoomScale="115" zoomScaleNormal="115" workbookViewId="0">
      <selection activeCell="C21" sqref="C21"/>
    </sheetView>
  </sheetViews>
  <sheetFormatPr defaultColWidth="7.33203125" defaultRowHeight="12.75"/>
  <cols>
    <col min="1" max="1" width="25.77734375" style="213" customWidth="1"/>
    <col min="2" max="2" width="1.44140625" style="213" customWidth="1"/>
    <col min="3" max="3" width="69.6640625" style="213" customWidth="1"/>
    <col min="4" max="9" width="7.33203125" style="213"/>
    <col min="10" max="10" width="7.33203125" style="213" customWidth="1"/>
    <col min="11" max="11" width="7.33203125" style="213"/>
    <col min="12" max="12" width="1.33203125" style="213" customWidth="1"/>
    <col min="13" max="13" width="5.88671875" style="213" customWidth="1"/>
    <col min="14" max="14" width="5.109375" style="213" customWidth="1"/>
    <col min="15" max="256" width="7.33203125" style="213"/>
    <col min="257" max="257" width="23.44140625" style="213" customWidth="1"/>
    <col min="258" max="258" width="1.44140625" style="213" customWidth="1"/>
    <col min="259" max="259" width="61.21875" style="213" customWidth="1"/>
    <col min="260" max="265" width="7.33203125" style="213"/>
    <col min="266" max="266" width="7.33203125" style="213" customWidth="1"/>
    <col min="267" max="267" width="7.33203125" style="213"/>
    <col min="268" max="268" width="1.33203125" style="213" customWidth="1"/>
    <col min="269" max="269" width="5.88671875" style="213" customWidth="1"/>
    <col min="270" max="270" width="5.109375" style="213" customWidth="1"/>
    <col min="271" max="512" width="7.33203125" style="213"/>
    <col min="513" max="513" width="23.44140625" style="213" customWidth="1"/>
    <col min="514" max="514" width="1.44140625" style="213" customWidth="1"/>
    <col min="515" max="515" width="61.21875" style="213" customWidth="1"/>
    <col min="516" max="521" width="7.33203125" style="213"/>
    <col min="522" max="522" width="7.33203125" style="213" customWidth="1"/>
    <col min="523" max="523" width="7.33203125" style="213"/>
    <col min="524" max="524" width="1.33203125" style="213" customWidth="1"/>
    <col min="525" max="525" width="5.88671875" style="213" customWidth="1"/>
    <col min="526" max="526" width="5.109375" style="213" customWidth="1"/>
    <col min="527" max="768" width="7.33203125" style="213"/>
    <col min="769" max="769" width="23.44140625" style="213" customWidth="1"/>
    <col min="770" max="770" width="1.44140625" style="213" customWidth="1"/>
    <col min="771" max="771" width="61.21875" style="213" customWidth="1"/>
    <col min="772" max="777" width="7.33203125" style="213"/>
    <col min="778" max="778" width="7.33203125" style="213" customWidth="1"/>
    <col min="779" max="779" width="7.33203125" style="213"/>
    <col min="780" max="780" width="1.33203125" style="213" customWidth="1"/>
    <col min="781" max="781" width="5.88671875" style="213" customWidth="1"/>
    <col min="782" max="782" width="5.109375" style="213" customWidth="1"/>
    <col min="783" max="1024" width="7.33203125" style="213"/>
    <col min="1025" max="1025" width="23.44140625" style="213" customWidth="1"/>
    <col min="1026" max="1026" width="1.44140625" style="213" customWidth="1"/>
    <col min="1027" max="1027" width="61.21875" style="213" customWidth="1"/>
    <col min="1028" max="1033" width="7.33203125" style="213"/>
    <col min="1034" max="1034" width="7.33203125" style="213" customWidth="1"/>
    <col min="1035" max="1035" width="7.33203125" style="213"/>
    <col min="1036" max="1036" width="1.33203125" style="213" customWidth="1"/>
    <col min="1037" max="1037" width="5.88671875" style="213" customWidth="1"/>
    <col min="1038" max="1038" width="5.109375" style="213" customWidth="1"/>
    <col min="1039" max="1280" width="7.33203125" style="213"/>
    <col min="1281" max="1281" width="23.44140625" style="213" customWidth="1"/>
    <col min="1282" max="1282" width="1.44140625" style="213" customWidth="1"/>
    <col min="1283" max="1283" width="61.21875" style="213" customWidth="1"/>
    <col min="1284" max="1289" width="7.33203125" style="213"/>
    <col min="1290" max="1290" width="7.33203125" style="213" customWidth="1"/>
    <col min="1291" max="1291" width="7.33203125" style="213"/>
    <col min="1292" max="1292" width="1.33203125" style="213" customWidth="1"/>
    <col min="1293" max="1293" width="5.88671875" style="213" customWidth="1"/>
    <col min="1294" max="1294" width="5.109375" style="213" customWidth="1"/>
    <col min="1295" max="1536" width="7.33203125" style="213"/>
    <col min="1537" max="1537" width="23.44140625" style="213" customWidth="1"/>
    <col min="1538" max="1538" width="1.44140625" style="213" customWidth="1"/>
    <col min="1539" max="1539" width="61.21875" style="213" customWidth="1"/>
    <col min="1540" max="1545" width="7.33203125" style="213"/>
    <col min="1546" max="1546" width="7.33203125" style="213" customWidth="1"/>
    <col min="1547" max="1547" width="7.33203125" style="213"/>
    <col min="1548" max="1548" width="1.33203125" style="213" customWidth="1"/>
    <col min="1549" max="1549" width="5.88671875" style="213" customWidth="1"/>
    <col min="1550" max="1550" width="5.109375" style="213" customWidth="1"/>
    <col min="1551" max="1792" width="7.33203125" style="213"/>
    <col min="1793" max="1793" width="23.44140625" style="213" customWidth="1"/>
    <col min="1794" max="1794" width="1.44140625" style="213" customWidth="1"/>
    <col min="1795" max="1795" width="61.21875" style="213" customWidth="1"/>
    <col min="1796" max="1801" width="7.33203125" style="213"/>
    <col min="1802" max="1802" width="7.33203125" style="213" customWidth="1"/>
    <col min="1803" max="1803" width="7.33203125" style="213"/>
    <col min="1804" max="1804" width="1.33203125" style="213" customWidth="1"/>
    <col min="1805" max="1805" width="5.88671875" style="213" customWidth="1"/>
    <col min="1806" max="1806" width="5.109375" style="213" customWidth="1"/>
    <col min="1807" max="2048" width="7.33203125" style="213"/>
    <col min="2049" max="2049" width="23.44140625" style="213" customWidth="1"/>
    <col min="2050" max="2050" width="1.44140625" style="213" customWidth="1"/>
    <col min="2051" max="2051" width="61.21875" style="213" customWidth="1"/>
    <col min="2052" max="2057" width="7.33203125" style="213"/>
    <col min="2058" max="2058" width="7.33203125" style="213" customWidth="1"/>
    <col min="2059" max="2059" width="7.33203125" style="213"/>
    <col min="2060" max="2060" width="1.33203125" style="213" customWidth="1"/>
    <col min="2061" max="2061" width="5.88671875" style="213" customWidth="1"/>
    <col min="2062" max="2062" width="5.109375" style="213" customWidth="1"/>
    <col min="2063" max="2304" width="7.33203125" style="213"/>
    <col min="2305" max="2305" width="23.44140625" style="213" customWidth="1"/>
    <col min="2306" max="2306" width="1.44140625" style="213" customWidth="1"/>
    <col min="2307" max="2307" width="61.21875" style="213" customWidth="1"/>
    <col min="2308" max="2313" width="7.33203125" style="213"/>
    <col min="2314" max="2314" width="7.33203125" style="213" customWidth="1"/>
    <col min="2315" max="2315" width="7.33203125" style="213"/>
    <col min="2316" max="2316" width="1.33203125" style="213" customWidth="1"/>
    <col min="2317" max="2317" width="5.88671875" style="213" customWidth="1"/>
    <col min="2318" max="2318" width="5.109375" style="213" customWidth="1"/>
    <col min="2319" max="2560" width="7.33203125" style="213"/>
    <col min="2561" max="2561" width="23.44140625" style="213" customWidth="1"/>
    <col min="2562" max="2562" width="1.44140625" style="213" customWidth="1"/>
    <col min="2563" max="2563" width="61.21875" style="213" customWidth="1"/>
    <col min="2564" max="2569" width="7.33203125" style="213"/>
    <col min="2570" max="2570" width="7.33203125" style="213" customWidth="1"/>
    <col min="2571" max="2571" width="7.33203125" style="213"/>
    <col min="2572" max="2572" width="1.33203125" style="213" customWidth="1"/>
    <col min="2573" max="2573" width="5.88671875" style="213" customWidth="1"/>
    <col min="2574" max="2574" width="5.109375" style="213" customWidth="1"/>
    <col min="2575" max="2816" width="7.33203125" style="213"/>
    <col min="2817" max="2817" width="23.44140625" style="213" customWidth="1"/>
    <col min="2818" max="2818" width="1.44140625" style="213" customWidth="1"/>
    <col min="2819" max="2819" width="61.21875" style="213" customWidth="1"/>
    <col min="2820" max="2825" width="7.33203125" style="213"/>
    <col min="2826" max="2826" width="7.33203125" style="213" customWidth="1"/>
    <col min="2827" max="2827" width="7.33203125" style="213"/>
    <col min="2828" max="2828" width="1.33203125" style="213" customWidth="1"/>
    <col min="2829" max="2829" width="5.88671875" style="213" customWidth="1"/>
    <col min="2830" max="2830" width="5.109375" style="213" customWidth="1"/>
    <col min="2831" max="3072" width="7.33203125" style="213"/>
    <col min="3073" max="3073" width="23.44140625" style="213" customWidth="1"/>
    <col min="3074" max="3074" width="1.44140625" style="213" customWidth="1"/>
    <col min="3075" max="3075" width="61.21875" style="213" customWidth="1"/>
    <col min="3076" max="3081" width="7.33203125" style="213"/>
    <col min="3082" max="3082" width="7.33203125" style="213" customWidth="1"/>
    <col min="3083" max="3083" width="7.33203125" style="213"/>
    <col min="3084" max="3084" width="1.33203125" style="213" customWidth="1"/>
    <col min="3085" max="3085" width="5.88671875" style="213" customWidth="1"/>
    <col min="3086" max="3086" width="5.109375" style="213" customWidth="1"/>
    <col min="3087" max="3328" width="7.33203125" style="213"/>
    <col min="3329" max="3329" width="23.44140625" style="213" customWidth="1"/>
    <col min="3330" max="3330" width="1.44140625" style="213" customWidth="1"/>
    <col min="3331" max="3331" width="61.21875" style="213" customWidth="1"/>
    <col min="3332" max="3337" width="7.33203125" style="213"/>
    <col min="3338" max="3338" width="7.33203125" style="213" customWidth="1"/>
    <col min="3339" max="3339" width="7.33203125" style="213"/>
    <col min="3340" max="3340" width="1.33203125" style="213" customWidth="1"/>
    <col min="3341" max="3341" width="5.88671875" style="213" customWidth="1"/>
    <col min="3342" max="3342" width="5.109375" style="213" customWidth="1"/>
    <col min="3343" max="3584" width="7.33203125" style="213"/>
    <col min="3585" max="3585" width="23.44140625" style="213" customWidth="1"/>
    <col min="3586" max="3586" width="1.44140625" style="213" customWidth="1"/>
    <col min="3587" max="3587" width="61.21875" style="213" customWidth="1"/>
    <col min="3588" max="3593" width="7.33203125" style="213"/>
    <col min="3594" max="3594" width="7.33203125" style="213" customWidth="1"/>
    <col min="3595" max="3595" width="7.33203125" style="213"/>
    <col min="3596" max="3596" width="1.33203125" style="213" customWidth="1"/>
    <col min="3597" max="3597" width="5.88671875" style="213" customWidth="1"/>
    <col min="3598" max="3598" width="5.109375" style="213" customWidth="1"/>
    <col min="3599" max="3840" width="7.33203125" style="213"/>
    <col min="3841" max="3841" width="23.44140625" style="213" customWidth="1"/>
    <col min="3842" max="3842" width="1.44140625" style="213" customWidth="1"/>
    <col min="3843" max="3843" width="61.21875" style="213" customWidth="1"/>
    <col min="3844" max="3849" width="7.33203125" style="213"/>
    <col min="3850" max="3850" width="7.33203125" style="213" customWidth="1"/>
    <col min="3851" max="3851" width="7.33203125" style="213"/>
    <col min="3852" max="3852" width="1.33203125" style="213" customWidth="1"/>
    <col min="3853" max="3853" width="5.88671875" style="213" customWidth="1"/>
    <col min="3854" max="3854" width="5.109375" style="213" customWidth="1"/>
    <col min="3855" max="4096" width="7.33203125" style="213"/>
    <col min="4097" max="4097" width="23.44140625" style="213" customWidth="1"/>
    <col min="4098" max="4098" width="1.44140625" style="213" customWidth="1"/>
    <col min="4099" max="4099" width="61.21875" style="213" customWidth="1"/>
    <col min="4100" max="4105" width="7.33203125" style="213"/>
    <col min="4106" max="4106" width="7.33203125" style="213" customWidth="1"/>
    <col min="4107" max="4107" width="7.33203125" style="213"/>
    <col min="4108" max="4108" width="1.33203125" style="213" customWidth="1"/>
    <col min="4109" max="4109" width="5.88671875" style="213" customWidth="1"/>
    <col min="4110" max="4110" width="5.109375" style="213" customWidth="1"/>
    <col min="4111" max="4352" width="7.33203125" style="213"/>
    <col min="4353" max="4353" width="23.44140625" style="213" customWidth="1"/>
    <col min="4354" max="4354" width="1.44140625" style="213" customWidth="1"/>
    <col min="4355" max="4355" width="61.21875" style="213" customWidth="1"/>
    <col min="4356" max="4361" width="7.33203125" style="213"/>
    <col min="4362" max="4362" width="7.33203125" style="213" customWidth="1"/>
    <col min="4363" max="4363" width="7.33203125" style="213"/>
    <col min="4364" max="4364" width="1.33203125" style="213" customWidth="1"/>
    <col min="4365" max="4365" width="5.88671875" style="213" customWidth="1"/>
    <col min="4366" max="4366" width="5.109375" style="213" customWidth="1"/>
    <col min="4367" max="4608" width="7.33203125" style="213"/>
    <col min="4609" max="4609" width="23.44140625" style="213" customWidth="1"/>
    <col min="4610" max="4610" width="1.44140625" style="213" customWidth="1"/>
    <col min="4611" max="4611" width="61.21875" style="213" customWidth="1"/>
    <col min="4612" max="4617" width="7.33203125" style="213"/>
    <col min="4618" max="4618" width="7.33203125" style="213" customWidth="1"/>
    <col min="4619" max="4619" width="7.33203125" style="213"/>
    <col min="4620" max="4620" width="1.33203125" style="213" customWidth="1"/>
    <col min="4621" max="4621" width="5.88671875" style="213" customWidth="1"/>
    <col min="4622" max="4622" width="5.109375" style="213" customWidth="1"/>
    <col min="4623" max="4864" width="7.33203125" style="213"/>
    <col min="4865" max="4865" width="23.44140625" style="213" customWidth="1"/>
    <col min="4866" max="4866" width="1.44140625" style="213" customWidth="1"/>
    <col min="4867" max="4867" width="61.21875" style="213" customWidth="1"/>
    <col min="4868" max="4873" width="7.33203125" style="213"/>
    <col min="4874" max="4874" width="7.33203125" style="213" customWidth="1"/>
    <col min="4875" max="4875" width="7.33203125" style="213"/>
    <col min="4876" max="4876" width="1.33203125" style="213" customWidth="1"/>
    <col min="4877" max="4877" width="5.88671875" style="213" customWidth="1"/>
    <col min="4878" max="4878" width="5.109375" style="213" customWidth="1"/>
    <col min="4879" max="5120" width="7.33203125" style="213"/>
    <col min="5121" max="5121" width="23.44140625" style="213" customWidth="1"/>
    <col min="5122" max="5122" width="1.44140625" style="213" customWidth="1"/>
    <col min="5123" max="5123" width="61.21875" style="213" customWidth="1"/>
    <col min="5124" max="5129" width="7.33203125" style="213"/>
    <col min="5130" max="5130" width="7.33203125" style="213" customWidth="1"/>
    <col min="5131" max="5131" width="7.33203125" style="213"/>
    <col min="5132" max="5132" width="1.33203125" style="213" customWidth="1"/>
    <col min="5133" max="5133" width="5.88671875" style="213" customWidth="1"/>
    <col min="5134" max="5134" width="5.109375" style="213" customWidth="1"/>
    <col min="5135" max="5376" width="7.33203125" style="213"/>
    <col min="5377" max="5377" width="23.44140625" style="213" customWidth="1"/>
    <col min="5378" max="5378" width="1.44140625" style="213" customWidth="1"/>
    <col min="5379" max="5379" width="61.21875" style="213" customWidth="1"/>
    <col min="5380" max="5385" width="7.33203125" style="213"/>
    <col min="5386" max="5386" width="7.33203125" style="213" customWidth="1"/>
    <col min="5387" max="5387" width="7.33203125" style="213"/>
    <col min="5388" max="5388" width="1.33203125" style="213" customWidth="1"/>
    <col min="5389" max="5389" width="5.88671875" style="213" customWidth="1"/>
    <col min="5390" max="5390" width="5.109375" style="213" customWidth="1"/>
    <col min="5391" max="5632" width="7.33203125" style="213"/>
    <col min="5633" max="5633" width="23.44140625" style="213" customWidth="1"/>
    <col min="5634" max="5634" width="1.44140625" style="213" customWidth="1"/>
    <col min="5635" max="5635" width="61.21875" style="213" customWidth="1"/>
    <col min="5636" max="5641" width="7.33203125" style="213"/>
    <col min="5642" max="5642" width="7.33203125" style="213" customWidth="1"/>
    <col min="5643" max="5643" width="7.33203125" style="213"/>
    <col min="5644" max="5644" width="1.33203125" style="213" customWidth="1"/>
    <col min="5645" max="5645" width="5.88671875" style="213" customWidth="1"/>
    <col min="5646" max="5646" width="5.109375" style="213" customWidth="1"/>
    <col min="5647" max="5888" width="7.33203125" style="213"/>
    <col min="5889" max="5889" width="23.44140625" style="213" customWidth="1"/>
    <col min="5890" max="5890" width="1.44140625" style="213" customWidth="1"/>
    <col min="5891" max="5891" width="61.21875" style="213" customWidth="1"/>
    <col min="5892" max="5897" width="7.33203125" style="213"/>
    <col min="5898" max="5898" width="7.33203125" style="213" customWidth="1"/>
    <col min="5899" max="5899" width="7.33203125" style="213"/>
    <col min="5900" max="5900" width="1.33203125" style="213" customWidth="1"/>
    <col min="5901" max="5901" width="5.88671875" style="213" customWidth="1"/>
    <col min="5902" max="5902" width="5.109375" style="213" customWidth="1"/>
    <col min="5903" max="6144" width="7.33203125" style="213"/>
    <col min="6145" max="6145" width="23.44140625" style="213" customWidth="1"/>
    <col min="6146" max="6146" width="1.44140625" style="213" customWidth="1"/>
    <col min="6147" max="6147" width="61.21875" style="213" customWidth="1"/>
    <col min="6148" max="6153" width="7.33203125" style="213"/>
    <col min="6154" max="6154" width="7.33203125" style="213" customWidth="1"/>
    <col min="6155" max="6155" width="7.33203125" style="213"/>
    <col min="6156" max="6156" width="1.33203125" style="213" customWidth="1"/>
    <col min="6157" max="6157" width="5.88671875" style="213" customWidth="1"/>
    <col min="6158" max="6158" width="5.109375" style="213" customWidth="1"/>
    <col min="6159" max="6400" width="7.33203125" style="213"/>
    <col min="6401" max="6401" width="23.44140625" style="213" customWidth="1"/>
    <col min="6402" max="6402" width="1.44140625" style="213" customWidth="1"/>
    <col min="6403" max="6403" width="61.21875" style="213" customWidth="1"/>
    <col min="6404" max="6409" width="7.33203125" style="213"/>
    <col min="6410" max="6410" width="7.33203125" style="213" customWidth="1"/>
    <col min="6411" max="6411" width="7.33203125" style="213"/>
    <col min="6412" max="6412" width="1.33203125" style="213" customWidth="1"/>
    <col min="6413" max="6413" width="5.88671875" style="213" customWidth="1"/>
    <col min="6414" max="6414" width="5.109375" style="213" customWidth="1"/>
    <col min="6415" max="6656" width="7.33203125" style="213"/>
    <col min="6657" max="6657" width="23.44140625" style="213" customWidth="1"/>
    <col min="6658" max="6658" width="1.44140625" style="213" customWidth="1"/>
    <col min="6659" max="6659" width="61.21875" style="213" customWidth="1"/>
    <col min="6660" max="6665" width="7.33203125" style="213"/>
    <col min="6666" max="6666" width="7.33203125" style="213" customWidth="1"/>
    <col min="6667" max="6667" width="7.33203125" style="213"/>
    <col min="6668" max="6668" width="1.33203125" style="213" customWidth="1"/>
    <col min="6669" max="6669" width="5.88671875" style="213" customWidth="1"/>
    <col min="6670" max="6670" width="5.109375" style="213" customWidth="1"/>
    <col min="6671" max="6912" width="7.33203125" style="213"/>
    <col min="6913" max="6913" width="23.44140625" style="213" customWidth="1"/>
    <col min="6914" max="6914" width="1.44140625" style="213" customWidth="1"/>
    <col min="6915" max="6915" width="61.21875" style="213" customWidth="1"/>
    <col min="6916" max="6921" width="7.33203125" style="213"/>
    <col min="6922" max="6922" width="7.33203125" style="213" customWidth="1"/>
    <col min="6923" max="6923" width="7.33203125" style="213"/>
    <col min="6924" max="6924" width="1.33203125" style="213" customWidth="1"/>
    <col min="6925" max="6925" width="5.88671875" style="213" customWidth="1"/>
    <col min="6926" max="6926" width="5.109375" style="213" customWidth="1"/>
    <col min="6927" max="7168" width="7.33203125" style="213"/>
    <col min="7169" max="7169" width="23.44140625" style="213" customWidth="1"/>
    <col min="7170" max="7170" width="1.44140625" style="213" customWidth="1"/>
    <col min="7171" max="7171" width="61.21875" style="213" customWidth="1"/>
    <col min="7172" max="7177" width="7.33203125" style="213"/>
    <col min="7178" max="7178" width="7.33203125" style="213" customWidth="1"/>
    <col min="7179" max="7179" width="7.33203125" style="213"/>
    <col min="7180" max="7180" width="1.33203125" style="213" customWidth="1"/>
    <col min="7181" max="7181" width="5.88671875" style="213" customWidth="1"/>
    <col min="7182" max="7182" width="5.109375" style="213" customWidth="1"/>
    <col min="7183" max="7424" width="7.33203125" style="213"/>
    <col min="7425" max="7425" width="23.44140625" style="213" customWidth="1"/>
    <col min="7426" max="7426" width="1.44140625" style="213" customWidth="1"/>
    <col min="7427" max="7427" width="61.21875" style="213" customWidth="1"/>
    <col min="7428" max="7433" width="7.33203125" style="213"/>
    <col min="7434" max="7434" width="7.33203125" style="213" customWidth="1"/>
    <col min="7435" max="7435" width="7.33203125" style="213"/>
    <col min="7436" max="7436" width="1.33203125" style="213" customWidth="1"/>
    <col min="7437" max="7437" width="5.88671875" style="213" customWidth="1"/>
    <col min="7438" max="7438" width="5.109375" style="213" customWidth="1"/>
    <col min="7439" max="7680" width="7.33203125" style="213"/>
    <col min="7681" max="7681" width="23.44140625" style="213" customWidth="1"/>
    <col min="7682" max="7682" width="1.44140625" style="213" customWidth="1"/>
    <col min="7683" max="7683" width="61.21875" style="213" customWidth="1"/>
    <col min="7684" max="7689" width="7.33203125" style="213"/>
    <col min="7690" max="7690" width="7.33203125" style="213" customWidth="1"/>
    <col min="7691" max="7691" width="7.33203125" style="213"/>
    <col min="7692" max="7692" width="1.33203125" style="213" customWidth="1"/>
    <col min="7693" max="7693" width="5.88671875" style="213" customWidth="1"/>
    <col min="7694" max="7694" width="5.109375" style="213" customWidth="1"/>
    <col min="7695" max="7936" width="7.33203125" style="213"/>
    <col min="7937" max="7937" width="23.44140625" style="213" customWidth="1"/>
    <col min="7938" max="7938" width="1.44140625" style="213" customWidth="1"/>
    <col min="7939" max="7939" width="61.21875" style="213" customWidth="1"/>
    <col min="7940" max="7945" width="7.33203125" style="213"/>
    <col min="7946" max="7946" width="7.33203125" style="213" customWidth="1"/>
    <col min="7947" max="7947" width="7.33203125" style="213"/>
    <col min="7948" max="7948" width="1.33203125" style="213" customWidth="1"/>
    <col min="7949" max="7949" width="5.88671875" style="213" customWidth="1"/>
    <col min="7950" max="7950" width="5.109375" style="213" customWidth="1"/>
    <col min="7951" max="8192" width="7.33203125" style="213"/>
    <col min="8193" max="8193" width="23.44140625" style="213" customWidth="1"/>
    <col min="8194" max="8194" width="1.44140625" style="213" customWidth="1"/>
    <col min="8195" max="8195" width="61.21875" style="213" customWidth="1"/>
    <col min="8196" max="8201" width="7.33203125" style="213"/>
    <col min="8202" max="8202" width="7.33203125" style="213" customWidth="1"/>
    <col min="8203" max="8203" width="7.33203125" style="213"/>
    <col min="8204" max="8204" width="1.33203125" style="213" customWidth="1"/>
    <col min="8205" max="8205" width="5.88671875" style="213" customWidth="1"/>
    <col min="8206" max="8206" width="5.109375" style="213" customWidth="1"/>
    <col min="8207" max="8448" width="7.33203125" style="213"/>
    <col min="8449" max="8449" width="23.44140625" style="213" customWidth="1"/>
    <col min="8450" max="8450" width="1.44140625" style="213" customWidth="1"/>
    <col min="8451" max="8451" width="61.21875" style="213" customWidth="1"/>
    <col min="8452" max="8457" width="7.33203125" style="213"/>
    <col min="8458" max="8458" width="7.33203125" style="213" customWidth="1"/>
    <col min="8459" max="8459" width="7.33203125" style="213"/>
    <col min="8460" max="8460" width="1.33203125" style="213" customWidth="1"/>
    <col min="8461" max="8461" width="5.88671875" style="213" customWidth="1"/>
    <col min="8462" max="8462" width="5.109375" style="213" customWidth="1"/>
    <col min="8463" max="8704" width="7.33203125" style="213"/>
    <col min="8705" max="8705" width="23.44140625" style="213" customWidth="1"/>
    <col min="8706" max="8706" width="1.44140625" style="213" customWidth="1"/>
    <col min="8707" max="8707" width="61.21875" style="213" customWidth="1"/>
    <col min="8708" max="8713" width="7.33203125" style="213"/>
    <col min="8714" max="8714" width="7.33203125" style="213" customWidth="1"/>
    <col min="8715" max="8715" width="7.33203125" style="213"/>
    <col min="8716" max="8716" width="1.33203125" style="213" customWidth="1"/>
    <col min="8717" max="8717" width="5.88671875" style="213" customWidth="1"/>
    <col min="8718" max="8718" width="5.109375" style="213" customWidth="1"/>
    <col min="8719" max="8960" width="7.33203125" style="213"/>
    <col min="8961" max="8961" width="23.44140625" style="213" customWidth="1"/>
    <col min="8962" max="8962" width="1.44140625" style="213" customWidth="1"/>
    <col min="8963" max="8963" width="61.21875" style="213" customWidth="1"/>
    <col min="8964" max="8969" width="7.33203125" style="213"/>
    <col min="8970" max="8970" width="7.33203125" style="213" customWidth="1"/>
    <col min="8971" max="8971" width="7.33203125" style="213"/>
    <col min="8972" max="8972" width="1.33203125" style="213" customWidth="1"/>
    <col min="8973" max="8973" width="5.88671875" style="213" customWidth="1"/>
    <col min="8974" max="8974" width="5.109375" style="213" customWidth="1"/>
    <col min="8975" max="9216" width="7.33203125" style="213"/>
    <col min="9217" max="9217" width="23.44140625" style="213" customWidth="1"/>
    <col min="9218" max="9218" width="1.44140625" style="213" customWidth="1"/>
    <col min="9219" max="9219" width="61.21875" style="213" customWidth="1"/>
    <col min="9220" max="9225" width="7.33203125" style="213"/>
    <col min="9226" max="9226" width="7.33203125" style="213" customWidth="1"/>
    <col min="9227" max="9227" width="7.33203125" style="213"/>
    <col min="9228" max="9228" width="1.33203125" style="213" customWidth="1"/>
    <col min="9229" max="9229" width="5.88671875" style="213" customWidth="1"/>
    <col min="9230" max="9230" width="5.109375" style="213" customWidth="1"/>
    <col min="9231" max="9472" width="7.33203125" style="213"/>
    <col min="9473" max="9473" width="23.44140625" style="213" customWidth="1"/>
    <col min="9474" max="9474" width="1.44140625" style="213" customWidth="1"/>
    <col min="9475" max="9475" width="61.21875" style="213" customWidth="1"/>
    <col min="9476" max="9481" width="7.33203125" style="213"/>
    <col min="9482" max="9482" width="7.33203125" style="213" customWidth="1"/>
    <col min="9483" max="9483" width="7.33203125" style="213"/>
    <col min="9484" max="9484" width="1.33203125" style="213" customWidth="1"/>
    <col min="9485" max="9485" width="5.88671875" style="213" customWidth="1"/>
    <col min="9486" max="9486" width="5.109375" style="213" customWidth="1"/>
    <col min="9487" max="9728" width="7.33203125" style="213"/>
    <col min="9729" max="9729" width="23.44140625" style="213" customWidth="1"/>
    <col min="9730" max="9730" width="1.44140625" style="213" customWidth="1"/>
    <col min="9731" max="9731" width="61.21875" style="213" customWidth="1"/>
    <col min="9732" max="9737" width="7.33203125" style="213"/>
    <col min="9738" max="9738" width="7.33203125" style="213" customWidth="1"/>
    <col min="9739" max="9739" width="7.33203125" style="213"/>
    <col min="9740" max="9740" width="1.33203125" style="213" customWidth="1"/>
    <col min="9741" max="9741" width="5.88671875" style="213" customWidth="1"/>
    <col min="9742" max="9742" width="5.109375" style="213" customWidth="1"/>
    <col min="9743" max="9984" width="7.33203125" style="213"/>
    <col min="9985" max="9985" width="23.44140625" style="213" customWidth="1"/>
    <col min="9986" max="9986" width="1.44140625" style="213" customWidth="1"/>
    <col min="9987" max="9987" width="61.21875" style="213" customWidth="1"/>
    <col min="9988" max="9993" width="7.33203125" style="213"/>
    <col min="9994" max="9994" width="7.33203125" style="213" customWidth="1"/>
    <col min="9995" max="9995" width="7.33203125" style="213"/>
    <col min="9996" max="9996" width="1.33203125" style="213" customWidth="1"/>
    <col min="9997" max="9997" width="5.88671875" style="213" customWidth="1"/>
    <col min="9998" max="9998" width="5.109375" style="213" customWidth="1"/>
    <col min="9999" max="10240" width="7.33203125" style="213"/>
    <col min="10241" max="10241" width="23.44140625" style="213" customWidth="1"/>
    <col min="10242" max="10242" width="1.44140625" style="213" customWidth="1"/>
    <col min="10243" max="10243" width="61.21875" style="213" customWidth="1"/>
    <col min="10244" max="10249" width="7.33203125" style="213"/>
    <col min="10250" max="10250" width="7.33203125" style="213" customWidth="1"/>
    <col min="10251" max="10251" width="7.33203125" style="213"/>
    <col min="10252" max="10252" width="1.33203125" style="213" customWidth="1"/>
    <col min="10253" max="10253" width="5.88671875" style="213" customWidth="1"/>
    <col min="10254" max="10254" width="5.109375" style="213" customWidth="1"/>
    <col min="10255" max="10496" width="7.33203125" style="213"/>
    <col min="10497" max="10497" width="23.44140625" style="213" customWidth="1"/>
    <col min="10498" max="10498" width="1.44140625" style="213" customWidth="1"/>
    <col min="10499" max="10499" width="61.21875" style="213" customWidth="1"/>
    <col min="10500" max="10505" width="7.33203125" style="213"/>
    <col min="10506" max="10506" width="7.33203125" style="213" customWidth="1"/>
    <col min="10507" max="10507" width="7.33203125" style="213"/>
    <col min="10508" max="10508" width="1.33203125" style="213" customWidth="1"/>
    <col min="10509" max="10509" width="5.88671875" style="213" customWidth="1"/>
    <col min="10510" max="10510" width="5.109375" style="213" customWidth="1"/>
    <col min="10511" max="10752" width="7.33203125" style="213"/>
    <col min="10753" max="10753" width="23.44140625" style="213" customWidth="1"/>
    <col min="10754" max="10754" width="1.44140625" style="213" customWidth="1"/>
    <col min="10755" max="10755" width="61.21875" style="213" customWidth="1"/>
    <col min="10756" max="10761" width="7.33203125" style="213"/>
    <col min="10762" max="10762" width="7.33203125" style="213" customWidth="1"/>
    <col min="10763" max="10763" width="7.33203125" style="213"/>
    <col min="10764" max="10764" width="1.33203125" style="213" customWidth="1"/>
    <col min="10765" max="10765" width="5.88671875" style="213" customWidth="1"/>
    <col min="10766" max="10766" width="5.109375" style="213" customWidth="1"/>
    <col min="10767" max="11008" width="7.33203125" style="213"/>
    <col min="11009" max="11009" width="23.44140625" style="213" customWidth="1"/>
    <col min="11010" max="11010" width="1.44140625" style="213" customWidth="1"/>
    <col min="11011" max="11011" width="61.21875" style="213" customWidth="1"/>
    <col min="11012" max="11017" width="7.33203125" style="213"/>
    <col min="11018" max="11018" width="7.33203125" style="213" customWidth="1"/>
    <col min="11019" max="11019" width="7.33203125" style="213"/>
    <col min="11020" max="11020" width="1.33203125" style="213" customWidth="1"/>
    <col min="11021" max="11021" width="5.88671875" style="213" customWidth="1"/>
    <col min="11022" max="11022" width="5.109375" style="213" customWidth="1"/>
    <col min="11023" max="11264" width="7.33203125" style="213"/>
    <col min="11265" max="11265" width="23.44140625" style="213" customWidth="1"/>
    <col min="11266" max="11266" width="1.44140625" style="213" customWidth="1"/>
    <col min="11267" max="11267" width="61.21875" style="213" customWidth="1"/>
    <col min="11268" max="11273" width="7.33203125" style="213"/>
    <col min="11274" max="11274" width="7.33203125" style="213" customWidth="1"/>
    <col min="11275" max="11275" width="7.33203125" style="213"/>
    <col min="11276" max="11276" width="1.33203125" style="213" customWidth="1"/>
    <col min="11277" max="11277" width="5.88671875" style="213" customWidth="1"/>
    <col min="11278" max="11278" width="5.109375" style="213" customWidth="1"/>
    <col min="11279" max="11520" width="7.33203125" style="213"/>
    <col min="11521" max="11521" width="23.44140625" style="213" customWidth="1"/>
    <col min="11522" max="11522" width="1.44140625" style="213" customWidth="1"/>
    <col min="11523" max="11523" width="61.21875" style="213" customWidth="1"/>
    <col min="11524" max="11529" width="7.33203125" style="213"/>
    <col min="11530" max="11530" width="7.33203125" style="213" customWidth="1"/>
    <col min="11531" max="11531" width="7.33203125" style="213"/>
    <col min="11532" max="11532" width="1.33203125" style="213" customWidth="1"/>
    <col min="11533" max="11533" width="5.88671875" style="213" customWidth="1"/>
    <col min="11534" max="11534" width="5.109375" style="213" customWidth="1"/>
    <col min="11535" max="11776" width="7.33203125" style="213"/>
    <col min="11777" max="11777" width="23.44140625" style="213" customWidth="1"/>
    <col min="11778" max="11778" width="1.44140625" style="213" customWidth="1"/>
    <col min="11779" max="11779" width="61.21875" style="213" customWidth="1"/>
    <col min="11780" max="11785" width="7.33203125" style="213"/>
    <col min="11786" max="11786" width="7.33203125" style="213" customWidth="1"/>
    <col min="11787" max="11787" width="7.33203125" style="213"/>
    <col min="11788" max="11788" width="1.33203125" style="213" customWidth="1"/>
    <col min="11789" max="11789" width="5.88671875" style="213" customWidth="1"/>
    <col min="11790" max="11790" width="5.109375" style="213" customWidth="1"/>
    <col min="11791" max="12032" width="7.33203125" style="213"/>
    <col min="12033" max="12033" width="23.44140625" style="213" customWidth="1"/>
    <col min="12034" max="12034" width="1.44140625" style="213" customWidth="1"/>
    <col min="12035" max="12035" width="61.21875" style="213" customWidth="1"/>
    <col min="12036" max="12041" width="7.33203125" style="213"/>
    <col min="12042" max="12042" width="7.33203125" style="213" customWidth="1"/>
    <col min="12043" max="12043" width="7.33203125" style="213"/>
    <col min="12044" max="12044" width="1.33203125" style="213" customWidth="1"/>
    <col min="12045" max="12045" width="5.88671875" style="213" customWidth="1"/>
    <col min="12046" max="12046" width="5.109375" style="213" customWidth="1"/>
    <col min="12047" max="12288" width="7.33203125" style="213"/>
    <col min="12289" max="12289" width="23.44140625" style="213" customWidth="1"/>
    <col min="12290" max="12290" width="1.44140625" style="213" customWidth="1"/>
    <col min="12291" max="12291" width="61.21875" style="213" customWidth="1"/>
    <col min="12292" max="12297" width="7.33203125" style="213"/>
    <col min="12298" max="12298" width="7.33203125" style="213" customWidth="1"/>
    <col min="12299" max="12299" width="7.33203125" style="213"/>
    <col min="12300" max="12300" width="1.33203125" style="213" customWidth="1"/>
    <col min="12301" max="12301" width="5.88671875" style="213" customWidth="1"/>
    <col min="12302" max="12302" width="5.109375" style="213" customWidth="1"/>
    <col min="12303" max="12544" width="7.33203125" style="213"/>
    <col min="12545" max="12545" width="23.44140625" style="213" customWidth="1"/>
    <col min="12546" max="12546" width="1.44140625" style="213" customWidth="1"/>
    <col min="12547" max="12547" width="61.21875" style="213" customWidth="1"/>
    <col min="12548" max="12553" width="7.33203125" style="213"/>
    <col min="12554" max="12554" width="7.33203125" style="213" customWidth="1"/>
    <col min="12555" max="12555" width="7.33203125" style="213"/>
    <col min="12556" max="12556" width="1.33203125" style="213" customWidth="1"/>
    <col min="12557" max="12557" width="5.88671875" style="213" customWidth="1"/>
    <col min="12558" max="12558" width="5.109375" style="213" customWidth="1"/>
    <col min="12559" max="12800" width="7.33203125" style="213"/>
    <col min="12801" max="12801" width="23.44140625" style="213" customWidth="1"/>
    <col min="12802" max="12802" width="1.44140625" style="213" customWidth="1"/>
    <col min="12803" max="12803" width="61.21875" style="213" customWidth="1"/>
    <col min="12804" max="12809" width="7.33203125" style="213"/>
    <col min="12810" max="12810" width="7.33203125" style="213" customWidth="1"/>
    <col min="12811" max="12811" width="7.33203125" style="213"/>
    <col min="12812" max="12812" width="1.33203125" style="213" customWidth="1"/>
    <col min="12813" max="12813" width="5.88671875" style="213" customWidth="1"/>
    <col min="12814" max="12814" width="5.109375" style="213" customWidth="1"/>
    <col min="12815" max="13056" width="7.33203125" style="213"/>
    <col min="13057" max="13057" width="23.44140625" style="213" customWidth="1"/>
    <col min="13058" max="13058" width="1.44140625" style="213" customWidth="1"/>
    <col min="13059" max="13059" width="61.21875" style="213" customWidth="1"/>
    <col min="13060" max="13065" width="7.33203125" style="213"/>
    <col min="13066" max="13066" width="7.33203125" style="213" customWidth="1"/>
    <col min="13067" max="13067" width="7.33203125" style="213"/>
    <col min="13068" max="13068" width="1.33203125" style="213" customWidth="1"/>
    <col min="13069" max="13069" width="5.88671875" style="213" customWidth="1"/>
    <col min="13070" max="13070" width="5.109375" style="213" customWidth="1"/>
    <col min="13071" max="13312" width="7.33203125" style="213"/>
    <col min="13313" max="13313" width="23.44140625" style="213" customWidth="1"/>
    <col min="13314" max="13314" width="1.44140625" style="213" customWidth="1"/>
    <col min="13315" max="13315" width="61.21875" style="213" customWidth="1"/>
    <col min="13316" max="13321" width="7.33203125" style="213"/>
    <col min="13322" max="13322" width="7.33203125" style="213" customWidth="1"/>
    <col min="13323" max="13323" width="7.33203125" style="213"/>
    <col min="13324" max="13324" width="1.33203125" style="213" customWidth="1"/>
    <col min="13325" max="13325" width="5.88671875" style="213" customWidth="1"/>
    <col min="13326" max="13326" width="5.109375" style="213" customWidth="1"/>
    <col min="13327" max="13568" width="7.33203125" style="213"/>
    <col min="13569" max="13569" width="23.44140625" style="213" customWidth="1"/>
    <col min="13570" max="13570" width="1.44140625" style="213" customWidth="1"/>
    <col min="13571" max="13571" width="61.21875" style="213" customWidth="1"/>
    <col min="13572" max="13577" width="7.33203125" style="213"/>
    <col min="13578" max="13578" width="7.33203125" style="213" customWidth="1"/>
    <col min="13579" max="13579" width="7.33203125" style="213"/>
    <col min="13580" max="13580" width="1.33203125" style="213" customWidth="1"/>
    <col min="13581" max="13581" width="5.88671875" style="213" customWidth="1"/>
    <col min="13582" max="13582" width="5.109375" style="213" customWidth="1"/>
    <col min="13583" max="13824" width="7.33203125" style="213"/>
    <col min="13825" max="13825" width="23.44140625" style="213" customWidth="1"/>
    <col min="13826" max="13826" width="1.44140625" style="213" customWidth="1"/>
    <col min="13827" max="13827" width="61.21875" style="213" customWidth="1"/>
    <col min="13828" max="13833" width="7.33203125" style="213"/>
    <col min="13834" max="13834" width="7.33203125" style="213" customWidth="1"/>
    <col min="13835" max="13835" width="7.33203125" style="213"/>
    <col min="13836" max="13836" width="1.33203125" style="213" customWidth="1"/>
    <col min="13837" max="13837" width="5.88671875" style="213" customWidth="1"/>
    <col min="13838" max="13838" width="5.109375" style="213" customWidth="1"/>
    <col min="13839" max="14080" width="7.33203125" style="213"/>
    <col min="14081" max="14081" width="23.44140625" style="213" customWidth="1"/>
    <col min="14082" max="14082" width="1.44140625" style="213" customWidth="1"/>
    <col min="14083" max="14083" width="61.21875" style="213" customWidth="1"/>
    <col min="14084" max="14089" width="7.33203125" style="213"/>
    <col min="14090" max="14090" width="7.33203125" style="213" customWidth="1"/>
    <col min="14091" max="14091" width="7.33203125" style="213"/>
    <col min="14092" max="14092" width="1.33203125" style="213" customWidth="1"/>
    <col min="14093" max="14093" width="5.88671875" style="213" customWidth="1"/>
    <col min="14094" max="14094" width="5.109375" style="213" customWidth="1"/>
    <col min="14095" max="14336" width="7.33203125" style="213"/>
    <col min="14337" max="14337" width="23.44140625" style="213" customWidth="1"/>
    <col min="14338" max="14338" width="1.44140625" style="213" customWidth="1"/>
    <col min="14339" max="14339" width="61.21875" style="213" customWidth="1"/>
    <col min="14340" max="14345" width="7.33203125" style="213"/>
    <col min="14346" max="14346" width="7.33203125" style="213" customWidth="1"/>
    <col min="14347" max="14347" width="7.33203125" style="213"/>
    <col min="14348" max="14348" width="1.33203125" style="213" customWidth="1"/>
    <col min="14349" max="14349" width="5.88671875" style="213" customWidth="1"/>
    <col min="14350" max="14350" width="5.109375" style="213" customWidth="1"/>
    <col min="14351" max="14592" width="7.33203125" style="213"/>
    <col min="14593" max="14593" width="23.44140625" style="213" customWidth="1"/>
    <col min="14594" max="14594" width="1.44140625" style="213" customWidth="1"/>
    <col min="14595" max="14595" width="61.21875" style="213" customWidth="1"/>
    <col min="14596" max="14601" width="7.33203125" style="213"/>
    <col min="14602" max="14602" width="7.33203125" style="213" customWidth="1"/>
    <col min="14603" max="14603" width="7.33203125" style="213"/>
    <col min="14604" max="14604" width="1.33203125" style="213" customWidth="1"/>
    <col min="14605" max="14605" width="5.88671875" style="213" customWidth="1"/>
    <col min="14606" max="14606" width="5.109375" style="213" customWidth="1"/>
    <col min="14607" max="14848" width="7.33203125" style="213"/>
    <col min="14849" max="14849" width="23.44140625" style="213" customWidth="1"/>
    <col min="14850" max="14850" width="1.44140625" style="213" customWidth="1"/>
    <col min="14851" max="14851" width="61.21875" style="213" customWidth="1"/>
    <col min="14852" max="14857" width="7.33203125" style="213"/>
    <col min="14858" max="14858" width="7.33203125" style="213" customWidth="1"/>
    <col min="14859" max="14859" width="7.33203125" style="213"/>
    <col min="14860" max="14860" width="1.33203125" style="213" customWidth="1"/>
    <col min="14861" max="14861" width="5.88671875" style="213" customWidth="1"/>
    <col min="14862" max="14862" width="5.109375" style="213" customWidth="1"/>
    <col min="14863" max="15104" width="7.33203125" style="213"/>
    <col min="15105" max="15105" width="23.44140625" style="213" customWidth="1"/>
    <col min="15106" max="15106" width="1.44140625" style="213" customWidth="1"/>
    <col min="15107" max="15107" width="61.21875" style="213" customWidth="1"/>
    <col min="15108" max="15113" width="7.33203125" style="213"/>
    <col min="15114" max="15114" width="7.33203125" style="213" customWidth="1"/>
    <col min="15115" max="15115" width="7.33203125" style="213"/>
    <col min="15116" max="15116" width="1.33203125" style="213" customWidth="1"/>
    <col min="15117" max="15117" width="5.88671875" style="213" customWidth="1"/>
    <col min="15118" max="15118" width="5.109375" style="213" customWidth="1"/>
    <col min="15119" max="15360" width="7.33203125" style="213"/>
    <col min="15361" max="15361" width="23.44140625" style="213" customWidth="1"/>
    <col min="15362" max="15362" width="1.44140625" style="213" customWidth="1"/>
    <col min="15363" max="15363" width="61.21875" style="213" customWidth="1"/>
    <col min="15364" max="15369" width="7.33203125" style="213"/>
    <col min="15370" max="15370" width="7.33203125" style="213" customWidth="1"/>
    <col min="15371" max="15371" width="7.33203125" style="213"/>
    <col min="15372" max="15372" width="1.33203125" style="213" customWidth="1"/>
    <col min="15373" max="15373" width="5.88671875" style="213" customWidth="1"/>
    <col min="15374" max="15374" width="5.109375" style="213" customWidth="1"/>
    <col min="15375" max="15616" width="7.33203125" style="213"/>
    <col min="15617" max="15617" width="23.44140625" style="213" customWidth="1"/>
    <col min="15618" max="15618" width="1.44140625" style="213" customWidth="1"/>
    <col min="15619" max="15619" width="61.21875" style="213" customWidth="1"/>
    <col min="15620" max="15625" width="7.33203125" style="213"/>
    <col min="15626" max="15626" width="7.33203125" style="213" customWidth="1"/>
    <col min="15627" max="15627" width="7.33203125" style="213"/>
    <col min="15628" max="15628" width="1.33203125" style="213" customWidth="1"/>
    <col min="15629" max="15629" width="5.88671875" style="213" customWidth="1"/>
    <col min="15630" max="15630" width="5.109375" style="213" customWidth="1"/>
    <col min="15631" max="15872" width="7.33203125" style="213"/>
    <col min="15873" max="15873" width="23.44140625" style="213" customWidth="1"/>
    <col min="15874" max="15874" width="1.44140625" style="213" customWidth="1"/>
    <col min="15875" max="15875" width="61.21875" style="213" customWidth="1"/>
    <col min="15876" max="15881" width="7.33203125" style="213"/>
    <col min="15882" max="15882" width="7.33203125" style="213" customWidth="1"/>
    <col min="15883" max="15883" width="7.33203125" style="213"/>
    <col min="15884" max="15884" width="1.33203125" style="213" customWidth="1"/>
    <col min="15885" max="15885" width="5.88671875" style="213" customWidth="1"/>
    <col min="15886" max="15886" width="5.109375" style="213" customWidth="1"/>
    <col min="15887" max="16128" width="7.33203125" style="213"/>
    <col min="16129" max="16129" width="23.44140625" style="213" customWidth="1"/>
    <col min="16130" max="16130" width="1.44140625" style="213" customWidth="1"/>
    <col min="16131" max="16131" width="61.21875" style="213" customWidth="1"/>
    <col min="16132" max="16137" width="7.33203125" style="213"/>
    <col min="16138" max="16138" width="7.33203125" style="213" customWidth="1"/>
    <col min="16139" max="16139" width="7.33203125" style="213"/>
    <col min="16140" max="16140" width="1.33203125" style="213" customWidth="1"/>
    <col min="16141" max="16141" width="5.88671875" style="213" customWidth="1"/>
    <col min="16142" max="16142" width="5.109375" style="213" customWidth="1"/>
    <col min="16143" max="16384" width="7.33203125" style="213"/>
  </cols>
  <sheetData>
    <row r="1" spans="1:3" ht="15" customHeight="1">
      <c r="A1" s="212"/>
    </row>
    <row r="2" spans="1:3" ht="15" customHeight="1"/>
    <row r="3" spans="1:3" ht="15" customHeight="1">
      <c r="A3" s="765" t="s">
        <v>1583</v>
      </c>
      <c r="B3" s="765"/>
      <c r="C3" s="765"/>
    </row>
    <row r="4" spans="1:3" ht="15" customHeight="1"/>
    <row r="5" spans="1:3" ht="15" customHeight="1">
      <c r="A5" s="765" t="s">
        <v>1584</v>
      </c>
      <c r="B5" s="765"/>
      <c r="C5" s="765"/>
    </row>
    <row r="6" spans="1:3" ht="15" customHeight="1"/>
    <row r="7" spans="1:3" ht="15" customHeight="1">
      <c r="A7" s="765" t="str">
        <f>'Rate Case Constants'!C9</f>
        <v>KENTUCKY UTILITIES COMPANY</v>
      </c>
      <c r="B7" s="765"/>
      <c r="C7" s="765"/>
    </row>
    <row r="8" spans="1:3" ht="15" customHeight="1">
      <c r="A8"/>
      <c r="B8"/>
      <c r="C8"/>
    </row>
    <row r="9" spans="1:3" ht="15" customHeight="1">
      <c r="A9" s="765" t="str">
        <f>'Rate Case Constants'!C10</f>
        <v>CASE NO. 2018-00294</v>
      </c>
      <c r="B9" s="765"/>
      <c r="C9" s="765"/>
    </row>
    <row r="10" spans="1:3" ht="15" customHeight="1"/>
    <row r="11" spans="1:3" ht="15" customHeight="1">
      <c r="A11" s="214" t="s">
        <v>1585</v>
      </c>
      <c r="C11" s="214" t="str">
        <f>'Rate Case Constants'!C16</f>
        <v>FOR THE 12 MONTHS ENDED DECEMBER 31, 2018</v>
      </c>
    </row>
    <row r="12" spans="1:3" ht="15" customHeight="1">
      <c r="C12"/>
    </row>
    <row r="13" spans="1:3" ht="15" customHeight="1">
      <c r="A13" s="214" t="s">
        <v>1586</v>
      </c>
      <c r="C13" s="214" t="str">
        <f>'Rate Case Constants'!C22</f>
        <v>FOR THE 12 MONTHS ENDED APRIL 30, 2020</v>
      </c>
    </row>
    <row r="14" spans="1:3" ht="15" customHeight="1"/>
    <row r="15" spans="1:3" ht="15" customHeight="1"/>
    <row r="16" spans="1:3" ht="15" customHeight="1"/>
    <row r="17" spans="1:9" ht="15" customHeight="1">
      <c r="A17" s="215" t="s">
        <v>1574</v>
      </c>
      <c r="B17" s="216"/>
      <c r="C17" s="215" t="s">
        <v>205</v>
      </c>
      <c r="D17" s="217"/>
      <c r="E17" s="217"/>
      <c r="F17" s="217"/>
      <c r="G17" s="217"/>
      <c r="H17" s="217"/>
      <c r="I17" s="217"/>
    </row>
    <row r="18" spans="1:9" ht="15" customHeight="1"/>
    <row r="19" spans="1:9" ht="15" customHeight="1"/>
    <row r="20" spans="1:9" ht="15" customHeight="1">
      <c r="A20" s="218" t="s">
        <v>1563</v>
      </c>
      <c r="B20" s="219"/>
      <c r="C20" s="218" t="s">
        <v>1587</v>
      </c>
    </row>
    <row r="21" spans="1:9" ht="15" customHeight="1">
      <c r="A21" s="218" t="s">
        <v>1185</v>
      </c>
      <c r="B21" s="219"/>
      <c r="C21" s="218" t="s">
        <v>1588</v>
      </c>
    </row>
    <row r="22" spans="1:9" ht="15" customHeight="1">
      <c r="A22" s="218" t="s">
        <v>1564</v>
      </c>
      <c r="B22" s="219"/>
      <c r="C22" s="218" t="s">
        <v>221</v>
      </c>
    </row>
    <row r="23" spans="1:9" ht="15" customHeight="1">
      <c r="A23" s="218" t="s">
        <v>1565</v>
      </c>
      <c r="B23" s="219"/>
      <c r="C23" s="218" t="s">
        <v>215</v>
      </c>
    </row>
    <row r="24" spans="1:9" ht="15" customHeight="1">
      <c r="A24" s="213" t="s">
        <v>1566</v>
      </c>
      <c r="C24" s="213" t="s">
        <v>1589</v>
      </c>
    </row>
    <row r="25" spans="1:9" ht="15" customHeight="1">
      <c r="A25" s="213" t="s">
        <v>1567</v>
      </c>
      <c r="C25" s="213" t="s">
        <v>179</v>
      </c>
    </row>
    <row r="26" spans="1:9" ht="15" customHeight="1">
      <c r="A26" s="213" t="s">
        <v>1568</v>
      </c>
      <c r="C26" s="213" t="s">
        <v>186</v>
      </c>
    </row>
    <row r="27" spans="1:9" ht="15" customHeight="1">
      <c r="A27" s="213" t="s">
        <v>1186</v>
      </c>
      <c r="C27" s="213" t="s">
        <v>195</v>
      </c>
    </row>
    <row r="28" spans="1:9" ht="15" customHeight="1">
      <c r="A28" s="213" t="s">
        <v>1575</v>
      </c>
      <c r="C28" s="213" t="s">
        <v>208</v>
      </c>
    </row>
    <row r="29" spans="1:9" ht="15" customHeight="1">
      <c r="A29" s="213" t="s">
        <v>1187</v>
      </c>
      <c r="C29" s="213" t="s">
        <v>1200</v>
      </c>
    </row>
    <row r="30" spans="1:9" ht="15" customHeight="1">
      <c r="A30" s="213" t="s">
        <v>1569</v>
      </c>
      <c r="C30" s="213" t="s">
        <v>1207</v>
      </c>
    </row>
    <row r="31" spans="1:9" ht="15" customHeight="1">
      <c r="A31" s="213" t="s">
        <v>2021</v>
      </c>
      <c r="C31" s="213" t="s">
        <v>1243</v>
      </c>
    </row>
    <row r="32" spans="1:9" ht="15" customHeight="1">
      <c r="A32" s="213" t="s">
        <v>1189</v>
      </c>
      <c r="C32" s="213" t="s">
        <v>476</v>
      </c>
    </row>
    <row r="33" spans="1:5" ht="15" customHeight="1">
      <c r="A33" s="213" t="s">
        <v>1570</v>
      </c>
      <c r="C33" s="213" t="s">
        <v>1713</v>
      </c>
    </row>
    <row r="34" spans="1:5" ht="15" customHeight="1">
      <c r="A34" s="213" t="s">
        <v>2022</v>
      </c>
      <c r="C34" s="213" t="s">
        <v>1219</v>
      </c>
    </row>
    <row r="35" spans="1:5" ht="15" customHeight="1">
      <c r="A35" s="213" t="s">
        <v>1188</v>
      </c>
      <c r="C35" s="213" t="s">
        <v>1418</v>
      </c>
    </row>
    <row r="36" spans="1:5" ht="15" customHeight="1">
      <c r="A36" s="213" t="s">
        <v>1430</v>
      </c>
      <c r="C36" s="213" t="s">
        <v>1435</v>
      </c>
    </row>
    <row r="37" spans="1:5" ht="15" customHeight="1">
      <c r="A37" s="213" t="s">
        <v>1431</v>
      </c>
      <c r="C37" s="213" t="s">
        <v>1436</v>
      </c>
    </row>
    <row r="38" spans="1:5" ht="15" customHeight="1">
      <c r="A38" s="213" t="s">
        <v>1192</v>
      </c>
      <c r="C38" s="213" t="s">
        <v>1590</v>
      </c>
    </row>
    <row r="39" spans="1:5" ht="15" customHeight="1">
      <c r="A39" s="213" t="s">
        <v>1571</v>
      </c>
      <c r="C39" s="213" t="s">
        <v>1591</v>
      </c>
    </row>
    <row r="40" spans="1:5" ht="15" customHeight="1">
      <c r="A40" s="213" t="s">
        <v>1572</v>
      </c>
      <c r="C40" s="213" t="s">
        <v>1469</v>
      </c>
    </row>
    <row r="41" spans="1:5" ht="15" customHeight="1">
      <c r="A41" s="213" t="s">
        <v>1573</v>
      </c>
      <c r="C41" s="213" t="s">
        <v>1592</v>
      </c>
    </row>
    <row r="42" spans="1:5" ht="15" customHeight="1">
      <c r="A42" s="213" t="s">
        <v>1576</v>
      </c>
      <c r="C42" s="213" t="s">
        <v>1456</v>
      </c>
    </row>
    <row r="43" spans="1:5">
      <c r="D43" s="220"/>
      <c r="E43" s="220"/>
    </row>
    <row r="44" spans="1:5">
      <c r="D44" s="220"/>
      <c r="E44" s="220"/>
    </row>
    <row r="45" spans="1:5">
      <c r="D45" s="220"/>
      <c r="E45" s="220"/>
    </row>
    <row r="46" spans="1:5">
      <c r="D46" s="220"/>
      <c r="E46" s="220"/>
    </row>
    <row r="47" spans="1:5">
      <c r="D47" s="220"/>
      <c r="E47" s="220"/>
    </row>
    <row r="48" spans="1:5">
      <c r="D48" s="220"/>
      <c r="E48" s="220"/>
    </row>
    <row r="49" spans="4:5">
      <c r="D49" s="220"/>
      <c r="E49" s="220"/>
    </row>
    <row r="50" spans="4:5">
      <c r="D50" s="220"/>
      <c r="E50" s="220"/>
    </row>
    <row r="51" spans="4:5">
      <c r="D51" s="220"/>
      <c r="E51" s="220"/>
    </row>
    <row r="52" spans="4:5">
      <c r="D52" s="220"/>
      <c r="E52" s="220"/>
    </row>
  </sheetData>
  <mergeCells count="4">
    <mergeCell ref="A3:C3"/>
    <mergeCell ref="A5:C5"/>
    <mergeCell ref="A7:C7"/>
    <mergeCell ref="A9:C9"/>
  </mergeCells>
  <printOptions horizontalCentered="1"/>
  <pageMargins left="1" right="0.75" top="1" bottom="0.75" header="0.3" footer="0.3"/>
  <pageSetup scale="9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Q47"/>
  <sheetViews>
    <sheetView workbookViewId="0">
      <pane xSplit="2" ySplit="3" topLeftCell="C4" activePane="bottomRight" state="frozen"/>
      <selection pane="topRight" activeCell="B1" sqref="B1"/>
      <selection pane="bottomLeft" activeCell="A4" sqref="A4"/>
      <selection pane="bottomRight" activeCell="C37" sqref="C37"/>
    </sheetView>
  </sheetViews>
  <sheetFormatPr defaultColWidth="7.77734375" defaultRowHeight="15"/>
  <cols>
    <col min="1" max="1" width="16.109375" style="235" customWidth="1"/>
    <col min="2" max="2" width="26.88671875" style="451" customWidth="1"/>
    <col min="3" max="3" width="9.33203125" style="460" customWidth="1"/>
    <col min="4" max="16" width="9.33203125" style="452" customWidth="1"/>
    <col min="17" max="17" width="9.44140625" style="452" bestFit="1" customWidth="1"/>
    <col min="18" max="16384" width="7.77734375" style="235"/>
  </cols>
  <sheetData>
    <row r="1" spans="1:17" s="401" customFormat="1" ht="18.75">
      <c r="B1" s="432"/>
      <c r="C1" s="455"/>
      <c r="D1" s="453"/>
      <c r="E1" s="453"/>
      <c r="F1" s="453"/>
      <c r="G1" s="453"/>
      <c r="H1" s="453"/>
      <c r="I1" s="453"/>
      <c r="J1" s="453"/>
      <c r="K1" s="453"/>
      <c r="L1" s="453"/>
      <c r="M1" s="453"/>
      <c r="N1" s="453"/>
      <c r="O1" s="453"/>
      <c r="P1" s="453"/>
      <c r="Q1" s="453"/>
    </row>
    <row r="2" spans="1:17" s="401" customFormat="1" ht="30">
      <c r="A2" s="401" t="s">
        <v>2220</v>
      </c>
      <c r="B2" s="402" t="s">
        <v>2183</v>
      </c>
      <c r="C2" s="455" t="s">
        <v>2216</v>
      </c>
      <c r="D2" s="445" t="s">
        <v>2532</v>
      </c>
      <c r="E2" s="445" t="s">
        <v>2533</v>
      </c>
      <c r="F2" s="445" t="s">
        <v>2534</v>
      </c>
      <c r="G2" s="445" t="s">
        <v>2535</v>
      </c>
      <c r="H2" s="445" t="s">
        <v>2536</v>
      </c>
      <c r="I2" s="445" t="s">
        <v>2537</v>
      </c>
      <c r="J2" s="445" t="s">
        <v>2538</v>
      </c>
      <c r="K2" s="445" t="s">
        <v>2539</v>
      </c>
      <c r="L2" s="445" t="s">
        <v>2540</v>
      </c>
      <c r="M2" s="445" t="s">
        <v>2541</v>
      </c>
      <c r="N2" s="445" t="s">
        <v>2542</v>
      </c>
      <c r="O2" s="445" t="s">
        <v>2543</v>
      </c>
      <c r="P2" s="445" t="s">
        <v>2544</v>
      </c>
      <c r="Q2" s="445" t="s">
        <v>2221</v>
      </c>
    </row>
    <row r="3" spans="1:17" s="401" customFormat="1">
      <c r="B3" s="444"/>
      <c r="C3" s="455"/>
      <c r="D3" s="445"/>
      <c r="E3" s="445"/>
      <c r="F3" s="445"/>
      <c r="G3" s="445"/>
      <c r="H3" s="445"/>
      <c r="I3" s="445"/>
      <c r="J3" s="445"/>
      <c r="K3" s="445"/>
      <c r="L3" s="445"/>
      <c r="M3" s="445"/>
      <c r="N3" s="445"/>
      <c r="O3" s="445"/>
      <c r="P3" s="445"/>
      <c r="Q3" s="445"/>
    </row>
    <row r="4" spans="1:17">
      <c r="B4" s="446"/>
      <c r="D4" s="447"/>
      <c r="E4" s="447"/>
      <c r="F4" s="447"/>
      <c r="G4" s="447"/>
      <c r="H4" s="447"/>
      <c r="I4" s="447"/>
      <c r="J4" s="447"/>
      <c r="K4" s="447"/>
      <c r="L4" s="447"/>
      <c r="M4" s="447"/>
      <c r="N4" s="447"/>
      <c r="O4" s="447"/>
      <c r="P4" s="447"/>
      <c r="Q4" s="461"/>
    </row>
    <row r="5" spans="1:17">
      <c r="B5" s="448" t="s">
        <v>1481</v>
      </c>
      <c r="D5" s="449"/>
      <c r="E5" s="449"/>
      <c r="F5" s="449"/>
      <c r="G5" s="449"/>
      <c r="H5" s="449"/>
      <c r="I5" s="449"/>
      <c r="J5" s="449"/>
      <c r="K5" s="449"/>
      <c r="L5" s="449"/>
      <c r="M5" s="449"/>
      <c r="N5" s="449"/>
      <c r="O5" s="449"/>
      <c r="P5" s="449"/>
      <c r="Q5" s="450"/>
    </row>
    <row r="6" spans="1:17">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446" t="s">
        <v>1482</v>
      </c>
      <c r="C6" s="457" t="str">
        <f t="shared" ref="C6:C47" si="1">IF(ISTEXT(MID($B6,SEARCH("FUTURE USE",$B6),3)),"FUTURE USE",IF(ISTEXT(MID($B6,SEARCH("ECR",$B6),3)),"ECR",IF(ISTEXT(MID($B6,SEARCH("ARO",$B6),3)),"ARO",IF(ISTEXT(MID($B6,SEARCH("DSM",$B6),3)),"DSM",IF(ISTEXT(MID($B6,SEARCH("GLT",$B6),3)),"GLT","")))))</f>
        <v/>
      </c>
      <c r="D6" s="450">
        <v>14335.42909</v>
      </c>
      <c r="E6" s="450">
        <v>17628.26686</v>
      </c>
      <c r="F6" s="450">
        <v>20059.201270000001</v>
      </c>
      <c r="G6" s="450">
        <v>23025.241239999999</v>
      </c>
      <c r="H6" s="450">
        <v>23836.913430000001</v>
      </c>
      <c r="I6" s="450">
        <v>26044.20695</v>
      </c>
      <c r="J6" s="450">
        <v>27264.590639999999</v>
      </c>
      <c r="K6" s="450">
        <v>29881.363130000002</v>
      </c>
      <c r="L6" s="450">
        <v>13470.505950000001</v>
      </c>
      <c r="M6" s="450">
        <v>15143.661620000001</v>
      </c>
      <c r="N6" s="450">
        <v>19129.570749999999</v>
      </c>
      <c r="O6" s="450">
        <v>20988.950250000002</v>
      </c>
      <c r="P6" s="450">
        <v>22747.97885</v>
      </c>
      <c r="Q6" s="462">
        <f>SUM(D6:P6)/13</f>
        <v>21042.760002307692</v>
      </c>
    </row>
    <row r="7" spans="1:17">
      <c r="A7" s="235" t="str">
        <f t="shared" si="0"/>
        <v>DISTRIBUTION</v>
      </c>
      <c r="B7" s="446" t="s">
        <v>1483</v>
      </c>
      <c r="C7" s="457" t="str">
        <f t="shared" si="1"/>
        <v/>
      </c>
      <c r="D7" s="450">
        <v>1.98951966012828E-13</v>
      </c>
      <c r="E7" s="450">
        <v>1.98951966012828E-13</v>
      </c>
      <c r="F7" s="450">
        <v>118.5986</v>
      </c>
      <c r="G7" s="450">
        <v>2.2737367544323201E-13</v>
      </c>
      <c r="H7" s="450">
        <v>2.2737367544323201E-13</v>
      </c>
      <c r="I7" s="450">
        <v>2.2737367544323201E-13</v>
      </c>
      <c r="J7" s="450">
        <v>2.2737367544323201E-13</v>
      </c>
      <c r="K7" s="450">
        <v>2.2737367544323201E-13</v>
      </c>
      <c r="L7" s="450">
        <v>2.2737367544323201E-13</v>
      </c>
      <c r="M7" s="450">
        <v>1.7053025658242399E-13</v>
      </c>
      <c r="N7" s="450">
        <v>1.4210854715202001E-13</v>
      </c>
      <c r="O7" s="450">
        <v>1.13686837721616E-13</v>
      </c>
      <c r="P7" s="450">
        <v>1.13686837721616E-13</v>
      </c>
      <c r="Q7" s="462">
        <f t="shared" ref="Q7:Q45" si="2">SUM(D7:P7)/13</f>
        <v>9.1229692307694084</v>
      </c>
    </row>
    <row r="8" spans="1:17">
      <c r="A8" s="235" t="str">
        <f t="shared" si="0"/>
        <v>GENERAL</v>
      </c>
      <c r="B8" s="446" t="s">
        <v>1484</v>
      </c>
      <c r="C8" s="457" t="str">
        <f t="shared" si="1"/>
        <v/>
      </c>
      <c r="D8" s="450">
        <v>11801.68001</v>
      </c>
      <c r="E8" s="450">
        <v>13883.994849999999</v>
      </c>
      <c r="F8" s="450">
        <v>8413.3818100000008</v>
      </c>
      <c r="G8" s="450">
        <v>9777.81538</v>
      </c>
      <c r="H8" s="450">
        <v>10961.52565</v>
      </c>
      <c r="I8" s="450">
        <v>11856.591200000001</v>
      </c>
      <c r="J8" s="450">
        <v>13058.40503</v>
      </c>
      <c r="K8" s="450">
        <v>9872.3908699999993</v>
      </c>
      <c r="L8" s="450">
        <v>6864.1894700000003</v>
      </c>
      <c r="M8" s="450">
        <v>7380.5266199999996</v>
      </c>
      <c r="N8" s="450">
        <v>8084.1430099999998</v>
      </c>
      <c r="O8" s="450">
        <v>10219.239079999999</v>
      </c>
      <c r="P8" s="450">
        <v>12110.522569999999</v>
      </c>
      <c r="Q8" s="462">
        <f t="shared" si="2"/>
        <v>10329.569657692307</v>
      </c>
    </row>
    <row r="9" spans="1:17">
      <c r="A9" s="235" t="str">
        <f t="shared" si="0"/>
        <v>GENERAL</v>
      </c>
      <c r="B9" s="446" t="s">
        <v>1485</v>
      </c>
      <c r="C9" s="457" t="str">
        <f t="shared" si="1"/>
        <v/>
      </c>
      <c r="D9" s="450">
        <v>3750.9818799999998</v>
      </c>
      <c r="E9" s="450">
        <v>4079.2017500000002</v>
      </c>
      <c r="F9" s="450">
        <v>4358.9691499999999</v>
      </c>
      <c r="G9" s="450">
        <v>51.0645000000004</v>
      </c>
      <c r="H9" s="450">
        <v>51.0645000000004</v>
      </c>
      <c r="I9" s="450">
        <v>51.0645000000004</v>
      </c>
      <c r="J9" s="450">
        <v>51.0645000000004</v>
      </c>
      <c r="K9" s="450">
        <v>51.0645000000004</v>
      </c>
      <c r="L9" s="450">
        <v>51.0645000000004</v>
      </c>
      <c r="M9" s="450">
        <v>51.0645000000004</v>
      </c>
      <c r="N9" s="450">
        <v>51.0645000000004</v>
      </c>
      <c r="O9" s="450">
        <v>51.0645000000004</v>
      </c>
      <c r="P9" s="450">
        <v>51.0645000000004</v>
      </c>
      <c r="Q9" s="462">
        <f t="shared" si="2"/>
        <v>976.90752153846188</v>
      </c>
    </row>
    <row r="10" spans="1:17">
      <c r="A10" s="235" t="str">
        <f t="shared" si="0"/>
        <v>PRODUCTION</v>
      </c>
      <c r="B10" s="446" t="s">
        <v>1486</v>
      </c>
      <c r="C10" s="457" t="str">
        <f t="shared" si="1"/>
        <v/>
      </c>
      <c r="D10" s="450">
        <v>216.75023052742199</v>
      </c>
      <c r="E10" s="450">
        <v>216.75023052742199</v>
      </c>
      <c r="F10" s="450">
        <v>216.75023052742199</v>
      </c>
      <c r="G10" s="450">
        <v>216.75023052742199</v>
      </c>
      <c r="H10" s="450">
        <v>216.75023052742199</v>
      </c>
      <c r="I10" s="450">
        <v>216.75023052742199</v>
      </c>
      <c r="J10" s="450">
        <v>216.75023052742199</v>
      </c>
      <c r="K10" s="450">
        <v>216.75023052742199</v>
      </c>
      <c r="L10" s="450">
        <v>216.75023052742199</v>
      </c>
      <c r="M10" s="450">
        <v>216.75023052742199</v>
      </c>
      <c r="N10" s="450">
        <v>216.75023052742199</v>
      </c>
      <c r="O10" s="450">
        <v>216.75023052742199</v>
      </c>
      <c r="P10" s="450">
        <v>216.75023052742199</v>
      </c>
      <c r="Q10" s="462">
        <f t="shared" si="2"/>
        <v>216.75023052742199</v>
      </c>
    </row>
    <row r="11" spans="1:17">
      <c r="A11" s="235" t="str">
        <f t="shared" si="0"/>
        <v>INTANGIBLE</v>
      </c>
      <c r="B11" s="446" t="s">
        <v>1487</v>
      </c>
      <c r="C11" s="457" t="str">
        <f t="shared" si="1"/>
        <v/>
      </c>
      <c r="D11" s="450">
        <v>14360.66613</v>
      </c>
      <c r="E11" s="450">
        <v>15352.32799</v>
      </c>
      <c r="F11" s="450">
        <v>10417.483689999901</v>
      </c>
      <c r="G11" s="450">
        <v>11294.969219999901</v>
      </c>
      <c r="H11" s="450">
        <v>12302.9198499999</v>
      </c>
      <c r="I11" s="450">
        <v>13330.9271399999</v>
      </c>
      <c r="J11" s="450">
        <v>14126.5830999999</v>
      </c>
      <c r="K11" s="450">
        <v>13882.8195399999</v>
      </c>
      <c r="L11" s="450">
        <v>12570.7571099999</v>
      </c>
      <c r="M11" s="450">
        <v>13189.8434799999</v>
      </c>
      <c r="N11" s="450">
        <v>14193.6023699999</v>
      </c>
      <c r="O11" s="450">
        <v>9278.4503199999908</v>
      </c>
      <c r="P11" s="450">
        <v>9927.9604499999896</v>
      </c>
      <c r="Q11" s="462">
        <f t="shared" si="2"/>
        <v>12633.023876153777</v>
      </c>
    </row>
    <row r="12" spans="1:17">
      <c r="A12" s="235" t="str">
        <f t="shared" si="0"/>
        <v/>
      </c>
      <c r="B12" s="446" t="s">
        <v>1488</v>
      </c>
      <c r="C12" s="457" t="str">
        <f t="shared" si="1"/>
        <v/>
      </c>
      <c r="D12" s="450">
        <v>20.000539999999901</v>
      </c>
      <c r="E12" s="450">
        <v>20.000539999999901</v>
      </c>
      <c r="F12" s="450">
        <v>20.000539999999901</v>
      </c>
      <c r="G12" s="450">
        <v>20.000539999999901</v>
      </c>
      <c r="H12" s="450">
        <v>20.000539999999901</v>
      </c>
      <c r="I12" s="450">
        <v>20.000539999999901</v>
      </c>
      <c r="J12" s="450">
        <v>20.000539999999901</v>
      </c>
      <c r="K12" s="450">
        <v>20.000539999999798</v>
      </c>
      <c r="L12" s="450">
        <v>-1.13686837721616E-13</v>
      </c>
      <c r="M12" s="450">
        <v>-1.13686837721616E-13</v>
      </c>
      <c r="N12" s="450">
        <v>-1.13686837721616E-13</v>
      </c>
      <c r="O12" s="450">
        <v>-1.13686837721616E-13</v>
      </c>
      <c r="P12" s="450">
        <v>-1.13686837721616E-13</v>
      </c>
      <c r="Q12" s="462">
        <f t="shared" si="2"/>
        <v>12.308024615384504</v>
      </c>
    </row>
    <row r="13" spans="1:17">
      <c r="A13" s="235" t="str">
        <f t="shared" si="0"/>
        <v/>
      </c>
      <c r="B13" s="446" t="s">
        <v>2518</v>
      </c>
      <c r="C13" s="457" t="str">
        <f t="shared" si="1"/>
        <v/>
      </c>
      <c r="D13" s="450">
        <v>0</v>
      </c>
      <c r="E13" s="450">
        <v>0</v>
      </c>
      <c r="F13" s="450">
        <v>0</v>
      </c>
      <c r="G13" s="450">
        <v>0</v>
      </c>
      <c r="H13" s="450">
        <v>0</v>
      </c>
      <c r="I13" s="450">
        <v>0</v>
      </c>
      <c r="J13" s="450">
        <v>0</v>
      </c>
      <c r="K13" s="450">
        <v>0</v>
      </c>
      <c r="L13" s="450">
        <v>0</v>
      </c>
      <c r="M13" s="450">
        <v>0</v>
      </c>
      <c r="N13" s="450">
        <v>0</v>
      </c>
      <c r="O13" s="450">
        <v>0</v>
      </c>
      <c r="P13" s="450">
        <v>0</v>
      </c>
      <c r="Q13" s="462">
        <f t="shared" si="2"/>
        <v>0</v>
      </c>
    </row>
    <row r="14" spans="1:17">
      <c r="A14" s="235" t="str">
        <f t="shared" si="0"/>
        <v>PRODUCTION</v>
      </c>
      <c r="B14" s="446" t="s">
        <v>1489</v>
      </c>
      <c r="C14" s="457" t="str">
        <f t="shared" si="1"/>
        <v/>
      </c>
      <c r="D14" s="450">
        <v>23811.067131726901</v>
      </c>
      <c r="E14" s="450">
        <v>15036.377988443701</v>
      </c>
      <c r="F14" s="450">
        <v>17575.097126435099</v>
      </c>
      <c r="G14" s="450">
        <v>22551.0297075827</v>
      </c>
      <c r="H14" s="450">
        <v>24066.5433323609</v>
      </c>
      <c r="I14" s="450">
        <v>2369.4340943651</v>
      </c>
      <c r="J14" s="450">
        <v>3110.7410843651001</v>
      </c>
      <c r="K14" s="450">
        <v>2975.1240343651002</v>
      </c>
      <c r="L14" s="450">
        <v>971.58501436510096</v>
      </c>
      <c r="M14" s="450">
        <v>1105.9335543651</v>
      </c>
      <c r="N14" s="450">
        <v>865.97221436510097</v>
      </c>
      <c r="O14" s="450">
        <v>13364.1003043651</v>
      </c>
      <c r="P14" s="450">
        <v>4.3705943651075296</v>
      </c>
      <c r="Q14" s="462">
        <f t="shared" si="2"/>
        <v>9831.3366293438557</v>
      </c>
    </row>
    <row r="15" spans="1:17">
      <c r="A15" s="235" t="str">
        <f t="shared" si="0"/>
        <v>PRODUCTION</v>
      </c>
      <c r="B15" s="446" t="s">
        <v>1490</v>
      </c>
      <c r="C15" s="457" t="str">
        <f t="shared" si="1"/>
        <v/>
      </c>
      <c r="D15" s="450">
        <v>26164.7686399999</v>
      </c>
      <c r="E15" s="450">
        <v>23607.004569999899</v>
      </c>
      <c r="F15" s="450">
        <v>15472.7420199999</v>
      </c>
      <c r="G15" s="450">
        <v>17127.909959999899</v>
      </c>
      <c r="H15" s="450">
        <v>21288.343129999899</v>
      </c>
      <c r="I15" s="450">
        <v>23791.867519999902</v>
      </c>
      <c r="J15" s="450">
        <v>38346.5313199999</v>
      </c>
      <c r="K15" s="450">
        <v>31547.338399999899</v>
      </c>
      <c r="L15" s="450">
        <v>14744.922259999899</v>
      </c>
      <c r="M15" s="450">
        <v>15078.3673799999</v>
      </c>
      <c r="N15" s="450">
        <v>18780.188379999901</v>
      </c>
      <c r="O15" s="450">
        <v>27609.6731599999</v>
      </c>
      <c r="P15" s="450">
        <v>42494.3809599999</v>
      </c>
      <c r="Q15" s="462">
        <f t="shared" si="2"/>
        <v>24311.849053846054</v>
      </c>
    </row>
    <row r="16" spans="1:17">
      <c r="A16" s="235" t="str">
        <f t="shared" si="0"/>
        <v>PRODUCTION</v>
      </c>
      <c r="B16" s="446" t="s">
        <v>1491</v>
      </c>
      <c r="C16" s="457" t="str">
        <f t="shared" si="1"/>
        <v>ECR</v>
      </c>
      <c r="D16" s="450">
        <v>50696.530709999999</v>
      </c>
      <c r="E16" s="450">
        <v>51832.334499999997</v>
      </c>
      <c r="F16" s="450">
        <v>53518.218289999997</v>
      </c>
      <c r="G16" s="450">
        <v>55371.502079999998</v>
      </c>
      <c r="H16" s="450">
        <v>57068.545870000002</v>
      </c>
      <c r="I16" s="450">
        <v>59064.749660000001</v>
      </c>
      <c r="J16" s="450">
        <v>60540.352350000001</v>
      </c>
      <c r="K16" s="450">
        <v>38575.625959999998</v>
      </c>
      <c r="L16" s="450">
        <v>0</v>
      </c>
      <c r="M16" s="450">
        <v>0</v>
      </c>
      <c r="N16" s="450">
        <v>0</v>
      </c>
      <c r="O16" s="450">
        <v>0</v>
      </c>
      <c r="P16" s="450">
        <v>0</v>
      </c>
      <c r="Q16" s="462">
        <f t="shared" si="2"/>
        <v>32820.604570769225</v>
      </c>
    </row>
    <row r="17" spans="1:17">
      <c r="A17" s="235" t="str">
        <f t="shared" si="0"/>
        <v>PRODUCTION</v>
      </c>
      <c r="B17" s="446" t="s">
        <v>1492</v>
      </c>
      <c r="C17" s="457" t="str">
        <f t="shared" si="1"/>
        <v>ECR</v>
      </c>
      <c r="D17" s="450">
        <v>496.01754975832898</v>
      </c>
      <c r="E17" s="450">
        <v>496.20738832702199</v>
      </c>
      <c r="F17" s="450">
        <v>496.40188054579301</v>
      </c>
      <c r="G17" s="450">
        <v>496.65841826730201</v>
      </c>
      <c r="H17" s="450">
        <v>496.923722864448</v>
      </c>
      <c r="I17" s="450">
        <v>497.18844382163098</v>
      </c>
      <c r="J17" s="450">
        <v>2409.2347328897099</v>
      </c>
      <c r="K17" s="450">
        <v>3471.1516709062298</v>
      </c>
      <c r="L17" s="450">
        <v>896.64801185992405</v>
      </c>
      <c r="M17" s="450">
        <v>896.64801185992405</v>
      </c>
      <c r="N17" s="450">
        <v>896.64801185992405</v>
      </c>
      <c r="O17" s="450">
        <v>46.684011859924297</v>
      </c>
      <c r="P17" s="450">
        <v>46.684011859924297</v>
      </c>
      <c r="Q17" s="462">
        <f t="shared" si="2"/>
        <v>895.62275897539143</v>
      </c>
    </row>
    <row r="18" spans="1:17">
      <c r="A18" s="235" t="str">
        <f t="shared" si="0"/>
        <v>PRODUCTION</v>
      </c>
      <c r="B18" s="446" t="s">
        <v>2219</v>
      </c>
      <c r="C18" s="457" t="str">
        <f t="shared" si="1"/>
        <v>ECR</v>
      </c>
      <c r="D18" s="450">
        <v>187339.020066103</v>
      </c>
      <c r="E18" s="450">
        <v>58268.059592018697</v>
      </c>
      <c r="F18" s="450">
        <v>57686.338509137197</v>
      </c>
      <c r="G18" s="450">
        <v>62404.650887453099</v>
      </c>
      <c r="H18" s="450">
        <v>67770.138903746207</v>
      </c>
      <c r="I18" s="450">
        <v>72027.511097325303</v>
      </c>
      <c r="J18" s="450">
        <v>58568.940530771499</v>
      </c>
      <c r="K18" s="450">
        <v>61026.134817851402</v>
      </c>
      <c r="L18" s="450">
        <v>31924.2379884193</v>
      </c>
      <c r="M18" s="450">
        <v>32184.3260695959</v>
      </c>
      <c r="N18" s="450">
        <v>32444.3643657596</v>
      </c>
      <c r="O18" s="450">
        <v>32804.407595155899</v>
      </c>
      <c r="P18" s="450">
        <v>33314.467985260198</v>
      </c>
      <c r="Q18" s="462">
        <f t="shared" si="2"/>
        <v>60597.122954507475</v>
      </c>
    </row>
    <row r="19" spans="1:17">
      <c r="A19" s="235" t="str">
        <f t="shared" si="0"/>
        <v>TRANSMISSION</v>
      </c>
      <c r="B19" s="446" t="s">
        <v>1494</v>
      </c>
      <c r="C19" s="457" t="str">
        <f t="shared" si="1"/>
        <v/>
      </c>
      <c r="D19" s="450">
        <v>48697.006199999902</v>
      </c>
      <c r="E19" s="450">
        <v>50815.583949999898</v>
      </c>
      <c r="F19" s="450">
        <v>53515.9513899999</v>
      </c>
      <c r="G19" s="450">
        <v>55919.767379999903</v>
      </c>
      <c r="H19" s="450">
        <v>61534.599509999898</v>
      </c>
      <c r="I19" s="450">
        <v>70108.243889999896</v>
      </c>
      <c r="J19" s="450">
        <v>77376.843009999895</v>
      </c>
      <c r="K19" s="450">
        <v>84905.069439999905</v>
      </c>
      <c r="L19" s="450">
        <v>42017.324899999898</v>
      </c>
      <c r="M19" s="450">
        <v>52898.666109999896</v>
      </c>
      <c r="N19" s="450">
        <v>59137.411209999897</v>
      </c>
      <c r="O19" s="450">
        <v>69633.075019999902</v>
      </c>
      <c r="P19" s="450">
        <v>71889.053229999903</v>
      </c>
      <c r="Q19" s="462">
        <f t="shared" si="2"/>
        <v>61419.122710769137</v>
      </c>
    </row>
    <row r="20" spans="1:17">
      <c r="A20" s="235" t="str">
        <f t="shared" si="0"/>
        <v>TRANSMISSION</v>
      </c>
      <c r="B20" s="446" t="s">
        <v>1495</v>
      </c>
      <c r="C20" s="457" t="str">
        <f t="shared" si="1"/>
        <v/>
      </c>
      <c r="D20" s="450">
        <v>1731.45515</v>
      </c>
      <c r="E20" s="450">
        <v>2276.6958800000002</v>
      </c>
      <c r="F20" s="450">
        <v>2831.7282799999998</v>
      </c>
      <c r="G20" s="450">
        <v>2885.5043999999998</v>
      </c>
      <c r="H20" s="450">
        <v>2938.3908000000001</v>
      </c>
      <c r="I20" s="450">
        <v>2993.7886600000002</v>
      </c>
      <c r="J20" s="450">
        <v>3252.5345600000001</v>
      </c>
      <c r="K20" s="450">
        <v>3511.2804599999999</v>
      </c>
      <c r="L20" s="450">
        <v>3502.6406999999999</v>
      </c>
      <c r="M20" s="450">
        <v>3961.2691299999901</v>
      </c>
      <c r="N20" s="450">
        <v>4394.8975199999904</v>
      </c>
      <c r="O20" s="450">
        <v>5134.8732199999904</v>
      </c>
      <c r="P20" s="450">
        <v>6319.8888999999999</v>
      </c>
      <c r="Q20" s="462">
        <f t="shared" si="2"/>
        <v>3518.0728969230745</v>
      </c>
    </row>
    <row r="21" spans="1:17">
      <c r="B21" s="446"/>
      <c r="C21" s="457"/>
      <c r="D21" s="450"/>
      <c r="E21" s="450"/>
      <c r="F21" s="450"/>
      <c r="G21" s="450"/>
      <c r="H21" s="450"/>
      <c r="I21" s="450"/>
      <c r="J21" s="450"/>
      <c r="K21" s="450"/>
      <c r="L21" s="450"/>
      <c r="M21" s="450"/>
      <c r="N21" s="450"/>
      <c r="O21" s="450"/>
      <c r="P21" s="450"/>
      <c r="Q21" s="462">
        <f>SUM(Q6:Q20)</f>
        <v>238614.17385720005</v>
      </c>
    </row>
    <row r="22" spans="1:17">
      <c r="B22" s="446"/>
      <c r="C22" s="457"/>
      <c r="D22" s="450"/>
      <c r="E22" s="450"/>
      <c r="F22" s="450"/>
      <c r="G22" s="450"/>
      <c r="H22" s="450"/>
      <c r="I22" s="450"/>
      <c r="J22" s="450"/>
      <c r="K22" s="450"/>
      <c r="L22" s="450"/>
      <c r="M22" s="450"/>
      <c r="N22" s="450"/>
      <c r="O22" s="450"/>
      <c r="P22" s="450"/>
      <c r="Q22" s="462"/>
    </row>
    <row r="23" spans="1:17">
      <c r="A23" s="235" t="str">
        <f t="shared" si="0"/>
        <v/>
      </c>
      <c r="B23" s="446"/>
      <c r="C23" s="457" t="str">
        <f t="shared" si="1"/>
        <v/>
      </c>
      <c r="D23" s="450"/>
      <c r="E23" s="450"/>
      <c r="F23" s="450"/>
      <c r="G23" s="450"/>
      <c r="H23" s="450"/>
      <c r="I23" s="450"/>
      <c r="J23" s="450"/>
      <c r="K23" s="450"/>
      <c r="L23" s="450"/>
      <c r="M23" s="450"/>
      <c r="N23" s="450"/>
      <c r="O23" s="450"/>
      <c r="P23" s="450"/>
      <c r="Q23" s="462"/>
    </row>
    <row r="24" spans="1:17">
      <c r="A24" s="235" t="str">
        <f t="shared" si="0"/>
        <v/>
      </c>
      <c r="B24" s="448" t="s">
        <v>1497</v>
      </c>
      <c r="C24" s="457" t="str">
        <f t="shared" si="1"/>
        <v/>
      </c>
      <c r="D24" s="450">
        <v>0</v>
      </c>
      <c r="E24" s="450">
        <v>0</v>
      </c>
      <c r="F24" s="450">
        <v>0</v>
      </c>
      <c r="G24" s="450">
        <v>0</v>
      </c>
      <c r="H24" s="450">
        <v>0</v>
      </c>
      <c r="I24" s="450">
        <v>0</v>
      </c>
      <c r="J24" s="450">
        <v>0</v>
      </c>
      <c r="K24" s="450">
        <v>0</v>
      </c>
      <c r="L24" s="450">
        <v>0</v>
      </c>
      <c r="M24" s="450">
        <v>0</v>
      </c>
      <c r="N24" s="450">
        <v>0</v>
      </c>
      <c r="O24" s="450">
        <v>0</v>
      </c>
      <c r="P24" s="450">
        <v>0</v>
      </c>
      <c r="Q24" s="462"/>
    </row>
    <row r="25" spans="1:17">
      <c r="A25" s="235" t="str">
        <f t="shared" si="0"/>
        <v>PRODUCTION</v>
      </c>
      <c r="B25" s="446" t="s">
        <v>1486</v>
      </c>
      <c r="C25" s="457" t="str">
        <f t="shared" si="1"/>
        <v/>
      </c>
      <c r="D25" s="450">
        <v>2.9727805274226999</v>
      </c>
      <c r="E25" s="450">
        <v>2.9727805274226999</v>
      </c>
      <c r="F25" s="450">
        <v>2.9727805274226999</v>
      </c>
      <c r="G25" s="450">
        <v>2.9727805274226999</v>
      </c>
      <c r="H25" s="450">
        <v>2.9727805274226999</v>
      </c>
      <c r="I25" s="450">
        <v>2.9727805274226999</v>
      </c>
      <c r="J25" s="450">
        <v>2.9727805274226999</v>
      </c>
      <c r="K25" s="450">
        <v>2.9727805274226999</v>
      </c>
      <c r="L25" s="450">
        <v>2.9727805274226999</v>
      </c>
      <c r="M25" s="450">
        <v>2.9727805274226999</v>
      </c>
      <c r="N25" s="450">
        <v>2.9727805274226999</v>
      </c>
      <c r="O25" s="450">
        <v>2.9727805274226999</v>
      </c>
      <c r="P25" s="450">
        <v>2.9727805274226999</v>
      </c>
      <c r="Q25" s="462">
        <f t="shared" si="2"/>
        <v>2.9727805274226999</v>
      </c>
    </row>
    <row r="26" spans="1:17">
      <c r="A26" s="235" t="str">
        <f t="shared" si="0"/>
        <v>PRODUCTION</v>
      </c>
      <c r="B26" s="446" t="s">
        <v>1489</v>
      </c>
      <c r="C26" s="457" t="str">
        <f t="shared" si="1"/>
        <v/>
      </c>
      <c r="D26" s="450">
        <v>3.0834617269712998</v>
      </c>
      <c r="E26" s="450">
        <v>3.3382684437142398</v>
      </c>
      <c r="F26" s="450">
        <v>3.6907464351395798</v>
      </c>
      <c r="G26" s="450">
        <v>4.1191675827238896</v>
      </c>
      <c r="H26" s="450">
        <v>4.4918923608999197</v>
      </c>
      <c r="I26" s="450">
        <v>4.49791436508447</v>
      </c>
      <c r="J26" s="450">
        <v>4.49791436508447</v>
      </c>
      <c r="K26" s="450">
        <v>4.49791436508447</v>
      </c>
      <c r="L26" s="450">
        <v>4.49791436508447</v>
      </c>
      <c r="M26" s="450">
        <v>4.49791436508447</v>
      </c>
      <c r="N26" s="450">
        <v>4.49791436508447</v>
      </c>
      <c r="O26" s="450">
        <v>4.49791436508447</v>
      </c>
      <c r="P26" s="450">
        <v>4.49791436508447</v>
      </c>
      <c r="Q26" s="462">
        <f t="shared" si="2"/>
        <v>4.2082193438557445</v>
      </c>
    </row>
    <row r="27" spans="1:17">
      <c r="A27" s="235" t="str">
        <f t="shared" si="0"/>
        <v>PRODUCTION</v>
      </c>
      <c r="B27" s="446" t="s">
        <v>1490</v>
      </c>
      <c r="C27" s="457" t="str">
        <f t="shared" si="1"/>
        <v/>
      </c>
      <c r="D27" s="450">
        <v>0</v>
      </c>
      <c r="E27" s="450">
        <v>0</v>
      </c>
      <c r="F27" s="450">
        <v>0</v>
      </c>
      <c r="G27" s="450">
        <v>0</v>
      </c>
      <c r="H27" s="450">
        <v>0</v>
      </c>
      <c r="I27" s="450">
        <v>0</v>
      </c>
      <c r="J27" s="450">
        <v>0</v>
      </c>
      <c r="K27" s="450">
        <v>0</v>
      </c>
      <c r="L27" s="450">
        <v>0</v>
      </c>
      <c r="M27" s="450">
        <v>0</v>
      </c>
      <c r="N27" s="450">
        <v>0</v>
      </c>
      <c r="O27" s="450">
        <v>0</v>
      </c>
      <c r="P27" s="450">
        <v>0</v>
      </c>
      <c r="Q27" s="462">
        <f t="shared" ref="Q27:Q28" si="3">SUM(D27:P27)/13</f>
        <v>0</v>
      </c>
    </row>
    <row r="28" spans="1:17">
      <c r="A28" s="235" t="str">
        <f t="shared" si="0"/>
        <v>PRODUCTION</v>
      </c>
      <c r="B28" s="446" t="s">
        <v>1491</v>
      </c>
      <c r="C28" s="457" t="str">
        <f t="shared" si="1"/>
        <v>ECR</v>
      </c>
      <c r="D28" s="450">
        <v>607.87933999999996</v>
      </c>
      <c r="E28" s="450">
        <v>607.87933999999996</v>
      </c>
      <c r="F28" s="450">
        <v>607.87933999999996</v>
      </c>
      <c r="G28" s="450">
        <v>607.87933999999996</v>
      </c>
      <c r="H28" s="450">
        <v>607.87933999999996</v>
      </c>
      <c r="I28" s="450">
        <v>607.87933999999996</v>
      </c>
      <c r="J28" s="450">
        <v>607.87933999999996</v>
      </c>
      <c r="K28" s="450">
        <v>607.87933999999996</v>
      </c>
      <c r="L28" s="450">
        <v>607.87933999999996</v>
      </c>
      <c r="M28" s="450">
        <v>607.87933999999996</v>
      </c>
      <c r="N28" s="450">
        <v>607.87933999999996</v>
      </c>
      <c r="O28" s="450">
        <v>607.87933999999996</v>
      </c>
      <c r="P28" s="450">
        <v>607.87933999999996</v>
      </c>
      <c r="Q28" s="462">
        <f t="shared" si="3"/>
        <v>607.87933999999973</v>
      </c>
    </row>
    <row r="29" spans="1:17">
      <c r="A29" s="235" t="str">
        <f t="shared" si="0"/>
        <v>PRODUCTION</v>
      </c>
      <c r="B29" s="446" t="s">
        <v>1492</v>
      </c>
      <c r="C29" s="457" t="str">
        <f t="shared" si="1"/>
        <v>ECR</v>
      </c>
      <c r="D29" s="450">
        <v>47.735109758329301</v>
      </c>
      <c r="E29" s="450">
        <v>47.924948327022598</v>
      </c>
      <c r="F29" s="450">
        <v>48.119440545792898</v>
      </c>
      <c r="G29" s="450">
        <v>48.375978267302699</v>
      </c>
      <c r="H29" s="450">
        <v>48.641282864448598</v>
      </c>
      <c r="I29" s="450">
        <v>48.906003821631003</v>
      </c>
      <c r="J29" s="450">
        <v>49.138962889716403</v>
      </c>
      <c r="K29" s="450">
        <v>49.206570906238703</v>
      </c>
      <c r="L29" s="450">
        <v>49.2270718599246</v>
      </c>
      <c r="M29" s="450">
        <v>49.2270718599246</v>
      </c>
      <c r="N29" s="450">
        <v>49.2270718599246</v>
      </c>
      <c r="O29" s="450">
        <v>49.2270718599246</v>
      </c>
      <c r="P29" s="450">
        <v>49.2270718599246</v>
      </c>
      <c r="Q29" s="462">
        <f t="shared" si="2"/>
        <v>48.783358206161957</v>
      </c>
    </row>
    <row r="30" spans="1:17">
      <c r="A30" s="235" t="str">
        <f t="shared" si="0"/>
        <v>PRODUCTION</v>
      </c>
      <c r="B30" s="446" t="s">
        <v>2219</v>
      </c>
      <c r="C30" s="457" t="str">
        <f t="shared" si="1"/>
        <v>ECR</v>
      </c>
      <c r="D30" s="450">
        <v>295.83470610305102</v>
      </c>
      <c r="E30" s="450">
        <v>296.08930201880599</v>
      </c>
      <c r="F30" s="450">
        <v>296.29260913726102</v>
      </c>
      <c r="G30" s="450">
        <v>296.605017453139</v>
      </c>
      <c r="H30" s="450">
        <v>297.15686374624102</v>
      </c>
      <c r="I30" s="450">
        <v>297.75803732532501</v>
      </c>
      <c r="J30" s="450">
        <v>298.26744077161601</v>
      </c>
      <c r="K30" s="450">
        <v>298.69067785147303</v>
      </c>
      <c r="L30" s="450">
        <v>298.90462841937602</v>
      </c>
      <c r="M30" s="450">
        <v>298.992709595961</v>
      </c>
      <c r="N30" s="450">
        <v>299.03100575969398</v>
      </c>
      <c r="O30" s="450">
        <v>299.07423515595201</v>
      </c>
      <c r="P30" s="450">
        <v>299.134625260299</v>
      </c>
      <c r="Q30" s="462">
        <f t="shared" si="2"/>
        <v>297.83321989216876</v>
      </c>
    </row>
    <row r="31" spans="1:17">
      <c r="A31" s="235" t="str">
        <f t="shared" si="0"/>
        <v/>
      </c>
      <c r="B31" s="446" t="s">
        <v>1496</v>
      </c>
      <c r="C31" s="457" t="str">
        <f t="shared" si="1"/>
        <v/>
      </c>
      <c r="D31" s="450">
        <v>957.50539811577414</v>
      </c>
      <c r="E31" s="450">
        <v>958.20463931696554</v>
      </c>
      <c r="F31" s="450">
        <v>958.95491664561621</v>
      </c>
      <c r="G31" s="450">
        <v>959.95228383058827</v>
      </c>
      <c r="H31" s="450">
        <v>961.14215949901222</v>
      </c>
      <c r="I31" s="450">
        <v>962.01407603946313</v>
      </c>
      <c r="J31" s="450">
        <v>962.75643855383942</v>
      </c>
      <c r="K31" s="450">
        <v>963.24728365021883</v>
      </c>
      <c r="L31" s="450">
        <v>963.48173517180771</v>
      </c>
      <c r="M31" s="450">
        <v>963.56981634839281</v>
      </c>
      <c r="N31" s="450">
        <v>963.60811251212567</v>
      </c>
      <c r="O31" s="450">
        <v>963.65134190838376</v>
      </c>
      <c r="P31" s="450">
        <v>963.71173201273075</v>
      </c>
      <c r="Q31" s="462">
        <f t="shared" si="2"/>
        <v>961.67691796960912</v>
      </c>
    </row>
    <row r="32" spans="1:17">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c r="Q32" s="462"/>
    </row>
    <row r="33" spans="1:17">
      <c r="A33" s="235" t="str">
        <f t="shared" si="0"/>
        <v/>
      </c>
      <c r="B33" s="448" t="s">
        <v>1498</v>
      </c>
      <c r="C33" s="457" t="str">
        <f t="shared" si="1"/>
        <v/>
      </c>
      <c r="D33" s="450">
        <v>0</v>
      </c>
      <c r="E33" s="450">
        <v>0</v>
      </c>
      <c r="F33" s="450">
        <v>0</v>
      </c>
      <c r="G33" s="450">
        <v>0</v>
      </c>
      <c r="H33" s="450">
        <v>0</v>
      </c>
      <c r="I33" s="450">
        <v>0</v>
      </c>
      <c r="J33" s="450">
        <v>0</v>
      </c>
      <c r="K33" s="450">
        <v>0</v>
      </c>
      <c r="L33" s="450">
        <v>0</v>
      </c>
      <c r="M33" s="450">
        <v>0</v>
      </c>
      <c r="N33" s="450">
        <v>0</v>
      </c>
      <c r="O33" s="450">
        <v>0</v>
      </c>
      <c r="P33" s="450">
        <v>0</v>
      </c>
      <c r="Q33" s="462"/>
    </row>
    <row r="34" spans="1:17">
      <c r="A34" s="235" t="str">
        <f t="shared" si="0"/>
        <v>DISTRIBUTION</v>
      </c>
      <c r="B34" s="446" t="s">
        <v>1482</v>
      </c>
      <c r="C34" s="457" t="str">
        <f t="shared" si="1"/>
        <v/>
      </c>
      <c r="D34" s="450">
        <v>684.200000000003</v>
      </c>
      <c r="E34" s="450">
        <v>781.73540000000401</v>
      </c>
      <c r="F34" s="450">
        <v>949.75170000000401</v>
      </c>
      <c r="G34" s="450">
        <v>1000.15587</v>
      </c>
      <c r="H34" s="450">
        <v>992.01077000000396</v>
      </c>
      <c r="I34" s="450">
        <v>991.90691000000402</v>
      </c>
      <c r="J34" s="450">
        <v>1120.1809800000001</v>
      </c>
      <c r="K34" s="450">
        <v>1177.6333</v>
      </c>
      <c r="L34" s="450">
        <v>202.338200000005</v>
      </c>
      <c r="M34" s="450">
        <v>218.98992000000499</v>
      </c>
      <c r="N34" s="450">
        <v>236.801940000005</v>
      </c>
      <c r="O34" s="450">
        <v>267.59245000000499</v>
      </c>
      <c r="P34" s="450">
        <v>305.80404000000402</v>
      </c>
      <c r="Q34" s="462">
        <f t="shared" si="2"/>
        <v>686.85396000000333</v>
      </c>
    </row>
    <row r="35" spans="1:17">
      <c r="A35" s="235" t="str">
        <f t="shared" si="0"/>
        <v>DISTRIBUTION</v>
      </c>
      <c r="B35" s="446" t="s">
        <v>1483</v>
      </c>
      <c r="C35" s="457" t="str">
        <f t="shared" si="1"/>
        <v/>
      </c>
      <c r="D35" s="450">
        <v>-1.06581410364015E-13</v>
      </c>
      <c r="E35" s="450">
        <v>-1.06581410364015E-13</v>
      </c>
      <c r="F35" s="450">
        <v>27.326399999999801</v>
      </c>
      <c r="G35" s="450">
        <v>-9.9475983006414001E-14</v>
      </c>
      <c r="H35" s="450">
        <v>-1.03028696685214E-13</v>
      </c>
      <c r="I35" s="450">
        <v>-1.03028696685214E-13</v>
      </c>
      <c r="J35" s="450">
        <v>-1.03028696685214E-13</v>
      </c>
      <c r="K35" s="450">
        <v>-1.03028696685214E-13</v>
      </c>
      <c r="L35" s="450">
        <v>-1.03028696685214E-13</v>
      </c>
      <c r="M35" s="450">
        <v>-1.03028696685214E-13</v>
      </c>
      <c r="N35" s="450">
        <v>-1.06581410364015E-13</v>
      </c>
      <c r="O35" s="450">
        <v>-1.06581410364015E-13</v>
      </c>
      <c r="P35" s="450">
        <v>-1.06581410364015E-13</v>
      </c>
      <c r="Q35" s="462">
        <f t="shared" si="2"/>
        <v>2.1020307692306579</v>
      </c>
    </row>
    <row r="36" spans="1:17">
      <c r="A36" s="235" t="str">
        <f t="shared" si="0"/>
        <v>GENERAL</v>
      </c>
      <c r="B36" s="446" t="s">
        <v>1484</v>
      </c>
      <c r="C36" s="457" t="str">
        <f t="shared" si="1"/>
        <v/>
      </c>
      <c r="D36" s="450">
        <v>-1.06581410364015E-14</v>
      </c>
      <c r="E36" s="450">
        <v>-1.06581410364015E-14</v>
      </c>
      <c r="F36" s="450">
        <v>-1.06581410364015E-14</v>
      </c>
      <c r="G36" s="450">
        <v>-1.06581410364015E-14</v>
      </c>
      <c r="H36" s="450">
        <v>-1.06581410364015E-14</v>
      </c>
      <c r="I36" s="450">
        <v>-1.06581410364015E-14</v>
      </c>
      <c r="J36" s="450">
        <v>-1.06581410364015E-14</v>
      </c>
      <c r="K36" s="450">
        <v>-1.06581410364015E-14</v>
      </c>
      <c r="L36" s="450">
        <v>-1.06581410364015E-14</v>
      </c>
      <c r="M36" s="450">
        <v>-1.06581410364015E-14</v>
      </c>
      <c r="N36" s="450">
        <v>-1.06581410364015E-14</v>
      </c>
      <c r="O36" s="450">
        <v>-1.06581410364015E-14</v>
      </c>
      <c r="P36" s="450">
        <v>-1.06581410364015E-14</v>
      </c>
      <c r="Q36" s="462">
        <f t="shared" si="2"/>
        <v>-1.0658141036401501E-14</v>
      </c>
    </row>
    <row r="37" spans="1:17">
      <c r="A37" s="235" t="str">
        <f t="shared" si="0"/>
        <v>GENERAL</v>
      </c>
      <c r="B37" s="446" t="s">
        <v>1485</v>
      </c>
      <c r="C37" s="457" t="str">
        <f t="shared" si="1"/>
        <v/>
      </c>
      <c r="D37" s="450">
        <v>0</v>
      </c>
      <c r="E37" s="450">
        <v>0</v>
      </c>
      <c r="F37" s="450">
        <v>0</v>
      </c>
      <c r="G37" s="450">
        <v>0</v>
      </c>
      <c r="H37" s="450">
        <v>0</v>
      </c>
      <c r="I37" s="450">
        <v>0</v>
      </c>
      <c r="J37" s="450">
        <v>0</v>
      </c>
      <c r="K37" s="450">
        <v>0</v>
      </c>
      <c r="L37" s="450">
        <v>0</v>
      </c>
      <c r="M37" s="450">
        <v>0</v>
      </c>
      <c r="N37" s="450">
        <v>0</v>
      </c>
      <c r="O37" s="450">
        <v>0</v>
      </c>
      <c r="P37" s="450">
        <v>0</v>
      </c>
      <c r="Q37" s="462">
        <f t="shared" si="2"/>
        <v>0</v>
      </c>
    </row>
    <row r="38" spans="1:17">
      <c r="A38" s="235" t="str">
        <f t="shared" si="0"/>
        <v>PRODUCTION</v>
      </c>
      <c r="B38" s="446" t="s">
        <v>1486</v>
      </c>
      <c r="C38" s="457" t="str">
        <f t="shared" si="1"/>
        <v/>
      </c>
      <c r="D38" s="450">
        <v>0</v>
      </c>
      <c r="E38" s="450">
        <v>0</v>
      </c>
      <c r="F38" s="450">
        <v>0</v>
      </c>
      <c r="G38" s="450">
        <v>0</v>
      </c>
      <c r="H38" s="450">
        <v>0</v>
      </c>
      <c r="I38" s="450">
        <v>0</v>
      </c>
      <c r="J38" s="450">
        <v>0</v>
      </c>
      <c r="K38" s="450">
        <v>0</v>
      </c>
      <c r="L38" s="450">
        <v>0</v>
      </c>
      <c r="M38" s="450">
        <v>0</v>
      </c>
      <c r="N38" s="450">
        <v>0</v>
      </c>
      <c r="O38" s="450">
        <v>0</v>
      </c>
      <c r="P38" s="450">
        <v>0</v>
      </c>
      <c r="Q38" s="462">
        <f t="shared" si="2"/>
        <v>0</v>
      </c>
    </row>
    <row r="39" spans="1:17">
      <c r="A39" s="235" t="str">
        <f t="shared" si="0"/>
        <v>INTANGIBLE</v>
      </c>
      <c r="B39" s="446" t="s">
        <v>1487</v>
      </c>
      <c r="C39" s="457" t="str">
        <f t="shared" si="1"/>
        <v/>
      </c>
      <c r="D39" s="450">
        <v>3.6753499999999999</v>
      </c>
      <c r="E39" s="450">
        <v>3.6753499999999999</v>
      </c>
      <c r="F39" s="450">
        <v>3.6753499999999999</v>
      </c>
      <c r="G39" s="450">
        <v>3.6753499999999999</v>
      </c>
      <c r="H39" s="450">
        <v>3.6753499999999999</v>
      </c>
      <c r="I39" s="450">
        <v>3.6753499999999999</v>
      </c>
      <c r="J39" s="450">
        <v>3.6753499999999999</v>
      </c>
      <c r="K39" s="450">
        <v>3.6753499999999999</v>
      </c>
      <c r="L39" s="450">
        <v>3.6753499999999999</v>
      </c>
      <c r="M39" s="450">
        <v>3.6753499999999999</v>
      </c>
      <c r="N39" s="450">
        <v>3.6753499999999999</v>
      </c>
      <c r="O39" s="450">
        <v>3.6753499999999999</v>
      </c>
      <c r="P39" s="450">
        <v>3.6753499999999999</v>
      </c>
      <c r="Q39" s="462">
        <f t="shared" si="2"/>
        <v>3.6753500000000012</v>
      </c>
    </row>
    <row r="40" spans="1:17">
      <c r="A40" s="235" t="str">
        <f t="shared" si="0"/>
        <v>PRODUCTION</v>
      </c>
      <c r="B40" s="446" t="s">
        <v>1489</v>
      </c>
      <c r="C40" s="457" t="str">
        <f t="shared" si="1"/>
        <v/>
      </c>
      <c r="D40" s="450">
        <v>569.52328</v>
      </c>
      <c r="E40" s="450">
        <v>60.000000000000298</v>
      </c>
      <c r="F40" s="450">
        <v>80.000000000000298</v>
      </c>
      <c r="G40" s="450">
        <v>80.000000000000298</v>
      </c>
      <c r="H40" s="450">
        <v>80.000000000000298</v>
      </c>
      <c r="I40" s="450">
        <v>3.4106051316484799E-13</v>
      </c>
      <c r="J40" s="450">
        <v>3.4106051316484799E-13</v>
      </c>
      <c r="K40" s="450">
        <v>3.4106051316484799E-13</v>
      </c>
      <c r="L40" s="450">
        <v>3.4106051316484799E-13</v>
      </c>
      <c r="M40" s="450">
        <v>12.7546400000003</v>
      </c>
      <c r="N40" s="450">
        <v>12.7546400000003</v>
      </c>
      <c r="O40" s="450">
        <v>3023.87003</v>
      </c>
      <c r="P40" s="450">
        <v>4.5474735088646402E-13</v>
      </c>
      <c r="Q40" s="462">
        <f t="shared" si="2"/>
        <v>301.45404538461565</v>
      </c>
    </row>
    <row r="41" spans="1:17">
      <c r="A41" s="235" t="str">
        <f t="shared" si="0"/>
        <v>PRODUCTION</v>
      </c>
      <c r="B41" s="446" t="s">
        <v>1490</v>
      </c>
      <c r="C41" s="457" t="str">
        <f t="shared" si="1"/>
        <v/>
      </c>
      <c r="D41" s="450">
        <v>26217.684919999901</v>
      </c>
      <c r="E41" s="450">
        <v>29060.884089999901</v>
      </c>
      <c r="F41" s="450">
        <v>29770.634119999901</v>
      </c>
      <c r="G41" s="450">
        <v>31268.525779999902</v>
      </c>
      <c r="H41" s="450">
        <v>31609.803429999902</v>
      </c>
      <c r="I41" s="450">
        <v>17800.6906099999</v>
      </c>
      <c r="J41" s="450">
        <v>19180.464089999899</v>
      </c>
      <c r="K41" s="450">
        <v>19071.0635899999</v>
      </c>
      <c r="L41" s="450">
        <v>24.606439999981301</v>
      </c>
      <c r="M41" s="450">
        <v>24.606439999981301</v>
      </c>
      <c r="N41" s="450">
        <v>130.49416999998101</v>
      </c>
      <c r="O41" s="450">
        <v>2352.9795199999799</v>
      </c>
      <c r="P41" s="450">
        <v>2883.8430499999799</v>
      </c>
      <c r="Q41" s="462">
        <f t="shared" si="2"/>
        <v>16107.406173076855</v>
      </c>
    </row>
    <row r="42" spans="1:17">
      <c r="A42" s="235" t="str">
        <f t="shared" si="0"/>
        <v>PRODUCTION</v>
      </c>
      <c r="B42" s="446" t="s">
        <v>1491</v>
      </c>
      <c r="C42" s="457" t="str">
        <f t="shared" si="1"/>
        <v>ECR</v>
      </c>
      <c r="D42" s="450">
        <v>-9.9999999960687007E-6</v>
      </c>
      <c r="E42" s="450">
        <v>-9.9999999960687007E-6</v>
      </c>
      <c r="F42" s="450">
        <v>-9.9999999960687007E-6</v>
      </c>
      <c r="G42" s="450">
        <v>-9.9999999960687007E-6</v>
      </c>
      <c r="H42" s="450">
        <v>-9.9999999960687007E-6</v>
      </c>
      <c r="I42" s="450">
        <v>-9.9999999960687007E-6</v>
      </c>
      <c r="J42" s="450">
        <v>32.400889999999997</v>
      </c>
      <c r="K42" s="450">
        <v>64.801789999999997</v>
      </c>
      <c r="L42" s="450">
        <v>1.4210854715202001E-14</v>
      </c>
      <c r="M42" s="450">
        <v>1.4210854715202001E-14</v>
      </c>
      <c r="N42" s="450">
        <v>1.4210854715202001E-14</v>
      </c>
      <c r="O42" s="450">
        <v>1.4210854715202001E-14</v>
      </c>
      <c r="P42" s="450">
        <v>1.4210854715202001E-14</v>
      </c>
      <c r="Q42" s="462">
        <f t="shared" si="2"/>
        <v>7.4771246153846231</v>
      </c>
    </row>
    <row r="43" spans="1:17">
      <c r="A43" s="235" t="str">
        <f t="shared" si="0"/>
        <v>PRODUCTION</v>
      </c>
      <c r="B43" s="497" t="s">
        <v>1492</v>
      </c>
      <c r="C43" s="457" t="str">
        <f t="shared" si="1"/>
        <v>ECR</v>
      </c>
      <c r="D43" s="450">
        <v>1.81898940354585E-12</v>
      </c>
      <c r="E43" s="450">
        <v>1.81898940354585E-12</v>
      </c>
      <c r="F43" s="450">
        <v>1.81898940354585E-12</v>
      </c>
      <c r="G43" s="450">
        <v>1.81898940354585E-12</v>
      </c>
      <c r="H43" s="450">
        <v>1.81898940354585E-12</v>
      </c>
      <c r="I43" s="450">
        <v>1.81898940354585E-12</v>
      </c>
      <c r="J43" s="450">
        <v>49.372800000001803</v>
      </c>
      <c r="K43" s="450">
        <v>98.745600000001801</v>
      </c>
      <c r="L43" s="450">
        <v>1.81898940354585E-12</v>
      </c>
      <c r="M43" s="450">
        <v>1.81898940354585E-12</v>
      </c>
      <c r="N43" s="450">
        <v>1.81898940354585E-12</v>
      </c>
      <c r="O43" s="450">
        <v>1.81898940354585E-12</v>
      </c>
      <c r="P43" s="450">
        <v>1.81898940354585E-12</v>
      </c>
      <c r="Q43" s="462">
        <f t="shared" si="2"/>
        <v>11.393723076924893</v>
      </c>
    </row>
    <row r="44" spans="1:17">
      <c r="A44" s="235" t="str">
        <f t="shared" si="0"/>
        <v>TRANSMISSION</v>
      </c>
      <c r="B44" s="446" t="s">
        <v>1494</v>
      </c>
      <c r="C44" s="457" t="str">
        <f t="shared" si="1"/>
        <v/>
      </c>
      <c r="D44" s="450">
        <v>1765.67814</v>
      </c>
      <c r="E44" s="450">
        <v>1173.47999</v>
      </c>
      <c r="F44" s="450">
        <v>1259.7188000000001</v>
      </c>
      <c r="G44" s="450">
        <v>1395.7809299999999</v>
      </c>
      <c r="H44" s="450">
        <v>1561.8547100000001</v>
      </c>
      <c r="I44" s="450">
        <v>1722.3627200000001</v>
      </c>
      <c r="J44" s="450">
        <v>1909.2451000000001</v>
      </c>
      <c r="K44" s="450">
        <v>2091.6500799999999</v>
      </c>
      <c r="L44" s="450">
        <v>1452.6718900000001</v>
      </c>
      <c r="M44" s="450">
        <v>1965.85</v>
      </c>
      <c r="N44" s="450">
        <v>2494.9402599999999</v>
      </c>
      <c r="O44" s="450">
        <v>3027.4346999999998</v>
      </c>
      <c r="P44" s="450">
        <v>3415.2014300000001</v>
      </c>
      <c r="Q44" s="462">
        <f t="shared" si="2"/>
        <v>1941.2206730769233</v>
      </c>
    </row>
    <row r="45" spans="1:17">
      <c r="A45" s="235" t="str">
        <f t="shared" si="0"/>
        <v>TRANSMISSION</v>
      </c>
      <c r="B45" s="446" t="s">
        <v>1495</v>
      </c>
      <c r="C45" s="457" t="str">
        <f t="shared" si="1"/>
        <v/>
      </c>
      <c r="D45" s="450">
        <v>23.290849999999999</v>
      </c>
      <c r="E45" s="450">
        <v>26.945609999999999</v>
      </c>
      <c r="F45" s="450">
        <v>30.82038</v>
      </c>
      <c r="G45" s="450">
        <v>31.945150000000002</v>
      </c>
      <c r="H45" s="450">
        <v>32.959910000000001</v>
      </c>
      <c r="I45" s="450">
        <v>34.226570000000002</v>
      </c>
      <c r="J45" s="450">
        <v>35.493229999999997</v>
      </c>
      <c r="K45" s="450">
        <v>36.759889999999999</v>
      </c>
      <c r="L45" s="450">
        <v>38.02655</v>
      </c>
      <c r="M45" s="450">
        <v>64.924180000000007</v>
      </c>
      <c r="N45" s="450">
        <v>91.821809999999999</v>
      </c>
      <c r="O45" s="450">
        <v>118.719439999999</v>
      </c>
      <c r="P45" s="450">
        <v>145.61706999999899</v>
      </c>
      <c r="Q45" s="462">
        <f t="shared" si="2"/>
        <v>54.73466461538446</v>
      </c>
    </row>
    <row r="46" spans="1:17">
      <c r="B46" s="446"/>
      <c r="C46" s="457"/>
      <c r="D46" s="450"/>
      <c r="E46" s="450"/>
      <c r="F46" s="450"/>
      <c r="G46" s="450"/>
      <c r="H46" s="450"/>
      <c r="I46" s="450"/>
      <c r="J46" s="450"/>
      <c r="K46" s="450"/>
      <c r="L46" s="450"/>
      <c r="M46" s="450"/>
      <c r="N46" s="450"/>
      <c r="O46" s="450"/>
      <c r="P46" s="450"/>
      <c r="Q46" s="462">
        <f>SUM(Q34:Q45)</f>
        <v>19116.317744615324</v>
      </c>
    </row>
    <row r="47" spans="1:17">
      <c r="B47" s="446"/>
      <c r="C47" s="457" t="str">
        <f t="shared" si="1"/>
        <v/>
      </c>
      <c r="D47" s="450"/>
      <c r="E47" s="450"/>
      <c r="F47" s="450"/>
      <c r="G47" s="450"/>
      <c r="H47" s="450"/>
      <c r="I47" s="450"/>
      <c r="J47" s="450"/>
      <c r="K47" s="450"/>
      <c r="L47" s="450"/>
      <c r="M47" s="450"/>
      <c r="N47" s="450"/>
      <c r="O47" s="450"/>
      <c r="P47" s="450"/>
      <c r="Q47" s="462"/>
    </row>
  </sheetData>
  <pageMargins left="0.75" right="0.75" top="1" bottom="1" header="0.5" footer="0.5"/>
  <pageSetup scale="67"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zoomScaleNormal="100" workbookViewId="0">
      <selection activeCell="G59" sqref="G59"/>
    </sheetView>
  </sheetViews>
  <sheetFormatPr defaultColWidth="7.109375" defaultRowHeight="12.75"/>
  <cols>
    <col min="1" max="1" width="6.109375" style="564" customWidth="1"/>
    <col min="2" max="2" width="8.33203125" style="729" bestFit="1" customWidth="1"/>
    <col min="3" max="3" width="27.77734375" style="730" customWidth="1"/>
    <col min="4" max="4" width="2.6640625" style="39" customWidth="1"/>
    <col min="5" max="5" width="14.33203125" style="39" customWidth="1"/>
    <col min="6" max="6" width="2.88671875" style="39" customWidth="1"/>
    <col min="7" max="7" width="17" style="39" bestFit="1" customWidth="1"/>
    <col min="8" max="8" width="15.109375" style="561" customWidth="1"/>
    <col min="9" max="9" width="11.6640625" style="561" customWidth="1"/>
    <col min="10" max="11" width="14.109375" style="561" customWidth="1"/>
    <col min="12" max="12" width="13.5546875" style="561" customWidth="1"/>
    <col min="13" max="13" width="12" style="561" customWidth="1"/>
    <col min="14" max="16384" width="7.109375" style="561"/>
  </cols>
  <sheetData>
    <row r="1" spans="1:16" ht="18">
      <c r="A1" s="779" t="s">
        <v>2573</v>
      </c>
      <c r="B1" s="779"/>
      <c r="C1" s="779"/>
      <c r="D1" s="779"/>
      <c r="E1" s="779"/>
      <c r="F1" s="779"/>
      <c r="G1" s="779"/>
    </row>
    <row r="2" spans="1:16" ht="15.75">
      <c r="A2" s="780" t="s">
        <v>2574</v>
      </c>
      <c r="B2" s="780"/>
      <c r="C2" s="780"/>
      <c r="D2" s="780"/>
      <c r="E2" s="780"/>
      <c r="F2" s="780"/>
      <c r="G2" s="780"/>
    </row>
    <row r="3" spans="1:16">
      <c r="A3" s="562"/>
      <c r="B3" s="5"/>
      <c r="C3" s="563"/>
      <c r="F3" s="43"/>
    </row>
    <row r="4" spans="1:16">
      <c r="A4" s="47" t="s">
        <v>72</v>
      </c>
      <c r="B4" s="5"/>
      <c r="C4" s="563"/>
      <c r="F4" s="43"/>
      <c r="J4" s="564" t="s">
        <v>2575</v>
      </c>
      <c r="K4" s="564" t="s">
        <v>2575</v>
      </c>
      <c r="L4" s="564" t="s">
        <v>2575</v>
      </c>
    </row>
    <row r="5" spans="1:16">
      <c r="A5" s="565" t="s">
        <v>2576</v>
      </c>
      <c r="B5" s="566" t="s">
        <v>2577</v>
      </c>
      <c r="C5" s="565" t="s">
        <v>2183</v>
      </c>
      <c r="D5" s="567"/>
      <c r="E5" s="568" t="s">
        <v>2578</v>
      </c>
      <c r="F5" s="567"/>
      <c r="G5" s="569" t="s">
        <v>2579</v>
      </c>
      <c r="H5" s="569" t="s">
        <v>2026</v>
      </c>
      <c r="J5" s="568" t="s">
        <v>2578</v>
      </c>
      <c r="K5" s="569" t="s">
        <v>2579</v>
      </c>
      <c r="L5" s="569" t="s">
        <v>2026</v>
      </c>
    </row>
    <row r="6" spans="1:16">
      <c r="A6" s="562" t="s">
        <v>17</v>
      </c>
      <c r="B6" s="570">
        <v>311</v>
      </c>
      <c r="C6" s="563" t="s">
        <v>148</v>
      </c>
      <c r="D6" s="43"/>
      <c r="E6" s="39">
        <v>1882476.0300000005</v>
      </c>
      <c r="F6" s="43"/>
      <c r="G6" s="39">
        <v>1708100.9900000007</v>
      </c>
      <c r="H6" s="576">
        <f>SUM(D6:G6)</f>
        <v>3590577.0200000014</v>
      </c>
      <c r="J6" s="39">
        <f>J$11/J$12*E6</f>
        <v>988596.47019308235</v>
      </c>
      <c r="K6" s="39">
        <f>K$11/K$12*G6</f>
        <v>1330307.513387226</v>
      </c>
      <c r="L6" s="576">
        <f>SUM(J6:K6)</f>
        <v>2318903.9835803085</v>
      </c>
    </row>
    <row r="7" spans="1:16">
      <c r="A7" s="562" t="s">
        <v>17</v>
      </c>
      <c r="B7" s="570">
        <v>312</v>
      </c>
      <c r="C7" s="563" t="s">
        <v>1629</v>
      </c>
      <c r="D7" s="43"/>
      <c r="E7" s="39">
        <v>10076094.27</v>
      </c>
      <c r="F7" s="43"/>
      <c r="G7" s="39">
        <v>20458258.069999997</v>
      </c>
      <c r="H7" s="576">
        <f>SUM(D7:G7)</f>
        <v>30534352.339999996</v>
      </c>
      <c r="J7" s="39">
        <f t="shared" ref="J7:J10" si="0">J$11/J$12*E7</f>
        <v>5291536.8216692461</v>
      </c>
      <c r="K7" s="39">
        <f>K$11/K$12*G7</f>
        <v>15933352.056271469</v>
      </c>
      <c r="L7" s="576">
        <f t="shared" ref="L7:L10" si="1">SUM(J7:K7)</f>
        <v>21224888.877940714</v>
      </c>
    </row>
    <row r="8" spans="1:16">
      <c r="A8" s="562" t="s">
        <v>17</v>
      </c>
      <c r="B8" s="570">
        <v>314</v>
      </c>
      <c r="C8" s="563" t="s">
        <v>1631</v>
      </c>
      <c r="D8" s="43"/>
      <c r="E8" s="39">
        <v>2805789.7000000007</v>
      </c>
      <c r="F8" s="43"/>
      <c r="G8" s="39">
        <v>1245261.0999999999</v>
      </c>
      <c r="H8" s="576">
        <f>SUM(D8:G8)</f>
        <v>4051050.8000000007</v>
      </c>
      <c r="J8" s="39">
        <f t="shared" si="0"/>
        <v>1473481.6004664386</v>
      </c>
      <c r="K8" s="39">
        <f>K$11/K$12*G8</f>
        <v>969837.38500077848</v>
      </c>
      <c r="L8" s="576">
        <f t="shared" si="1"/>
        <v>2443318.9854672169</v>
      </c>
    </row>
    <row r="9" spans="1:16">
      <c r="A9" s="562" t="s">
        <v>17</v>
      </c>
      <c r="B9" s="570">
        <v>315</v>
      </c>
      <c r="C9" s="563" t="s">
        <v>2580</v>
      </c>
      <c r="D9" s="43"/>
      <c r="E9" s="39">
        <v>1844987.04</v>
      </c>
      <c r="F9" s="43"/>
      <c r="G9" s="39">
        <v>1085187.5699999998</v>
      </c>
      <c r="H9" s="576">
        <f>SUM(D9:G9)</f>
        <v>2930174.61</v>
      </c>
      <c r="J9" s="39">
        <f t="shared" si="0"/>
        <v>968908.84464328759</v>
      </c>
      <c r="K9" s="39">
        <f>K$11/K$12*G9</f>
        <v>845168.51536127576</v>
      </c>
      <c r="L9" s="576">
        <f t="shared" si="1"/>
        <v>1814077.3600045634</v>
      </c>
    </row>
    <row r="10" spans="1:16">
      <c r="A10" s="562" t="s">
        <v>17</v>
      </c>
      <c r="B10" s="570">
        <v>316</v>
      </c>
      <c r="C10" s="563" t="s">
        <v>2581</v>
      </c>
      <c r="D10" s="43"/>
      <c r="E10" s="39">
        <v>173324.99000000005</v>
      </c>
      <c r="F10" s="43"/>
      <c r="G10" s="39">
        <v>83497.62</v>
      </c>
      <c r="H10" s="576">
        <f>SUM(D10:G10)</f>
        <v>256822.61000000004</v>
      </c>
      <c r="J10" s="39">
        <f t="shared" si="0"/>
        <v>91022.924371712346</v>
      </c>
      <c r="K10" s="39">
        <f>K$11/K$12*G10</f>
        <v>65029.826623981673</v>
      </c>
      <c r="L10" s="576">
        <f t="shared" si="1"/>
        <v>156052.75099569402</v>
      </c>
    </row>
    <row r="11" spans="1:16" ht="13.5" thickBot="1">
      <c r="A11" s="562"/>
      <c r="B11" s="570"/>
      <c r="C11" s="563"/>
      <c r="D11" s="571"/>
      <c r="E11" s="572">
        <f>SUM(E6:E10)</f>
        <v>16782672.030000001</v>
      </c>
      <c r="F11" s="571"/>
      <c r="G11" s="572">
        <f>SUM(G6:G10)</f>
        <v>24580305.350000001</v>
      </c>
      <c r="H11" s="572">
        <f>SUM(H6:H10)</f>
        <v>41362977.379999995</v>
      </c>
      <c r="J11" s="726">
        <f>'JURISSEP F'!G86</f>
        <v>8813546.6613437664</v>
      </c>
      <c r="K11" s="726">
        <f>'JURISSEP F'!G87</f>
        <v>19143695.296644736</v>
      </c>
      <c r="L11" s="572">
        <f>SUM(L6:L10)</f>
        <v>27957241.957988501</v>
      </c>
      <c r="M11" s="39">
        <f>H11-L11</f>
        <v>13405735.422011495</v>
      </c>
      <c r="N11" s="39"/>
      <c r="O11" s="39"/>
      <c r="P11" s="39"/>
    </row>
    <row r="12" spans="1:16" ht="13.5" thickTop="1">
      <c r="A12" s="562"/>
      <c r="B12" s="570"/>
      <c r="C12" s="563"/>
      <c r="D12" s="43"/>
      <c r="F12" s="43"/>
      <c r="I12" s="573" t="s">
        <v>2582</v>
      </c>
      <c r="J12" s="39">
        <f>E11</f>
        <v>16782672.030000001</v>
      </c>
      <c r="K12" s="39">
        <f>G11</f>
        <v>24580305.350000001</v>
      </c>
    </row>
    <row r="13" spans="1:16">
      <c r="A13" s="562"/>
      <c r="B13" s="570"/>
      <c r="C13" s="563"/>
      <c r="D13" s="43"/>
      <c r="F13" s="43"/>
      <c r="J13" s="39"/>
      <c r="K13" s="39"/>
      <c r="L13" s="39"/>
    </row>
    <row r="14" spans="1:16">
      <c r="A14" s="574" t="s">
        <v>47</v>
      </c>
      <c r="B14" s="5"/>
      <c r="C14" s="563"/>
      <c r="D14" s="43"/>
      <c r="F14" s="43"/>
      <c r="J14" s="564"/>
      <c r="K14" s="564"/>
      <c r="L14" s="564"/>
    </row>
    <row r="15" spans="1:16">
      <c r="A15" s="565" t="s">
        <v>2576</v>
      </c>
      <c r="B15" s="566" t="s">
        <v>2577</v>
      </c>
      <c r="C15" s="565" t="s">
        <v>2183</v>
      </c>
      <c r="D15" s="567"/>
      <c r="E15" s="568" t="s">
        <v>2578</v>
      </c>
      <c r="F15" s="567"/>
      <c r="G15" s="569" t="s">
        <v>2579</v>
      </c>
      <c r="H15" s="569" t="s">
        <v>2026</v>
      </c>
      <c r="J15" s="569"/>
      <c r="K15" s="569"/>
      <c r="L15" s="569"/>
    </row>
    <row r="16" spans="1:16">
      <c r="A16" s="562" t="s">
        <v>17</v>
      </c>
      <c r="B16" s="570">
        <v>332</v>
      </c>
      <c r="C16" s="575" t="s">
        <v>2583</v>
      </c>
      <c r="D16" s="43"/>
      <c r="E16" s="39">
        <v>0</v>
      </c>
      <c r="F16" s="43"/>
      <c r="G16" s="39">
        <v>42952.319999999992</v>
      </c>
      <c r="H16" s="576">
        <f>SUM(D16:G16)</f>
        <v>42952.319999999992</v>
      </c>
      <c r="J16" s="39">
        <f t="shared" ref="J16:J19" si="2">J$11/J$12*E16</f>
        <v>0</v>
      </c>
      <c r="K16" s="39">
        <f>K$11/K$12*G16</f>
        <v>33452.234000176053</v>
      </c>
      <c r="L16" s="576">
        <f t="shared" ref="L16:L19" si="3">SUM(J16:K16)</f>
        <v>33452.234000176053</v>
      </c>
    </row>
    <row r="17" spans="1:13">
      <c r="A17" s="562" t="s">
        <v>17</v>
      </c>
      <c r="B17" s="570">
        <v>333</v>
      </c>
      <c r="C17" s="563" t="s">
        <v>2584</v>
      </c>
      <c r="D17" s="43"/>
      <c r="E17" s="39">
        <v>0</v>
      </c>
      <c r="F17" s="43"/>
      <c r="G17" s="39">
        <v>58500</v>
      </c>
      <c r="H17" s="576">
        <f>SUM(D17:G17)</f>
        <v>58500</v>
      </c>
      <c r="J17" s="39">
        <f t="shared" si="2"/>
        <v>0</v>
      </c>
      <c r="K17" s="39">
        <f>K$11/K$12*G17</f>
        <v>45561.117280982719</v>
      </c>
      <c r="L17" s="576">
        <f t="shared" si="3"/>
        <v>45561.117280982719</v>
      </c>
    </row>
    <row r="18" spans="1:13">
      <c r="A18" s="562" t="s">
        <v>17</v>
      </c>
      <c r="B18" s="570">
        <v>334</v>
      </c>
      <c r="C18" s="563" t="s">
        <v>2580</v>
      </c>
      <c r="D18" s="43"/>
      <c r="E18" s="39">
        <v>0</v>
      </c>
      <c r="F18" s="43"/>
      <c r="G18" s="39">
        <v>3884.4399999999996</v>
      </c>
      <c r="H18" s="576">
        <f>SUM(D18:G18)</f>
        <v>3884.4399999999996</v>
      </c>
      <c r="J18" s="39">
        <f t="shared" si="2"/>
        <v>0</v>
      </c>
      <c r="K18" s="39">
        <f>K$11/K$12*G18</f>
        <v>3025.2893403579569</v>
      </c>
      <c r="L18" s="576">
        <f t="shared" si="3"/>
        <v>3025.2893403579569</v>
      </c>
    </row>
    <row r="19" spans="1:13">
      <c r="A19" s="562" t="s">
        <v>17</v>
      </c>
      <c r="B19" s="570">
        <v>335</v>
      </c>
      <c r="C19" s="563" t="s">
        <v>2581</v>
      </c>
      <c r="D19" s="43"/>
      <c r="E19" s="39">
        <v>820.00000000000023</v>
      </c>
      <c r="F19" s="43"/>
      <c r="G19" s="39">
        <v>0</v>
      </c>
      <c r="H19" s="576">
        <f>SUM(D19:G19)</f>
        <v>820.00000000000023</v>
      </c>
      <c r="J19" s="39">
        <f t="shared" si="2"/>
        <v>430.62917808219186</v>
      </c>
      <c r="K19" s="39">
        <f>K$11/K$12*G19</f>
        <v>0</v>
      </c>
      <c r="L19" s="576">
        <f t="shared" si="3"/>
        <v>430.62917808219186</v>
      </c>
    </row>
    <row r="20" spans="1:13" ht="13.5" thickBot="1">
      <c r="A20" s="562"/>
      <c r="B20" s="570"/>
      <c r="C20" s="575"/>
      <c r="D20" s="571"/>
      <c r="E20" s="572">
        <f>SUM(E16:E19)</f>
        <v>820.00000000000023</v>
      </c>
      <c r="F20" s="571"/>
      <c r="G20" s="572">
        <f>SUM(G16:G19)</f>
        <v>105336.76</v>
      </c>
      <c r="H20" s="572">
        <f>SUM(H16:H19)</f>
        <v>106156.76</v>
      </c>
      <c r="J20" s="726">
        <f>'JURISSEP F'!G99</f>
        <v>430.62917808219186</v>
      </c>
      <c r="K20" s="726">
        <f>'JURISSEP F'!G100</f>
        <v>82038.640621516737</v>
      </c>
      <c r="L20" s="572">
        <f>SUM(L15:L19)</f>
        <v>82469.269799598915</v>
      </c>
      <c r="M20" s="39">
        <f>H20-L20</f>
        <v>23687.49020040108</v>
      </c>
    </row>
    <row r="21" spans="1:13" ht="13.5" thickTop="1">
      <c r="A21" s="562"/>
      <c r="B21" s="570"/>
      <c r="C21" s="575"/>
      <c r="D21" s="43"/>
      <c r="F21" s="43"/>
      <c r="I21" s="573" t="s">
        <v>2582</v>
      </c>
      <c r="J21" s="39">
        <f>E20</f>
        <v>820.00000000000023</v>
      </c>
      <c r="K21" s="39">
        <f>G20</f>
        <v>105336.76</v>
      </c>
    </row>
    <row r="22" spans="1:13">
      <c r="A22" s="562"/>
      <c r="B22" s="570"/>
      <c r="C22" s="575"/>
      <c r="D22" s="43"/>
      <c r="F22" s="43"/>
    </row>
    <row r="23" spans="1:13">
      <c r="A23" s="574" t="s">
        <v>61</v>
      </c>
      <c r="B23" s="5"/>
      <c r="C23" s="563"/>
      <c r="D23" s="43"/>
      <c r="F23" s="43"/>
    </row>
    <row r="24" spans="1:13">
      <c r="A24" s="565" t="s">
        <v>2576</v>
      </c>
      <c r="B24" s="566" t="s">
        <v>2577</v>
      </c>
      <c r="C24" s="565" t="s">
        <v>2183</v>
      </c>
      <c r="D24" s="567"/>
      <c r="E24" s="568" t="s">
        <v>2578</v>
      </c>
      <c r="F24" s="567"/>
      <c r="G24" s="569" t="s">
        <v>2579</v>
      </c>
      <c r="H24" s="569" t="s">
        <v>2026</v>
      </c>
      <c r="J24" s="569"/>
      <c r="K24" s="569"/>
      <c r="L24" s="569"/>
    </row>
    <row r="25" spans="1:13">
      <c r="A25" s="562" t="s">
        <v>17</v>
      </c>
      <c r="B25" s="570">
        <v>341</v>
      </c>
      <c r="C25" s="563" t="s">
        <v>148</v>
      </c>
      <c r="D25" s="43"/>
      <c r="E25" s="39">
        <v>187.92000000000007</v>
      </c>
      <c r="F25" s="43"/>
      <c r="G25" s="39">
        <v>557312.54999999993</v>
      </c>
      <c r="H25" s="576">
        <f t="shared" ref="H25:H30" si="4">SUM(D25:G25)</f>
        <v>557500.47</v>
      </c>
      <c r="J25" s="576">
        <f t="shared" ref="J25:J30" si="5">J$11/J$12*E25</f>
        <v>98.687603835616471</v>
      </c>
      <c r="K25" s="576">
        <f t="shared" ref="K25:K30" si="6">K$11/K$12*G25</f>
        <v>434047.5632942486</v>
      </c>
      <c r="L25" s="576">
        <f t="shared" ref="L25:L30" si="7">SUM(J25:K25)</f>
        <v>434146.2508980842</v>
      </c>
    </row>
    <row r="26" spans="1:13">
      <c r="A26" s="562" t="s">
        <v>17</v>
      </c>
      <c r="B26" s="570">
        <v>342</v>
      </c>
      <c r="C26" s="575" t="s">
        <v>2585</v>
      </c>
      <c r="D26" s="43"/>
      <c r="E26" s="39">
        <v>32.499999999999986</v>
      </c>
      <c r="F26" s="43"/>
      <c r="G26" s="39">
        <v>121095.92999999996</v>
      </c>
      <c r="H26" s="576">
        <f t="shared" si="4"/>
        <v>121128.42999999996</v>
      </c>
      <c r="J26" s="576">
        <f t="shared" si="5"/>
        <v>17.067619863013689</v>
      </c>
      <c r="K26" s="576">
        <f t="shared" si="6"/>
        <v>94312.237076575591</v>
      </c>
      <c r="L26" s="576">
        <f t="shared" si="7"/>
        <v>94329.304696438601</v>
      </c>
    </row>
    <row r="27" spans="1:13">
      <c r="A27" s="562" t="s">
        <v>17</v>
      </c>
      <c r="B27" s="570">
        <v>343</v>
      </c>
      <c r="C27" s="563" t="s">
        <v>1654</v>
      </c>
      <c r="D27" s="43"/>
      <c r="E27" s="39">
        <v>1164.0900000000001</v>
      </c>
      <c r="F27" s="43"/>
      <c r="G27" s="39">
        <v>3196369.3800000004</v>
      </c>
      <c r="H27" s="576">
        <f t="shared" si="4"/>
        <v>3197533.47</v>
      </c>
      <c r="J27" s="576">
        <f t="shared" si="5"/>
        <v>611.33063404109589</v>
      </c>
      <c r="K27" s="576">
        <f t="shared" si="6"/>
        <v>2489404.4477867014</v>
      </c>
      <c r="L27" s="576">
        <f t="shared" si="7"/>
        <v>2490015.7784207426</v>
      </c>
    </row>
    <row r="28" spans="1:13">
      <c r="A28" s="562" t="s">
        <v>17</v>
      </c>
      <c r="B28" s="570">
        <v>344</v>
      </c>
      <c r="C28" s="563" t="s">
        <v>1658</v>
      </c>
      <c r="D28" s="43"/>
      <c r="E28" s="39">
        <v>290.23000000000008</v>
      </c>
      <c r="F28" s="43"/>
      <c r="G28" s="39">
        <v>715275.37000000011</v>
      </c>
      <c r="H28" s="576">
        <f t="shared" si="4"/>
        <v>715565.60000000009</v>
      </c>
      <c r="J28" s="576">
        <f t="shared" si="5"/>
        <v>152.41647116438358</v>
      </c>
      <c r="K28" s="576">
        <f t="shared" si="6"/>
        <v>557072.564457578</v>
      </c>
      <c r="L28" s="576">
        <f t="shared" si="7"/>
        <v>557224.98092874244</v>
      </c>
    </row>
    <row r="29" spans="1:13">
      <c r="A29" s="562" t="s">
        <v>17</v>
      </c>
      <c r="B29" s="570">
        <v>345</v>
      </c>
      <c r="C29" s="563" t="s">
        <v>2580</v>
      </c>
      <c r="D29" s="43"/>
      <c r="E29" s="39">
        <v>234.51999999999998</v>
      </c>
      <c r="F29" s="43"/>
      <c r="G29" s="39">
        <v>358092.41000000009</v>
      </c>
      <c r="H29" s="576">
        <f t="shared" si="4"/>
        <v>358326.93000000011</v>
      </c>
      <c r="J29" s="576">
        <f t="shared" si="5"/>
        <v>123.15994493150683</v>
      </c>
      <c r="K29" s="576">
        <f t="shared" si="6"/>
        <v>278890.43229811545</v>
      </c>
      <c r="L29" s="576">
        <f t="shared" si="7"/>
        <v>279013.59224304697</v>
      </c>
    </row>
    <row r="30" spans="1:13">
      <c r="A30" s="562" t="s">
        <v>17</v>
      </c>
      <c r="B30" s="570">
        <v>346</v>
      </c>
      <c r="C30" s="563" t="s">
        <v>2581</v>
      </c>
      <c r="D30" s="43"/>
      <c r="E30" s="39">
        <v>25</v>
      </c>
      <c r="F30" s="43"/>
      <c r="G30" s="39">
        <v>34127.94000000001</v>
      </c>
      <c r="H30" s="576">
        <f t="shared" si="4"/>
        <v>34152.94000000001</v>
      </c>
      <c r="J30" s="576">
        <f t="shared" si="5"/>
        <v>13.128938356164383</v>
      </c>
      <c r="K30" s="576">
        <f t="shared" si="6"/>
        <v>26579.608152108405</v>
      </c>
      <c r="L30" s="576">
        <f t="shared" si="7"/>
        <v>26592.737090464569</v>
      </c>
    </row>
    <row r="31" spans="1:13" ht="13.5" thickBot="1">
      <c r="A31" s="562"/>
      <c r="B31" s="570"/>
      <c r="C31" s="563"/>
      <c r="D31" s="571"/>
      <c r="E31" s="572">
        <f>SUM(E25:E30)</f>
        <v>1934.2600000000002</v>
      </c>
      <c r="F31" s="571"/>
      <c r="G31" s="572">
        <f>SUM(G25:G30)</f>
        <v>4982273.580000001</v>
      </c>
      <c r="H31" s="572">
        <f>SUM(H25:H30)</f>
        <v>4984207.8400000008</v>
      </c>
      <c r="J31" s="726">
        <f>'JURISSEP F'!G112</f>
        <v>1015.7912121917808</v>
      </c>
      <c r="K31" s="726">
        <f>'JURISSEP F'!G113</f>
        <v>3880306.8530653282</v>
      </c>
      <c r="L31" s="572">
        <f>SUM(L25:L30)</f>
        <v>3881322.6442775191</v>
      </c>
      <c r="M31" s="39">
        <f>H31-L31</f>
        <v>1102885.1957224817</v>
      </c>
    </row>
    <row r="32" spans="1:13" ht="13.5" thickTop="1">
      <c r="A32" s="562"/>
      <c r="B32" s="570"/>
      <c r="C32" s="563"/>
      <c r="D32" s="43"/>
      <c r="F32" s="43"/>
      <c r="I32" s="573" t="s">
        <v>2582</v>
      </c>
      <c r="J32" s="39">
        <f>E31</f>
        <v>1934.2600000000002</v>
      </c>
      <c r="K32" s="39">
        <f>G31</f>
        <v>4982273.580000001</v>
      </c>
    </row>
    <row r="33" spans="1:13">
      <c r="A33" s="562"/>
      <c r="B33" s="570"/>
      <c r="C33" s="563"/>
      <c r="D33" s="43"/>
      <c r="F33" s="43"/>
    </row>
    <row r="34" spans="1:13">
      <c r="A34" s="574" t="s">
        <v>84</v>
      </c>
      <c r="B34" s="5"/>
      <c r="C34" s="563"/>
      <c r="D34" s="43"/>
      <c r="F34" s="43"/>
    </row>
    <row r="35" spans="1:13">
      <c r="A35" s="565" t="s">
        <v>2576</v>
      </c>
      <c r="B35" s="566" t="s">
        <v>2577</v>
      </c>
      <c r="C35" s="565" t="s">
        <v>2183</v>
      </c>
      <c r="D35" s="567"/>
      <c r="E35" s="568" t="s">
        <v>2578</v>
      </c>
      <c r="F35" s="567"/>
      <c r="G35" s="569" t="s">
        <v>2579</v>
      </c>
      <c r="H35" s="569" t="s">
        <v>2026</v>
      </c>
      <c r="J35" s="569"/>
      <c r="K35" s="569"/>
      <c r="L35" s="569"/>
    </row>
    <row r="36" spans="1:13">
      <c r="A36" s="562" t="s">
        <v>17</v>
      </c>
      <c r="B36" s="570">
        <v>350</v>
      </c>
      <c r="C36" s="563" t="s">
        <v>2586</v>
      </c>
      <c r="D36" s="43"/>
      <c r="E36" s="39">
        <v>76669.999999999985</v>
      </c>
      <c r="F36" s="43"/>
      <c r="G36" s="39">
        <v>5847.8599999999979</v>
      </c>
      <c r="H36" s="576">
        <f>SUM(D36:G36)</f>
        <v>82517.859999999986</v>
      </c>
      <c r="J36" s="576">
        <f t="shared" ref="J36:J43" si="8">J$11/J$12*E36</f>
        <v>40263.828150684923</v>
      </c>
      <c r="K36" s="576">
        <f t="shared" ref="K36:K43" si="9">K$11/K$12*G36</f>
        <v>4554.4450479105553</v>
      </c>
      <c r="L36" s="576">
        <f t="shared" ref="L36:L43" si="10">SUM(J36:K36)</f>
        <v>44818.273198595482</v>
      </c>
    </row>
    <row r="37" spans="1:13">
      <c r="A37" s="562" t="s">
        <v>17</v>
      </c>
      <c r="B37" s="570">
        <v>352</v>
      </c>
      <c r="C37" s="563" t="s">
        <v>148</v>
      </c>
      <c r="D37" s="43"/>
      <c r="E37" s="39">
        <v>72901.48000000001</v>
      </c>
      <c r="F37" s="43"/>
      <c r="G37" s="39">
        <v>38295.990000000013</v>
      </c>
      <c r="H37" s="576">
        <f t="shared" ref="H37:H43" si="11">SUM(D37:G37)</f>
        <v>111197.47000000003</v>
      </c>
      <c r="J37" s="576">
        <f t="shared" si="8"/>
        <v>38284.761479726032</v>
      </c>
      <c r="K37" s="576">
        <f t="shared" si="9"/>
        <v>29825.779346689604</v>
      </c>
      <c r="L37" s="576">
        <f t="shared" si="10"/>
        <v>68110.540826415643</v>
      </c>
    </row>
    <row r="38" spans="1:13">
      <c r="A38" s="562" t="s">
        <v>17</v>
      </c>
      <c r="B38" s="570">
        <v>353</v>
      </c>
      <c r="C38" s="563" t="s">
        <v>1679</v>
      </c>
      <c r="D38" s="43"/>
      <c r="E38" s="39">
        <v>539842.31000000006</v>
      </c>
      <c r="F38" s="43"/>
      <c r="G38" s="39">
        <v>482691.92000000016</v>
      </c>
      <c r="H38" s="576">
        <f t="shared" si="11"/>
        <v>1022534.2300000002</v>
      </c>
      <c r="J38" s="576">
        <f t="shared" si="8"/>
        <v>283502.25640157535</v>
      </c>
      <c r="K38" s="576">
        <f t="shared" si="9"/>
        <v>375931.33637098689</v>
      </c>
      <c r="L38" s="576">
        <f t="shared" si="10"/>
        <v>659433.59277256229</v>
      </c>
    </row>
    <row r="39" spans="1:13">
      <c r="A39" s="562" t="s">
        <v>17</v>
      </c>
      <c r="B39" s="570">
        <v>354</v>
      </c>
      <c r="C39" s="563" t="s">
        <v>1666</v>
      </c>
      <c r="D39" s="43"/>
      <c r="E39" s="39">
        <v>842038.67</v>
      </c>
      <c r="F39" s="43"/>
      <c r="G39" s="39">
        <v>120310.06000000001</v>
      </c>
      <c r="H39" s="576">
        <f t="shared" si="11"/>
        <v>962348.7300000001</v>
      </c>
      <c r="J39" s="576">
        <f t="shared" si="8"/>
        <v>442202.95167746575</v>
      </c>
      <c r="K39" s="576">
        <f t="shared" si="9"/>
        <v>93700.18382465074</v>
      </c>
      <c r="L39" s="576">
        <f t="shared" si="10"/>
        <v>535903.13550211652</v>
      </c>
    </row>
    <row r="40" spans="1:13">
      <c r="A40" s="562" t="s">
        <v>17</v>
      </c>
      <c r="B40" s="570">
        <v>355</v>
      </c>
      <c r="C40" s="563" t="s">
        <v>1668</v>
      </c>
      <c r="D40" s="43"/>
      <c r="E40" s="39">
        <v>229757.81000000003</v>
      </c>
      <c r="F40" s="43"/>
      <c r="G40" s="39">
        <v>579741.87999999977</v>
      </c>
      <c r="H40" s="576">
        <f t="shared" si="11"/>
        <v>809499.68999999983</v>
      </c>
      <c r="J40" s="576">
        <f t="shared" si="8"/>
        <v>120659.04497349316</v>
      </c>
      <c r="K40" s="576">
        <f t="shared" si="9"/>
        <v>451516.03055345977</v>
      </c>
      <c r="L40" s="576">
        <f t="shared" si="10"/>
        <v>572175.07552695298</v>
      </c>
    </row>
    <row r="41" spans="1:13">
      <c r="A41" s="562" t="s">
        <v>17</v>
      </c>
      <c r="B41" s="570">
        <v>356</v>
      </c>
      <c r="C41" s="563" t="s">
        <v>2587</v>
      </c>
      <c r="D41" s="43"/>
      <c r="E41" s="39">
        <v>1047148.39</v>
      </c>
      <c r="F41" s="43"/>
      <c r="G41" s="39">
        <v>191092.74000000002</v>
      </c>
      <c r="H41" s="576">
        <f t="shared" si="11"/>
        <v>1238241.1300000001</v>
      </c>
      <c r="J41" s="576">
        <f t="shared" si="8"/>
        <v>549917.86648267123</v>
      </c>
      <c r="K41" s="576">
        <f t="shared" si="9"/>
        <v>148827.32886639895</v>
      </c>
      <c r="L41" s="576">
        <f t="shared" si="10"/>
        <v>698745.19534907024</v>
      </c>
    </row>
    <row r="42" spans="1:13">
      <c r="A42" s="562" t="s">
        <v>17</v>
      </c>
      <c r="B42" s="570">
        <v>357</v>
      </c>
      <c r="C42" s="563" t="s">
        <v>1672</v>
      </c>
      <c r="D42" s="43"/>
      <c r="E42" s="39">
        <v>274.99999999999994</v>
      </c>
      <c r="F42" s="43"/>
      <c r="G42" s="39">
        <v>1122</v>
      </c>
      <c r="H42" s="576">
        <f t="shared" si="11"/>
        <v>1397</v>
      </c>
      <c r="J42" s="576">
        <f t="shared" si="8"/>
        <v>144.41832191780819</v>
      </c>
      <c r="K42" s="576">
        <f t="shared" si="9"/>
        <v>873.83886477371982</v>
      </c>
      <c r="L42" s="576">
        <f t="shared" si="10"/>
        <v>1018.257186691528</v>
      </c>
    </row>
    <row r="43" spans="1:13">
      <c r="A43" s="562" t="s">
        <v>17</v>
      </c>
      <c r="B43" s="570">
        <v>358</v>
      </c>
      <c r="C43" s="575" t="s">
        <v>2588</v>
      </c>
      <c r="D43" s="43"/>
      <c r="E43" s="39">
        <v>2210.9999999999995</v>
      </c>
      <c r="F43" s="43"/>
      <c r="G43" s="39">
        <v>1128</v>
      </c>
      <c r="H43" s="576">
        <f t="shared" si="11"/>
        <v>3338.9999999999995</v>
      </c>
      <c r="J43" s="576">
        <f t="shared" si="8"/>
        <v>1161.1233082191777</v>
      </c>
      <c r="K43" s="576">
        <f t="shared" si="9"/>
        <v>878.51179987946159</v>
      </c>
      <c r="L43" s="576">
        <f t="shared" si="10"/>
        <v>2039.6351080986392</v>
      </c>
    </row>
    <row r="44" spans="1:13" ht="13.5" thickBot="1">
      <c r="A44" s="562"/>
      <c r="B44" s="570"/>
      <c r="C44" s="575"/>
      <c r="D44" s="571"/>
      <c r="E44" s="572">
        <f>SUM(E36:E43)</f>
        <v>2810844.66</v>
      </c>
      <c r="F44" s="571"/>
      <c r="G44" s="572">
        <f>SUM(G36:G43)</f>
        <v>1420230.45</v>
      </c>
      <c r="H44" s="572">
        <f>SUM(H36:H43)</f>
        <v>4231075.1100000003</v>
      </c>
      <c r="J44" s="726">
        <f>'JURISSEP F'!G131</f>
        <v>1476136.2507957534</v>
      </c>
      <c r="K44" s="726">
        <f>'JURISSEP F'!G132</f>
        <v>1106107.4546747499</v>
      </c>
      <c r="L44" s="572">
        <f>SUM(L36:L43)</f>
        <v>2582243.7054705038</v>
      </c>
      <c r="M44" s="39">
        <f>H44-L44</f>
        <v>1648831.4045294966</v>
      </c>
    </row>
    <row r="45" spans="1:13" ht="15.75" thickTop="1">
      <c r="A45" s="562"/>
      <c r="B45" s="570"/>
      <c r="C45" s="563"/>
      <c r="D45" s="43"/>
      <c r="E45" s="727"/>
      <c r="F45" s="577"/>
      <c r="G45" s="727"/>
      <c r="I45" s="573" t="s">
        <v>2582</v>
      </c>
      <c r="J45" s="39">
        <f>E44</f>
        <v>2810844.66</v>
      </c>
      <c r="K45" s="39">
        <f>G44</f>
        <v>1420230.45</v>
      </c>
    </row>
    <row r="46" spans="1:13">
      <c r="A46" s="562"/>
      <c r="B46" s="570"/>
      <c r="C46" s="563"/>
      <c r="D46" s="43"/>
      <c r="F46" s="43"/>
    </row>
    <row r="47" spans="1:13">
      <c r="A47" s="574" t="s">
        <v>84</v>
      </c>
      <c r="B47" s="5"/>
      <c r="C47" s="563"/>
      <c r="D47" s="43"/>
      <c r="F47" s="43"/>
    </row>
    <row r="48" spans="1:13">
      <c r="A48" s="578" t="s">
        <v>2576</v>
      </c>
      <c r="B48" s="579" t="s">
        <v>2577</v>
      </c>
      <c r="C48" s="578" t="s">
        <v>2183</v>
      </c>
      <c r="D48" s="567"/>
      <c r="E48" s="568" t="s">
        <v>2578</v>
      </c>
      <c r="F48" s="567"/>
      <c r="G48" s="569" t="s">
        <v>2579</v>
      </c>
      <c r="H48" s="569" t="s">
        <v>2026</v>
      </c>
    </row>
    <row r="49" spans="1:8">
      <c r="A49" s="562" t="s">
        <v>101</v>
      </c>
      <c r="B49" s="570">
        <v>352</v>
      </c>
      <c r="C49" s="563" t="s">
        <v>148</v>
      </c>
      <c r="D49" s="43"/>
      <c r="E49" s="39">
        <v>0</v>
      </c>
      <c r="F49" s="43"/>
      <c r="G49" s="39">
        <v>3</v>
      </c>
      <c r="H49" s="576">
        <f>SUM(D49:G49)</f>
        <v>3</v>
      </c>
    </row>
    <row r="50" spans="1:8">
      <c r="A50" s="562" t="s">
        <v>101</v>
      </c>
      <c r="B50" s="570">
        <v>353</v>
      </c>
      <c r="C50" s="563" t="s">
        <v>1679</v>
      </c>
      <c r="D50" s="43"/>
      <c r="E50" s="39">
        <v>2.0000000000000009</v>
      </c>
      <c r="F50" s="43"/>
      <c r="G50" s="39">
        <v>1571.0000000000002</v>
      </c>
      <c r="H50" s="576">
        <f>SUM(D50:G50)</f>
        <v>1573.0000000000002</v>
      </c>
    </row>
    <row r="51" spans="1:8">
      <c r="A51" s="562" t="s">
        <v>101</v>
      </c>
      <c r="B51" s="570">
        <v>355</v>
      </c>
      <c r="C51" s="563" t="s">
        <v>1668</v>
      </c>
      <c r="D51" s="43"/>
      <c r="E51" s="39">
        <v>0</v>
      </c>
      <c r="F51" s="43"/>
      <c r="G51" s="39">
        <v>649.7700000000001</v>
      </c>
      <c r="H51" s="576">
        <f>SUM(D51:G51)</f>
        <v>649.7700000000001</v>
      </c>
    </row>
    <row r="52" spans="1:8">
      <c r="A52" s="562" t="s">
        <v>101</v>
      </c>
      <c r="B52" s="570">
        <v>356</v>
      </c>
      <c r="C52" s="563" t="s">
        <v>2587</v>
      </c>
      <c r="D52" s="43"/>
      <c r="E52" s="39">
        <v>0</v>
      </c>
      <c r="F52" s="43"/>
      <c r="G52" s="39">
        <v>2064.610000000001</v>
      </c>
      <c r="H52" s="576">
        <f>SUM(D52:G52)</f>
        <v>2064.610000000001</v>
      </c>
    </row>
    <row r="53" spans="1:8" ht="13.5" thickBot="1">
      <c r="A53" s="562"/>
      <c r="B53" s="5"/>
      <c r="C53" s="563"/>
      <c r="D53" s="571"/>
      <c r="E53" s="572">
        <f>SUM(E49:E52)</f>
        <v>2.0000000000000009</v>
      </c>
      <c r="F53" s="571"/>
      <c r="G53" s="572">
        <f>SUM(G49:G52)</f>
        <v>4288.380000000001</v>
      </c>
      <c r="H53" s="572">
        <f>SUM(H49:H52)</f>
        <v>4290.380000000001</v>
      </c>
    </row>
    <row r="54" spans="1:8" ht="15.75" thickTop="1">
      <c r="A54" s="562"/>
      <c r="B54" s="5"/>
      <c r="C54" s="563"/>
      <c r="D54" s="43"/>
      <c r="E54" s="727"/>
      <c r="F54" s="577"/>
      <c r="G54" s="727"/>
    </row>
    <row r="55" spans="1:8">
      <c r="A55" s="562"/>
      <c r="B55" s="5"/>
      <c r="C55" s="563"/>
      <c r="D55" s="43"/>
      <c r="E55" s="728"/>
      <c r="F55" s="580"/>
      <c r="G55" s="728"/>
    </row>
    <row r="56" spans="1:8" ht="13.5" thickBot="1">
      <c r="A56" s="562"/>
      <c r="B56" s="5"/>
      <c r="C56" s="581" t="s">
        <v>234</v>
      </c>
      <c r="D56" s="571"/>
      <c r="E56" s="572">
        <f>SUM(E53,E44,E31,E20,E11)</f>
        <v>19596272.950000003</v>
      </c>
      <c r="F56" s="571"/>
      <c r="G56" s="572">
        <f>SUM(G53,G44,G31,G20,G11)</f>
        <v>31092434.520000003</v>
      </c>
      <c r="H56" s="572">
        <f>SUM(H53,H44,H31,H20,H11)</f>
        <v>50688707.469999999</v>
      </c>
    </row>
    <row r="57" spans="1:8" ht="13.5" thickTop="1">
      <c r="D57" s="43"/>
      <c r="F57" s="43"/>
    </row>
  </sheetData>
  <mergeCells count="2">
    <mergeCell ref="A1:G1"/>
    <mergeCell ref="A2:G2"/>
  </mergeCells>
  <printOptions horizontalCentered="1"/>
  <pageMargins left="0.75" right="0.25" top="0.75" bottom="0.75" header="0.5" footer="0.5"/>
  <pageSetup scale="1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
  <sheetViews>
    <sheetView zoomScaleNormal="100" workbookViewId="0">
      <pane xSplit="10" ySplit="7" topLeftCell="W8" activePane="bottomRight" state="frozen"/>
      <selection pane="topRight" activeCell="K1" sqref="K1"/>
      <selection pane="bottomLeft" activeCell="A8" sqref="A8"/>
      <selection pane="bottomRight" activeCell="F30" sqref="F30"/>
    </sheetView>
  </sheetViews>
  <sheetFormatPr defaultRowHeight="15" outlineLevelCol="1"/>
  <cols>
    <col min="1" max="1" width="34" style="529" bestFit="1" customWidth="1"/>
    <col min="2" max="2" width="10.77734375" style="529" customWidth="1"/>
    <col min="3" max="3" width="1.33203125" style="529" customWidth="1"/>
    <col min="4" max="4" width="10.88671875" style="529" bestFit="1" customWidth="1"/>
    <col min="5" max="5" width="14.44140625" style="529" customWidth="1"/>
    <col min="6" max="6" width="14.5546875" style="529" customWidth="1"/>
    <col min="7" max="7" width="14.44140625" style="529" customWidth="1"/>
    <col min="8" max="8" width="19.33203125" style="529" customWidth="1"/>
    <col min="9" max="9" width="1.33203125" style="529" customWidth="1"/>
    <col min="10" max="10" width="28.88671875" style="529" bestFit="1" customWidth="1"/>
    <col min="11" max="22" width="10.77734375" style="529" hidden="1" customWidth="1" outlineLevel="1"/>
    <col min="23" max="23" width="10.77734375" style="529" customWidth="1" collapsed="1"/>
    <col min="24" max="38" width="10.77734375" style="529" hidden="1" customWidth="1" outlineLevel="1"/>
    <col min="39" max="39" width="10.77734375" style="529" customWidth="1" collapsed="1"/>
    <col min="40" max="40" width="10" style="529" customWidth="1"/>
    <col min="41" max="16384" width="8.88671875" style="529"/>
  </cols>
  <sheetData>
    <row r="1" spans="1:40">
      <c r="A1" s="529" t="s">
        <v>2067</v>
      </c>
      <c r="E1" s="530" t="s">
        <v>2071</v>
      </c>
      <c r="J1" s="531" t="s">
        <v>142</v>
      </c>
    </row>
    <row r="2" spans="1:40">
      <c r="A2" s="531" t="s">
        <v>142</v>
      </c>
      <c r="B2" s="532" t="s">
        <v>2068</v>
      </c>
      <c r="D2" s="530"/>
      <c r="E2" s="533" t="s">
        <v>2069</v>
      </c>
      <c r="F2" s="533" t="s">
        <v>2070</v>
      </c>
      <c r="G2" s="529" t="s">
        <v>2550</v>
      </c>
      <c r="H2" s="530"/>
      <c r="I2" s="530"/>
      <c r="J2" s="530"/>
    </row>
    <row r="3" spans="1:40">
      <c r="A3" s="534" t="s">
        <v>1722</v>
      </c>
      <c r="B3" s="535"/>
      <c r="D3" s="530"/>
      <c r="E3" s="530"/>
      <c r="F3" s="530"/>
      <c r="G3" s="536">
        <v>41882</v>
      </c>
      <c r="H3" s="530"/>
      <c r="I3" s="530"/>
      <c r="J3" s="537" t="s">
        <v>2081</v>
      </c>
    </row>
    <row r="4" spans="1:40">
      <c r="A4" s="289" t="s">
        <v>1728</v>
      </c>
      <c r="B4" s="538">
        <v>10406297.27</v>
      </c>
      <c r="D4" s="530">
        <v>2009</v>
      </c>
      <c r="E4" s="405">
        <f>SUM(B4,B6,B7,B11)</f>
        <v>189011612.11999899</v>
      </c>
      <c r="F4" s="405">
        <v>180102328</v>
      </c>
      <c r="G4" s="406">
        <f>E4-F4</f>
        <v>8909284.1199989915</v>
      </c>
      <c r="H4" s="539"/>
      <c r="I4" s="530"/>
      <c r="J4" s="539" t="s">
        <v>2551</v>
      </c>
    </row>
    <row r="5" spans="1:40">
      <c r="A5" s="289" t="s">
        <v>1729</v>
      </c>
      <c r="B5" s="538">
        <v>846666.62</v>
      </c>
      <c r="D5" s="530">
        <v>2011</v>
      </c>
      <c r="E5" s="405">
        <f>SUM(B5,B8,B10)</f>
        <v>166282247.66000003</v>
      </c>
      <c r="F5" s="405">
        <v>166282247.66</v>
      </c>
      <c r="G5" s="406">
        <f>E5-F5</f>
        <v>0</v>
      </c>
      <c r="H5" s="530"/>
      <c r="I5" s="530"/>
      <c r="J5" s="531" t="s">
        <v>2552</v>
      </c>
      <c r="Q5" s="533"/>
    </row>
    <row r="6" spans="1:40" ht="15.75">
      <c r="A6" s="289" t="s">
        <v>1731</v>
      </c>
      <c r="B6" s="538">
        <v>2584305.42</v>
      </c>
      <c r="D6" s="530"/>
      <c r="E6" s="408">
        <f>SUM(E4:E5)</f>
        <v>355293859.77999902</v>
      </c>
      <c r="F6" s="408">
        <f t="shared" ref="F6:G6" si="0">SUM(F4:F5)</f>
        <v>346384575.65999997</v>
      </c>
      <c r="G6" s="409">
        <f t="shared" si="0"/>
        <v>8909284.1199989915</v>
      </c>
      <c r="H6" s="540"/>
      <c r="I6" s="530"/>
      <c r="K6" s="541">
        <v>43100</v>
      </c>
      <c r="L6" s="541">
        <f t="shared" ref="L6:AM6" si="1">EOMONTH(K6,1)</f>
        <v>43131</v>
      </c>
      <c r="M6" s="541">
        <f t="shared" si="1"/>
        <v>43159</v>
      </c>
      <c r="N6" s="541">
        <f t="shared" si="1"/>
        <v>43190</v>
      </c>
      <c r="O6" s="541">
        <f t="shared" si="1"/>
        <v>43220</v>
      </c>
      <c r="P6" s="541">
        <f t="shared" si="1"/>
        <v>43251</v>
      </c>
      <c r="Q6" s="541">
        <f t="shared" si="1"/>
        <v>43281</v>
      </c>
      <c r="R6" s="541">
        <f t="shared" si="1"/>
        <v>43312</v>
      </c>
      <c r="S6" s="541">
        <f t="shared" si="1"/>
        <v>43343</v>
      </c>
      <c r="T6" s="541">
        <f t="shared" si="1"/>
        <v>43373</v>
      </c>
      <c r="U6" s="541">
        <f t="shared" si="1"/>
        <v>43404</v>
      </c>
      <c r="V6" s="541">
        <f t="shared" si="1"/>
        <v>43434</v>
      </c>
      <c r="W6" s="541">
        <f t="shared" si="1"/>
        <v>43465</v>
      </c>
      <c r="X6" s="541">
        <f t="shared" si="1"/>
        <v>43496</v>
      </c>
      <c r="Y6" s="541">
        <f t="shared" si="1"/>
        <v>43524</v>
      </c>
      <c r="Z6" s="541">
        <f t="shared" si="1"/>
        <v>43555</v>
      </c>
      <c r="AA6" s="541">
        <f t="shared" si="1"/>
        <v>43585</v>
      </c>
      <c r="AB6" s="541">
        <f t="shared" si="1"/>
        <v>43616</v>
      </c>
      <c r="AC6" s="541">
        <f t="shared" si="1"/>
        <v>43646</v>
      </c>
      <c r="AD6" s="541">
        <f t="shared" si="1"/>
        <v>43677</v>
      </c>
      <c r="AE6" s="541">
        <f t="shared" si="1"/>
        <v>43708</v>
      </c>
      <c r="AF6" s="541">
        <f t="shared" si="1"/>
        <v>43738</v>
      </c>
      <c r="AG6" s="541">
        <f t="shared" si="1"/>
        <v>43769</v>
      </c>
      <c r="AH6" s="541">
        <f t="shared" si="1"/>
        <v>43799</v>
      </c>
      <c r="AI6" s="541">
        <f t="shared" si="1"/>
        <v>43830</v>
      </c>
      <c r="AJ6" s="541">
        <f t="shared" si="1"/>
        <v>43861</v>
      </c>
      <c r="AK6" s="541">
        <f t="shared" si="1"/>
        <v>43890</v>
      </c>
      <c r="AL6" s="541">
        <f t="shared" si="1"/>
        <v>43921</v>
      </c>
      <c r="AM6" s="541">
        <f t="shared" si="1"/>
        <v>43951</v>
      </c>
      <c r="AN6" s="413" t="s">
        <v>2013</v>
      </c>
    </row>
    <row r="7" spans="1:40" ht="15.75">
      <c r="A7" s="289" t="s">
        <v>1734</v>
      </c>
      <c r="B7" s="538">
        <v>175986872.06999898</v>
      </c>
      <c r="D7" s="542" t="s">
        <v>2072</v>
      </c>
      <c r="E7" s="407"/>
      <c r="F7" s="407"/>
      <c r="G7" s="407"/>
      <c r="H7" s="540"/>
      <c r="I7" s="530"/>
      <c r="J7" s="530"/>
      <c r="K7" s="533" t="s">
        <v>2082</v>
      </c>
      <c r="L7" s="533" t="s">
        <v>2082</v>
      </c>
      <c r="M7" s="533" t="s">
        <v>2082</v>
      </c>
      <c r="N7" s="533" t="s">
        <v>2082</v>
      </c>
      <c r="O7" s="533" t="s">
        <v>2082</v>
      </c>
      <c r="P7" s="533" t="s">
        <v>2082</v>
      </c>
      <c r="Q7" s="533" t="s">
        <v>2082</v>
      </c>
    </row>
    <row r="8" spans="1:40">
      <c r="A8" s="289" t="s">
        <v>1735</v>
      </c>
      <c r="B8" s="538">
        <v>163180101.67000002</v>
      </c>
      <c r="D8" s="530" t="s">
        <v>2083</v>
      </c>
      <c r="E8" s="406">
        <f>95757252.91</f>
        <v>95757252.909999996</v>
      </c>
      <c r="F8" s="406">
        <v>94427917</v>
      </c>
      <c r="G8" s="406">
        <f>E8-F8</f>
        <v>1329335.9099999964</v>
      </c>
      <c r="H8" s="406" t="s">
        <v>2073</v>
      </c>
      <c r="I8" s="530"/>
      <c r="J8" s="406" t="s">
        <v>2551</v>
      </c>
      <c r="K8" s="543">
        <v>2935.6168012499916</v>
      </c>
      <c r="L8" s="543">
        <f>$G8*L21/12</f>
        <v>2935.6168012499916</v>
      </c>
      <c r="M8" s="543">
        <f t="shared" ref="M8:AM8" si="2">$G8*M21/12</f>
        <v>2935.6168012499916</v>
      </c>
      <c r="N8" s="543">
        <f t="shared" si="2"/>
        <v>2935.6168012499916</v>
      </c>
      <c r="O8" s="543">
        <f t="shared" si="2"/>
        <v>2935.6168012499916</v>
      </c>
      <c r="P8" s="543">
        <f t="shared" si="2"/>
        <v>2935.6168012499916</v>
      </c>
      <c r="Q8" s="543">
        <f t="shared" si="2"/>
        <v>2935.6168012499916</v>
      </c>
      <c r="R8" s="543">
        <f t="shared" si="2"/>
        <v>2935.6168012499916</v>
      </c>
      <c r="S8" s="543">
        <f t="shared" si="2"/>
        <v>2935.6168012499916</v>
      </c>
      <c r="T8" s="543">
        <f t="shared" si="2"/>
        <v>2935.6168012499916</v>
      </c>
      <c r="U8" s="543">
        <f t="shared" si="2"/>
        <v>2935.6168012499916</v>
      </c>
      <c r="V8" s="543">
        <f t="shared" si="2"/>
        <v>2935.6168012499916</v>
      </c>
      <c r="W8" s="543">
        <f t="shared" si="2"/>
        <v>2935.6168012499916</v>
      </c>
      <c r="X8" s="543">
        <f t="shared" si="2"/>
        <v>2935.6168012499916</v>
      </c>
      <c r="Y8" s="543">
        <f t="shared" si="2"/>
        <v>2935.6168012499916</v>
      </c>
      <c r="Z8" s="543">
        <f t="shared" si="2"/>
        <v>2935.6168012499916</v>
      </c>
      <c r="AA8" s="543">
        <f t="shared" si="2"/>
        <v>2935.6168012499916</v>
      </c>
      <c r="AB8" s="543">
        <f t="shared" si="2"/>
        <v>5749.3778107499847</v>
      </c>
      <c r="AC8" s="543">
        <f t="shared" si="2"/>
        <v>5749.3778107499847</v>
      </c>
      <c r="AD8" s="543">
        <f t="shared" si="2"/>
        <v>5749.3778107499847</v>
      </c>
      <c r="AE8" s="543">
        <f t="shared" si="2"/>
        <v>5749.3778107499847</v>
      </c>
      <c r="AF8" s="543">
        <f t="shared" si="2"/>
        <v>5749.3778107499847</v>
      </c>
      <c r="AG8" s="543">
        <f t="shared" si="2"/>
        <v>5749.3778107499847</v>
      </c>
      <c r="AH8" s="543">
        <f t="shared" si="2"/>
        <v>5749.3778107499847</v>
      </c>
      <c r="AI8" s="543">
        <f t="shared" si="2"/>
        <v>5749.3778107499847</v>
      </c>
      <c r="AJ8" s="543">
        <f t="shared" si="2"/>
        <v>5749.3778107499847</v>
      </c>
      <c r="AK8" s="543">
        <f t="shared" si="2"/>
        <v>5749.3778107499847</v>
      </c>
      <c r="AL8" s="543">
        <f t="shared" si="2"/>
        <v>5749.3778107499847</v>
      </c>
      <c r="AM8" s="543">
        <f t="shared" si="2"/>
        <v>5749.3778107499847</v>
      </c>
    </row>
    <row r="9" spans="1:40">
      <c r="A9" s="289" t="s">
        <v>1736</v>
      </c>
      <c r="B9" s="538"/>
      <c r="D9" s="530" t="s">
        <v>2084</v>
      </c>
      <c r="E9" s="406">
        <v>16710059.9</v>
      </c>
      <c r="F9" s="406">
        <v>16622587</v>
      </c>
      <c r="G9" s="406">
        <f t="shared" ref="G9:G12" si="3">E9-F9</f>
        <v>87472.900000000373</v>
      </c>
      <c r="H9" s="406" t="s">
        <v>2074</v>
      </c>
      <c r="I9" s="530"/>
      <c r="J9" s="406" t="s">
        <v>2551</v>
      </c>
      <c r="K9" s="543">
        <v>193.16932083333415</v>
      </c>
      <c r="L9" s="543">
        <f t="shared" ref="L9:AM12" si="4">$G9*L22/12</f>
        <v>193.16932083333415</v>
      </c>
      <c r="M9" s="543">
        <f t="shared" si="4"/>
        <v>193.16932083333415</v>
      </c>
      <c r="N9" s="543">
        <f t="shared" si="4"/>
        <v>193.16932083333415</v>
      </c>
      <c r="O9" s="543">
        <f t="shared" si="4"/>
        <v>193.16932083333415</v>
      </c>
      <c r="P9" s="543">
        <f t="shared" si="4"/>
        <v>193.16932083333415</v>
      </c>
      <c r="Q9" s="543">
        <f t="shared" si="4"/>
        <v>193.16932083333415</v>
      </c>
      <c r="R9" s="543">
        <f t="shared" si="4"/>
        <v>193.16932083333415</v>
      </c>
      <c r="S9" s="543">
        <f t="shared" si="4"/>
        <v>193.16932083333415</v>
      </c>
      <c r="T9" s="543">
        <f t="shared" si="4"/>
        <v>193.16932083333415</v>
      </c>
      <c r="U9" s="543">
        <f t="shared" si="4"/>
        <v>193.16932083333415</v>
      </c>
      <c r="V9" s="543">
        <f t="shared" si="4"/>
        <v>193.16932083333415</v>
      </c>
      <c r="W9" s="543">
        <f t="shared" si="4"/>
        <v>193.16932083333415</v>
      </c>
      <c r="X9" s="543">
        <f t="shared" si="4"/>
        <v>193.16932083333415</v>
      </c>
      <c r="Y9" s="543">
        <f t="shared" si="4"/>
        <v>193.16932083333415</v>
      </c>
      <c r="Z9" s="543">
        <f t="shared" si="4"/>
        <v>193.16932083333415</v>
      </c>
      <c r="AA9" s="543">
        <f t="shared" si="4"/>
        <v>193.16932083333415</v>
      </c>
      <c r="AB9" s="543">
        <f t="shared" si="4"/>
        <v>378.32029250000164</v>
      </c>
      <c r="AC9" s="543">
        <f t="shared" si="4"/>
        <v>378.32029250000164</v>
      </c>
      <c r="AD9" s="543">
        <f t="shared" si="4"/>
        <v>378.32029250000164</v>
      </c>
      <c r="AE9" s="543">
        <f t="shared" si="4"/>
        <v>378.32029250000164</v>
      </c>
      <c r="AF9" s="543">
        <f t="shared" si="4"/>
        <v>378.32029250000164</v>
      </c>
      <c r="AG9" s="543">
        <f t="shared" si="4"/>
        <v>378.32029250000164</v>
      </c>
      <c r="AH9" s="543">
        <f t="shared" si="4"/>
        <v>378.32029250000164</v>
      </c>
      <c r="AI9" s="543">
        <f t="shared" si="4"/>
        <v>378.32029250000164</v>
      </c>
      <c r="AJ9" s="543">
        <f t="shared" si="4"/>
        <v>378.32029250000164</v>
      </c>
      <c r="AK9" s="543">
        <f t="shared" si="4"/>
        <v>378.32029250000164</v>
      </c>
      <c r="AL9" s="543">
        <f t="shared" si="4"/>
        <v>378.32029250000164</v>
      </c>
      <c r="AM9" s="543">
        <f t="shared" si="4"/>
        <v>378.32029250000164</v>
      </c>
    </row>
    <row r="10" spans="1:40">
      <c r="A10" s="289" t="s">
        <v>1739</v>
      </c>
      <c r="B10" s="538">
        <v>2255479.37</v>
      </c>
      <c r="D10" s="530" t="s">
        <v>2075</v>
      </c>
      <c r="E10" s="406">
        <f>58863047.67+34137.36</f>
        <v>58897185.030000001</v>
      </c>
      <c r="F10" s="406">
        <v>55740733</v>
      </c>
      <c r="G10" s="406">
        <f t="shared" si="3"/>
        <v>3156452.0300000012</v>
      </c>
      <c r="H10" s="406" t="s">
        <v>2076</v>
      </c>
      <c r="I10" s="530"/>
      <c r="J10" s="406" t="s">
        <v>2551</v>
      </c>
      <c r="K10" s="543">
        <v>6838.9793983333357</v>
      </c>
      <c r="L10" s="543">
        <f t="shared" si="4"/>
        <v>6838.9793983333357</v>
      </c>
      <c r="M10" s="543">
        <f t="shared" si="4"/>
        <v>6838.9793983333357</v>
      </c>
      <c r="N10" s="543">
        <f t="shared" si="4"/>
        <v>6838.9793983333357</v>
      </c>
      <c r="O10" s="543">
        <f t="shared" si="4"/>
        <v>6838.9793983333357</v>
      </c>
      <c r="P10" s="543">
        <f t="shared" si="4"/>
        <v>6838.9793983333357</v>
      </c>
      <c r="Q10" s="543">
        <f t="shared" si="4"/>
        <v>6838.9793983333357</v>
      </c>
      <c r="R10" s="543">
        <f t="shared" si="4"/>
        <v>6838.9793983333357</v>
      </c>
      <c r="S10" s="543">
        <f t="shared" si="4"/>
        <v>6838.9793983333357</v>
      </c>
      <c r="T10" s="543">
        <f t="shared" si="4"/>
        <v>6838.9793983333357</v>
      </c>
      <c r="U10" s="543">
        <f t="shared" si="4"/>
        <v>6838.9793983333357</v>
      </c>
      <c r="V10" s="543">
        <f t="shared" si="4"/>
        <v>6838.9793983333357</v>
      </c>
      <c r="W10" s="543">
        <f t="shared" si="4"/>
        <v>6838.9793983333357</v>
      </c>
      <c r="X10" s="543">
        <f t="shared" si="4"/>
        <v>6838.9793983333357</v>
      </c>
      <c r="Y10" s="543">
        <f t="shared" si="4"/>
        <v>6838.9793983333357</v>
      </c>
      <c r="Z10" s="543">
        <f t="shared" si="4"/>
        <v>6838.9793983333357</v>
      </c>
      <c r="AA10" s="543">
        <f t="shared" si="4"/>
        <v>6838.9793983333357</v>
      </c>
      <c r="AB10" s="543">
        <f t="shared" si="4"/>
        <v>11442.138608750005</v>
      </c>
      <c r="AC10" s="543">
        <f t="shared" si="4"/>
        <v>11442.138608750005</v>
      </c>
      <c r="AD10" s="543">
        <f t="shared" si="4"/>
        <v>11442.138608750005</v>
      </c>
      <c r="AE10" s="543">
        <f t="shared" si="4"/>
        <v>11442.138608750005</v>
      </c>
      <c r="AF10" s="543">
        <f t="shared" si="4"/>
        <v>11442.138608750005</v>
      </c>
      <c r="AG10" s="543">
        <f t="shared" si="4"/>
        <v>11442.138608750005</v>
      </c>
      <c r="AH10" s="543">
        <f t="shared" si="4"/>
        <v>11442.138608750005</v>
      </c>
      <c r="AI10" s="543">
        <f t="shared" si="4"/>
        <v>11442.138608750005</v>
      </c>
      <c r="AJ10" s="543">
        <f t="shared" si="4"/>
        <v>11442.138608750005</v>
      </c>
      <c r="AK10" s="543">
        <f t="shared" si="4"/>
        <v>11442.138608750005</v>
      </c>
      <c r="AL10" s="543">
        <f t="shared" si="4"/>
        <v>11442.138608750005</v>
      </c>
      <c r="AM10" s="543">
        <f t="shared" si="4"/>
        <v>11442.138608750005</v>
      </c>
    </row>
    <row r="11" spans="1:40">
      <c r="A11" s="289" t="s">
        <v>1817</v>
      </c>
      <c r="B11" s="538">
        <v>34137.360000000001</v>
      </c>
      <c r="D11" s="530" t="s">
        <v>2077</v>
      </c>
      <c r="E11" s="406">
        <v>13367694.26</v>
      </c>
      <c r="F11" s="406">
        <v>9031671</v>
      </c>
      <c r="G11" s="406">
        <f t="shared" si="3"/>
        <v>4336023.26</v>
      </c>
      <c r="H11" s="406" t="s">
        <v>2078</v>
      </c>
      <c r="I11" s="530"/>
      <c r="J11" s="406" t="s">
        <v>2551</v>
      </c>
      <c r="K11" s="543">
        <v>8563.6459384999998</v>
      </c>
      <c r="L11" s="543">
        <f t="shared" si="4"/>
        <v>8563.6459384999998</v>
      </c>
      <c r="M11" s="543">
        <f t="shared" si="4"/>
        <v>8563.6459384999998</v>
      </c>
      <c r="N11" s="543">
        <f t="shared" si="4"/>
        <v>8563.6459384999998</v>
      </c>
      <c r="O11" s="543">
        <f t="shared" si="4"/>
        <v>8563.6459384999998</v>
      </c>
      <c r="P11" s="543">
        <f t="shared" si="4"/>
        <v>8563.6459384999998</v>
      </c>
      <c r="Q11" s="543">
        <f t="shared" si="4"/>
        <v>8563.6459384999998</v>
      </c>
      <c r="R11" s="543">
        <f t="shared" si="4"/>
        <v>8563.6459384999998</v>
      </c>
      <c r="S11" s="543">
        <f t="shared" si="4"/>
        <v>8563.6459384999998</v>
      </c>
      <c r="T11" s="543">
        <f t="shared" si="4"/>
        <v>8563.6459384999998</v>
      </c>
      <c r="U11" s="543">
        <f t="shared" si="4"/>
        <v>8563.6459384999998</v>
      </c>
      <c r="V11" s="543">
        <f t="shared" si="4"/>
        <v>8563.6459384999998</v>
      </c>
      <c r="W11" s="543">
        <f t="shared" si="4"/>
        <v>8563.6459384999998</v>
      </c>
      <c r="X11" s="543">
        <f t="shared" si="4"/>
        <v>8563.6459384999998</v>
      </c>
      <c r="Y11" s="543">
        <f t="shared" si="4"/>
        <v>8563.6459384999998</v>
      </c>
      <c r="Z11" s="543">
        <f t="shared" si="4"/>
        <v>8563.6459384999998</v>
      </c>
      <c r="AA11" s="543">
        <f t="shared" si="4"/>
        <v>8563.6459384999998</v>
      </c>
      <c r="AB11" s="543">
        <f t="shared" si="4"/>
        <v>7840.9753951666653</v>
      </c>
      <c r="AC11" s="543">
        <f t="shared" si="4"/>
        <v>7840.9753951666653</v>
      </c>
      <c r="AD11" s="543">
        <f t="shared" si="4"/>
        <v>7840.9753951666653</v>
      </c>
      <c r="AE11" s="543">
        <f t="shared" si="4"/>
        <v>7840.9753951666653</v>
      </c>
      <c r="AF11" s="543">
        <f t="shared" si="4"/>
        <v>7840.9753951666653</v>
      </c>
      <c r="AG11" s="543">
        <f t="shared" si="4"/>
        <v>7840.9753951666653</v>
      </c>
      <c r="AH11" s="543">
        <f t="shared" si="4"/>
        <v>7840.9753951666653</v>
      </c>
      <c r="AI11" s="543">
        <f t="shared" si="4"/>
        <v>7840.9753951666653</v>
      </c>
      <c r="AJ11" s="543">
        <f t="shared" si="4"/>
        <v>7840.9753951666653</v>
      </c>
      <c r="AK11" s="543">
        <f t="shared" si="4"/>
        <v>7840.9753951666653</v>
      </c>
      <c r="AL11" s="543">
        <f t="shared" si="4"/>
        <v>7840.9753951666653</v>
      </c>
      <c r="AM11" s="543">
        <f t="shared" si="4"/>
        <v>7840.9753951666653</v>
      </c>
    </row>
    <row r="12" spans="1:40">
      <c r="B12" s="544">
        <f>SUM(B4:B11)</f>
        <v>355293859.77999902</v>
      </c>
      <c r="D12" s="530" t="s">
        <v>2085</v>
      </c>
      <c r="E12" s="406">
        <v>4279420.0199999996</v>
      </c>
      <c r="F12" s="406">
        <v>4279420</v>
      </c>
      <c r="G12" s="406">
        <f t="shared" si="3"/>
        <v>1.9999999552965164E-2</v>
      </c>
      <c r="H12" s="406" t="s">
        <v>2079</v>
      </c>
      <c r="I12" s="530"/>
      <c r="J12" s="406" t="s">
        <v>2551</v>
      </c>
      <c r="K12" s="543">
        <v>3.9499999117106196E-5</v>
      </c>
      <c r="L12" s="543">
        <f t="shared" si="4"/>
        <v>3.9499999117106196E-5</v>
      </c>
      <c r="M12" s="543">
        <f t="shared" si="4"/>
        <v>3.9499999117106196E-5</v>
      </c>
      <c r="N12" s="543">
        <f t="shared" si="4"/>
        <v>3.9499999117106196E-5</v>
      </c>
      <c r="O12" s="543">
        <f t="shared" si="4"/>
        <v>3.9499999117106196E-5</v>
      </c>
      <c r="P12" s="543">
        <f t="shared" si="4"/>
        <v>3.9499999117106196E-5</v>
      </c>
      <c r="Q12" s="543">
        <f t="shared" si="4"/>
        <v>3.9499999117106196E-5</v>
      </c>
      <c r="R12" s="543">
        <f t="shared" si="4"/>
        <v>3.9499999117106196E-5</v>
      </c>
      <c r="S12" s="543">
        <f t="shared" si="4"/>
        <v>3.9499999117106196E-5</v>
      </c>
      <c r="T12" s="543">
        <f t="shared" si="4"/>
        <v>3.9499999117106196E-5</v>
      </c>
      <c r="U12" s="543">
        <f t="shared" si="4"/>
        <v>3.9499999117106196E-5</v>
      </c>
      <c r="V12" s="543">
        <f t="shared" si="4"/>
        <v>3.9499999117106196E-5</v>
      </c>
      <c r="W12" s="543">
        <f t="shared" si="4"/>
        <v>3.9499999117106196E-5</v>
      </c>
      <c r="X12" s="543">
        <f t="shared" si="4"/>
        <v>3.9499999117106196E-5</v>
      </c>
      <c r="Y12" s="543">
        <f t="shared" si="4"/>
        <v>3.9499999117106196E-5</v>
      </c>
      <c r="Z12" s="543">
        <f t="shared" si="4"/>
        <v>3.9499999117106196E-5</v>
      </c>
      <c r="AA12" s="543">
        <f t="shared" si="4"/>
        <v>3.9499999117106196E-5</v>
      </c>
      <c r="AB12" s="543">
        <f t="shared" si="4"/>
        <v>3.616666585827867E-5</v>
      </c>
      <c r="AC12" s="543">
        <f t="shared" si="4"/>
        <v>3.616666585827867E-5</v>
      </c>
      <c r="AD12" s="543">
        <f t="shared" si="4"/>
        <v>3.616666585827867E-5</v>
      </c>
      <c r="AE12" s="543">
        <f t="shared" si="4"/>
        <v>3.616666585827867E-5</v>
      </c>
      <c r="AF12" s="543">
        <f t="shared" si="4"/>
        <v>3.616666585827867E-5</v>
      </c>
      <c r="AG12" s="543">
        <f t="shared" si="4"/>
        <v>3.616666585827867E-5</v>
      </c>
      <c r="AH12" s="543">
        <f t="shared" si="4"/>
        <v>3.616666585827867E-5</v>
      </c>
      <c r="AI12" s="543">
        <f t="shared" si="4"/>
        <v>3.616666585827867E-5</v>
      </c>
      <c r="AJ12" s="543">
        <f t="shared" si="4"/>
        <v>3.616666585827867E-5</v>
      </c>
      <c r="AK12" s="543">
        <f t="shared" si="4"/>
        <v>3.616666585827867E-5</v>
      </c>
      <c r="AL12" s="543">
        <f t="shared" si="4"/>
        <v>3.616666585827867E-5</v>
      </c>
      <c r="AM12" s="543">
        <f t="shared" si="4"/>
        <v>3.616666585827867E-5</v>
      </c>
    </row>
    <row r="13" spans="1:40" ht="15.75" thickBot="1">
      <c r="B13" s="543"/>
      <c r="D13" s="530"/>
      <c r="E13" s="411">
        <f>SUM(E8:E12)</f>
        <v>189011612.12</v>
      </c>
      <c r="F13" s="411">
        <f>SUM(F8:F12)</f>
        <v>180102328</v>
      </c>
      <c r="G13" s="411">
        <f>SUM(G8:G12)</f>
        <v>8909284.1199999973</v>
      </c>
      <c r="H13" s="406"/>
      <c r="I13" s="530"/>
      <c r="J13" s="529" t="s">
        <v>2553</v>
      </c>
      <c r="K13" s="545">
        <f>SUM(K8:K12)</f>
        <v>18531.411498416663</v>
      </c>
      <c r="L13" s="545">
        <f t="shared" ref="L13:AM13" si="5">SUM(L8:L12)</f>
        <v>18531.411498416663</v>
      </c>
      <c r="M13" s="545">
        <f t="shared" si="5"/>
        <v>18531.411498416663</v>
      </c>
      <c r="N13" s="545">
        <f t="shared" si="5"/>
        <v>18531.411498416663</v>
      </c>
      <c r="O13" s="545">
        <f t="shared" si="5"/>
        <v>18531.411498416663</v>
      </c>
      <c r="P13" s="545">
        <f t="shared" si="5"/>
        <v>18531.411498416663</v>
      </c>
      <c r="Q13" s="545">
        <f t="shared" si="5"/>
        <v>18531.411498416663</v>
      </c>
      <c r="R13" s="545">
        <f t="shared" si="5"/>
        <v>18531.411498416663</v>
      </c>
      <c r="S13" s="545">
        <f t="shared" si="5"/>
        <v>18531.411498416663</v>
      </c>
      <c r="T13" s="545">
        <f t="shared" si="5"/>
        <v>18531.411498416663</v>
      </c>
      <c r="U13" s="545">
        <f t="shared" si="5"/>
        <v>18531.411498416663</v>
      </c>
      <c r="V13" s="545">
        <f t="shared" si="5"/>
        <v>18531.411498416663</v>
      </c>
      <c r="W13" s="545">
        <f t="shared" si="5"/>
        <v>18531.411498416663</v>
      </c>
      <c r="X13" s="545">
        <f t="shared" si="5"/>
        <v>18531.411498416663</v>
      </c>
      <c r="Y13" s="545">
        <f t="shared" si="5"/>
        <v>18531.411498416663</v>
      </c>
      <c r="Z13" s="545">
        <f t="shared" si="5"/>
        <v>18531.411498416663</v>
      </c>
      <c r="AA13" s="545">
        <f t="shared" si="5"/>
        <v>18531.411498416663</v>
      </c>
      <c r="AB13" s="545">
        <f t="shared" si="5"/>
        <v>25410.812143333318</v>
      </c>
      <c r="AC13" s="545">
        <f t="shared" si="5"/>
        <v>25410.812143333318</v>
      </c>
      <c r="AD13" s="545">
        <f t="shared" si="5"/>
        <v>25410.812143333318</v>
      </c>
      <c r="AE13" s="545">
        <f t="shared" si="5"/>
        <v>25410.812143333318</v>
      </c>
      <c r="AF13" s="545">
        <f t="shared" si="5"/>
        <v>25410.812143333318</v>
      </c>
      <c r="AG13" s="545">
        <f t="shared" si="5"/>
        <v>25410.812143333318</v>
      </c>
      <c r="AH13" s="545">
        <f t="shared" si="5"/>
        <v>25410.812143333318</v>
      </c>
      <c r="AI13" s="545">
        <f t="shared" si="5"/>
        <v>25410.812143333318</v>
      </c>
      <c r="AJ13" s="545">
        <f t="shared" si="5"/>
        <v>25410.812143333318</v>
      </c>
      <c r="AK13" s="545">
        <f t="shared" si="5"/>
        <v>25410.812143333318</v>
      </c>
      <c r="AL13" s="545">
        <f t="shared" si="5"/>
        <v>25410.812143333318</v>
      </c>
      <c r="AM13" s="545">
        <f t="shared" si="5"/>
        <v>25410.812143333318</v>
      </c>
    </row>
    <row r="14" spans="1:40" ht="16.5" thickTop="1">
      <c r="A14" s="534" t="s">
        <v>1831</v>
      </c>
      <c r="B14" s="543"/>
      <c r="D14" s="530"/>
      <c r="E14" s="407"/>
      <c r="F14" s="410"/>
      <c r="G14" s="410"/>
      <c r="H14" s="540"/>
      <c r="I14" s="530"/>
      <c r="J14" s="530"/>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row>
    <row r="15" spans="1:40" ht="15.75">
      <c r="A15" s="289" t="s">
        <v>1731</v>
      </c>
      <c r="B15" s="543">
        <v>27267.75</v>
      </c>
      <c r="D15" s="530"/>
      <c r="E15" s="407"/>
      <c r="F15" s="410"/>
      <c r="G15" s="410"/>
      <c r="H15" s="540"/>
      <c r="I15" s="530"/>
      <c r="J15" s="530"/>
      <c r="K15" s="543"/>
      <c r="L15" s="543"/>
      <c r="M15" s="543"/>
      <c r="N15" s="543"/>
      <c r="O15" s="543"/>
      <c r="P15" s="543"/>
      <c r="Q15" s="543"/>
      <c r="R15" s="543"/>
      <c r="S15" s="543"/>
      <c r="T15" s="543"/>
      <c r="U15" s="543"/>
      <c r="V15" s="543"/>
      <c r="W15" s="352" t="s">
        <v>2086</v>
      </c>
      <c r="X15" s="543"/>
      <c r="Y15" s="543"/>
      <c r="Z15" s="543"/>
      <c r="AA15" s="543"/>
      <c r="AB15" s="543"/>
      <c r="AC15" s="543"/>
      <c r="AD15" s="543"/>
      <c r="AE15" s="543"/>
      <c r="AF15" s="543"/>
      <c r="AG15" s="543"/>
      <c r="AH15" s="543"/>
      <c r="AI15" s="543"/>
      <c r="AJ15" s="543"/>
      <c r="AK15" s="543"/>
      <c r="AL15" s="543"/>
      <c r="AM15" s="352" t="s">
        <v>2086</v>
      </c>
      <c r="AN15" s="352" t="s">
        <v>2086</v>
      </c>
    </row>
    <row r="16" spans="1:40" ht="15.75">
      <c r="A16" s="289" t="s">
        <v>1734</v>
      </c>
      <c r="B16" s="543">
        <v>5566618.1600000001</v>
      </c>
      <c r="D16" s="530"/>
      <c r="E16" s="407"/>
      <c r="F16" s="410"/>
      <c r="G16" s="410"/>
      <c r="H16" s="540"/>
      <c r="I16" s="530"/>
      <c r="J16" s="546" t="s">
        <v>2554</v>
      </c>
      <c r="K16" s="543"/>
      <c r="L16" s="543"/>
      <c r="M16" s="543"/>
      <c r="N16" s="543"/>
      <c r="O16" s="543"/>
      <c r="P16" s="543"/>
      <c r="Q16" s="543"/>
      <c r="R16" s="543"/>
      <c r="S16" s="543"/>
      <c r="T16" s="543"/>
      <c r="U16" s="543"/>
      <c r="V16" s="543"/>
      <c r="W16" s="352" t="s">
        <v>2081</v>
      </c>
      <c r="X16" s="543"/>
      <c r="Y16" s="543"/>
      <c r="Z16" s="543"/>
      <c r="AA16" s="543"/>
      <c r="AB16" s="543"/>
      <c r="AC16" s="543"/>
      <c r="AD16" s="543"/>
      <c r="AE16" s="543"/>
      <c r="AF16" s="543"/>
      <c r="AG16" s="543"/>
      <c r="AH16" s="543"/>
      <c r="AI16" s="543"/>
      <c r="AJ16" s="543"/>
      <c r="AK16" s="543"/>
      <c r="AL16" s="543"/>
      <c r="AM16" s="352" t="s">
        <v>2081</v>
      </c>
      <c r="AN16" s="352" t="s">
        <v>2081</v>
      </c>
    </row>
    <row r="17" spans="1:40">
      <c r="A17" s="289" t="s">
        <v>1735</v>
      </c>
      <c r="B17" s="543">
        <v>1005645.77</v>
      </c>
      <c r="D17" s="530"/>
      <c r="E17" s="351" t="s">
        <v>2069</v>
      </c>
      <c r="F17" s="351" t="s">
        <v>2070</v>
      </c>
      <c r="G17" s="407" t="s">
        <v>2086</v>
      </c>
      <c r="H17" s="530"/>
      <c r="I17" s="530"/>
      <c r="J17" s="406" t="s">
        <v>2551</v>
      </c>
      <c r="K17" s="547">
        <v>1000219.5960825011</v>
      </c>
      <c r="L17" s="547">
        <f>K17+L13</f>
        <v>1018751.0075809178</v>
      </c>
      <c r="M17" s="547">
        <f t="shared" ref="M17:AM17" si="6">L17+M13</f>
        <v>1037282.4190793345</v>
      </c>
      <c r="N17" s="547">
        <f t="shared" si="6"/>
        <v>1055813.8305777512</v>
      </c>
      <c r="O17" s="547">
        <f t="shared" si="6"/>
        <v>1074345.2420761678</v>
      </c>
      <c r="P17" s="547">
        <f t="shared" si="6"/>
        <v>1092876.6535745845</v>
      </c>
      <c r="Q17" s="547">
        <f t="shared" si="6"/>
        <v>1111408.0650730012</v>
      </c>
      <c r="R17" s="547">
        <f t="shared" si="6"/>
        <v>1129939.4765714179</v>
      </c>
      <c r="S17" s="547">
        <f t="shared" si="6"/>
        <v>1148470.8880698346</v>
      </c>
      <c r="T17" s="547">
        <f t="shared" si="6"/>
        <v>1167002.2995682512</v>
      </c>
      <c r="U17" s="547">
        <f t="shared" si="6"/>
        <v>1185533.7110666679</v>
      </c>
      <c r="V17" s="547">
        <f t="shared" si="6"/>
        <v>1204065.1225650846</v>
      </c>
      <c r="W17" s="555">
        <f t="shared" si="6"/>
        <v>1222596.5340635013</v>
      </c>
      <c r="X17" s="547">
        <f t="shared" si="6"/>
        <v>1241127.945561918</v>
      </c>
      <c r="Y17" s="547">
        <f t="shared" si="6"/>
        <v>1259659.3570603346</v>
      </c>
      <c r="Z17" s="547">
        <f t="shared" si="6"/>
        <v>1278190.7685587513</v>
      </c>
      <c r="AA17" s="547">
        <f t="shared" si="6"/>
        <v>1296722.180057168</v>
      </c>
      <c r="AB17" s="547">
        <f t="shared" si="6"/>
        <v>1322132.9922005013</v>
      </c>
      <c r="AC17" s="547">
        <f t="shared" si="6"/>
        <v>1347543.8043438345</v>
      </c>
      <c r="AD17" s="547">
        <f t="shared" si="6"/>
        <v>1372954.6164871678</v>
      </c>
      <c r="AE17" s="547">
        <f t="shared" si="6"/>
        <v>1398365.428630501</v>
      </c>
      <c r="AF17" s="547">
        <f t="shared" si="6"/>
        <v>1423776.2407738343</v>
      </c>
      <c r="AG17" s="547">
        <f t="shared" si="6"/>
        <v>1449187.0529171675</v>
      </c>
      <c r="AH17" s="547">
        <f t="shared" si="6"/>
        <v>1474597.8650605008</v>
      </c>
      <c r="AI17" s="547">
        <f t="shared" si="6"/>
        <v>1500008.6772038341</v>
      </c>
      <c r="AJ17" s="547">
        <f t="shared" si="6"/>
        <v>1525419.4893471673</v>
      </c>
      <c r="AK17" s="547">
        <f t="shared" si="6"/>
        <v>1550830.3014905006</v>
      </c>
      <c r="AL17" s="547">
        <f t="shared" si="6"/>
        <v>1576241.1136338338</v>
      </c>
      <c r="AM17" s="555">
        <f t="shared" si="6"/>
        <v>1601651.9257771671</v>
      </c>
      <c r="AN17" s="558">
        <f>SUM(AA17:AM17)/13</f>
        <v>1449187.0529171675</v>
      </c>
    </row>
    <row r="18" spans="1:40" ht="16.5" thickBot="1">
      <c r="A18" s="289" t="s">
        <v>1736</v>
      </c>
      <c r="B18" s="543">
        <v>0</v>
      </c>
      <c r="D18" s="530"/>
      <c r="E18" s="407"/>
      <c r="F18" s="410"/>
      <c r="G18" s="410"/>
      <c r="H18" s="540"/>
      <c r="I18" s="530"/>
      <c r="J18" s="530" t="s">
        <v>2555</v>
      </c>
      <c r="K18" s="545">
        <f>SUM(K17)</f>
        <v>1000219.5960825011</v>
      </c>
      <c r="L18" s="545">
        <f t="shared" ref="L18:AN18" si="7">SUM(L17)</f>
        <v>1018751.0075809178</v>
      </c>
      <c r="M18" s="545">
        <f t="shared" si="7"/>
        <v>1037282.4190793345</v>
      </c>
      <c r="N18" s="545">
        <f t="shared" si="7"/>
        <v>1055813.8305777512</v>
      </c>
      <c r="O18" s="545">
        <f t="shared" si="7"/>
        <v>1074345.2420761678</v>
      </c>
      <c r="P18" s="545">
        <f t="shared" si="7"/>
        <v>1092876.6535745845</v>
      </c>
      <c r="Q18" s="545">
        <f t="shared" si="7"/>
        <v>1111408.0650730012</v>
      </c>
      <c r="R18" s="545">
        <f t="shared" si="7"/>
        <v>1129939.4765714179</v>
      </c>
      <c r="S18" s="545">
        <f t="shared" si="7"/>
        <v>1148470.8880698346</v>
      </c>
      <c r="T18" s="545">
        <f t="shared" si="7"/>
        <v>1167002.2995682512</v>
      </c>
      <c r="U18" s="545">
        <f t="shared" si="7"/>
        <v>1185533.7110666679</v>
      </c>
      <c r="V18" s="545">
        <f t="shared" si="7"/>
        <v>1204065.1225650846</v>
      </c>
      <c r="W18" s="556">
        <f t="shared" si="7"/>
        <v>1222596.5340635013</v>
      </c>
      <c r="X18" s="545">
        <f t="shared" si="7"/>
        <v>1241127.945561918</v>
      </c>
      <c r="Y18" s="545">
        <f t="shared" si="7"/>
        <v>1259659.3570603346</v>
      </c>
      <c r="Z18" s="545">
        <f t="shared" si="7"/>
        <v>1278190.7685587513</v>
      </c>
      <c r="AA18" s="545">
        <f t="shared" si="7"/>
        <v>1296722.180057168</v>
      </c>
      <c r="AB18" s="545">
        <f t="shared" si="7"/>
        <v>1322132.9922005013</v>
      </c>
      <c r="AC18" s="545">
        <f t="shared" si="7"/>
        <v>1347543.8043438345</v>
      </c>
      <c r="AD18" s="545">
        <f t="shared" si="7"/>
        <v>1372954.6164871678</v>
      </c>
      <c r="AE18" s="545">
        <f t="shared" si="7"/>
        <v>1398365.428630501</v>
      </c>
      <c r="AF18" s="545">
        <f t="shared" si="7"/>
        <v>1423776.2407738343</v>
      </c>
      <c r="AG18" s="545">
        <f t="shared" si="7"/>
        <v>1449187.0529171675</v>
      </c>
      <c r="AH18" s="545">
        <f t="shared" si="7"/>
        <v>1474597.8650605008</v>
      </c>
      <c r="AI18" s="545">
        <f t="shared" si="7"/>
        <v>1500008.6772038341</v>
      </c>
      <c r="AJ18" s="545">
        <f t="shared" si="7"/>
        <v>1525419.4893471673</v>
      </c>
      <c r="AK18" s="545">
        <f t="shared" si="7"/>
        <v>1550830.3014905006</v>
      </c>
      <c r="AL18" s="545">
        <f t="shared" si="7"/>
        <v>1576241.1136338338</v>
      </c>
      <c r="AM18" s="556">
        <f t="shared" si="7"/>
        <v>1601651.9257771671</v>
      </c>
      <c r="AN18" s="556">
        <f t="shared" si="7"/>
        <v>1449187.0529171675</v>
      </c>
    </row>
    <row r="19" spans="1:40" ht="16.5" thickTop="1">
      <c r="A19" s="289" t="s">
        <v>1739</v>
      </c>
      <c r="B19" s="543">
        <v>6061.59</v>
      </c>
      <c r="D19" s="530">
        <v>2009</v>
      </c>
      <c r="E19" s="405">
        <f>SUM(B15,B16,B20)</f>
        <v>5604411.6699999999</v>
      </c>
      <c r="F19" s="406">
        <v>5277511</v>
      </c>
      <c r="G19" s="406">
        <f>E19-F19</f>
        <v>326900.66999999993</v>
      </c>
      <c r="H19" s="540"/>
      <c r="I19" s="530"/>
      <c r="J19" s="530"/>
      <c r="W19" s="557">
        <f>W6</f>
        <v>43465</v>
      </c>
      <c r="AM19" s="557">
        <f>AM6</f>
        <v>43951</v>
      </c>
      <c r="AN19" s="559" t="s">
        <v>2013</v>
      </c>
    </row>
    <row r="20" spans="1:40" ht="15.75">
      <c r="A20" s="289" t="s">
        <v>1817</v>
      </c>
      <c r="B20" s="543">
        <v>10525.76</v>
      </c>
      <c r="D20" s="530">
        <v>2011</v>
      </c>
      <c r="E20" s="405">
        <f>SUM(B17,B19)</f>
        <v>1011707.36</v>
      </c>
      <c r="F20" s="406">
        <v>1008226.26</v>
      </c>
      <c r="G20" s="406">
        <f>E20-F20</f>
        <v>3481.0999999999767</v>
      </c>
      <c r="H20" s="540"/>
      <c r="I20" s="530"/>
      <c r="J20" s="548" t="s">
        <v>2556</v>
      </c>
    </row>
    <row r="21" spans="1:40" ht="15.75">
      <c r="B21" s="544">
        <f>SUM(B15:B20)</f>
        <v>6616119.0299999993</v>
      </c>
      <c r="D21" s="530"/>
      <c r="E21" s="408">
        <f>SUM(E19:E20)</f>
        <v>6616119.0300000003</v>
      </c>
      <c r="F21" s="408">
        <f t="shared" ref="F21:G21" si="8">SUM(F19:F20)</f>
        <v>6285737.2599999998</v>
      </c>
      <c r="G21" s="408">
        <f t="shared" si="8"/>
        <v>330381.7699999999</v>
      </c>
      <c r="H21" s="540"/>
      <c r="I21" s="530"/>
      <c r="J21" s="406" t="s">
        <v>2551</v>
      </c>
      <c r="K21" s="549">
        <v>2.6499999999999999E-2</v>
      </c>
      <c r="L21" s="549">
        <f>K21</f>
        <v>2.6499999999999999E-2</v>
      </c>
      <c r="M21" s="549">
        <f t="shared" ref="M21:AA21" si="9">L21</f>
        <v>2.6499999999999999E-2</v>
      </c>
      <c r="N21" s="549">
        <f t="shared" si="9"/>
        <v>2.6499999999999999E-2</v>
      </c>
      <c r="O21" s="549">
        <f t="shared" si="9"/>
        <v>2.6499999999999999E-2</v>
      </c>
      <c r="P21" s="549">
        <f t="shared" si="9"/>
        <v>2.6499999999999999E-2</v>
      </c>
      <c r="Q21" s="549">
        <f t="shared" si="9"/>
        <v>2.6499999999999999E-2</v>
      </c>
      <c r="R21" s="549">
        <f t="shared" si="9"/>
        <v>2.6499999999999999E-2</v>
      </c>
      <c r="S21" s="549">
        <f t="shared" si="9"/>
        <v>2.6499999999999999E-2</v>
      </c>
      <c r="T21" s="549">
        <f t="shared" si="9"/>
        <v>2.6499999999999999E-2</v>
      </c>
      <c r="U21" s="549">
        <f t="shared" si="9"/>
        <v>2.6499999999999999E-2</v>
      </c>
      <c r="V21" s="549">
        <f t="shared" si="9"/>
        <v>2.6499999999999999E-2</v>
      </c>
      <c r="W21" s="549">
        <f t="shared" si="9"/>
        <v>2.6499999999999999E-2</v>
      </c>
      <c r="X21" s="549">
        <f t="shared" si="9"/>
        <v>2.6499999999999999E-2</v>
      </c>
      <c r="Y21" s="549">
        <f t="shared" si="9"/>
        <v>2.6499999999999999E-2</v>
      </c>
      <c r="Z21" s="549">
        <f t="shared" si="9"/>
        <v>2.6499999999999999E-2</v>
      </c>
      <c r="AA21" s="549">
        <f t="shared" si="9"/>
        <v>2.6499999999999999E-2</v>
      </c>
      <c r="AB21" s="549">
        <v>5.1900000000000002E-2</v>
      </c>
      <c r="AC21" s="549">
        <f>AB21</f>
        <v>5.1900000000000002E-2</v>
      </c>
      <c r="AD21" s="549">
        <f t="shared" ref="AD21:AM21" si="10">AC21</f>
        <v>5.1900000000000002E-2</v>
      </c>
      <c r="AE21" s="549">
        <f t="shared" si="10"/>
        <v>5.1900000000000002E-2</v>
      </c>
      <c r="AF21" s="549">
        <f t="shared" si="10"/>
        <v>5.1900000000000002E-2</v>
      </c>
      <c r="AG21" s="549">
        <f t="shared" si="10"/>
        <v>5.1900000000000002E-2</v>
      </c>
      <c r="AH21" s="549">
        <f t="shared" si="10"/>
        <v>5.1900000000000002E-2</v>
      </c>
      <c r="AI21" s="549">
        <f t="shared" si="10"/>
        <v>5.1900000000000002E-2</v>
      </c>
      <c r="AJ21" s="549">
        <f t="shared" si="10"/>
        <v>5.1900000000000002E-2</v>
      </c>
      <c r="AK21" s="549">
        <f t="shared" si="10"/>
        <v>5.1900000000000002E-2</v>
      </c>
      <c r="AL21" s="549">
        <f t="shared" si="10"/>
        <v>5.1900000000000002E-2</v>
      </c>
      <c r="AM21" s="549">
        <f t="shared" si="10"/>
        <v>5.1900000000000002E-2</v>
      </c>
    </row>
    <row r="22" spans="1:40" ht="15.75">
      <c r="B22" s="543"/>
      <c r="D22" s="530"/>
      <c r="E22" s="346"/>
      <c r="F22" s="412"/>
      <c r="G22" s="412"/>
      <c r="H22" s="540"/>
      <c r="I22" s="530"/>
      <c r="J22" s="406" t="s">
        <v>2551</v>
      </c>
      <c r="K22" s="549">
        <v>2.6499999999999999E-2</v>
      </c>
      <c r="L22" s="549">
        <f t="shared" ref="L22:AA25" si="11">K22</f>
        <v>2.6499999999999999E-2</v>
      </c>
      <c r="M22" s="549">
        <f t="shared" si="11"/>
        <v>2.6499999999999999E-2</v>
      </c>
      <c r="N22" s="549">
        <f t="shared" si="11"/>
        <v>2.6499999999999999E-2</v>
      </c>
      <c r="O22" s="549">
        <f t="shared" si="11"/>
        <v>2.6499999999999999E-2</v>
      </c>
      <c r="P22" s="549">
        <f t="shared" si="11"/>
        <v>2.6499999999999999E-2</v>
      </c>
      <c r="Q22" s="549">
        <f t="shared" si="11"/>
        <v>2.6499999999999999E-2</v>
      </c>
      <c r="R22" s="549">
        <f t="shared" si="11"/>
        <v>2.6499999999999999E-2</v>
      </c>
      <c r="S22" s="549">
        <f t="shared" si="11"/>
        <v>2.6499999999999999E-2</v>
      </c>
      <c r="T22" s="549">
        <f t="shared" si="11"/>
        <v>2.6499999999999999E-2</v>
      </c>
      <c r="U22" s="549">
        <f t="shared" si="11"/>
        <v>2.6499999999999999E-2</v>
      </c>
      <c r="V22" s="549">
        <f t="shared" si="11"/>
        <v>2.6499999999999999E-2</v>
      </c>
      <c r="W22" s="549">
        <f t="shared" si="11"/>
        <v>2.6499999999999999E-2</v>
      </c>
      <c r="X22" s="549">
        <f t="shared" si="11"/>
        <v>2.6499999999999999E-2</v>
      </c>
      <c r="Y22" s="549">
        <f t="shared" si="11"/>
        <v>2.6499999999999999E-2</v>
      </c>
      <c r="Z22" s="549">
        <f t="shared" si="11"/>
        <v>2.6499999999999999E-2</v>
      </c>
      <c r="AA22" s="549">
        <f t="shared" si="11"/>
        <v>2.6499999999999999E-2</v>
      </c>
      <c r="AB22" s="549">
        <v>5.1900000000000002E-2</v>
      </c>
      <c r="AC22" s="549">
        <f t="shared" ref="AC22:AM25" si="12">AB22</f>
        <v>5.1900000000000002E-2</v>
      </c>
      <c r="AD22" s="549">
        <f t="shared" si="12"/>
        <v>5.1900000000000002E-2</v>
      </c>
      <c r="AE22" s="549">
        <f t="shared" si="12"/>
        <v>5.1900000000000002E-2</v>
      </c>
      <c r="AF22" s="549">
        <f t="shared" si="12"/>
        <v>5.1900000000000002E-2</v>
      </c>
      <c r="AG22" s="549">
        <f t="shared" si="12"/>
        <v>5.1900000000000002E-2</v>
      </c>
      <c r="AH22" s="549">
        <f t="shared" si="12"/>
        <v>5.1900000000000002E-2</v>
      </c>
      <c r="AI22" s="549">
        <f t="shared" si="12"/>
        <v>5.1900000000000002E-2</v>
      </c>
      <c r="AJ22" s="549">
        <f t="shared" si="12"/>
        <v>5.1900000000000002E-2</v>
      </c>
      <c r="AK22" s="549">
        <f t="shared" si="12"/>
        <v>5.1900000000000002E-2</v>
      </c>
      <c r="AL22" s="549">
        <f t="shared" si="12"/>
        <v>5.1900000000000002E-2</v>
      </c>
      <c r="AM22" s="549">
        <f t="shared" si="12"/>
        <v>5.1900000000000002E-2</v>
      </c>
    </row>
    <row r="23" spans="1:40">
      <c r="A23" s="287" t="s">
        <v>2080</v>
      </c>
      <c r="B23" s="543"/>
      <c r="J23" s="406" t="s">
        <v>2551</v>
      </c>
      <c r="K23" s="549">
        <v>2.5999999999999999E-2</v>
      </c>
      <c r="L23" s="549">
        <f t="shared" si="11"/>
        <v>2.5999999999999999E-2</v>
      </c>
      <c r="M23" s="549">
        <f t="shared" si="11"/>
        <v>2.5999999999999999E-2</v>
      </c>
      <c r="N23" s="549">
        <f t="shared" si="11"/>
        <v>2.5999999999999999E-2</v>
      </c>
      <c r="O23" s="549">
        <f t="shared" si="11"/>
        <v>2.5999999999999999E-2</v>
      </c>
      <c r="P23" s="549">
        <f t="shared" si="11"/>
        <v>2.5999999999999999E-2</v>
      </c>
      <c r="Q23" s="549">
        <f t="shared" si="11"/>
        <v>2.5999999999999999E-2</v>
      </c>
      <c r="R23" s="549">
        <f t="shared" si="11"/>
        <v>2.5999999999999999E-2</v>
      </c>
      <c r="S23" s="549">
        <f t="shared" si="11"/>
        <v>2.5999999999999999E-2</v>
      </c>
      <c r="T23" s="549">
        <f t="shared" si="11"/>
        <v>2.5999999999999999E-2</v>
      </c>
      <c r="U23" s="549">
        <f t="shared" si="11"/>
        <v>2.5999999999999999E-2</v>
      </c>
      <c r="V23" s="549">
        <f t="shared" si="11"/>
        <v>2.5999999999999999E-2</v>
      </c>
      <c r="W23" s="549">
        <f t="shared" si="11"/>
        <v>2.5999999999999999E-2</v>
      </c>
      <c r="X23" s="549">
        <f t="shared" si="11"/>
        <v>2.5999999999999999E-2</v>
      </c>
      <c r="Y23" s="549">
        <f t="shared" si="11"/>
        <v>2.5999999999999999E-2</v>
      </c>
      <c r="Z23" s="549">
        <f t="shared" si="11"/>
        <v>2.5999999999999999E-2</v>
      </c>
      <c r="AA23" s="549">
        <f t="shared" si="11"/>
        <v>2.5999999999999999E-2</v>
      </c>
      <c r="AB23" s="549">
        <v>4.3500000000000004E-2</v>
      </c>
      <c r="AC23" s="549">
        <f t="shared" si="12"/>
        <v>4.3500000000000004E-2</v>
      </c>
      <c r="AD23" s="549">
        <f t="shared" si="12"/>
        <v>4.3500000000000004E-2</v>
      </c>
      <c r="AE23" s="549">
        <f t="shared" si="12"/>
        <v>4.3500000000000004E-2</v>
      </c>
      <c r="AF23" s="549">
        <f t="shared" si="12"/>
        <v>4.3500000000000004E-2</v>
      </c>
      <c r="AG23" s="549">
        <f t="shared" si="12"/>
        <v>4.3500000000000004E-2</v>
      </c>
      <c r="AH23" s="549">
        <f t="shared" si="12"/>
        <v>4.3500000000000004E-2</v>
      </c>
      <c r="AI23" s="549">
        <f t="shared" si="12"/>
        <v>4.3500000000000004E-2</v>
      </c>
      <c r="AJ23" s="549">
        <f t="shared" si="12"/>
        <v>4.3500000000000004E-2</v>
      </c>
      <c r="AK23" s="549">
        <f t="shared" si="12"/>
        <v>4.3500000000000004E-2</v>
      </c>
      <c r="AL23" s="549">
        <f t="shared" si="12"/>
        <v>4.3500000000000004E-2</v>
      </c>
      <c r="AM23" s="549">
        <f t="shared" si="12"/>
        <v>4.3500000000000004E-2</v>
      </c>
    </row>
    <row r="24" spans="1:40">
      <c r="A24" s="550" t="s">
        <v>1491</v>
      </c>
      <c r="B24" s="543">
        <v>266359366.59999999</v>
      </c>
      <c r="F24" s="551"/>
      <c r="G24" s="551"/>
      <c r="H24" s="551"/>
      <c r="I24" s="551"/>
      <c r="J24" s="406" t="s">
        <v>2551</v>
      </c>
      <c r="K24" s="549">
        <v>2.3699999999999999E-2</v>
      </c>
      <c r="L24" s="549">
        <f t="shared" si="11"/>
        <v>2.3699999999999999E-2</v>
      </c>
      <c r="M24" s="549">
        <f t="shared" si="11"/>
        <v>2.3699999999999999E-2</v>
      </c>
      <c r="N24" s="549">
        <f t="shared" si="11"/>
        <v>2.3699999999999999E-2</v>
      </c>
      <c r="O24" s="549">
        <f t="shared" si="11"/>
        <v>2.3699999999999999E-2</v>
      </c>
      <c r="P24" s="549">
        <f t="shared" si="11"/>
        <v>2.3699999999999999E-2</v>
      </c>
      <c r="Q24" s="549">
        <f t="shared" si="11"/>
        <v>2.3699999999999999E-2</v>
      </c>
      <c r="R24" s="549">
        <f t="shared" si="11"/>
        <v>2.3699999999999999E-2</v>
      </c>
      <c r="S24" s="549">
        <f t="shared" si="11"/>
        <v>2.3699999999999999E-2</v>
      </c>
      <c r="T24" s="549">
        <f t="shared" si="11"/>
        <v>2.3699999999999999E-2</v>
      </c>
      <c r="U24" s="549">
        <f t="shared" si="11"/>
        <v>2.3699999999999999E-2</v>
      </c>
      <c r="V24" s="549">
        <f t="shared" si="11"/>
        <v>2.3699999999999999E-2</v>
      </c>
      <c r="W24" s="549">
        <f t="shared" si="11"/>
        <v>2.3699999999999999E-2</v>
      </c>
      <c r="X24" s="549">
        <f t="shared" si="11"/>
        <v>2.3699999999999999E-2</v>
      </c>
      <c r="Y24" s="549">
        <f t="shared" si="11"/>
        <v>2.3699999999999999E-2</v>
      </c>
      <c r="Z24" s="549">
        <f t="shared" si="11"/>
        <v>2.3699999999999999E-2</v>
      </c>
      <c r="AA24" s="549">
        <f t="shared" si="11"/>
        <v>2.3699999999999999E-2</v>
      </c>
      <c r="AB24" s="549">
        <v>2.1699999999999997E-2</v>
      </c>
      <c r="AC24" s="549">
        <f t="shared" si="12"/>
        <v>2.1699999999999997E-2</v>
      </c>
      <c r="AD24" s="549">
        <f t="shared" si="12"/>
        <v>2.1699999999999997E-2</v>
      </c>
      <c r="AE24" s="549">
        <f t="shared" si="12"/>
        <v>2.1699999999999997E-2</v>
      </c>
      <c r="AF24" s="549">
        <f t="shared" si="12"/>
        <v>2.1699999999999997E-2</v>
      </c>
      <c r="AG24" s="549">
        <f t="shared" si="12"/>
        <v>2.1699999999999997E-2</v>
      </c>
      <c r="AH24" s="549">
        <f t="shared" si="12"/>
        <v>2.1699999999999997E-2</v>
      </c>
      <c r="AI24" s="549">
        <f t="shared" si="12"/>
        <v>2.1699999999999997E-2</v>
      </c>
      <c r="AJ24" s="549">
        <f t="shared" si="12"/>
        <v>2.1699999999999997E-2</v>
      </c>
      <c r="AK24" s="549">
        <f t="shared" si="12"/>
        <v>2.1699999999999997E-2</v>
      </c>
      <c r="AL24" s="549">
        <f t="shared" si="12"/>
        <v>2.1699999999999997E-2</v>
      </c>
      <c r="AM24" s="549">
        <f t="shared" si="12"/>
        <v>2.1699999999999997E-2</v>
      </c>
    </row>
    <row r="25" spans="1:40">
      <c r="A25" s="550" t="s">
        <v>1492</v>
      </c>
      <c r="B25" s="543">
        <v>359690383.24000001</v>
      </c>
      <c r="F25" s="552"/>
      <c r="G25" s="552"/>
      <c r="H25" s="552"/>
      <c r="I25" s="553"/>
      <c r="J25" s="406" t="s">
        <v>2551</v>
      </c>
      <c r="K25" s="549">
        <v>2.3699999999999999E-2</v>
      </c>
      <c r="L25" s="549">
        <f t="shared" si="11"/>
        <v>2.3699999999999999E-2</v>
      </c>
      <c r="M25" s="549">
        <f t="shared" si="11"/>
        <v>2.3699999999999999E-2</v>
      </c>
      <c r="N25" s="549">
        <f t="shared" si="11"/>
        <v>2.3699999999999999E-2</v>
      </c>
      <c r="O25" s="549">
        <f t="shared" si="11"/>
        <v>2.3699999999999999E-2</v>
      </c>
      <c r="P25" s="549">
        <f t="shared" si="11"/>
        <v>2.3699999999999999E-2</v>
      </c>
      <c r="Q25" s="549">
        <f t="shared" si="11"/>
        <v>2.3699999999999999E-2</v>
      </c>
      <c r="R25" s="549">
        <f t="shared" si="11"/>
        <v>2.3699999999999999E-2</v>
      </c>
      <c r="S25" s="549">
        <f t="shared" si="11"/>
        <v>2.3699999999999999E-2</v>
      </c>
      <c r="T25" s="549">
        <f t="shared" si="11"/>
        <v>2.3699999999999999E-2</v>
      </c>
      <c r="U25" s="549">
        <f t="shared" si="11"/>
        <v>2.3699999999999999E-2</v>
      </c>
      <c r="V25" s="549">
        <f t="shared" si="11"/>
        <v>2.3699999999999999E-2</v>
      </c>
      <c r="W25" s="549">
        <f t="shared" si="11"/>
        <v>2.3699999999999999E-2</v>
      </c>
      <c r="X25" s="549">
        <f t="shared" si="11"/>
        <v>2.3699999999999999E-2</v>
      </c>
      <c r="Y25" s="549">
        <f t="shared" si="11"/>
        <v>2.3699999999999999E-2</v>
      </c>
      <c r="Z25" s="549">
        <f t="shared" si="11"/>
        <v>2.3699999999999999E-2</v>
      </c>
      <c r="AA25" s="549">
        <f t="shared" si="11"/>
        <v>2.3699999999999999E-2</v>
      </c>
      <c r="AB25" s="549">
        <v>2.1699999999999997E-2</v>
      </c>
      <c r="AC25" s="549">
        <f t="shared" si="12"/>
        <v>2.1699999999999997E-2</v>
      </c>
      <c r="AD25" s="549">
        <f t="shared" si="12"/>
        <v>2.1699999999999997E-2</v>
      </c>
      <c r="AE25" s="549">
        <f t="shared" si="12"/>
        <v>2.1699999999999997E-2</v>
      </c>
      <c r="AF25" s="549">
        <f t="shared" si="12"/>
        <v>2.1699999999999997E-2</v>
      </c>
      <c r="AG25" s="549">
        <f t="shared" si="12"/>
        <v>2.1699999999999997E-2</v>
      </c>
      <c r="AH25" s="549">
        <f t="shared" si="12"/>
        <v>2.1699999999999997E-2</v>
      </c>
      <c r="AI25" s="549">
        <f t="shared" si="12"/>
        <v>2.1699999999999997E-2</v>
      </c>
      <c r="AJ25" s="549">
        <f t="shared" si="12"/>
        <v>2.1699999999999997E-2</v>
      </c>
      <c r="AK25" s="549">
        <f t="shared" si="12"/>
        <v>2.1699999999999997E-2</v>
      </c>
      <c r="AL25" s="549">
        <f t="shared" si="12"/>
        <v>2.1699999999999997E-2</v>
      </c>
      <c r="AM25" s="549">
        <f t="shared" si="12"/>
        <v>2.1699999999999997E-2</v>
      </c>
    </row>
    <row r="26" spans="1:40">
      <c r="A26" s="550" t="s">
        <v>1493</v>
      </c>
      <c r="B26" s="543">
        <v>34723.19</v>
      </c>
      <c r="F26" s="553"/>
      <c r="G26" s="552"/>
      <c r="H26" s="552"/>
      <c r="I26" s="553"/>
      <c r="J26" s="554"/>
    </row>
    <row r="27" spans="1:40">
      <c r="F27" s="552"/>
      <c r="G27" s="552"/>
      <c r="H27" s="552"/>
      <c r="I27" s="553"/>
      <c r="J27" s="554"/>
    </row>
    <row r="28" spans="1:40">
      <c r="F28" s="553"/>
      <c r="G28" s="552"/>
      <c r="H28" s="552"/>
      <c r="I28" s="553"/>
      <c r="J28" s="554"/>
    </row>
    <row r="29" spans="1:40">
      <c r="F29" s="552"/>
      <c r="G29" s="552"/>
      <c r="H29" s="552"/>
      <c r="I29" s="553"/>
      <c r="J29" s="554"/>
    </row>
    <row r="30" spans="1:40">
      <c r="F30" s="553"/>
      <c r="G30" s="552"/>
      <c r="H30" s="552"/>
      <c r="I30" s="553"/>
      <c r="J30" s="554"/>
    </row>
    <row r="31" spans="1:40">
      <c r="F31" s="552"/>
      <c r="G31" s="552"/>
      <c r="H31" s="552"/>
      <c r="I31" s="553"/>
      <c r="J31" s="554"/>
    </row>
    <row r="32" spans="1:40">
      <c r="F32" s="552"/>
      <c r="G32" s="552"/>
      <c r="H32" s="552"/>
      <c r="I32" s="553"/>
      <c r="J32" s="554"/>
    </row>
    <row r="33" spans="6:10">
      <c r="F33" s="552"/>
      <c r="G33" s="552"/>
      <c r="H33" s="553"/>
      <c r="I33" s="553"/>
      <c r="J33" s="553"/>
    </row>
    <row r="34" spans="6:10">
      <c r="F34" s="553"/>
      <c r="G34" s="553"/>
      <c r="H34" s="553"/>
      <c r="I34" s="553"/>
      <c r="J34" s="553"/>
    </row>
    <row r="35" spans="6:10">
      <c r="F35" s="553"/>
      <c r="G35" s="553"/>
      <c r="H35" s="553"/>
      <c r="I35" s="553"/>
      <c r="J35" s="553"/>
    </row>
  </sheetData>
  <pageMargins left="0.7" right="0.7" top="0.75" bottom="0.75" header="0.3" footer="0.3"/>
  <pageSetup scale="6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
  <sheetViews>
    <sheetView workbookViewId="0">
      <pane xSplit="1" ySplit="5" topLeftCell="B6" activePane="bottomRight" state="frozen"/>
      <selection pane="topRight" activeCell="B1" sqref="B1"/>
      <selection pane="bottomLeft" activeCell="A4" sqref="A4"/>
      <selection pane="bottomRight" activeCell="C13" sqref="C13"/>
    </sheetView>
  </sheetViews>
  <sheetFormatPr defaultRowHeight="15"/>
  <cols>
    <col min="1" max="1" width="28.6640625" style="740" bestFit="1" customWidth="1"/>
    <col min="2" max="30" width="8.33203125" style="738" customWidth="1"/>
    <col min="31" max="16384" width="8.88671875" style="738"/>
  </cols>
  <sheetData>
    <row r="1" spans="1:30" s="732" customFormat="1" ht="23.25" customHeight="1">
      <c r="A1" s="731" t="s">
        <v>2414</v>
      </c>
    </row>
    <row r="2" spans="1:30" s="732" customFormat="1" ht="23.25" customHeight="1">
      <c r="A2" s="731" t="s">
        <v>2413</v>
      </c>
    </row>
    <row r="3" spans="1:30" s="734" customFormat="1">
      <c r="A3" s="733" t="s">
        <v>2557</v>
      </c>
    </row>
    <row r="4" spans="1:30" s="734" customFormat="1" ht="15" customHeight="1">
      <c r="A4" s="735"/>
      <c r="B4" s="734" t="s">
        <v>2504</v>
      </c>
      <c r="C4" s="734" t="s">
        <v>2473</v>
      </c>
      <c r="D4" s="734" t="s">
        <v>2474</v>
      </c>
      <c r="E4" s="734" t="s">
        <v>2475</v>
      </c>
      <c r="F4" s="734" t="s">
        <v>2476</v>
      </c>
      <c r="G4" s="734" t="s">
        <v>2477</v>
      </c>
      <c r="H4" s="734" t="s">
        <v>2478</v>
      </c>
      <c r="I4" s="734" t="s">
        <v>2400</v>
      </c>
      <c r="J4" s="734" t="s">
        <v>2401</v>
      </c>
      <c r="K4" s="734" t="s">
        <v>2402</v>
      </c>
      <c r="L4" s="734" t="s">
        <v>2403</v>
      </c>
      <c r="M4" s="734" t="s">
        <v>2404</v>
      </c>
      <c r="N4" s="734" t="s">
        <v>2405</v>
      </c>
      <c r="O4" s="734" t="s">
        <v>2558</v>
      </c>
      <c r="P4" s="734" t="s">
        <v>2559</v>
      </c>
      <c r="Q4" s="734" t="s">
        <v>2560</v>
      </c>
      <c r="R4" s="734" t="s">
        <v>2532</v>
      </c>
      <c r="S4" s="734" t="s">
        <v>2533</v>
      </c>
      <c r="T4" s="734" t="s">
        <v>2534</v>
      </c>
      <c r="U4" s="734" t="s">
        <v>2535</v>
      </c>
      <c r="V4" s="734" t="s">
        <v>2536</v>
      </c>
      <c r="W4" s="734" t="s">
        <v>2537</v>
      </c>
      <c r="X4" s="734" t="s">
        <v>2538</v>
      </c>
      <c r="Y4" s="734" t="s">
        <v>2539</v>
      </c>
      <c r="Z4" s="734" t="s">
        <v>2540</v>
      </c>
      <c r="AA4" s="734" t="s">
        <v>2541</v>
      </c>
      <c r="AB4" s="734" t="s">
        <v>2542</v>
      </c>
      <c r="AC4" s="734" t="s">
        <v>2543</v>
      </c>
      <c r="AD4" s="734" t="s">
        <v>2544</v>
      </c>
    </row>
    <row r="5" spans="1:30" s="734" customFormat="1">
      <c r="A5" s="736" t="s">
        <v>2561</v>
      </c>
    </row>
    <row r="6" spans="1:30">
      <c r="A6" s="737" t="s">
        <v>2407</v>
      </c>
    </row>
    <row r="7" spans="1:30">
      <c r="A7" s="739" t="s">
        <v>1831</v>
      </c>
      <c r="B7" s="738">
        <v>38088.166089999904</v>
      </c>
      <c r="C7" s="738">
        <v>39052.059050000003</v>
      </c>
      <c r="D7" s="738">
        <v>40016.022970000005</v>
      </c>
      <c r="E7" s="738">
        <v>40979.98689</v>
      </c>
      <c r="F7" s="738">
        <v>41943.950810000002</v>
      </c>
      <c r="G7" s="738">
        <v>42907.914730000004</v>
      </c>
      <c r="H7" s="738">
        <v>43871.878650000006</v>
      </c>
      <c r="I7" s="738">
        <v>44838.570275043101</v>
      </c>
      <c r="J7" s="738">
        <v>45840.418432447099</v>
      </c>
      <c r="K7" s="738">
        <v>46902.745678064101</v>
      </c>
      <c r="L7" s="738">
        <v>47994.880613699104</v>
      </c>
      <c r="M7" s="738">
        <v>49090.386657380099</v>
      </c>
      <c r="N7" s="738">
        <v>50188.922075662005</v>
      </c>
      <c r="O7" s="738">
        <v>51288.898368645001</v>
      </c>
      <c r="P7" s="738">
        <v>52388.925024128002</v>
      </c>
      <c r="Q7" s="738">
        <v>53489.273999611003</v>
      </c>
      <c r="R7" s="738">
        <v>54590.042465094099</v>
      </c>
      <c r="S7" s="738">
        <v>56418.079632523099</v>
      </c>
      <c r="T7" s="738">
        <v>58246.162912452099</v>
      </c>
      <c r="U7" s="738">
        <v>60074.292304881099</v>
      </c>
      <c r="V7" s="738">
        <v>61902.467809810099</v>
      </c>
      <c r="W7" s="738">
        <v>63730.6894272391</v>
      </c>
      <c r="X7" s="738">
        <v>65558.957157168101</v>
      </c>
      <c r="Y7" s="738">
        <v>67408.529570060098</v>
      </c>
      <c r="Z7" s="738">
        <v>68721.914367922102</v>
      </c>
      <c r="AA7" s="738">
        <v>70668.259692641106</v>
      </c>
      <c r="AB7" s="738">
        <v>72616.364453360104</v>
      </c>
      <c r="AC7" s="738">
        <v>74565.856929079106</v>
      </c>
      <c r="AD7" s="738">
        <v>76515.53349312811</v>
      </c>
    </row>
    <row r="8" spans="1:30">
      <c r="A8" s="740" t="s">
        <v>2406</v>
      </c>
      <c r="B8" s="738">
        <v>-6.6878099999999998</v>
      </c>
      <c r="C8" s="738">
        <v>-6.6878099999999998</v>
      </c>
      <c r="D8" s="738">
        <v>-6.6878099999999998</v>
      </c>
      <c r="E8" s="738">
        <v>-6.6878099999999998</v>
      </c>
      <c r="F8" s="738">
        <v>-6.6878099999999998</v>
      </c>
      <c r="G8" s="738">
        <v>-6.6878099999999998</v>
      </c>
      <c r="H8" s="738">
        <v>-6.6878099999999998</v>
      </c>
      <c r="I8" s="738">
        <v>-36.445779999999999</v>
      </c>
      <c r="J8" s="738">
        <v>-36.445779999999999</v>
      </c>
      <c r="K8" s="738">
        <v>-36.445779999999999</v>
      </c>
      <c r="L8" s="738">
        <v>-36.445779999999999</v>
      </c>
      <c r="M8" s="738">
        <v>-36.445779999999999</v>
      </c>
      <c r="N8" s="738">
        <v>-36.445779999999999</v>
      </c>
      <c r="O8" s="738">
        <v>-36.445779999999999</v>
      </c>
      <c r="P8" s="738">
        <v>-36.445779999999999</v>
      </c>
      <c r="Q8" s="738">
        <v>-36.445779999999999</v>
      </c>
      <c r="R8" s="738">
        <v>-36.445779999999999</v>
      </c>
      <c r="S8" s="738">
        <v>-36.445779999999999</v>
      </c>
      <c r="T8" s="738">
        <v>-36.445779999999999</v>
      </c>
      <c r="U8" s="738">
        <v>-36.445779999999999</v>
      </c>
      <c r="V8" s="738">
        <v>-36.445779999999999</v>
      </c>
      <c r="W8" s="738">
        <v>-36.445779999999999</v>
      </c>
      <c r="X8" s="738">
        <v>-36.445779999999999</v>
      </c>
      <c r="Y8" s="738">
        <v>-36.445779999999999</v>
      </c>
      <c r="Z8" s="738">
        <v>-101.24757</v>
      </c>
      <c r="AA8" s="738">
        <v>-101.24757</v>
      </c>
      <c r="AB8" s="738">
        <v>-101.24757</v>
      </c>
      <c r="AC8" s="738">
        <v>-101.24757</v>
      </c>
      <c r="AD8" s="738">
        <v>-101.24757</v>
      </c>
    </row>
    <row r="9" spans="1:30">
      <c r="A9" s="740" t="s">
        <v>2562</v>
      </c>
      <c r="B9" s="738">
        <v>38081.478279999901</v>
      </c>
      <c r="C9" s="738">
        <v>39045.37124</v>
      </c>
      <c r="D9" s="738">
        <v>40009.335160000002</v>
      </c>
      <c r="E9" s="738">
        <v>40973.299079999997</v>
      </c>
      <c r="F9" s="738">
        <v>41937.262999999999</v>
      </c>
      <c r="G9" s="738">
        <v>42901.226920000001</v>
      </c>
      <c r="H9" s="738">
        <v>43865.190840000003</v>
      </c>
      <c r="I9" s="738">
        <v>44802.124495043099</v>
      </c>
      <c r="J9" s="738">
        <v>45803.972652447097</v>
      </c>
      <c r="K9" s="738">
        <v>46866.299898064099</v>
      </c>
      <c r="L9" s="738">
        <v>47958.434833699102</v>
      </c>
      <c r="M9" s="738">
        <v>49053.940877380097</v>
      </c>
      <c r="N9" s="738">
        <v>50152.476295662003</v>
      </c>
      <c r="O9" s="738">
        <v>51252.452588644999</v>
      </c>
      <c r="P9" s="738">
        <v>52352.479244128001</v>
      </c>
      <c r="Q9" s="738">
        <v>53452.828219611001</v>
      </c>
      <c r="R9" s="738">
        <v>54553.596685094097</v>
      </c>
      <c r="S9" s="738">
        <v>56381.633852523097</v>
      </c>
      <c r="T9" s="738">
        <v>58209.717132452097</v>
      </c>
      <c r="U9" s="738">
        <v>60037.846524881097</v>
      </c>
      <c r="V9" s="738">
        <v>61866.022029810098</v>
      </c>
      <c r="W9" s="738">
        <v>63694.243647239098</v>
      </c>
      <c r="X9" s="738">
        <v>65522.511377168099</v>
      </c>
      <c r="Y9" s="738">
        <v>67372.083790060104</v>
      </c>
      <c r="Z9" s="738">
        <v>68620.666797922095</v>
      </c>
      <c r="AA9" s="738">
        <v>70567.012122641099</v>
      </c>
      <c r="AB9" s="738">
        <v>72515.116883360097</v>
      </c>
      <c r="AC9" s="738">
        <v>74464.609359079099</v>
      </c>
      <c r="AD9" s="738">
        <v>76414.285923128104</v>
      </c>
    </row>
    <row r="10" spans="1:30">
      <c r="A10" s="737" t="s">
        <v>2408</v>
      </c>
    </row>
    <row r="11" spans="1:30">
      <c r="A11" s="739" t="s">
        <v>1831</v>
      </c>
      <c r="B11" s="738">
        <v>46117.700039999901</v>
      </c>
      <c r="C11" s="738">
        <v>47779.107069999998</v>
      </c>
      <c r="D11" s="738">
        <v>49440.5141</v>
      </c>
      <c r="E11" s="738">
        <v>51101.921130000002</v>
      </c>
      <c r="F11" s="738">
        <v>52763.325169999996</v>
      </c>
      <c r="G11" s="738">
        <v>54424.726219999997</v>
      </c>
      <c r="H11" s="738">
        <v>56091.221230000003</v>
      </c>
      <c r="I11" s="738">
        <v>57765.563076373001</v>
      </c>
      <c r="J11" s="738">
        <v>59442.657795020998</v>
      </c>
      <c r="K11" s="738">
        <v>61119.752513668995</v>
      </c>
      <c r="L11" s="738">
        <v>62796.847232316999</v>
      </c>
      <c r="M11" s="738">
        <v>64473.941950964996</v>
      </c>
      <c r="N11" s="738">
        <v>66151.036669613008</v>
      </c>
      <c r="O11" s="738">
        <v>67828.131388260997</v>
      </c>
      <c r="P11" s="738">
        <v>69505.226106909002</v>
      </c>
      <c r="Q11" s="738">
        <v>69455.452075556997</v>
      </c>
      <c r="R11" s="738">
        <v>71128.809294204999</v>
      </c>
      <c r="S11" s="738">
        <v>74289.051820474997</v>
      </c>
      <c r="T11" s="738">
        <v>77449.294346744995</v>
      </c>
      <c r="U11" s="738">
        <v>80609.536873015008</v>
      </c>
      <c r="V11" s="738">
        <v>83769.779399285006</v>
      </c>
      <c r="W11" s="738">
        <v>86930.021925554902</v>
      </c>
      <c r="X11" s="738">
        <v>90090.2644518249</v>
      </c>
      <c r="Y11" s="738">
        <v>93250.506978094912</v>
      </c>
      <c r="Z11" s="738">
        <v>95305.834727084904</v>
      </c>
      <c r="AA11" s="738">
        <v>98472.419598694905</v>
      </c>
      <c r="AB11" s="738">
        <v>101639.00447030499</v>
      </c>
      <c r="AC11" s="738">
        <v>103081.58101968499</v>
      </c>
      <c r="AD11" s="738">
        <v>106250.14924672499</v>
      </c>
    </row>
    <row r="12" spans="1:30">
      <c r="A12" s="740" t="s">
        <v>2406</v>
      </c>
      <c r="B12" s="738">
        <v>0</v>
      </c>
      <c r="C12" s="738">
        <v>0</v>
      </c>
      <c r="D12" s="738">
        <v>0</v>
      </c>
      <c r="E12" s="738">
        <v>0</v>
      </c>
      <c r="F12" s="738">
        <v>0</v>
      </c>
      <c r="G12" s="738">
        <v>0</v>
      </c>
      <c r="H12" s="738">
        <v>0</v>
      </c>
      <c r="I12" s="738">
        <v>-12031.50655</v>
      </c>
      <c r="J12" s="738">
        <v>-12031.50655</v>
      </c>
      <c r="K12" s="738">
        <v>-12031.50655</v>
      </c>
      <c r="L12" s="738">
        <v>-12031.50655</v>
      </c>
      <c r="M12" s="738">
        <v>-12031.50655</v>
      </c>
      <c r="N12" s="738">
        <v>-12031.50655</v>
      </c>
      <c r="O12" s="738">
        <v>-12031.50655</v>
      </c>
      <c r="P12" s="738">
        <v>-12031.50655</v>
      </c>
      <c r="Q12" s="738">
        <v>-12031.50655</v>
      </c>
      <c r="R12" s="738">
        <v>-12031.50655</v>
      </c>
      <c r="S12" s="738">
        <v>-12031.50655</v>
      </c>
      <c r="T12" s="738">
        <v>-12031.50655</v>
      </c>
      <c r="U12" s="738">
        <v>-12031.50655</v>
      </c>
      <c r="V12" s="738">
        <v>-12031.50655</v>
      </c>
      <c r="W12" s="738">
        <v>-12031.50655</v>
      </c>
      <c r="X12" s="738">
        <v>-12031.50655</v>
      </c>
      <c r="Y12" s="738">
        <v>-12031.50655</v>
      </c>
      <c r="Z12" s="738">
        <v>-12130.25215</v>
      </c>
      <c r="AA12" s="738">
        <v>-12130.25215</v>
      </c>
      <c r="AB12" s="738">
        <v>-12130.25215</v>
      </c>
      <c r="AC12" s="738">
        <v>-12352.429750000001</v>
      </c>
      <c r="AD12" s="738">
        <v>-12352.429750000001</v>
      </c>
    </row>
    <row r="13" spans="1:30">
      <c r="A13" s="740" t="s">
        <v>2562</v>
      </c>
      <c r="B13" s="738">
        <v>46117.700039999901</v>
      </c>
      <c r="C13" s="738">
        <v>47779.107069999998</v>
      </c>
      <c r="D13" s="738">
        <v>49440.5141</v>
      </c>
      <c r="E13" s="738">
        <v>51101.921130000002</v>
      </c>
      <c r="F13" s="738">
        <v>52763.325169999996</v>
      </c>
      <c r="G13" s="738">
        <v>54424.726219999997</v>
      </c>
      <c r="H13" s="738">
        <v>56091.221230000003</v>
      </c>
      <c r="I13" s="738">
        <v>45734.056526373002</v>
      </c>
      <c r="J13" s="738">
        <v>47411.151245020999</v>
      </c>
      <c r="K13" s="738">
        <v>49088.245963668996</v>
      </c>
      <c r="L13" s="738">
        <v>50765.340682317001</v>
      </c>
      <c r="M13" s="738">
        <v>52442.435400964998</v>
      </c>
      <c r="N13" s="738">
        <v>54119.530119613002</v>
      </c>
      <c r="O13" s="738">
        <v>55796.624838260999</v>
      </c>
      <c r="P13" s="738">
        <v>57473.719556909004</v>
      </c>
      <c r="Q13" s="738">
        <v>57423.945525556999</v>
      </c>
      <c r="R13" s="738">
        <v>59097.302744205001</v>
      </c>
      <c r="S13" s="738">
        <v>62257.545270474999</v>
      </c>
      <c r="T13" s="738">
        <v>65417.787796744997</v>
      </c>
      <c r="U13" s="738">
        <v>68578.030323015002</v>
      </c>
      <c r="V13" s="738">
        <v>71738.272849285</v>
      </c>
      <c r="W13" s="738">
        <v>74898.515375554896</v>
      </c>
      <c r="X13" s="738">
        <v>78058.757901824894</v>
      </c>
      <c r="Y13" s="738">
        <v>81219.000428094907</v>
      </c>
      <c r="Z13" s="738">
        <v>83175.582577084904</v>
      </c>
      <c r="AA13" s="738">
        <v>86342.167448694905</v>
      </c>
      <c r="AB13" s="738">
        <v>89508.752320304993</v>
      </c>
      <c r="AC13" s="738">
        <v>90729.151269684997</v>
      </c>
      <c r="AD13" s="738">
        <v>93897.719496724996</v>
      </c>
    </row>
    <row r="14" spans="1:30">
      <c r="A14" s="737" t="s">
        <v>2409</v>
      </c>
    </row>
    <row r="15" spans="1:30">
      <c r="A15" s="739" t="s">
        <v>1831</v>
      </c>
      <c r="B15" s="738">
        <v>111.85887999999998</v>
      </c>
      <c r="C15" s="738">
        <v>142.38401999999999</v>
      </c>
      <c r="D15" s="738">
        <v>172.90916000000001</v>
      </c>
      <c r="E15" s="738">
        <v>203.43430000000001</v>
      </c>
      <c r="F15" s="738">
        <v>233.95944</v>
      </c>
      <c r="G15" s="738">
        <v>264.48457999999999</v>
      </c>
      <c r="H15" s="738">
        <v>295.00971999999996</v>
      </c>
      <c r="I15" s="738">
        <v>325.53485731802999</v>
      </c>
      <c r="J15" s="738">
        <v>356.05999463605997</v>
      </c>
      <c r="K15" s="738">
        <v>386.58513195408995</v>
      </c>
      <c r="L15" s="738">
        <v>417.11026927211998</v>
      </c>
      <c r="M15" s="738">
        <v>447.63540659014996</v>
      </c>
      <c r="N15" s="738">
        <v>478.16054390817999</v>
      </c>
      <c r="O15" s="738">
        <v>508.68568122620997</v>
      </c>
      <c r="P15" s="738">
        <v>539.21081854423994</v>
      </c>
      <c r="Q15" s="738">
        <v>569.73595586226998</v>
      </c>
      <c r="R15" s="738">
        <v>600.26109318030001</v>
      </c>
      <c r="S15" s="738">
        <v>662.53277814136993</v>
      </c>
      <c r="T15" s="738">
        <v>724.80446310243894</v>
      </c>
      <c r="U15" s="738">
        <v>787.07614806350898</v>
      </c>
      <c r="V15" s="738">
        <v>849.34783302457902</v>
      </c>
      <c r="W15" s="738">
        <v>911.61951798564894</v>
      </c>
      <c r="X15" s="738">
        <v>973.89120294671898</v>
      </c>
      <c r="Y15" s="738">
        <v>1036.16288790778</v>
      </c>
      <c r="Z15" s="738">
        <v>1098.4345728688502</v>
      </c>
      <c r="AA15" s="738">
        <v>1160.7062578299301</v>
      </c>
      <c r="AB15" s="738">
        <v>1222.977942791</v>
      </c>
      <c r="AC15" s="738">
        <v>1285.2496277520702</v>
      </c>
      <c r="AD15" s="738">
        <v>1347.5213127131401</v>
      </c>
    </row>
    <row r="16" spans="1:30">
      <c r="A16" s="740" t="s">
        <v>2406</v>
      </c>
      <c r="B16" s="738">
        <v>-2.19457999999999</v>
      </c>
      <c r="C16" s="738">
        <v>-2.19457999999999</v>
      </c>
      <c r="D16" s="738">
        <v>-2.19457999999999</v>
      </c>
      <c r="E16" s="738">
        <v>-2.19457999999999</v>
      </c>
      <c r="F16" s="738">
        <v>-2.19457999999999</v>
      </c>
      <c r="G16" s="738">
        <v>-2.19457999999999</v>
      </c>
      <c r="H16" s="738">
        <v>-2.19457999999999</v>
      </c>
      <c r="I16" s="738">
        <v>-2.19457999999999</v>
      </c>
      <c r="J16" s="738">
        <v>-2.19457999999999</v>
      </c>
      <c r="K16" s="738">
        <v>-2.19457999999999</v>
      </c>
      <c r="L16" s="738">
        <v>-2.19457999999999</v>
      </c>
      <c r="M16" s="738">
        <v>-2.19457999999999</v>
      </c>
      <c r="N16" s="738">
        <v>-2.19457999999999</v>
      </c>
      <c r="O16" s="738">
        <v>-2.19457999999999</v>
      </c>
      <c r="P16" s="738">
        <v>-2.19457999999999</v>
      </c>
      <c r="Q16" s="738">
        <v>-2.19457999999999</v>
      </c>
      <c r="R16" s="738">
        <v>-2.19457999999999</v>
      </c>
      <c r="S16" s="738">
        <v>-2.19457999999999</v>
      </c>
      <c r="T16" s="738">
        <v>-2.19457999999999</v>
      </c>
      <c r="U16" s="738">
        <v>-2.19457999999999</v>
      </c>
      <c r="V16" s="738">
        <v>-2.19457999999999</v>
      </c>
      <c r="W16" s="738">
        <v>-2.19457999999999</v>
      </c>
      <c r="X16" s="738">
        <v>-2.19457999999999</v>
      </c>
      <c r="Y16" s="738">
        <v>-2.19457999999999</v>
      </c>
      <c r="Z16" s="738">
        <v>-2.19457999999999</v>
      </c>
      <c r="AA16" s="738">
        <v>-2.19457999999999</v>
      </c>
      <c r="AB16" s="738">
        <v>-2.19457999999999</v>
      </c>
      <c r="AC16" s="738">
        <v>-2.19457999999999</v>
      </c>
      <c r="AD16" s="738">
        <v>-2.19457999999999</v>
      </c>
    </row>
    <row r="17" spans="1:30">
      <c r="A17" s="740" t="s">
        <v>2562</v>
      </c>
      <c r="B17" s="738">
        <v>109.6643</v>
      </c>
      <c r="C17" s="738">
        <v>140.18943999999999</v>
      </c>
      <c r="D17" s="738">
        <v>170.71458000000001</v>
      </c>
      <c r="E17" s="738">
        <v>201.23972000000001</v>
      </c>
      <c r="F17" s="738">
        <v>231.76486</v>
      </c>
      <c r="G17" s="738">
        <v>262.29000000000002</v>
      </c>
      <c r="H17" s="738">
        <v>292.81513999999999</v>
      </c>
      <c r="I17" s="738">
        <v>323.34027731803002</v>
      </c>
      <c r="J17" s="738">
        <v>353.86541463606</v>
      </c>
      <c r="K17" s="738">
        <v>384.39055195408997</v>
      </c>
      <c r="L17" s="738">
        <v>414.91568927212001</v>
      </c>
      <c r="M17" s="738">
        <v>445.44082659014998</v>
      </c>
      <c r="N17" s="738">
        <v>475.96596390818002</v>
      </c>
      <c r="O17" s="738">
        <v>506.49110122620999</v>
      </c>
      <c r="P17" s="738">
        <v>537.01623854423997</v>
      </c>
      <c r="Q17" s="738">
        <v>567.54137586227</v>
      </c>
      <c r="R17" s="738">
        <v>598.06651318030003</v>
      </c>
      <c r="S17" s="738">
        <v>660.33819814136996</v>
      </c>
      <c r="T17" s="738">
        <v>722.60988310243897</v>
      </c>
      <c r="U17" s="738">
        <v>784.88156806350901</v>
      </c>
      <c r="V17" s="738">
        <v>847.15325302457904</v>
      </c>
      <c r="W17" s="738">
        <v>909.42493798564897</v>
      </c>
      <c r="X17" s="738">
        <v>971.696622946719</v>
      </c>
      <c r="Y17" s="738">
        <v>1033.9683079077799</v>
      </c>
      <c r="Z17" s="738">
        <v>1096.2399928688501</v>
      </c>
      <c r="AA17" s="738">
        <v>1158.51167782993</v>
      </c>
      <c r="AB17" s="738">
        <v>1220.7833627909999</v>
      </c>
      <c r="AC17" s="738">
        <v>1283.0550477520701</v>
      </c>
      <c r="AD17" s="738">
        <v>1345.32673271314</v>
      </c>
    </row>
    <row r="18" spans="1:30">
      <c r="A18" s="737" t="s">
        <v>2410</v>
      </c>
    </row>
    <row r="19" spans="1:30">
      <c r="A19" s="739" t="s">
        <v>1831</v>
      </c>
      <c r="B19" s="738">
        <v>2884.0989300000001</v>
      </c>
      <c r="C19" s="738">
        <v>2944.62655</v>
      </c>
      <c r="D19" s="738">
        <v>3005.1541699999998</v>
      </c>
      <c r="E19" s="738">
        <v>3065.6817899999901</v>
      </c>
      <c r="F19" s="738">
        <v>3126.2094099999999</v>
      </c>
      <c r="G19" s="738">
        <v>3186.7370299999998</v>
      </c>
      <c r="H19" s="738">
        <v>3247.2646500000001</v>
      </c>
      <c r="I19" s="738">
        <v>3309.4904721861999</v>
      </c>
      <c r="J19" s="738">
        <v>3413.0480648069001</v>
      </c>
      <c r="K19" s="738">
        <v>3589.406454464</v>
      </c>
      <c r="L19" s="738">
        <v>3800.8627100281001</v>
      </c>
      <c r="M19" s="738">
        <v>1156.617057248759</v>
      </c>
      <c r="N19" s="738">
        <v>1370.9198995699501</v>
      </c>
      <c r="O19" s="738">
        <v>1587.3953502561501</v>
      </c>
      <c r="P19" s="738">
        <v>1803.95528424235</v>
      </c>
      <c r="Q19" s="738">
        <v>2021.0445143535501</v>
      </c>
      <c r="R19" s="738">
        <v>2238.9003359397502</v>
      </c>
      <c r="S19" s="738">
        <v>2525.4706619000499</v>
      </c>
      <c r="T19" s="738">
        <v>2812.1146795603499</v>
      </c>
      <c r="U19" s="738">
        <v>3098.8323888206501</v>
      </c>
      <c r="V19" s="738">
        <v>3385.6237897809501</v>
      </c>
      <c r="W19" s="738">
        <v>3672.4888824412501</v>
      </c>
      <c r="X19" s="738">
        <v>3959.4276667015502</v>
      </c>
      <c r="Y19" s="738">
        <v>4271.75824675285</v>
      </c>
      <c r="Z19" s="738">
        <v>4650.5123811541498</v>
      </c>
      <c r="AA19" s="738">
        <v>5070.8728002554599</v>
      </c>
      <c r="AB19" s="738">
        <v>5493.3574115567599</v>
      </c>
      <c r="AC19" s="738">
        <v>5917.4977949580598</v>
      </c>
      <c r="AD19" s="738">
        <v>6341.8910204593594</v>
      </c>
    </row>
    <row r="20" spans="1:30">
      <c r="A20" s="740" t="s">
        <v>2406</v>
      </c>
      <c r="B20" s="738">
        <v>0</v>
      </c>
      <c r="C20" s="738">
        <v>0</v>
      </c>
      <c r="D20" s="738">
        <v>0</v>
      </c>
      <c r="E20" s="738">
        <v>0</v>
      </c>
      <c r="F20" s="738">
        <v>0</v>
      </c>
      <c r="G20" s="738">
        <v>0</v>
      </c>
      <c r="H20" s="738">
        <v>0</v>
      </c>
      <c r="I20" s="738">
        <v>-187.5</v>
      </c>
      <c r="J20" s="738">
        <v>-187.5</v>
      </c>
      <c r="K20" s="738">
        <v>-187.5</v>
      </c>
      <c r="L20" s="738">
        <v>-187.5</v>
      </c>
      <c r="M20" s="738">
        <v>-187.5</v>
      </c>
      <c r="N20" s="738">
        <v>-187.5</v>
      </c>
      <c r="O20" s="738">
        <v>-187.5</v>
      </c>
      <c r="P20" s="738">
        <v>-187.5</v>
      </c>
      <c r="Q20" s="738">
        <v>-187.5</v>
      </c>
      <c r="R20" s="738">
        <v>-187.5</v>
      </c>
      <c r="S20" s="738">
        <v>-187.5</v>
      </c>
      <c r="T20" s="738">
        <v>-187.5</v>
      </c>
      <c r="U20" s="738">
        <v>-187.5</v>
      </c>
      <c r="V20" s="738">
        <v>-187.5</v>
      </c>
      <c r="W20" s="738">
        <v>-187.5</v>
      </c>
      <c r="X20" s="738">
        <v>-187.5</v>
      </c>
      <c r="Y20" s="738">
        <v>-187.5</v>
      </c>
      <c r="Z20" s="738">
        <v>-187.50001</v>
      </c>
      <c r="AA20" s="738">
        <v>-187.50001</v>
      </c>
      <c r="AB20" s="738">
        <v>-187.50001</v>
      </c>
      <c r="AC20" s="738">
        <v>-187.50001</v>
      </c>
      <c r="AD20" s="738">
        <v>-187.50001</v>
      </c>
    </row>
    <row r="21" spans="1:30">
      <c r="A21" s="740" t="s">
        <v>2562</v>
      </c>
      <c r="B21" s="738">
        <v>2884.0989300000001</v>
      </c>
      <c r="C21" s="738">
        <v>2944.62655</v>
      </c>
      <c r="D21" s="738">
        <v>3005.1541699999998</v>
      </c>
      <c r="E21" s="738">
        <v>3065.6817899999901</v>
      </c>
      <c r="F21" s="738">
        <v>3126.2094099999999</v>
      </c>
      <c r="G21" s="738">
        <v>3186.7370299999998</v>
      </c>
      <c r="H21" s="738">
        <v>3247.2646500000001</v>
      </c>
      <c r="I21" s="738">
        <v>3121.9904721861999</v>
      </c>
      <c r="J21" s="738">
        <v>3225.5480648069001</v>
      </c>
      <c r="K21" s="738">
        <v>3401.906454464</v>
      </c>
      <c r="L21" s="738">
        <v>3613.3627100281001</v>
      </c>
      <c r="M21" s="738">
        <v>969.11705724875901</v>
      </c>
      <c r="N21" s="738">
        <v>1183.4198995699501</v>
      </c>
      <c r="O21" s="738">
        <v>1399.8953502561501</v>
      </c>
      <c r="P21" s="738">
        <v>1616.45528424235</v>
      </c>
      <c r="Q21" s="738">
        <v>1833.5445143535501</v>
      </c>
      <c r="R21" s="738">
        <v>2051.4003359397502</v>
      </c>
      <c r="S21" s="738">
        <v>2337.9706619000499</v>
      </c>
      <c r="T21" s="738">
        <v>2624.6146795603499</v>
      </c>
      <c r="U21" s="738">
        <v>2911.3323888206501</v>
      </c>
      <c r="V21" s="738">
        <v>3198.1237897809501</v>
      </c>
      <c r="W21" s="738">
        <v>3484.9888824412501</v>
      </c>
      <c r="X21" s="738">
        <v>3771.9276667015502</v>
      </c>
      <c r="Y21" s="738">
        <v>4084.25824675285</v>
      </c>
      <c r="Z21" s="738">
        <v>4463.0123711541501</v>
      </c>
      <c r="AA21" s="738">
        <v>4883.3727902554601</v>
      </c>
      <c r="AB21" s="738">
        <v>5305.8574015567601</v>
      </c>
      <c r="AC21" s="738">
        <v>5729.99778495806</v>
      </c>
      <c r="AD21" s="738">
        <v>6154.3910104593597</v>
      </c>
    </row>
    <row r="22" spans="1:30">
      <c r="A22" s="737" t="s">
        <v>2411</v>
      </c>
    </row>
    <row r="23" spans="1:30">
      <c r="A23" s="739" t="s">
        <v>1831</v>
      </c>
      <c r="B23" s="738">
        <v>59055.147850000001</v>
      </c>
      <c r="C23" s="738">
        <v>61264.620929999997</v>
      </c>
      <c r="D23" s="738">
        <v>63474.094010000001</v>
      </c>
      <c r="E23" s="738">
        <v>65683.567089999997</v>
      </c>
      <c r="F23" s="738">
        <v>67893.040169999993</v>
      </c>
      <c r="G23" s="738">
        <v>70102.513249999902</v>
      </c>
      <c r="H23" s="738">
        <v>72322.786859999993</v>
      </c>
      <c r="I23" s="738">
        <v>74557.259924569997</v>
      </c>
      <c r="J23" s="738">
        <v>76796.325458683001</v>
      </c>
      <c r="K23" s="738">
        <v>79036.640365430008</v>
      </c>
      <c r="L23" s="738">
        <v>81277.011094714006</v>
      </c>
      <c r="M23" s="738">
        <v>83517.381823998003</v>
      </c>
      <c r="N23" s="738">
        <v>85757.752553282</v>
      </c>
      <c r="O23" s="738">
        <v>87998.123282565997</v>
      </c>
      <c r="P23" s="738">
        <v>90238.494011850009</v>
      </c>
      <c r="Q23" s="738">
        <v>92478.864741134006</v>
      </c>
      <c r="R23" s="738">
        <v>94719.235470418003</v>
      </c>
      <c r="S23" s="738">
        <v>98964.741093542005</v>
      </c>
      <c r="T23" s="738">
        <v>103210.24671666601</v>
      </c>
      <c r="U23" s="738">
        <v>107455.75233979001</v>
      </c>
      <c r="V23" s="738">
        <v>111701.25796291401</v>
      </c>
      <c r="W23" s="738">
        <v>115946.76358603801</v>
      </c>
      <c r="X23" s="738">
        <v>120192.269209162</v>
      </c>
      <c r="Y23" s="738">
        <v>124437.774832286</v>
      </c>
      <c r="Z23" s="738">
        <v>128683.28045541</v>
      </c>
      <c r="AA23" s="738">
        <v>132928.786078534</v>
      </c>
      <c r="AB23" s="738">
        <v>137174.29170165799</v>
      </c>
      <c r="AC23" s="738">
        <v>141419.797324782</v>
      </c>
      <c r="AD23" s="738">
        <v>145665.30294790599</v>
      </c>
    </row>
    <row r="24" spans="1:30">
      <c r="A24" s="740" t="s">
        <v>2406</v>
      </c>
      <c r="B24" s="738">
        <v>0</v>
      </c>
      <c r="C24" s="738">
        <v>0</v>
      </c>
      <c r="D24" s="738">
        <v>0</v>
      </c>
      <c r="E24" s="738">
        <v>0</v>
      </c>
      <c r="F24" s="738">
        <v>0</v>
      </c>
      <c r="G24" s="738">
        <v>0</v>
      </c>
      <c r="H24" s="738">
        <v>0</v>
      </c>
      <c r="I24" s="738">
        <v>-11442.57386</v>
      </c>
      <c r="J24" s="738">
        <v>-11442.57386</v>
      </c>
      <c r="K24" s="738">
        <v>-11442.57386</v>
      </c>
      <c r="L24" s="738">
        <v>-11442.57386</v>
      </c>
      <c r="M24" s="738">
        <v>-11442.57386</v>
      </c>
      <c r="N24" s="738">
        <v>-11442.57386</v>
      </c>
      <c r="O24" s="738">
        <v>-11442.57386</v>
      </c>
      <c r="P24" s="738">
        <v>-11442.57386</v>
      </c>
      <c r="Q24" s="738">
        <v>-11442.57386</v>
      </c>
      <c r="R24" s="738">
        <v>-11442.57386</v>
      </c>
      <c r="S24" s="738">
        <v>-11442.57386</v>
      </c>
      <c r="T24" s="738">
        <v>-11442.57386</v>
      </c>
      <c r="U24" s="738">
        <v>-11442.57386</v>
      </c>
      <c r="V24" s="738">
        <v>-11442.57386</v>
      </c>
      <c r="W24" s="738">
        <v>-11442.57386</v>
      </c>
      <c r="X24" s="738">
        <v>-11442.57386</v>
      </c>
      <c r="Y24" s="738">
        <v>-11442.57386</v>
      </c>
      <c r="Z24" s="738">
        <v>-11442.57386</v>
      </c>
      <c r="AA24" s="738">
        <v>-11442.57386</v>
      </c>
      <c r="AB24" s="738">
        <v>-11442.57386</v>
      </c>
      <c r="AC24" s="738">
        <v>-11442.57386</v>
      </c>
      <c r="AD24" s="738">
        <v>-11442.57386</v>
      </c>
    </row>
    <row r="25" spans="1:30">
      <c r="A25" s="740" t="s">
        <v>2562</v>
      </c>
      <c r="B25" s="738">
        <v>59055.147850000001</v>
      </c>
      <c r="C25" s="738">
        <v>61264.620929999997</v>
      </c>
      <c r="D25" s="738">
        <v>63474.094010000001</v>
      </c>
      <c r="E25" s="738">
        <v>65683.567089999997</v>
      </c>
      <c r="F25" s="738">
        <v>67893.040169999993</v>
      </c>
      <c r="G25" s="738">
        <v>70102.513249999902</v>
      </c>
      <c r="H25" s="738">
        <v>72322.786859999993</v>
      </c>
      <c r="I25" s="738">
        <v>63114.68606457</v>
      </c>
      <c r="J25" s="738">
        <v>65353.751598682997</v>
      </c>
      <c r="K25" s="738">
        <v>67594.066505430004</v>
      </c>
      <c r="L25" s="738">
        <v>69834.437234714002</v>
      </c>
      <c r="M25" s="738">
        <v>72074.807963997999</v>
      </c>
      <c r="N25" s="738">
        <v>74315.178693281996</v>
      </c>
      <c r="O25" s="738">
        <v>76555.549422565993</v>
      </c>
      <c r="P25" s="738">
        <v>78795.920151850005</v>
      </c>
      <c r="Q25" s="738">
        <v>81036.290881134002</v>
      </c>
      <c r="R25" s="738">
        <v>83276.661610417999</v>
      </c>
      <c r="S25" s="738">
        <v>87522.167233542001</v>
      </c>
      <c r="T25" s="738">
        <v>91767.672856666002</v>
      </c>
      <c r="U25" s="738">
        <v>96013.178479790004</v>
      </c>
      <c r="V25" s="738">
        <v>100258.68410291401</v>
      </c>
      <c r="W25" s="738">
        <v>104504.18972603801</v>
      </c>
      <c r="X25" s="738">
        <v>108749.69534916199</v>
      </c>
      <c r="Y25" s="738">
        <v>112995.20097228599</v>
      </c>
      <c r="Z25" s="738">
        <v>117240.70659541</v>
      </c>
      <c r="AA25" s="738">
        <v>121486.212218534</v>
      </c>
      <c r="AB25" s="738">
        <v>125731.717841658</v>
      </c>
      <c r="AC25" s="738">
        <v>129977.223464782</v>
      </c>
      <c r="AD25" s="738">
        <v>134222.72908790599</v>
      </c>
    </row>
    <row r="26" spans="1:30">
      <c r="A26" s="737" t="s">
        <v>2412</v>
      </c>
    </row>
    <row r="27" spans="1:30">
      <c r="A27" s="739" t="s">
        <v>1831</v>
      </c>
      <c r="B27" s="738">
        <v>180.55253999999999</v>
      </c>
      <c r="C27" s="738">
        <v>201.33993999999899</v>
      </c>
      <c r="D27" s="738">
        <v>222.12734</v>
      </c>
      <c r="E27" s="738">
        <v>242.91473999999999</v>
      </c>
      <c r="F27" s="738">
        <v>263.70213999999999</v>
      </c>
      <c r="G27" s="738">
        <v>284.48953999999998</v>
      </c>
      <c r="H27" s="738">
        <v>305.276939999999</v>
      </c>
      <c r="I27" s="738">
        <v>328.35194458879602</v>
      </c>
      <c r="J27" s="738">
        <v>353.99162867478901</v>
      </c>
      <c r="K27" s="738">
        <v>380.11712946251203</v>
      </c>
      <c r="L27" s="738">
        <v>406.57515528593501</v>
      </c>
      <c r="M27" s="738">
        <v>433.38905468212897</v>
      </c>
      <c r="N27" s="738">
        <v>461.64578196382098</v>
      </c>
      <c r="O27" s="738">
        <v>683.18471160901402</v>
      </c>
      <c r="P27" s="738">
        <v>1099.8538356742069</v>
      </c>
      <c r="Q27" s="738">
        <v>1521.2549568774</v>
      </c>
      <c r="R27" s="738">
        <v>1995.2033419278901</v>
      </c>
      <c r="S27" s="738">
        <v>2654.0745851625898</v>
      </c>
      <c r="T27" s="738">
        <v>3317.1456457122899</v>
      </c>
      <c r="U27" s="738">
        <v>3984.04180404199</v>
      </c>
      <c r="V27" s="738">
        <v>4658.1218645716899</v>
      </c>
      <c r="W27" s="738">
        <v>5339.8086367813903</v>
      </c>
      <c r="X27" s="738">
        <v>6026.4113054610898</v>
      </c>
      <c r="Y27" s="738">
        <v>6717.4049163007903</v>
      </c>
      <c r="Z27" s="738">
        <v>7415.4828144184903</v>
      </c>
      <c r="AA27" s="738">
        <v>8119.3601171741902</v>
      </c>
      <c r="AB27" s="738">
        <v>8824.1022699498917</v>
      </c>
      <c r="AC27" s="738">
        <v>9529.3711585955916</v>
      </c>
      <c r="AD27" s="738">
        <v>10235.26004151129</v>
      </c>
    </row>
    <row r="28" spans="1:30">
      <c r="A28" s="740" t="s">
        <v>2406</v>
      </c>
      <c r="B28" s="738">
        <v>0</v>
      </c>
      <c r="C28" s="738">
        <v>0</v>
      </c>
      <c r="D28" s="738">
        <v>0</v>
      </c>
      <c r="E28" s="738">
        <v>0</v>
      </c>
      <c r="F28" s="738">
        <v>0</v>
      </c>
      <c r="G28" s="738">
        <v>0</v>
      </c>
      <c r="H28" s="738">
        <v>0</v>
      </c>
      <c r="I28" s="738">
        <v>0</v>
      </c>
      <c r="J28" s="738">
        <v>0</v>
      </c>
      <c r="K28" s="738">
        <v>0</v>
      </c>
      <c r="L28" s="738">
        <v>0</v>
      </c>
      <c r="M28" s="738">
        <v>0</v>
      </c>
      <c r="N28" s="738">
        <v>0</v>
      </c>
      <c r="O28" s="738">
        <v>-435.78028</v>
      </c>
      <c r="P28" s="738">
        <v>-435.78028</v>
      </c>
      <c r="Q28" s="738">
        <v>-435.78028</v>
      </c>
      <c r="R28" s="738">
        <v>-435.78028</v>
      </c>
      <c r="S28" s="738">
        <v>-435.78028</v>
      </c>
      <c r="T28" s="738">
        <v>-435.78028</v>
      </c>
      <c r="U28" s="738">
        <v>-435.78028</v>
      </c>
      <c r="V28" s="738">
        <v>-435.78028</v>
      </c>
      <c r="W28" s="738">
        <v>-435.78028</v>
      </c>
      <c r="X28" s="738">
        <v>-435.78028</v>
      </c>
      <c r="Y28" s="738">
        <v>-435.78028</v>
      </c>
      <c r="Z28" s="738">
        <v>-435.78028</v>
      </c>
      <c r="AA28" s="738">
        <v>-435.78028</v>
      </c>
      <c r="AB28" s="738">
        <v>-435.78028</v>
      </c>
      <c r="AC28" s="738">
        <v>-435.78028</v>
      </c>
      <c r="AD28" s="738">
        <v>-435.78028</v>
      </c>
    </row>
    <row r="29" spans="1:30">
      <c r="A29" s="740" t="s">
        <v>2562</v>
      </c>
      <c r="B29" s="738">
        <v>180.55253999999999</v>
      </c>
      <c r="C29" s="738">
        <v>201.33993999999899</v>
      </c>
      <c r="D29" s="738">
        <v>222.12734</v>
      </c>
      <c r="E29" s="738">
        <v>242.91473999999999</v>
      </c>
      <c r="F29" s="738">
        <v>263.70213999999999</v>
      </c>
      <c r="G29" s="738">
        <v>284.48953999999998</v>
      </c>
      <c r="H29" s="738">
        <v>305.276939999999</v>
      </c>
      <c r="I29" s="738">
        <v>328.35194458879602</v>
      </c>
      <c r="J29" s="738">
        <v>353.99162867478901</v>
      </c>
      <c r="K29" s="738">
        <v>380.11712946251203</v>
      </c>
      <c r="L29" s="738">
        <v>406.57515528593501</v>
      </c>
      <c r="M29" s="738">
        <v>433.38905468212897</v>
      </c>
      <c r="N29" s="738">
        <v>461.64578196382098</v>
      </c>
      <c r="O29" s="738">
        <v>247.40443160901401</v>
      </c>
      <c r="P29" s="738">
        <v>664.073555674207</v>
      </c>
      <c r="Q29" s="738">
        <v>1085.4746768774</v>
      </c>
      <c r="R29" s="738">
        <v>1559.4230619278901</v>
      </c>
      <c r="S29" s="738">
        <v>2218.2943051625898</v>
      </c>
      <c r="T29" s="738">
        <v>2881.36536571229</v>
      </c>
      <c r="U29" s="738">
        <v>3548.26152404199</v>
      </c>
      <c r="V29" s="738">
        <v>4222.34158457169</v>
      </c>
      <c r="W29" s="738">
        <v>4904.0283567813904</v>
      </c>
      <c r="X29" s="738">
        <v>5590.6310254610898</v>
      </c>
      <c r="Y29" s="738">
        <v>6281.6246363007904</v>
      </c>
      <c r="Z29" s="738">
        <v>6979.7025344184904</v>
      </c>
      <c r="AA29" s="738">
        <v>7683.5798371741903</v>
      </c>
      <c r="AB29" s="738">
        <v>8388.3219899498908</v>
      </c>
      <c r="AC29" s="738">
        <v>9093.5908785955908</v>
      </c>
      <c r="AD29" s="738">
        <v>9799.4797615112893</v>
      </c>
    </row>
  </sheetData>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80"/>
  <sheetViews>
    <sheetView zoomScale="85" zoomScaleNormal="85" workbookViewId="0">
      <pane xSplit="2" ySplit="3" topLeftCell="C4" activePane="bottomRight" state="frozen"/>
      <selection activeCell="H27" sqref="H27"/>
      <selection pane="topRight" activeCell="H27" sqref="H27"/>
      <selection pane="bottomLeft" activeCell="H27" sqref="H27"/>
      <selection pane="bottomRight" activeCell="H28" sqref="H28"/>
    </sheetView>
  </sheetViews>
  <sheetFormatPr defaultColWidth="9" defaultRowHeight="15"/>
  <cols>
    <col min="1" max="1" width="9" style="745"/>
    <col min="2" max="2" width="38.88671875" style="751" customWidth="1"/>
    <col min="3" max="4" width="9.33203125" style="745" customWidth="1"/>
    <col min="5" max="5" width="10.33203125" style="745" customWidth="1"/>
    <col min="6" max="15" width="9.33203125" style="745" customWidth="1"/>
    <col min="16" max="16384" width="9" style="745"/>
  </cols>
  <sheetData>
    <row r="1" spans="2:17" s="742" customFormat="1">
      <c r="B1" s="741"/>
    </row>
    <row r="2" spans="2:17" s="742" customFormat="1">
      <c r="B2" s="743" t="s">
        <v>1842</v>
      </c>
      <c r="C2" s="401" t="s">
        <v>2473</v>
      </c>
      <c r="D2" s="401" t="s">
        <v>2474</v>
      </c>
      <c r="E2" s="401" t="s">
        <v>2475</v>
      </c>
      <c r="F2" s="401" t="s">
        <v>2476</v>
      </c>
      <c r="G2" s="401" t="s">
        <v>2477</v>
      </c>
      <c r="H2" s="401" t="s">
        <v>2478</v>
      </c>
      <c r="I2" s="401" t="s">
        <v>2400</v>
      </c>
      <c r="J2" s="401" t="s">
        <v>2401</v>
      </c>
      <c r="K2" s="401" t="s">
        <v>2402</v>
      </c>
      <c r="L2" s="401" t="s">
        <v>2403</v>
      </c>
      <c r="M2" s="401" t="s">
        <v>2404</v>
      </c>
      <c r="N2" s="401" t="s">
        <v>2405</v>
      </c>
      <c r="O2" s="401" t="s">
        <v>2566</v>
      </c>
    </row>
    <row r="3" spans="2:17" s="742" customFormat="1">
      <c r="B3" s="744" t="s">
        <v>1841</v>
      </c>
    </row>
    <row r="4" spans="2:17">
      <c r="B4" s="743"/>
    </row>
    <row r="5" spans="2:17">
      <c r="B5" s="236" t="s">
        <v>2415</v>
      </c>
      <c r="C5" s="404">
        <f>C68/1000</f>
        <v>2703.154</v>
      </c>
      <c r="D5" s="404">
        <f t="shared" ref="D5:H5" si="0">D68/1000</f>
        <v>2706.306</v>
      </c>
      <c r="E5" s="404">
        <f t="shared" si="0"/>
        <v>2706.306</v>
      </c>
      <c r="F5" s="404">
        <f t="shared" si="0"/>
        <v>2706.306</v>
      </c>
      <c r="G5" s="404">
        <f t="shared" si="0"/>
        <v>2706.306</v>
      </c>
      <c r="H5" s="404">
        <f t="shared" si="0"/>
        <v>2712.0479999999998</v>
      </c>
      <c r="I5" s="746">
        <v>2723.7316896320467</v>
      </c>
      <c r="J5" s="746">
        <v>2761.8260688152468</v>
      </c>
      <c r="K5" s="746">
        <v>2822.3051570282464</v>
      </c>
      <c r="L5" s="746">
        <v>2852.1128470462468</v>
      </c>
      <c r="M5" s="746">
        <v>2855.4839550922466</v>
      </c>
      <c r="N5" s="746">
        <v>2858.5133296932468</v>
      </c>
      <c r="O5" s="404">
        <f t="shared" ref="O5:O6" si="1">SUM(C5:N5)</f>
        <v>33114.399047307284</v>
      </c>
    </row>
    <row r="6" spans="2:17">
      <c r="B6" s="236" t="s">
        <v>2567</v>
      </c>
      <c r="C6" s="404">
        <v>168.82154</v>
      </c>
      <c r="D6" s="404">
        <v>170.67373000000001</v>
      </c>
      <c r="E6" s="404">
        <v>173.81841</v>
      </c>
      <c r="F6" s="404">
        <v>266.17953</v>
      </c>
      <c r="G6" s="404">
        <v>234.23414</v>
      </c>
      <c r="H6" s="404">
        <v>258.22044</v>
      </c>
      <c r="I6" s="746">
        <v>292.95956848557432</v>
      </c>
      <c r="J6" s="746">
        <v>324.29830735514486</v>
      </c>
      <c r="K6" s="746">
        <v>351.99223541710052</v>
      </c>
      <c r="L6" s="746">
        <v>398.12612084699202</v>
      </c>
      <c r="M6" s="746">
        <v>431.04843258160628</v>
      </c>
      <c r="N6" s="746">
        <v>490.52359129471199</v>
      </c>
      <c r="O6" s="404">
        <f t="shared" si="1"/>
        <v>3560.8960459811296</v>
      </c>
      <c r="P6" s="746"/>
      <c r="Q6" s="746"/>
    </row>
    <row r="7" spans="2:17">
      <c r="B7" s="236" t="s">
        <v>2416</v>
      </c>
      <c r="C7" s="404">
        <f t="shared" ref="C7:H14" ca="1" si="2">C70/1000</f>
        <v>156.85900000000001</v>
      </c>
      <c r="D7" s="404">
        <f t="shared" ca="1" si="2"/>
        <v>156.85900000000001</v>
      </c>
      <c r="E7" s="404">
        <f t="shared" ca="1" si="2"/>
        <v>156.85900000000001</v>
      </c>
      <c r="F7" s="404">
        <f t="shared" ca="1" si="2"/>
        <v>156.85900000000001</v>
      </c>
      <c r="G7" s="404">
        <f t="shared" ca="1" si="2"/>
        <v>156.85900000000001</v>
      </c>
      <c r="H7" s="404">
        <f t="shared" ca="1" si="2"/>
        <v>156.85900000000001</v>
      </c>
      <c r="I7" s="746">
        <v>160.05861417</v>
      </c>
      <c r="J7" s="746">
        <v>160.05861417</v>
      </c>
      <c r="K7" s="746">
        <v>160.05861417</v>
      </c>
      <c r="L7" s="746">
        <v>160.05861417</v>
      </c>
      <c r="M7" s="746">
        <v>160.05861417</v>
      </c>
      <c r="N7" s="746">
        <v>160.05861417</v>
      </c>
      <c r="O7" s="404">
        <f ca="1">SUM(C7:N7)</f>
        <v>1901.5056850200003</v>
      </c>
    </row>
    <row r="8" spans="2:17">
      <c r="B8" s="236" t="s">
        <v>2482</v>
      </c>
      <c r="C8" s="404">
        <f t="shared" ca="1" si="2"/>
        <v>0</v>
      </c>
      <c r="D8" s="404">
        <f t="shared" ca="1" si="2"/>
        <v>0</v>
      </c>
      <c r="E8" s="404">
        <f t="shared" ca="1" si="2"/>
        <v>0</v>
      </c>
      <c r="F8" s="404">
        <f t="shared" ca="1" si="2"/>
        <v>0</v>
      </c>
      <c r="G8" s="404">
        <f t="shared" ca="1" si="2"/>
        <v>0</v>
      </c>
      <c r="H8" s="404">
        <f t="shared" ca="1" si="2"/>
        <v>-194.06902875454648</v>
      </c>
      <c r="I8" s="746">
        <v>-52.360934189986899</v>
      </c>
      <c r="J8" s="746">
        <v>-52.360934189986899</v>
      </c>
      <c r="K8" s="746">
        <v>-52.360934189986899</v>
      </c>
      <c r="L8" s="746">
        <v>-52.360934189986899</v>
      </c>
      <c r="M8" s="746">
        <v>-52.360934189986899</v>
      </c>
      <c r="N8" s="746">
        <v>-52.360934189986899</v>
      </c>
      <c r="O8" s="404">
        <f t="shared" ref="O8" ca="1" si="3">SUM(C8:N8)</f>
        <v>-508.23463389446783</v>
      </c>
    </row>
    <row r="9" spans="2:17">
      <c r="B9" s="236" t="s">
        <v>2483</v>
      </c>
      <c r="C9" s="404">
        <f t="shared" ca="1" si="2"/>
        <v>0</v>
      </c>
      <c r="D9" s="404">
        <f t="shared" ca="1" si="2"/>
        <v>0</v>
      </c>
      <c r="E9" s="404">
        <f t="shared" ca="1" si="2"/>
        <v>0</v>
      </c>
      <c r="F9" s="404">
        <f t="shared" ca="1" si="2"/>
        <v>0</v>
      </c>
      <c r="G9" s="404">
        <f t="shared" ca="1" si="2"/>
        <v>0</v>
      </c>
      <c r="H9" s="404">
        <f t="shared" ca="1" si="2"/>
        <v>0</v>
      </c>
      <c r="I9" s="746"/>
      <c r="J9" s="746"/>
      <c r="K9" s="746"/>
      <c r="L9" s="746"/>
      <c r="M9" s="746"/>
      <c r="N9" s="746"/>
      <c r="O9" s="404">
        <f t="shared" ref="O9:O16" ca="1" si="4">SUM(C9:N9)</f>
        <v>0</v>
      </c>
    </row>
    <row r="10" spans="2:17">
      <c r="B10" s="236" t="s">
        <v>2417</v>
      </c>
      <c r="C10" s="404">
        <f t="shared" ca="1" si="2"/>
        <v>26.249030000000001</v>
      </c>
      <c r="D10" s="404">
        <f t="shared" ca="1" si="2"/>
        <v>30.459599999999998</v>
      </c>
      <c r="E10" s="404">
        <f t="shared" ca="1" si="2"/>
        <v>5.4914599999999991</v>
      </c>
      <c r="F10" s="404">
        <f t="shared" ca="1" si="2"/>
        <v>-29.73021</v>
      </c>
      <c r="G10" s="404">
        <f t="shared" ca="1" si="2"/>
        <v>-53.197270000000003</v>
      </c>
      <c r="H10" s="404">
        <f t="shared" ca="1" si="2"/>
        <v>-27.575660000000003</v>
      </c>
      <c r="I10" s="746">
        <v>9.5449999999999999</v>
      </c>
      <c r="J10" s="746">
        <v>9.5449999999999999</v>
      </c>
      <c r="K10" s="746">
        <v>10.045</v>
      </c>
      <c r="L10" s="746">
        <v>9.5449999999999999</v>
      </c>
      <c r="M10" s="746">
        <v>9.5449999999999999</v>
      </c>
      <c r="N10" s="746">
        <v>9.4489999999999998</v>
      </c>
      <c r="O10" s="404">
        <f t="shared" ca="1" si="4"/>
        <v>9.3709499999999917</v>
      </c>
    </row>
    <row r="11" spans="2:17">
      <c r="B11" s="236" t="s">
        <v>2418</v>
      </c>
      <c r="C11" s="404">
        <f t="shared" ca="1" si="2"/>
        <v>345.88825666666673</v>
      </c>
      <c r="D11" s="404">
        <f t="shared" ca="1" si="2"/>
        <v>345.2979866666667</v>
      </c>
      <c r="E11" s="404">
        <f t="shared" ca="1" si="2"/>
        <v>336.89626666666669</v>
      </c>
      <c r="F11" s="404">
        <f t="shared" ca="1" si="2"/>
        <v>189.46699666666663</v>
      </c>
      <c r="G11" s="404">
        <f t="shared" ca="1" si="2"/>
        <v>175.67311666666663</v>
      </c>
      <c r="H11" s="404">
        <f t="shared" ca="1" si="2"/>
        <v>168.15025666666665</v>
      </c>
      <c r="I11" s="746">
        <v>416.17200000000003</v>
      </c>
      <c r="J11" s="746">
        <v>416.17200000000003</v>
      </c>
      <c r="K11" s="746">
        <v>418.73</v>
      </c>
      <c r="L11" s="746">
        <v>418.73</v>
      </c>
      <c r="M11" s="746">
        <v>418.73</v>
      </c>
      <c r="N11" s="746">
        <v>422.99200000000002</v>
      </c>
      <c r="O11" s="404">
        <f t="shared" ca="1" si="4"/>
        <v>4072.8988800000002</v>
      </c>
    </row>
    <row r="12" spans="2:17">
      <c r="B12" s="236" t="s">
        <v>2419</v>
      </c>
      <c r="C12" s="404">
        <f t="shared" ca="1" si="2"/>
        <v>1249.56297</v>
      </c>
      <c r="D12" s="404">
        <f t="shared" ca="1" si="2"/>
        <v>821.24277999999993</v>
      </c>
      <c r="E12" s="404">
        <f t="shared" ca="1" si="2"/>
        <v>776.73940000000005</v>
      </c>
      <c r="F12" s="404">
        <f t="shared" ca="1" si="2"/>
        <v>870.70427000000007</v>
      </c>
      <c r="G12" s="404">
        <f t="shared" ca="1" si="2"/>
        <v>1126.0157199999999</v>
      </c>
      <c r="H12" s="404">
        <f t="shared" ca="1" si="2"/>
        <v>999.72392000000002</v>
      </c>
      <c r="I12" s="746">
        <v>959.36500000000001</v>
      </c>
      <c r="J12" s="746">
        <v>1383.9839999999999</v>
      </c>
      <c r="K12" s="746">
        <v>1077.6029999999901</v>
      </c>
      <c r="L12" s="746">
        <v>1082.2170000000001</v>
      </c>
      <c r="M12" s="746">
        <v>1033.8109999999999</v>
      </c>
      <c r="N12" s="746">
        <v>1281.1499999999901</v>
      </c>
      <c r="O12" s="404">
        <f t="shared" ca="1" si="4"/>
        <v>12662.119059999981</v>
      </c>
    </row>
    <row r="13" spans="2:17">
      <c r="B13" s="236" t="s">
        <v>2420</v>
      </c>
      <c r="C13" s="493">
        <f t="shared" ca="1" si="2"/>
        <v>0.29399999999999998</v>
      </c>
      <c r="D13" s="493">
        <f t="shared" ca="1" si="2"/>
        <v>0.17</v>
      </c>
      <c r="E13" s="493">
        <f t="shared" ca="1" si="2"/>
        <v>0.28599999999999998</v>
      </c>
      <c r="F13" s="493">
        <f t="shared" ca="1" si="2"/>
        <v>0.32500000000000001</v>
      </c>
      <c r="G13" s="493">
        <f t="shared" ca="1" si="2"/>
        <v>0.33900000000000002</v>
      </c>
      <c r="H13" s="493">
        <f t="shared" ca="1" si="2"/>
        <v>0.30199999999999999</v>
      </c>
      <c r="I13" s="746">
        <v>0</v>
      </c>
      <c r="J13" s="746">
        <v>2.5</v>
      </c>
      <c r="K13" s="746">
        <v>0</v>
      </c>
      <c r="L13" s="746">
        <v>0</v>
      </c>
      <c r="M13" s="746">
        <v>0</v>
      </c>
      <c r="N13" s="746">
        <v>0</v>
      </c>
      <c r="O13" s="493">
        <f t="shared" ca="1" si="4"/>
        <v>4.2160000000000002</v>
      </c>
    </row>
    <row r="14" spans="2:17">
      <c r="B14" s="236" t="s">
        <v>2421</v>
      </c>
      <c r="C14" s="493">
        <f t="shared" ca="1" si="2"/>
        <v>676.5347999999999</v>
      </c>
      <c r="D14" s="493">
        <f t="shared" ca="1" si="2"/>
        <v>501.11897999999997</v>
      </c>
      <c r="E14" s="493">
        <f t="shared" ca="1" si="2"/>
        <v>639.84872999999993</v>
      </c>
      <c r="F14" s="493">
        <f t="shared" ca="1" si="2"/>
        <v>701.81980999999996</v>
      </c>
      <c r="G14" s="493">
        <f t="shared" ca="1" si="2"/>
        <v>774.7639200000001</v>
      </c>
      <c r="H14" s="493">
        <f t="shared" ca="1" si="2"/>
        <v>743.4398799999999</v>
      </c>
      <c r="I14" s="747">
        <v>378.11500000000001</v>
      </c>
      <c r="J14" s="747">
        <v>329.80500000000001</v>
      </c>
      <c r="K14" s="747">
        <v>402.51</v>
      </c>
      <c r="L14" s="747">
        <v>444.36799999999999</v>
      </c>
      <c r="M14" s="747">
        <v>425.60899999999998</v>
      </c>
      <c r="N14" s="747">
        <v>437.745</v>
      </c>
      <c r="O14" s="493">
        <f t="shared" ca="1" si="4"/>
        <v>6455.6781200000005</v>
      </c>
    </row>
    <row r="15" spans="2:17">
      <c r="B15" s="236" t="s">
        <v>2422</v>
      </c>
      <c r="C15" s="235">
        <v>0</v>
      </c>
      <c r="D15" s="235">
        <v>0</v>
      </c>
      <c r="E15" s="235">
        <v>0</v>
      </c>
      <c r="F15" s="235">
        <v>0</v>
      </c>
      <c r="G15" s="235">
        <v>0</v>
      </c>
      <c r="H15" s="235">
        <v>0</v>
      </c>
      <c r="I15" s="747">
        <v>0</v>
      </c>
      <c r="J15" s="747">
        <v>0</v>
      </c>
      <c r="K15" s="747">
        <v>0</v>
      </c>
      <c r="L15" s="747">
        <v>0</v>
      </c>
      <c r="M15" s="747">
        <v>0</v>
      </c>
      <c r="N15" s="747">
        <v>0</v>
      </c>
      <c r="O15" s="404">
        <f t="shared" si="4"/>
        <v>0</v>
      </c>
    </row>
    <row r="16" spans="2:17">
      <c r="B16" s="236" t="s">
        <v>2423</v>
      </c>
      <c r="C16" s="235">
        <f ca="1">C78/1000</f>
        <v>0</v>
      </c>
      <c r="D16" s="235">
        <f t="shared" ref="D16:H16" ca="1" si="5">D78/1000</f>
        <v>0</v>
      </c>
      <c r="E16" s="404">
        <f t="shared" ca="1" si="5"/>
        <v>0</v>
      </c>
      <c r="F16" s="235">
        <f t="shared" ca="1" si="5"/>
        <v>0</v>
      </c>
      <c r="G16" s="235">
        <f t="shared" ca="1" si="5"/>
        <v>0</v>
      </c>
      <c r="H16" s="235">
        <f t="shared" ca="1" si="5"/>
        <v>0</v>
      </c>
      <c r="I16" s="746"/>
      <c r="J16" s="746"/>
      <c r="K16" s="746"/>
      <c r="L16" s="746"/>
      <c r="M16" s="746"/>
      <c r="N16" s="746"/>
      <c r="O16" s="404">
        <f t="shared" ca="1" si="4"/>
        <v>0</v>
      </c>
    </row>
    <row r="17" spans="1:15">
      <c r="B17" s="743" t="s">
        <v>2008</v>
      </c>
      <c r="C17" s="494">
        <f t="shared" ref="C17:H17" ca="1" si="6">SUM(C4:C16)</f>
        <v>5327.3635966666661</v>
      </c>
      <c r="D17" s="494">
        <f t="shared" ca="1" si="6"/>
        <v>4732.1280766666669</v>
      </c>
      <c r="E17" s="494">
        <f t="shared" ca="1" si="6"/>
        <v>4796.2452666666668</v>
      </c>
      <c r="F17" s="494">
        <f t="shared" ca="1" si="6"/>
        <v>4861.9303966666657</v>
      </c>
      <c r="G17" s="494">
        <f t="shared" ca="1" si="6"/>
        <v>5120.9936266666673</v>
      </c>
      <c r="H17" s="494">
        <f t="shared" ca="1" si="6"/>
        <v>4817.0988079121198</v>
      </c>
      <c r="I17" s="748">
        <f t="shared" ref="I17:N17" si="7">SUM(I5:I16)</f>
        <v>4887.5859380976344</v>
      </c>
      <c r="J17" s="748">
        <f t="shared" si="7"/>
        <v>5335.8280561504052</v>
      </c>
      <c r="K17" s="748">
        <f t="shared" si="7"/>
        <v>5190.8830724253503</v>
      </c>
      <c r="L17" s="748">
        <f t="shared" si="7"/>
        <v>5312.7966478732524</v>
      </c>
      <c r="M17" s="748">
        <f t="shared" si="7"/>
        <v>5281.9250676538668</v>
      </c>
      <c r="N17" s="748">
        <f t="shared" si="7"/>
        <v>5608.0706009679625</v>
      </c>
      <c r="O17" s="494">
        <f t="shared" ref="O17" ca="1" si="8">SUM(O4:O16)</f>
        <v>61272.849154413925</v>
      </c>
    </row>
    <row r="18" spans="1:15">
      <c r="B18" s="743"/>
    </row>
    <row r="19" spans="1:15" s="235" customFormat="1">
      <c r="B19" s="749" t="s">
        <v>2009</v>
      </c>
    </row>
    <row r="20" spans="1:15">
      <c r="B20" s="236" t="s">
        <v>2417</v>
      </c>
      <c r="C20" s="404">
        <f ca="1">C10</f>
        <v>26.249030000000001</v>
      </c>
      <c r="D20" s="404">
        <f t="shared" ref="D20:N22" ca="1" si="9">D10</f>
        <v>30.459599999999998</v>
      </c>
      <c r="E20" s="404">
        <f t="shared" ca="1" si="9"/>
        <v>5.4914599999999991</v>
      </c>
      <c r="F20" s="404">
        <f t="shared" ca="1" si="9"/>
        <v>-29.73021</v>
      </c>
      <c r="G20" s="404">
        <f t="shared" ca="1" si="9"/>
        <v>-53.197270000000003</v>
      </c>
      <c r="H20" s="404">
        <f t="shared" ca="1" si="9"/>
        <v>-27.575660000000003</v>
      </c>
      <c r="I20" s="404">
        <f t="shared" si="9"/>
        <v>9.5449999999999999</v>
      </c>
      <c r="J20" s="404">
        <f t="shared" si="9"/>
        <v>9.5449999999999999</v>
      </c>
      <c r="K20" s="404">
        <f t="shared" si="9"/>
        <v>10.045</v>
      </c>
      <c r="L20" s="404">
        <f t="shared" si="9"/>
        <v>9.5449999999999999</v>
      </c>
      <c r="M20" s="404">
        <f t="shared" si="9"/>
        <v>9.5449999999999999</v>
      </c>
      <c r="N20" s="404">
        <f t="shared" si="9"/>
        <v>9.4489999999999998</v>
      </c>
      <c r="O20" s="404">
        <f t="shared" ref="O20:O23" ca="1" si="10">SUM(C20:N20)</f>
        <v>9.3709499999999917</v>
      </c>
    </row>
    <row r="21" spans="1:15">
      <c r="B21" s="236" t="s">
        <v>2418</v>
      </c>
      <c r="C21" s="404">
        <f ca="1">C11</f>
        <v>345.88825666666673</v>
      </c>
      <c r="D21" s="404">
        <f t="shared" ca="1" si="9"/>
        <v>345.2979866666667</v>
      </c>
      <c r="E21" s="404">
        <f t="shared" ca="1" si="9"/>
        <v>336.89626666666669</v>
      </c>
      <c r="F21" s="404">
        <f t="shared" ca="1" si="9"/>
        <v>189.46699666666663</v>
      </c>
      <c r="G21" s="404">
        <f t="shared" ca="1" si="9"/>
        <v>175.67311666666663</v>
      </c>
      <c r="H21" s="404">
        <f t="shared" ca="1" si="9"/>
        <v>168.15025666666665</v>
      </c>
      <c r="I21" s="404">
        <f t="shared" si="9"/>
        <v>416.17200000000003</v>
      </c>
      <c r="J21" s="404">
        <f t="shared" si="9"/>
        <v>416.17200000000003</v>
      </c>
      <c r="K21" s="404">
        <f t="shared" si="9"/>
        <v>418.73</v>
      </c>
      <c r="L21" s="404">
        <f t="shared" si="9"/>
        <v>418.73</v>
      </c>
      <c r="M21" s="404">
        <f t="shared" si="9"/>
        <v>418.73</v>
      </c>
      <c r="N21" s="404">
        <f t="shared" si="9"/>
        <v>422.99200000000002</v>
      </c>
      <c r="O21" s="404">
        <f t="shared" ca="1" si="10"/>
        <v>4072.8988800000002</v>
      </c>
    </row>
    <row r="22" spans="1:15">
      <c r="B22" s="236" t="s">
        <v>2419</v>
      </c>
      <c r="C22" s="404">
        <f ca="1">C12</f>
        <v>1249.56297</v>
      </c>
      <c r="D22" s="404">
        <f t="shared" ca="1" si="9"/>
        <v>821.24277999999993</v>
      </c>
      <c r="E22" s="404">
        <f t="shared" ca="1" si="9"/>
        <v>776.73940000000005</v>
      </c>
      <c r="F22" s="404">
        <f t="shared" ca="1" si="9"/>
        <v>870.70427000000007</v>
      </c>
      <c r="G22" s="404">
        <f t="shared" ca="1" si="9"/>
        <v>1126.0157199999999</v>
      </c>
      <c r="H22" s="404">
        <f t="shared" ca="1" si="9"/>
        <v>999.72392000000002</v>
      </c>
      <c r="I22" s="404">
        <f t="shared" si="9"/>
        <v>959.36500000000001</v>
      </c>
      <c r="J22" s="404">
        <f t="shared" si="9"/>
        <v>1383.9839999999999</v>
      </c>
      <c r="K22" s="404">
        <f t="shared" si="9"/>
        <v>1077.6029999999901</v>
      </c>
      <c r="L22" s="404">
        <f t="shared" si="9"/>
        <v>1082.2170000000001</v>
      </c>
      <c r="M22" s="404">
        <f t="shared" si="9"/>
        <v>1033.8109999999999</v>
      </c>
      <c r="N22" s="404">
        <f t="shared" si="9"/>
        <v>1281.1499999999901</v>
      </c>
      <c r="O22" s="404">
        <f t="shared" ca="1" si="10"/>
        <v>12662.119059999981</v>
      </c>
    </row>
    <row r="23" spans="1:15">
      <c r="B23" s="236" t="s">
        <v>2421</v>
      </c>
      <c r="C23" s="493">
        <f ca="1">C14</f>
        <v>676.5347999999999</v>
      </c>
      <c r="D23" s="493">
        <f t="shared" ref="D23:N23" ca="1" si="11">D14</f>
        <v>501.11897999999997</v>
      </c>
      <c r="E23" s="493">
        <f t="shared" ca="1" si="11"/>
        <v>639.84872999999993</v>
      </c>
      <c r="F23" s="493">
        <f t="shared" ca="1" si="11"/>
        <v>701.81980999999996</v>
      </c>
      <c r="G23" s="493">
        <f t="shared" ca="1" si="11"/>
        <v>774.7639200000001</v>
      </c>
      <c r="H23" s="493">
        <f t="shared" ca="1" si="11"/>
        <v>743.4398799999999</v>
      </c>
      <c r="I23" s="493">
        <f t="shared" si="11"/>
        <v>378.11500000000001</v>
      </c>
      <c r="J23" s="493">
        <f t="shared" si="11"/>
        <v>329.80500000000001</v>
      </c>
      <c r="K23" s="493">
        <f t="shared" si="11"/>
        <v>402.51</v>
      </c>
      <c r="L23" s="493">
        <f t="shared" si="11"/>
        <v>444.36799999999999</v>
      </c>
      <c r="M23" s="493">
        <f t="shared" si="11"/>
        <v>425.60899999999998</v>
      </c>
      <c r="N23" s="493">
        <f t="shared" si="11"/>
        <v>437.745</v>
      </c>
      <c r="O23" s="404">
        <f t="shared" ca="1" si="10"/>
        <v>6455.6781200000005</v>
      </c>
    </row>
    <row r="24" spans="1:15" s="235" customFormat="1">
      <c r="B24" s="236"/>
      <c r="H24" s="404"/>
    </row>
    <row r="25" spans="1:15" s="235" customFormat="1">
      <c r="B25" s="236" t="s">
        <v>2010</v>
      </c>
      <c r="C25" s="748">
        <f t="shared" ref="C25:N25" ca="1" si="12">SUM(C20:C24)</f>
        <v>2298.2350566666664</v>
      </c>
      <c r="D25" s="748">
        <f t="shared" ca="1" si="12"/>
        <v>1698.1193466666666</v>
      </c>
      <c r="E25" s="748">
        <f t="shared" ca="1" si="12"/>
        <v>1758.9758566666667</v>
      </c>
      <c r="F25" s="748">
        <f t="shared" ca="1" si="12"/>
        <v>1732.2608666666667</v>
      </c>
      <c r="G25" s="748">
        <f t="shared" ca="1" si="12"/>
        <v>2023.2554866666667</v>
      </c>
      <c r="H25" s="748">
        <f t="shared" ca="1" si="12"/>
        <v>1883.7383966666666</v>
      </c>
      <c r="I25" s="748">
        <f t="shared" si="12"/>
        <v>1763.1970000000001</v>
      </c>
      <c r="J25" s="748">
        <f t="shared" si="12"/>
        <v>2139.5059999999999</v>
      </c>
      <c r="K25" s="748">
        <f t="shared" si="12"/>
        <v>1908.8879999999901</v>
      </c>
      <c r="L25" s="748">
        <f t="shared" si="12"/>
        <v>1954.8600000000001</v>
      </c>
      <c r="M25" s="748">
        <f t="shared" si="12"/>
        <v>1887.6949999999999</v>
      </c>
      <c r="N25" s="748">
        <f t="shared" si="12"/>
        <v>2151.3359999999902</v>
      </c>
      <c r="O25" s="494">
        <f ca="1">SUM(C25:N25)</f>
        <v>23200.067009999977</v>
      </c>
    </row>
    <row r="26" spans="1:15" s="235" customFormat="1">
      <c r="B26" s="236" t="s">
        <v>2009</v>
      </c>
      <c r="I26" s="404"/>
      <c r="J26" s="404"/>
      <c r="K26" s="404"/>
      <c r="L26" s="404"/>
      <c r="M26" s="404"/>
      <c r="N26" s="404"/>
      <c r="O26" s="404">
        <f ca="1">O25*0.125</f>
        <v>2900.0083762499971</v>
      </c>
    </row>
    <row r="29" spans="1:15">
      <c r="A29" s="236" t="s">
        <v>2424</v>
      </c>
      <c r="B29" s="236"/>
    </row>
    <row r="30" spans="1:15">
      <c r="A30" s="492">
        <v>407.3</v>
      </c>
      <c r="B30" s="236" t="s">
        <v>2425</v>
      </c>
      <c r="C30" s="745">
        <v>189607.50794117679</v>
      </c>
      <c r="D30" s="745">
        <v>206313.44993833904</v>
      </c>
      <c r="E30" s="745">
        <v>219722.09156428574</v>
      </c>
      <c r="F30" s="745">
        <v>245744.95457478004</v>
      </c>
      <c r="G30" s="745">
        <v>260810.74950374392</v>
      </c>
      <c r="H30" s="745">
        <v>288288.98506345315</v>
      </c>
      <c r="K30" s="750">
        <f>I30-J30</f>
        <v>0</v>
      </c>
    </row>
    <row r="31" spans="1:15">
      <c r="A31" s="235" t="str">
        <f>MID($B31,1,3)</f>
        <v>408</v>
      </c>
      <c r="B31" s="236" t="s">
        <v>2005</v>
      </c>
      <c r="C31" s="745">
        <v>156859</v>
      </c>
      <c r="D31" s="745">
        <v>156859</v>
      </c>
      <c r="E31" s="745">
        <v>156859</v>
      </c>
      <c r="F31" s="745">
        <v>156859</v>
      </c>
      <c r="G31" s="745">
        <v>156859</v>
      </c>
      <c r="H31" s="745">
        <v>156859</v>
      </c>
    </row>
    <row r="32" spans="1:15">
      <c r="A32" s="492">
        <v>411.8</v>
      </c>
      <c r="B32" s="236" t="s">
        <v>2006</v>
      </c>
    </row>
    <row r="33" spans="1:8">
      <c r="A33" s="235" t="str">
        <f t="shared" ref="A33:A62" si="13">MID($B33,1,3)</f>
        <v>502</v>
      </c>
      <c r="B33" s="236" t="s">
        <v>2427</v>
      </c>
      <c r="C33" s="745">
        <v>7977.57</v>
      </c>
      <c r="D33" s="745">
        <v>6717.61</v>
      </c>
      <c r="E33" s="745">
        <v>6631.87</v>
      </c>
      <c r="F33" s="745">
        <v>10291.48</v>
      </c>
      <c r="G33" s="745">
        <v>8029.84</v>
      </c>
      <c r="H33" s="745">
        <v>4530.01</v>
      </c>
    </row>
    <row r="34" spans="1:8">
      <c r="A34" s="235" t="str">
        <f>MID($B34,1,3)</f>
        <v>501</v>
      </c>
      <c r="B34" s="236" t="s">
        <v>2426</v>
      </c>
      <c r="C34" s="745">
        <v>17004.3</v>
      </c>
      <c r="D34" s="745">
        <v>24821.23</v>
      </c>
      <c r="E34" s="745">
        <v>10328.11</v>
      </c>
      <c r="F34" s="745">
        <v>1218.51</v>
      </c>
      <c r="G34" s="745">
        <v>3587.88</v>
      </c>
      <c r="H34" s="745">
        <v>24806.69</v>
      </c>
    </row>
    <row r="35" spans="1:8">
      <c r="A35" s="235" t="str">
        <f t="shared" si="13"/>
        <v>501</v>
      </c>
      <c r="B35" s="236" t="s">
        <v>2426</v>
      </c>
      <c r="C35" s="745">
        <v>10978.03</v>
      </c>
      <c r="D35" s="745">
        <v>5638.3700000000008</v>
      </c>
      <c r="E35" s="745">
        <v>10287.280000000001</v>
      </c>
      <c r="F35" s="745">
        <v>10023.91</v>
      </c>
      <c r="G35" s="745">
        <v>8290.5300000000007</v>
      </c>
      <c r="H35" s="745">
        <v>8555.06</v>
      </c>
    </row>
    <row r="36" spans="1:8">
      <c r="A36" s="235" t="str">
        <f t="shared" si="13"/>
        <v>512</v>
      </c>
      <c r="B36" s="236" t="s">
        <v>2472</v>
      </c>
      <c r="C36" s="745">
        <v>1128.4000000000001</v>
      </c>
      <c r="D36" s="745">
        <v>3065.05</v>
      </c>
      <c r="E36" s="745">
        <v>2045.61</v>
      </c>
      <c r="F36" s="745">
        <v>3446.56</v>
      </c>
      <c r="G36" s="745">
        <v>950.81999999999994</v>
      </c>
      <c r="H36" s="745">
        <v>259.03000000000003</v>
      </c>
    </row>
    <row r="37" spans="1:8">
      <c r="A37" s="235" t="str">
        <f t="shared" si="13"/>
        <v>512</v>
      </c>
      <c r="B37" s="236" t="s">
        <v>2472</v>
      </c>
      <c r="C37" s="745">
        <v>1597.56</v>
      </c>
      <c r="D37" s="745">
        <v>219.15</v>
      </c>
      <c r="E37" s="745">
        <v>141.62</v>
      </c>
      <c r="F37" s="745">
        <v>2368.4</v>
      </c>
      <c r="G37" s="745">
        <v>103.87</v>
      </c>
      <c r="H37" s="745">
        <v>175.9</v>
      </c>
    </row>
    <row r="38" spans="1:8">
      <c r="A38" s="235" t="str">
        <f t="shared" si="13"/>
        <v>512</v>
      </c>
      <c r="B38" s="236" t="s">
        <v>2472</v>
      </c>
      <c r="C38" s="745">
        <v>538.16999999999996</v>
      </c>
      <c r="D38" s="745">
        <v>67.430000000000007</v>
      </c>
      <c r="E38" s="745">
        <v>740.02</v>
      </c>
      <c r="F38" s="745">
        <v>163.72999999999999</v>
      </c>
      <c r="G38" s="745">
        <v>412.98</v>
      </c>
      <c r="H38" s="745">
        <v>795.43999999999994</v>
      </c>
    </row>
    <row r="39" spans="1:8">
      <c r="A39" s="235" t="str">
        <f t="shared" si="13"/>
        <v>512</v>
      </c>
      <c r="B39" s="236" t="s">
        <v>2472</v>
      </c>
      <c r="C39" s="745">
        <v>0.85</v>
      </c>
      <c r="D39" s="745">
        <v>0.28999999999999998</v>
      </c>
      <c r="E39" s="745">
        <v>8.1</v>
      </c>
      <c r="F39" s="745">
        <v>279.54000000000002</v>
      </c>
      <c r="G39" s="745">
        <v>90.66</v>
      </c>
    </row>
    <row r="40" spans="1:8">
      <c r="A40" s="235" t="str">
        <f t="shared" si="13"/>
        <v>512</v>
      </c>
      <c r="B40" s="236" t="s">
        <v>2472</v>
      </c>
      <c r="C40" s="745">
        <v>88.12</v>
      </c>
      <c r="D40" s="745">
        <v>1046.1500000000001</v>
      </c>
      <c r="E40" s="745">
        <v>1583.15</v>
      </c>
      <c r="F40" s="745">
        <v>45.77</v>
      </c>
    </row>
    <row r="41" spans="1:8">
      <c r="A41" s="235" t="str">
        <f t="shared" si="13"/>
        <v>512</v>
      </c>
      <c r="B41" s="236" t="s">
        <v>2472</v>
      </c>
      <c r="D41" s="745">
        <v>43.519999999999996</v>
      </c>
      <c r="E41" s="745">
        <v>1578.75</v>
      </c>
      <c r="F41" s="745">
        <v>2143.2600000000002</v>
      </c>
    </row>
    <row r="42" spans="1:8">
      <c r="A42" s="235" t="str">
        <f t="shared" si="13"/>
        <v>501</v>
      </c>
      <c r="B42" s="236" t="s">
        <v>2426</v>
      </c>
      <c r="C42" s="745">
        <v>-1733.3</v>
      </c>
      <c r="E42" s="745">
        <v>-15123.93</v>
      </c>
      <c r="F42" s="745">
        <v>-40972.629999999997</v>
      </c>
      <c r="G42" s="745">
        <v>-65075.68</v>
      </c>
      <c r="H42" s="745">
        <v>-60937.41</v>
      </c>
    </row>
    <row r="43" spans="1:8">
      <c r="A43" s="235">
        <v>502</v>
      </c>
      <c r="B43" s="236" t="s">
        <v>2428</v>
      </c>
      <c r="C43" s="745">
        <v>-63744.533333333333</v>
      </c>
      <c r="D43" s="745">
        <v>-69813.013333333336</v>
      </c>
      <c r="E43" s="745">
        <v>-74597.083333333358</v>
      </c>
      <c r="F43" s="745">
        <v>-81629.803333333344</v>
      </c>
      <c r="G43" s="745">
        <v>-93070.003333333356</v>
      </c>
      <c r="H43" s="745">
        <v>-101071.00333333334</v>
      </c>
    </row>
    <row r="44" spans="1:8">
      <c r="A44" s="235" t="str">
        <f>MID($B44,2,3)</f>
        <v>506</v>
      </c>
      <c r="B44" s="236" t="s">
        <v>2449</v>
      </c>
      <c r="C44" s="745">
        <v>16887.88</v>
      </c>
      <c r="D44" s="745">
        <v>26332.07</v>
      </c>
      <c r="E44" s="745">
        <v>43487.26</v>
      </c>
      <c r="F44" s="745">
        <v>15845.78</v>
      </c>
      <c r="G44" s="745">
        <v>14691.96</v>
      </c>
      <c r="H44" s="745">
        <v>35987.19</v>
      </c>
    </row>
    <row r="45" spans="1:8">
      <c r="A45" s="235" t="str">
        <f t="shared" ref="A45:A59" si="14">MID($B45,2,3)</f>
        <v>506</v>
      </c>
      <c r="B45" s="236" t="s">
        <v>2450</v>
      </c>
      <c r="C45" s="745">
        <v>0</v>
      </c>
      <c r="D45" s="745">
        <v>0</v>
      </c>
      <c r="E45" s="745">
        <v>0</v>
      </c>
      <c r="F45" s="745">
        <v>0</v>
      </c>
      <c r="G45" s="745">
        <v>0</v>
      </c>
      <c r="H45" s="745">
        <v>0</v>
      </c>
    </row>
    <row r="46" spans="1:8">
      <c r="A46" s="235" t="str">
        <f t="shared" si="14"/>
        <v>512</v>
      </c>
      <c r="B46" s="236" t="s">
        <v>2451</v>
      </c>
      <c r="C46" s="745">
        <v>14321.72</v>
      </c>
      <c r="D46" s="745">
        <v>9373.7900000000009</v>
      </c>
      <c r="E46" s="745">
        <v>35489.51</v>
      </c>
      <c r="F46" s="745">
        <v>65600.59</v>
      </c>
      <c r="G46" s="745">
        <v>58708.959999999999</v>
      </c>
      <c r="H46" s="745">
        <v>13588.63</v>
      </c>
    </row>
    <row r="47" spans="1:8">
      <c r="A47" s="235" t="str">
        <f t="shared" si="14"/>
        <v>506</v>
      </c>
      <c r="B47" s="236" t="s">
        <v>2429</v>
      </c>
      <c r="C47" s="745">
        <v>0</v>
      </c>
      <c r="D47" s="745">
        <v>0</v>
      </c>
      <c r="E47" s="745">
        <v>0</v>
      </c>
      <c r="F47" s="745">
        <v>0</v>
      </c>
      <c r="G47" s="745">
        <v>0</v>
      </c>
      <c r="H47" s="745">
        <v>0</v>
      </c>
    </row>
    <row r="48" spans="1:8">
      <c r="A48" s="235" t="str">
        <f t="shared" si="14"/>
        <v>506</v>
      </c>
      <c r="B48" s="236" t="s">
        <v>2430</v>
      </c>
      <c r="C48" s="745">
        <v>0</v>
      </c>
      <c r="D48" s="745">
        <v>0</v>
      </c>
      <c r="E48" s="745">
        <v>0</v>
      </c>
      <c r="F48" s="745">
        <v>0</v>
      </c>
      <c r="G48" s="745">
        <v>0</v>
      </c>
      <c r="H48" s="745">
        <v>0</v>
      </c>
    </row>
    <row r="49" spans="1:8">
      <c r="A49" s="235" t="str">
        <f t="shared" si="14"/>
        <v>512</v>
      </c>
      <c r="B49" s="236" t="s">
        <v>2431</v>
      </c>
      <c r="C49" s="745">
        <v>0</v>
      </c>
      <c r="D49" s="745">
        <v>0</v>
      </c>
      <c r="E49" s="745">
        <v>0</v>
      </c>
      <c r="F49" s="745">
        <v>0</v>
      </c>
      <c r="G49" s="745">
        <v>0</v>
      </c>
      <c r="H49" s="745">
        <v>0</v>
      </c>
    </row>
    <row r="50" spans="1:8">
      <c r="A50" s="235" t="str">
        <f t="shared" si="14"/>
        <v>502</v>
      </c>
      <c r="B50" s="236" t="s">
        <v>2452</v>
      </c>
      <c r="C50" s="745">
        <v>335863.52</v>
      </c>
      <c r="D50" s="745">
        <v>337009.64</v>
      </c>
      <c r="E50" s="745">
        <v>332020.96000000002</v>
      </c>
      <c r="F50" s="745">
        <v>199892.32</v>
      </c>
      <c r="G50" s="745">
        <v>199030.36</v>
      </c>
      <c r="H50" s="745">
        <v>198954.08</v>
      </c>
    </row>
    <row r="51" spans="1:8">
      <c r="A51" s="235" t="str">
        <f t="shared" si="14"/>
        <v>512</v>
      </c>
      <c r="B51" s="236" t="s">
        <v>2453</v>
      </c>
      <c r="C51" s="745">
        <v>383360.97</v>
      </c>
      <c r="D51" s="745">
        <v>321818.06</v>
      </c>
      <c r="E51" s="745">
        <v>506180.38</v>
      </c>
      <c r="F51" s="745">
        <v>379832.41</v>
      </c>
      <c r="G51" s="745">
        <v>539788.77</v>
      </c>
      <c r="H51" s="745">
        <v>513967.23</v>
      </c>
    </row>
    <row r="52" spans="1:8">
      <c r="A52" s="235" t="str">
        <f t="shared" si="14"/>
        <v>506</v>
      </c>
      <c r="B52" s="236" t="s">
        <v>2429</v>
      </c>
      <c r="C52" s="745">
        <v>11104.99</v>
      </c>
      <c r="D52" s="745">
        <v>0</v>
      </c>
      <c r="E52" s="745">
        <v>115488.48</v>
      </c>
      <c r="F52" s="745">
        <v>55299.13</v>
      </c>
      <c r="G52" s="745">
        <v>46418.86</v>
      </c>
      <c r="H52" s="745">
        <v>51234.04</v>
      </c>
    </row>
    <row r="53" spans="1:8">
      <c r="A53" s="235" t="str">
        <f t="shared" si="14"/>
        <v>506</v>
      </c>
      <c r="B53" s="236" t="s">
        <v>2430</v>
      </c>
      <c r="C53" s="745">
        <v>1026387.33</v>
      </c>
      <c r="D53" s="745">
        <v>666863.23</v>
      </c>
      <c r="E53" s="745">
        <v>602057.61</v>
      </c>
      <c r="F53" s="745">
        <v>674064.12</v>
      </c>
      <c r="G53" s="745">
        <v>836909.14</v>
      </c>
      <c r="H53" s="745">
        <v>784464.55</v>
      </c>
    </row>
    <row r="54" spans="1:8">
      <c r="A54" s="235" t="str">
        <f t="shared" si="14"/>
        <v>512</v>
      </c>
      <c r="B54" s="236" t="s">
        <v>2431</v>
      </c>
      <c r="C54" s="745">
        <v>84435.77</v>
      </c>
      <c r="D54" s="745">
        <v>80290.25</v>
      </c>
      <c r="E54" s="745">
        <v>-52056.149999999994</v>
      </c>
      <c r="F54" s="745">
        <v>40419.18</v>
      </c>
      <c r="G54" s="745">
        <v>46374.619999999995</v>
      </c>
      <c r="H54" s="745">
        <v>110782.45</v>
      </c>
    </row>
    <row r="55" spans="1:8">
      <c r="A55" s="235" t="str">
        <f t="shared" si="14"/>
        <v>506</v>
      </c>
      <c r="B55" s="236" t="s">
        <v>2432</v>
      </c>
      <c r="C55" s="745">
        <v>0</v>
      </c>
      <c r="D55" s="745">
        <v>0</v>
      </c>
      <c r="E55" s="745">
        <v>0</v>
      </c>
      <c r="F55" s="745">
        <v>0</v>
      </c>
      <c r="G55" s="745">
        <v>0</v>
      </c>
      <c r="H55" s="745">
        <v>0</v>
      </c>
    </row>
    <row r="56" spans="1:8">
      <c r="A56" s="235" t="str">
        <f t="shared" si="14"/>
        <v>512</v>
      </c>
      <c r="B56" s="236" t="s">
        <v>2433</v>
      </c>
      <c r="C56" s="745">
        <v>63892.39</v>
      </c>
      <c r="D56" s="745">
        <v>36893.049999999996</v>
      </c>
      <c r="E56" s="745">
        <v>45099.490000000005</v>
      </c>
      <c r="F56" s="745">
        <v>48393.700000000004</v>
      </c>
      <c r="G56" s="745">
        <v>50958.66</v>
      </c>
      <c r="H56" s="745">
        <v>38035.71</v>
      </c>
    </row>
    <row r="57" spans="1:8">
      <c r="A57" s="235" t="str">
        <f t="shared" si="14"/>
        <v>506</v>
      </c>
      <c r="B57" s="236" t="s">
        <v>2434</v>
      </c>
      <c r="C57" s="745">
        <v>195182.77</v>
      </c>
      <c r="D57" s="745">
        <v>10834.2</v>
      </c>
      <c r="E57" s="745">
        <v>15706.05</v>
      </c>
      <c r="F57" s="745">
        <v>74698.960000000006</v>
      </c>
      <c r="G57" s="745">
        <v>56278.04</v>
      </c>
      <c r="H57" s="745">
        <v>-41975.58</v>
      </c>
    </row>
    <row r="58" spans="1:8">
      <c r="A58" s="235" t="str">
        <f t="shared" si="14"/>
        <v>502</v>
      </c>
      <c r="B58" s="236" t="s">
        <v>2452</v>
      </c>
      <c r="C58" s="745">
        <v>65791.7</v>
      </c>
      <c r="D58" s="745">
        <v>71383.75</v>
      </c>
      <c r="E58" s="745">
        <v>72840.52</v>
      </c>
      <c r="F58" s="745">
        <v>60913</v>
      </c>
      <c r="G58" s="745">
        <v>61682.92</v>
      </c>
      <c r="H58" s="745">
        <v>65737.17</v>
      </c>
    </row>
    <row r="59" spans="1:8">
      <c r="A59" s="235" t="str">
        <f t="shared" si="14"/>
        <v>512</v>
      </c>
      <c r="B59" s="236" t="s">
        <v>2453</v>
      </c>
      <c r="C59" s="745">
        <v>127170.85</v>
      </c>
      <c r="D59" s="745">
        <v>48302.239999999998</v>
      </c>
      <c r="E59" s="745">
        <v>99038.25</v>
      </c>
      <c r="F59" s="745">
        <v>159126.67000000001</v>
      </c>
      <c r="G59" s="745">
        <v>77374.58</v>
      </c>
      <c r="H59" s="745">
        <v>65835.490000000005</v>
      </c>
    </row>
    <row r="60" spans="1:8">
      <c r="A60" s="235" t="str">
        <f>MID($B60,1,3)</f>
        <v>506</v>
      </c>
      <c r="B60" s="236" t="s">
        <v>2435</v>
      </c>
      <c r="D60" s="745">
        <v>117213.28</v>
      </c>
      <c r="F60" s="745">
        <v>50796.28</v>
      </c>
      <c r="G60" s="745">
        <v>171717.72</v>
      </c>
      <c r="H60" s="745">
        <v>170013.72</v>
      </c>
    </row>
    <row r="61" spans="1:8">
      <c r="A61" s="235" t="str">
        <f>MID($B61,1,3)</f>
        <v>509</v>
      </c>
      <c r="B61" s="236" t="s">
        <v>2007</v>
      </c>
      <c r="C61" s="745">
        <v>294</v>
      </c>
      <c r="D61" s="745">
        <v>170</v>
      </c>
      <c r="E61" s="745">
        <v>286</v>
      </c>
      <c r="F61" s="745">
        <v>325</v>
      </c>
      <c r="G61" s="745">
        <v>339</v>
      </c>
      <c r="H61" s="745">
        <v>302</v>
      </c>
    </row>
    <row r="62" spans="1:8">
      <c r="A62" s="235" t="str">
        <f t="shared" si="13"/>
        <v>411</v>
      </c>
      <c r="B62" s="236" t="s">
        <v>2479</v>
      </c>
      <c r="H62" s="745">
        <v>-194069.02875454648</v>
      </c>
    </row>
    <row r="63" spans="1:8">
      <c r="A63" s="235">
        <v>923</v>
      </c>
      <c r="B63" s="236" t="s">
        <v>2436</v>
      </c>
    </row>
    <row r="64" spans="1:8">
      <c r="A64" s="235"/>
      <c r="B64" s="236" t="s">
        <v>234</v>
      </c>
      <c r="C64" s="745">
        <f t="shared" ref="C64:H64" si="15">SUM(C30:C63)</f>
        <v>2644995.5646078438</v>
      </c>
      <c r="D64" s="745">
        <f t="shared" si="15"/>
        <v>2061461.7966050056</v>
      </c>
      <c r="E64" s="745">
        <f t="shared" si="15"/>
        <v>2135842.9482309525</v>
      </c>
      <c r="F64" s="745">
        <f t="shared" si="15"/>
        <v>2135189.8212414463</v>
      </c>
      <c r="G64" s="745">
        <f t="shared" si="15"/>
        <v>2441264.2361704106</v>
      </c>
      <c r="H64" s="745">
        <f t="shared" si="15"/>
        <v>2135119.3529755739</v>
      </c>
    </row>
    <row r="67" spans="1:9">
      <c r="A67" s="236" t="s">
        <v>2437</v>
      </c>
      <c r="B67" s="235"/>
      <c r="C67" s="235"/>
      <c r="D67" s="235"/>
      <c r="E67" s="235"/>
      <c r="F67" s="235"/>
      <c r="G67" s="235"/>
      <c r="H67" s="235"/>
      <c r="I67" s="235"/>
    </row>
    <row r="68" spans="1:9">
      <c r="A68" s="235" t="s">
        <v>2438</v>
      </c>
      <c r="B68" s="236" t="s">
        <v>2439</v>
      </c>
      <c r="C68" s="235">
        <v>2703154</v>
      </c>
      <c r="D68" s="235">
        <v>2706306</v>
      </c>
      <c r="E68" s="235">
        <v>2706306</v>
      </c>
      <c r="F68" s="235">
        <v>2706306</v>
      </c>
      <c r="G68" s="235">
        <v>2706306</v>
      </c>
      <c r="H68" s="235">
        <v>2712048</v>
      </c>
      <c r="I68" s="235"/>
    </row>
    <row r="69" spans="1:9">
      <c r="A69" s="492">
        <v>407.3</v>
      </c>
      <c r="B69" s="236" t="s">
        <v>2440</v>
      </c>
      <c r="C69" s="235">
        <f t="shared" ref="C69:H78" ca="1" si="16">SUMIF($A$30:$H$63,$A69,C$30:C$63)</f>
        <v>189607.50794117679</v>
      </c>
      <c r="D69" s="235">
        <f t="shared" ca="1" si="16"/>
        <v>206313.44993833904</v>
      </c>
      <c r="E69" s="235">
        <f t="shared" ca="1" si="16"/>
        <v>219722.09156428574</v>
      </c>
      <c r="F69" s="235">
        <f t="shared" ca="1" si="16"/>
        <v>245744.95457478004</v>
      </c>
      <c r="G69" s="235">
        <f t="shared" ca="1" si="16"/>
        <v>260810.74950374392</v>
      </c>
      <c r="H69" s="235">
        <f t="shared" ca="1" si="16"/>
        <v>288288.98506345315</v>
      </c>
      <c r="I69" s="235"/>
    </row>
    <row r="70" spans="1:9">
      <c r="A70" s="235">
        <v>408</v>
      </c>
      <c r="B70" s="236" t="s">
        <v>2441</v>
      </c>
      <c r="C70" s="235">
        <f t="shared" ca="1" si="16"/>
        <v>156859</v>
      </c>
      <c r="D70" s="235">
        <f t="shared" ca="1" si="16"/>
        <v>156859</v>
      </c>
      <c r="E70" s="235">
        <f t="shared" ca="1" si="16"/>
        <v>156859</v>
      </c>
      <c r="F70" s="235">
        <f t="shared" ca="1" si="16"/>
        <v>156859</v>
      </c>
      <c r="G70" s="235">
        <f t="shared" ca="1" si="16"/>
        <v>156859</v>
      </c>
      <c r="H70" s="235">
        <f t="shared" ca="1" si="16"/>
        <v>156859</v>
      </c>
      <c r="I70" s="235"/>
    </row>
    <row r="71" spans="1:9">
      <c r="A71" s="235">
        <v>411</v>
      </c>
      <c r="B71" s="236" t="s">
        <v>2481</v>
      </c>
      <c r="C71" s="235">
        <f t="shared" ca="1" si="16"/>
        <v>0</v>
      </c>
      <c r="D71" s="235">
        <f t="shared" ca="1" si="16"/>
        <v>0</v>
      </c>
      <c r="E71" s="235">
        <f t="shared" ca="1" si="16"/>
        <v>0</v>
      </c>
      <c r="F71" s="235">
        <f t="shared" ca="1" si="16"/>
        <v>0</v>
      </c>
      <c r="G71" s="235">
        <f t="shared" ca="1" si="16"/>
        <v>0</v>
      </c>
      <c r="H71" s="235">
        <f t="shared" ca="1" si="16"/>
        <v>-194069.02875454648</v>
      </c>
      <c r="I71" s="235"/>
    </row>
    <row r="72" spans="1:9">
      <c r="A72" s="492">
        <v>411.8</v>
      </c>
      <c r="B72" s="236" t="s">
        <v>2480</v>
      </c>
      <c r="C72" s="235">
        <f t="shared" ca="1" si="16"/>
        <v>0</v>
      </c>
      <c r="D72" s="235">
        <f t="shared" ca="1" si="16"/>
        <v>0</v>
      </c>
      <c r="E72" s="235">
        <f t="shared" ca="1" si="16"/>
        <v>0</v>
      </c>
      <c r="F72" s="235">
        <f t="shared" ca="1" si="16"/>
        <v>0</v>
      </c>
      <c r="G72" s="235">
        <f t="shared" ca="1" si="16"/>
        <v>0</v>
      </c>
      <c r="H72" s="235">
        <f t="shared" ca="1" si="16"/>
        <v>0</v>
      </c>
      <c r="I72" s="235"/>
    </row>
    <row r="73" spans="1:9">
      <c r="A73" s="235">
        <v>501</v>
      </c>
      <c r="B73" s="236" t="s">
        <v>2442</v>
      </c>
      <c r="C73" s="235">
        <f t="shared" ca="1" si="16"/>
        <v>26249.030000000002</v>
      </c>
      <c r="D73" s="235">
        <f t="shared" ca="1" si="16"/>
        <v>30459.599999999999</v>
      </c>
      <c r="E73" s="235">
        <f t="shared" ca="1" si="16"/>
        <v>5491.4599999999991</v>
      </c>
      <c r="F73" s="235">
        <f t="shared" ca="1" si="16"/>
        <v>-29730.21</v>
      </c>
      <c r="G73" s="235">
        <f t="shared" ca="1" si="16"/>
        <v>-53197.270000000004</v>
      </c>
      <c r="H73" s="235">
        <f t="shared" ca="1" si="16"/>
        <v>-27575.660000000003</v>
      </c>
      <c r="I73" s="235"/>
    </row>
    <row r="74" spans="1:9">
      <c r="A74" s="235">
        <v>502</v>
      </c>
      <c r="B74" s="236" t="s">
        <v>2443</v>
      </c>
      <c r="C74" s="235">
        <f t="shared" ca="1" si="16"/>
        <v>345888.25666666671</v>
      </c>
      <c r="D74" s="235">
        <f t="shared" ca="1" si="16"/>
        <v>345297.98666666669</v>
      </c>
      <c r="E74" s="235">
        <f t="shared" ca="1" si="16"/>
        <v>336896.26666666666</v>
      </c>
      <c r="F74" s="235">
        <f t="shared" ca="1" si="16"/>
        <v>189466.99666666664</v>
      </c>
      <c r="G74" s="235">
        <f t="shared" ca="1" si="16"/>
        <v>175673.11666666664</v>
      </c>
      <c r="H74" s="235">
        <f t="shared" ca="1" si="16"/>
        <v>168150.25666666665</v>
      </c>
      <c r="I74" s="235"/>
    </row>
    <row r="75" spans="1:9">
      <c r="A75" s="235">
        <v>506</v>
      </c>
      <c r="B75" s="236" t="s">
        <v>2444</v>
      </c>
      <c r="C75" s="235">
        <f t="shared" ca="1" si="16"/>
        <v>1249562.97</v>
      </c>
      <c r="D75" s="235">
        <f t="shared" ca="1" si="16"/>
        <v>821242.77999999991</v>
      </c>
      <c r="E75" s="235">
        <f t="shared" ca="1" si="16"/>
        <v>776739.4</v>
      </c>
      <c r="F75" s="235">
        <f t="shared" ca="1" si="16"/>
        <v>870704.27</v>
      </c>
      <c r="G75" s="235">
        <f t="shared" ca="1" si="16"/>
        <v>1126015.72</v>
      </c>
      <c r="H75" s="235">
        <f t="shared" ca="1" si="16"/>
        <v>999723.92</v>
      </c>
      <c r="I75" s="235"/>
    </row>
    <row r="76" spans="1:9">
      <c r="A76" s="235">
        <v>509</v>
      </c>
      <c r="B76" s="236" t="s">
        <v>2445</v>
      </c>
      <c r="C76" s="235">
        <f t="shared" ca="1" si="16"/>
        <v>294</v>
      </c>
      <c r="D76" s="235">
        <f t="shared" ca="1" si="16"/>
        <v>170</v>
      </c>
      <c r="E76" s="235">
        <f t="shared" ca="1" si="16"/>
        <v>286</v>
      </c>
      <c r="F76" s="235">
        <f t="shared" ca="1" si="16"/>
        <v>325</v>
      </c>
      <c r="G76" s="235">
        <f t="shared" ca="1" si="16"/>
        <v>339</v>
      </c>
      <c r="H76" s="235">
        <f t="shared" ca="1" si="16"/>
        <v>302</v>
      </c>
      <c r="I76" s="235"/>
    </row>
    <row r="77" spans="1:9">
      <c r="A77" s="235">
        <v>512</v>
      </c>
      <c r="B77" s="236" t="s">
        <v>2446</v>
      </c>
      <c r="C77" s="235">
        <f t="shared" ca="1" si="16"/>
        <v>676534.79999999993</v>
      </c>
      <c r="D77" s="235">
        <f t="shared" ca="1" si="16"/>
        <v>501118.98</v>
      </c>
      <c r="E77" s="235">
        <f t="shared" ca="1" si="16"/>
        <v>639848.73</v>
      </c>
      <c r="F77" s="235">
        <f t="shared" ca="1" si="16"/>
        <v>701819.80999999994</v>
      </c>
      <c r="G77" s="235">
        <f t="shared" ca="1" si="16"/>
        <v>774763.92</v>
      </c>
      <c r="H77" s="235">
        <f t="shared" ca="1" si="16"/>
        <v>743439.87999999989</v>
      </c>
      <c r="I77" s="235"/>
    </row>
    <row r="78" spans="1:9">
      <c r="A78" s="235">
        <v>923</v>
      </c>
      <c r="B78" s="236" t="s">
        <v>2436</v>
      </c>
      <c r="C78" s="235">
        <f t="shared" ca="1" si="16"/>
        <v>0</v>
      </c>
      <c r="D78" s="235">
        <f t="shared" ca="1" si="16"/>
        <v>0</v>
      </c>
      <c r="E78" s="235">
        <f t="shared" ca="1" si="16"/>
        <v>0</v>
      </c>
      <c r="F78" s="235">
        <f t="shared" ca="1" si="16"/>
        <v>0</v>
      </c>
      <c r="G78" s="235">
        <f t="shared" ca="1" si="16"/>
        <v>0</v>
      </c>
      <c r="H78" s="235">
        <f t="shared" ca="1" si="16"/>
        <v>0</v>
      </c>
      <c r="I78" s="235"/>
    </row>
    <row r="79" spans="1:9">
      <c r="A79" s="235"/>
      <c r="B79" s="236" t="s">
        <v>2447</v>
      </c>
      <c r="C79" s="235">
        <f t="shared" ref="C79:H79" ca="1" si="17">SUM(C68:C78)</f>
        <v>5348149.5646078428</v>
      </c>
      <c r="D79" s="235">
        <f t="shared" ca="1" si="17"/>
        <v>4767767.7966050059</v>
      </c>
      <c r="E79" s="235">
        <f t="shared" ca="1" si="17"/>
        <v>4842148.948230952</v>
      </c>
      <c r="F79" s="235">
        <f t="shared" ca="1" si="17"/>
        <v>4841495.8212414468</v>
      </c>
      <c r="G79" s="235">
        <f t="shared" ca="1" si="17"/>
        <v>5147570.2361704102</v>
      </c>
      <c r="H79" s="235">
        <f t="shared" ca="1" si="17"/>
        <v>4847167.3529755734</v>
      </c>
      <c r="I79" s="235"/>
    </row>
    <row r="80" spans="1:9">
      <c r="A80" s="235"/>
      <c r="B80" s="236" t="s">
        <v>2448</v>
      </c>
      <c r="C80" s="235">
        <f t="shared" ref="C80:G80" ca="1" si="18">SUM(C73:C77)-C76</f>
        <v>2298235.0566666666</v>
      </c>
      <c r="D80" s="235">
        <f t="shared" ca="1" si="18"/>
        <v>1698119.3466666667</v>
      </c>
      <c r="E80" s="235">
        <f t="shared" ca="1" si="18"/>
        <v>1758975.8566666667</v>
      </c>
      <c r="F80" s="235">
        <f t="shared" ca="1" si="18"/>
        <v>1732260.8666666667</v>
      </c>
      <c r="G80" s="235">
        <f t="shared" ca="1" si="18"/>
        <v>2023255.4866666668</v>
      </c>
      <c r="H80" s="235">
        <f ca="1">SUM(H73:H77)-H76</f>
        <v>1883738.3966666665</v>
      </c>
      <c r="I80" s="235"/>
    </row>
  </sheetData>
  <pageMargins left="0.75" right="0.75" top="1" bottom="1" header="0.5" footer="0.5"/>
  <pageSetup scale="76"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25"/>
  <sheetViews>
    <sheetView zoomScaleNormal="100" workbookViewId="0">
      <pane xSplit="1" ySplit="3" topLeftCell="B4" activePane="bottomRight" state="frozen"/>
      <selection activeCell="K33" sqref="K33"/>
      <selection pane="topRight" activeCell="K33" sqref="K33"/>
      <selection pane="bottomLeft" activeCell="K33" sqref="K33"/>
      <selection pane="bottomRight" activeCell="D22" sqref="D22"/>
    </sheetView>
  </sheetViews>
  <sheetFormatPr defaultColWidth="9" defaultRowHeight="15"/>
  <cols>
    <col min="1" max="1" width="32.33203125" style="289" customWidth="1"/>
    <col min="2" max="14" width="9.33203125" style="288" customWidth="1"/>
    <col min="15" max="16384" width="9" style="288"/>
  </cols>
  <sheetData>
    <row r="1" spans="1:14" s="285" customFormat="1">
      <c r="A1" s="284"/>
    </row>
    <row r="2" spans="1:14" s="285" customFormat="1">
      <c r="A2" s="287" t="s">
        <v>1842</v>
      </c>
      <c r="B2" s="401" t="s">
        <v>2533</v>
      </c>
      <c r="C2" s="401" t="s">
        <v>2534</v>
      </c>
      <c r="D2" s="401" t="s">
        <v>2535</v>
      </c>
      <c r="E2" s="401" t="s">
        <v>2536</v>
      </c>
      <c r="F2" s="401" t="s">
        <v>2537</v>
      </c>
      <c r="G2" s="401" t="s">
        <v>2538</v>
      </c>
      <c r="H2" s="401" t="s">
        <v>2539</v>
      </c>
      <c r="I2" s="401" t="s">
        <v>2540</v>
      </c>
      <c r="J2" s="401" t="s">
        <v>2541</v>
      </c>
      <c r="K2" s="401" t="s">
        <v>2542</v>
      </c>
      <c r="L2" s="401" t="s">
        <v>2543</v>
      </c>
      <c r="M2" s="401" t="s">
        <v>2544</v>
      </c>
      <c r="N2" s="401" t="s">
        <v>2568</v>
      </c>
    </row>
    <row r="3" spans="1:14" s="285" customFormat="1">
      <c r="A3" s="286" t="s">
        <v>1841</v>
      </c>
    </row>
    <row r="4" spans="1:14">
      <c r="A4" s="287"/>
    </row>
    <row r="5" spans="1:14">
      <c r="A5" s="236" t="s">
        <v>2415</v>
      </c>
      <c r="B5" s="495">
        <v>5443.7688347715466</v>
      </c>
      <c r="C5" s="495">
        <v>5689.4109166345452</v>
      </c>
      <c r="D5" s="495">
        <v>5696.0466601755452</v>
      </c>
      <c r="E5" s="495">
        <v>5699.8210142455464</v>
      </c>
      <c r="F5" s="495">
        <v>5703.4340555155459</v>
      </c>
      <c r="G5" s="495">
        <v>5743.1953996975462</v>
      </c>
      <c r="H5" s="495">
        <v>5804.289623970546</v>
      </c>
      <c r="I5" s="495">
        <v>5936.7501724125459</v>
      </c>
      <c r="J5" s="495">
        <v>6046.6370262835462</v>
      </c>
      <c r="K5" s="495">
        <v>6048.6127123135466</v>
      </c>
      <c r="L5" s="495">
        <v>6051.4246050535467</v>
      </c>
      <c r="M5" s="495">
        <v>6053.2491210435464</v>
      </c>
      <c r="N5" s="404">
        <f t="shared" ref="N5:N6" si="0">SUM(B5:M5)</f>
        <v>69916.64014211754</v>
      </c>
    </row>
    <row r="6" spans="1:14">
      <c r="A6" s="236" t="s">
        <v>2567</v>
      </c>
      <c r="B6" s="495">
        <v>605.72655154081701</v>
      </c>
      <c r="C6" s="495">
        <v>632.89613433257898</v>
      </c>
      <c r="D6" s="495">
        <v>652.62392579264804</v>
      </c>
      <c r="E6" s="495">
        <v>672.02769273018805</v>
      </c>
      <c r="F6" s="495">
        <v>686.786388939983</v>
      </c>
      <c r="G6" s="495">
        <v>698.66162508875402</v>
      </c>
      <c r="H6" s="495">
        <v>709.42291653241296</v>
      </c>
      <c r="I6" s="495">
        <v>745.85080184893309</v>
      </c>
      <c r="J6" s="495">
        <v>753.32996301657499</v>
      </c>
      <c r="K6" s="495">
        <v>763.84217689457205</v>
      </c>
      <c r="L6" s="495">
        <v>775.44815492934504</v>
      </c>
      <c r="M6" s="495">
        <v>797.35698366716906</v>
      </c>
      <c r="N6" s="404">
        <f t="shared" si="0"/>
        <v>8493.973315313975</v>
      </c>
    </row>
    <row r="7" spans="1:14">
      <c r="A7" s="236" t="s">
        <v>2416</v>
      </c>
      <c r="B7" s="495">
        <v>162.32705547949899</v>
      </c>
      <c r="C7" s="495">
        <v>162.32705547949899</v>
      </c>
      <c r="D7" s="495">
        <v>162.32705547949899</v>
      </c>
      <c r="E7" s="495">
        <v>162.32705547949899</v>
      </c>
      <c r="F7" s="495">
        <v>162.32705547949899</v>
      </c>
      <c r="G7" s="495">
        <v>162.32705547949899</v>
      </c>
      <c r="H7" s="495">
        <v>162.32705547949899</v>
      </c>
      <c r="I7" s="495">
        <v>160.03927804816306</v>
      </c>
      <c r="J7" s="495">
        <v>189.95269351087805</v>
      </c>
      <c r="K7" s="495">
        <v>189.95269351087805</v>
      </c>
      <c r="L7" s="495">
        <v>187.77148491712805</v>
      </c>
      <c r="M7" s="495">
        <v>187.77148491712805</v>
      </c>
      <c r="N7" s="404">
        <f>SUM(B7:M7)</f>
        <v>2051.7770232606681</v>
      </c>
    </row>
    <row r="8" spans="1:14">
      <c r="A8" s="236" t="s">
        <v>2482</v>
      </c>
      <c r="B8" s="495">
        <v>-55.016755994512401</v>
      </c>
      <c r="C8" s="495">
        <v>-55.016755994512401</v>
      </c>
      <c r="D8" s="495">
        <v>-55.016755994511897</v>
      </c>
      <c r="E8" s="495">
        <v>-55.016755994512401</v>
      </c>
      <c r="F8" s="495">
        <v>-55.016755994512401</v>
      </c>
      <c r="G8" s="495">
        <v>-55.016755994512401</v>
      </c>
      <c r="H8" s="495">
        <v>-55.016755994513098</v>
      </c>
      <c r="I8" s="495">
        <v>-55.0167559945112</v>
      </c>
      <c r="J8" s="495">
        <v>-58.019858201678801</v>
      </c>
      <c r="K8" s="495">
        <v>-58.019858201678197</v>
      </c>
      <c r="L8" s="495">
        <v>-58.019858201678197</v>
      </c>
      <c r="M8" s="495">
        <v>-58.0198582016776</v>
      </c>
      <c r="N8" s="404">
        <f t="shared" ref="N8" si="1">SUM(B8:M8)</f>
        <v>-672.21348076281095</v>
      </c>
    </row>
    <row r="9" spans="1:14">
      <c r="A9" s="236" t="s">
        <v>2483</v>
      </c>
      <c r="B9" s="495"/>
      <c r="C9" s="495"/>
      <c r="D9" s="495"/>
      <c r="E9" s="495"/>
      <c r="F9" s="495"/>
      <c r="G9" s="495"/>
      <c r="H9" s="495"/>
      <c r="I9" s="495"/>
      <c r="J9" s="495"/>
      <c r="K9" s="495"/>
      <c r="L9" s="495"/>
      <c r="M9" s="495"/>
      <c r="N9" s="404">
        <f t="shared" ref="N9:N15" si="2">SUM(B9:M9)</f>
        <v>0</v>
      </c>
    </row>
    <row r="10" spans="1:14">
      <c r="A10" s="236" t="s">
        <v>2417</v>
      </c>
      <c r="B10" s="495">
        <v>-44.353999999999999</v>
      </c>
      <c r="C10" s="495">
        <v>-44.353999999999999</v>
      </c>
      <c r="D10" s="495">
        <v>-44.353999999999999</v>
      </c>
      <c r="E10" s="495">
        <v>-44.353999999999999</v>
      </c>
      <c r="F10" s="495">
        <v>-43.853999999999999</v>
      </c>
      <c r="G10" s="495">
        <v>-44.353999999999999</v>
      </c>
      <c r="H10" s="495">
        <v>-44.353999999999999</v>
      </c>
      <c r="I10" s="495">
        <v>-44.353999999999999</v>
      </c>
      <c r="J10" s="495">
        <v>-43.847000000000001</v>
      </c>
      <c r="K10" s="495">
        <v>-43.847000000000001</v>
      </c>
      <c r="L10" s="495">
        <v>-43.847000000000001</v>
      </c>
      <c r="M10" s="495">
        <v>-43.347000000000001</v>
      </c>
      <c r="N10" s="404">
        <f t="shared" si="2"/>
        <v>-529.21999999999991</v>
      </c>
    </row>
    <row r="11" spans="1:14">
      <c r="A11" s="236" t="s">
        <v>2418</v>
      </c>
      <c r="B11" s="495">
        <v>317.17200000000003</v>
      </c>
      <c r="C11" s="495">
        <v>295.32400000000001</v>
      </c>
      <c r="D11" s="495">
        <v>314.81400000000002</v>
      </c>
      <c r="E11" s="495">
        <v>318.79399999999998</v>
      </c>
      <c r="F11" s="495">
        <v>307.57900000000001</v>
      </c>
      <c r="G11" s="495">
        <v>320.226</v>
      </c>
      <c r="H11" s="495">
        <v>300.03300000000002</v>
      </c>
      <c r="I11" s="495">
        <v>323.39499999999998</v>
      </c>
      <c r="J11" s="495">
        <v>384.22199999999998</v>
      </c>
      <c r="K11" s="495">
        <v>373.637</v>
      </c>
      <c r="L11" s="495">
        <v>380.241999999999</v>
      </c>
      <c r="M11" s="495">
        <v>378.202</v>
      </c>
      <c r="N11" s="404">
        <f t="shared" si="2"/>
        <v>4013.6399999999994</v>
      </c>
    </row>
    <row r="12" spans="1:14">
      <c r="A12" s="236" t="s">
        <v>2419</v>
      </c>
      <c r="B12" s="495">
        <v>865.36400000000003</v>
      </c>
      <c r="C12" s="495">
        <v>976.07600000000002</v>
      </c>
      <c r="D12" s="495">
        <v>1062.9079999999999</v>
      </c>
      <c r="E12" s="495">
        <v>1099.3689999999999</v>
      </c>
      <c r="F12" s="495">
        <v>900.76700000000005</v>
      </c>
      <c r="G12" s="495">
        <v>822.50800000000004</v>
      </c>
      <c r="H12" s="495">
        <v>608.46400000000006</v>
      </c>
      <c r="I12" s="495">
        <v>920.16200000000003</v>
      </c>
      <c r="J12" s="495">
        <v>1075.8409999999999</v>
      </c>
      <c r="K12" s="495">
        <v>959.32799999999997</v>
      </c>
      <c r="L12" s="495">
        <v>798.78</v>
      </c>
      <c r="M12" s="495">
        <v>839.99299999999903</v>
      </c>
      <c r="N12" s="404">
        <f t="shared" si="2"/>
        <v>10929.559999999998</v>
      </c>
    </row>
    <row r="13" spans="1:14">
      <c r="A13" s="236" t="s">
        <v>2420</v>
      </c>
      <c r="B13" s="495">
        <v>0</v>
      </c>
      <c r="C13" s="495">
        <v>0</v>
      </c>
      <c r="D13" s="495">
        <v>0</v>
      </c>
      <c r="E13" s="495">
        <v>2.5</v>
      </c>
      <c r="F13" s="495">
        <v>0</v>
      </c>
      <c r="G13" s="495">
        <v>0</v>
      </c>
      <c r="H13" s="495">
        <v>0</v>
      </c>
      <c r="I13" s="495">
        <v>0</v>
      </c>
      <c r="J13" s="495">
        <v>0</v>
      </c>
      <c r="K13" s="495">
        <v>0</v>
      </c>
      <c r="L13" s="495">
        <v>0</v>
      </c>
      <c r="M13" s="495">
        <v>2.5</v>
      </c>
      <c r="N13" s="493">
        <f t="shared" si="2"/>
        <v>5</v>
      </c>
    </row>
    <row r="14" spans="1:14">
      <c r="A14" s="236" t="s">
        <v>2421</v>
      </c>
      <c r="B14" s="469">
        <v>419.04300000000001</v>
      </c>
      <c r="C14" s="469">
        <v>406.49799999999999</v>
      </c>
      <c r="D14" s="469">
        <v>390.774</v>
      </c>
      <c r="E14" s="469">
        <v>428.01499999999999</v>
      </c>
      <c r="F14" s="469">
        <v>440.43799999999999</v>
      </c>
      <c r="G14" s="469">
        <v>508.70600000000002</v>
      </c>
      <c r="H14" s="469">
        <v>404.933999999999</v>
      </c>
      <c r="I14" s="469">
        <v>496.93900000000002</v>
      </c>
      <c r="J14" s="469">
        <v>435.363</v>
      </c>
      <c r="K14" s="469">
        <v>545.74900000000002</v>
      </c>
      <c r="L14" s="469">
        <v>513.93899999999996</v>
      </c>
      <c r="M14" s="469">
        <v>583.70799999999997</v>
      </c>
      <c r="N14" s="493">
        <f t="shared" si="2"/>
        <v>5574.1059999999989</v>
      </c>
    </row>
    <row r="15" spans="1:14">
      <c r="A15" s="236" t="s">
        <v>2422</v>
      </c>
      <c r="B15" s="495"/>
      <c r="C15" s="495"/>
      <c r="D15" s="495"/>
      <c r="E15" s="495"/>
      <c r="F15" s="495"/>
      <c r="G15" s="495"/>
      <c r="H15" s="495"/>
      <c r="I15" s="495"/>
      <c r="J15" s="495"/>
      <c r="K15" s="495"/>
      <c r="L15" s="495"/>
      <c r="M15" s="495"/>
      <c r="N15" s="404">
        <f t="shared" si="2"/>
        <v>0</v>
      </c>
    </row>
    <row r="16" spans="1:14">
      <c r="A16" s="287" t="s">
        <v>2008</v>
      </c>
      <c r="B16" s="290">
        <f>SUM(B5:B15)</f>
        <v>7714.0306857973501</v>
      </c>
      <c r="C16" s="290">
        <f t="shared" ref="C16:M16" si="3">SUM(C5:C15)</f>
        <v>8063.1613504521101</v>
      </c>
      <c r="D16" s="290">
        <f t="shared" si="3"/>
        <v>8180.122885453181</v>
      </c>
      <c r="E16" s="290">
        <f t="shared" si="3"/>
        <v>8283.4830064607213</v>
      </c>
      <c r="F16" s="290">
        <f t="shared" si="3"/>
        <v>8102.4607439405154</v>
      </c>
      <c r="G16" s="290">
        <f t="shared" si="3"/>
        <v>8156.2533242712861</v>
      </c>
      <c r="H16" s="290">
        <f t="shared" si="3"/>
        <v>7890.0998399879445</v>
      </c>
      <c r="I16" s="290">
        <f t="shared" si="3"/>
        <v>8483.7654963151308</v>
      </c>
      <c r="J16" s="290">
        <f t="shared" si="3"/>
        <v>8783.4788246093194</v>
      </c>
      <c r="K16" s="290">
        <f t="shared" si="3"/>
        <v>8779.2547245173173</v>
      </c>
      <c r="L16" s="290">
        <f t="shared" si="3"/>
        <v>8605.73838669834</v>
      </c>
      <c r="M16" s="290">
        <f t="shared" si="3"/>
        <v>8741.4137314261661</v>
      </c>
      <c r="N16" s="494">
        <f t="shared" ref="N16" si="4">SUM(N5:N15)</f>
        <v>99783.262999929371</v>
      </c>
    </row>
    <row r="17" spans="1:14">
      <c r="A17" s="287"/>
    </row>
    <row r="18" spans="1:14" s="163" customFormat="1">
      <c r="A18" s="162" t="s">
        <v>2009</v>
      </c>
    </row>
    <row r="19" spans="1:14">
      <c r="A19" s="236" t="s">
        <v>2417</v>
      </c>
      <c r="B19" s="404">
        <f>B10</f>
        <v>-44.353999999999999</v>
      </c>
      <c r="C19" s="404">
        <f t="shared" ref="C19:M21" si="5">C10</f>
        <v>-44.353999999999999</v>
      </c>
      <c r="D19" s="404">
        <f t="shared" si="5"/>
        <v>-44.353999999999999</v>
      </c>
      <c r="E19" s="404">
        <f t="shared" si="5"/>
        <v>-44.353999999999999</v>
      </c>
      <c r="F19" s="404">
        <f t="shared" si="5"/>
        <v>-43.853999999999999</v>
      </c>
      <c r="G19" s="404">
        <f t="shared" si="5"/>
        <v>-44.353999999999999</v>
      </c>
      <c r="H19" s="404">
        <f t="shared" si="5"/>
        <v>-44.353999999999999</v>
      </c>
      <c r="I19" s="404">
        <f t="shared" si="5"/>
        <v>-44.353999999999999</v>
      </c>
      <c r="J19" s="404">
        <f t="shared" si="5"/>
        <v>-43.847000000000001</v>
      </c>
      <c r="K19" s="404">
        <f t="shared" si="5"/>
        <v>-43.847000000000001</v>
      </c>
      <c r="L19" s="404">
        <f t="shared" si="5"/>
        <v>-43.847000000000001</v>
      </c>
      <c r="M19" s="404">
        <f t="shared" si="5"/>
        <v>-43.347000000000001</v>
      </c>
      <c r="N19" s="404">
        <f t="shared" ref="N19:N22" si="6">SUM(B19:M19)</f>
        <v>-529.21999999999991</v>
      </c>
    </row>
    <row r="20" spans="1:14">
      <c r="A20" s="236" t="s">
        <v>2418</v>
      </c>
      <c r="B20" s="404">
        <f>B11</f>
        <v>317.17200000000003</v>
      </c>
      <c r="C20" s="404">
        <f t="shared" si="5"/>
        <v>295.32400000000001</v>
      </c>
      <c r="D20" s="404">
        <f t="shared" si="5"/>
        <v>314.81400000000002</v>
      </c>
      <c r="E20" s="404">
        <f t="shared" si="5"/>
        <v>318.79399999999998</v>
      </c>
      <c r="F20" s="404">
        <f t="shared" si="5"/>
        <v>307.57900000000001</v>
      </c>
      <c r="G20" s="404">
        <f t="shared" si="5"/>
        <v>320.226</v>
      </c>
      <c r="H20" s="404">
        <f t="shared" si="5"/>
        <v>300.03300000000002</v>
      </c>
      <c r="I20" s="404">
        <f t="shared" si="5"/>
        <v>323.39499999999998</v>
      </c>
      <c r="J20" s="404">
        <f t="shared" si="5"/>
        <v>384.22199999999998</v>
      </c>
      <c r="K20" s="404">
        <f t="shared" si="5"/>
        <v>373.637</v>
      </c>
      <c r="L20" s="404">
        <f t="shared" si="5"/>
        <v>380.241999999999</v>
      </c>
      <c r="M20" s="404">
        <f t="shared" si="5"/>
        <v>378.202</v>
      </c>
      <c r="N20" s="404">
        <f t="shared" si="6"/>
        <v>4013.6399999999994</v>
      </c>
    </row>
    <row r="21" spans="1:14">
      <c r="A21" s="236" t="s">
        <v>2419</v>
      </c>
      <c r="B21" s="404">
        <f>B12</f>
        <v>865.36400000000003</v>
      </c>
      <c r="C21" s="404">
        <f t="shared" si="5"/>
        <v>976.07600000000002</v>
      </c>
      <c r="D21" s="404">
        <f t="shared" si="5"/>
        <v>1062.9079999999999</v>
      </c>
      <c r="E21" s="404">
        <f t="shared" si="5"/>
        <v>1099.3689999999999</v>
      </c>
      <c r="F21" s="404">
        <f t="shared" si="5"/>
        <v>900.76700000000005</v>
      </c>
      <c r="G21" s="404">
        <f t="shared" si="5"/>
        <v>822.50800000000004</v>
      </c>
      <c r="H21" s="404">
        <f t="shared" si="5"/>
        <v>608.46400000000006</v>
      </c>
      <c r="I21" s="404">
        <f t="shared" si="5"/>
        <v>920.16200000000003</v>
      </c>
      <c r="J21" s="404">
        <f t="shared" si="5"/>
        <v>1075.8409999999999</v>
      </c>
      <c r="K21" s="404">
        <f t="shared" si="5"/>
        <v>959.32799999999997</v>
      </c>
      <c r="L21" s="404">
        <f t="shared" si="5"/>
        <v>798.78</v>
      </c>
      <c r="M21" s="404">
        <f t="shared" si="5"/>
        <v>839.99299999999903</v>
      </c>
      <c r="N21" s="404">
        <f t="shared" si="6"/>
        <v>10929.559999999998</v>
      </c>
    </row>
    <row r="22" spans="1:14">
      <c r="A22" s="236" t="s">
        <v>2421</v>
      </c>
      <c r="B22" s="493">
        <f>B14</f>
        <v>419.04300000000001</v>
      </c>
      <c r="C22" s="493">
        <f t="shared" ref="C22:M22" si="7">C14</f>
        <v>406.49799999999999</v>
      </c>
      <c r="D22" s="493">
        <f t="shared" si="7"/>
        <v>390.774</v>
      </c>
      <c r="E22" s="493">
        <f t="shared" si="7"/>
        <v>428.01499999999999</v>
      </c>
      <c r="F22" s="493">
        <f t="shared" si="7"/>
        <v>440.43799999999999</v>
      </c>
      <c r="G22" s="493">
        <f t="shared" si="7"/>
        <v>508.70600000000002</v>
      </c>
      <c r="H22" s="493">
        <f t="shared" si="7"/>
        <v>404.933999999999</v>
      </c>
      <c r="I22" s="493">
        <f t="shared" si="7"/>
        <v>496.93900000000002</v>
      </c>
      <c r="J22" s="493">
        <f t="shared" si="7"/>
        <v>435.363</v>
      </c>
      <c r="K22" s="493">
        <f t="shared" si="7"/>
        <v>545.74900000000002</v>
      </c>
      <c r="L22" s="493">
        <f t="shared" si="7"/>
        <v>513.93899999999996</v>
      </c>
      <c r="M22" s="493">
        <f t="shared" si="7"/>
        <v>583.70799999999997</v>
      </c>
      <c r="N22" s="404">
        <f t="shared" si="6"/>
        <v>5574.1059999999989</v>
      </c>
    </row>
    <row r="23" spans="1:14" s="163" customFormat="1">
      <c r="A23" s="164"/>
      <c r="B23" s="235"/>
      <c r="C23" s="235"/>
      <c r="D23" s="235"/>
      <c r="E23" s="235"/>
      <c r="F23" s="235"/>
      <c r="G23" s="235"/>
      <c r="H23" s="235"/>
      <c r="I23" s="235"/>
      <c r="J23" s="235"/>
      <c r="K23" s="235"/>
      <c r="L23" s="235"/>
      <c r="M23" s="235"/>
      <c r="N23" s="235"/>
    </row>
    <row r="24" spans="1:14" s="163" customFormat="1">
      <c r="A24" s="164" t="s">
        <v>2010</v>
      </c>
      <c r="B24" s="290">
        <f t="shared" ref="B24:M24" si="8">SUM(B19:B23)</f>
        <v>1557.2249999999999</v>
      </c>
      <c r="C24" s="290">
        <f t="shared" si="8"/>
        <v>1633.5440000000001</v>
      </c>
      <c r="D24" s="290">
        <f t="shared" si="8"/>
        <v>1724.1419999999998</v>
      </c>
      <c r="E24" s="290">
        <f t="shared" si="8"/>
        <v>1801.8240000000001</v>
      </c>
      <c r="F24" s="290">
        <f t="shared" si="8"/>
        <v>1604.9300000000003</v>
      </c>
      <c r="G24" s="290">
        <f t="shared" si="8"/>
        <v>1607.0860000000002</v>
      </c>
      <c r="H24" s="290">
        <f t="shared" si="8"/>
        <v>1269.0769999999991</v>
      </c>
      <c r="I24" s="290">
        <f t="shared" si="8"/>
        <v>1696.1420000000001</v>
      </c>
      <c r="J24" s="290">
        <f t="shared" si="8"/>
        <v>1851.579</v>
      </c>
      <c r="K24" s="290">
        <f t="shared" si="8"/>
        <v>1834.867</v>
      </c>
      <c r="L24" s="290">
        <f t="shared" si="8"/>
        <v>1649.1139999999991</v>
      </c>
      <c r="M24" s="290">
        <f t="shared" si="8"/>
        <v>1758.5559999999991</v>
      </c>
      <c r="N24" s="494">
        <f>SUM(B24:M24)</f>
        <v>19988.085999999996</v>
      </c>
    </row>
    <row r="25" spans="1:14">
      <c r="A25" s="164" t="s">
        <v>2009</v>
      </c>
      <c r="N25" s="495">
        <f>N24*0.125</f>
        <v>2498.5107499999995</v>
      </c>
    </row>
  </sheetData>
  <pageMargins left="0.75" right="0.75" top="1" bottom="1" header="0.5" footer="0.5"/>
  <pageSetup scale="80"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8"/>
  <sheetViews>
    <sheetView workbookViewId="0">
      <selection activeCell="H22" sqref="H22"/>
    </sheetView>
  </sheetViews>
  <sheetFormatPr defaultColWidth="9" defaultRowHeight="15"/>
  <cols>
    <col min="1" max="1" width="9" style="417"/>
    <col min="2" max="7" width="10.44140625" style="417" customWidth="1"/>
    <col min="8" max="10" width="9.88671875" style="417" bestFit="1" customWidth="1"/>
    <col min="11" max="12" width="10.77734375" style="417" bestFit="1" customWidth="1"/>
    <col min="13" max="13" width="14" style="417" bestFit="1" customWidth="1"/>
    <col min="14" max="24" width="10.77734375" style="417" bestFit="1" customWidth="1"/>
    <col min="25" max="25" width="9.6640625" style="417" customWidth="1"/>
    <col min="26" max="26" width="10.109375" style="417" customWidth="1"/>
    <col min="27" max="27" width="10.33203125" style="417" customWidth="1"/>
    <col min="28" max="28" width="9.6640625" style="417" customWidth="1"/>
    <col min="29" max="29" width="9.77734375" style="417" customWidth="1"/>
    <col min="30" max="30" width="14" style="417" bestFit="1" customWidth="1"/>
    <col min="31" max="16384" width="9" style="417"/>
  </cols>
  <sheetData>
    <row r="1" spans="1:30">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row>
    <row r="2" spans="1:30">
      <c r="A2" s="753" t="s">
        <v>2011</v>
      </c>
      <c r="B2" s="754">
        <v>-304298.30039607169</v>
      </c>
      <c r="C2" s="754">
        <v>-304817.99113673926</v>
      </c>
      <c r="D2" s="754">
        <v>-306048.56789869664</v>
      </c>
      <c r="E2" s="754">
        <v>-308630.88376486942</v>
      </c>
      <c r="F2" s="754">
        <v>-310488.83880473278</v>
      </c>
      <c r="G2" s="754">
        <v>-312041.98893267533</v>
      </c>
      <c r="H2" s="754">
        <v>-314014.82227491477</v>
      </c>
      <c r="I2" s="754">
        <v>-316760.43938522524</v>
      </c>
      <c r="J2" s="754">
        <v>-320081.58299026033</v>
      </c>
      <c r="K2" s="754">
        <v>-323844.61868016148</v>
      </c>
      <c r="L2" s="754">
        <v>-327474.9195367542</v>
      </c>
      <c r="M2" s="754">
        <f>-335914.909399555*1000</f>
        <v>-335914909.39955503</v>
      </c>
      <c r="N2" s="754">
        <v>-337176.00797756342</v>
      </c>
      <c r="O2" s="754">
        <v>-338647.55946668843</v>
      </c>
      <c r="P2" s="754">
        <v>-340209.70274975611</v>
      </c>
      <c r="Q2" s="754">
        <v>-342590.33496300306</v>
      </c>
      <c r="R2" s="754">
        <v>-345527.9818960554</v>
      </c>
      <c r="S2" s="754">
        <v>-348823.52739394072</v>
      </c>
      <c r="T2" s="754">
        <v>-352033.83814679005</v>
      </c>
      <c r="U2" s="754">
        <v>-355308.71538165916</v>
      </c>
      <c r="V2" s="754">
        <v>-358310.27259142231</v>
      </c>
      <c r="W2" s="754">
        <v>-361288.24013016693</v>
      </c>
      <c r="X2" s="754">
        <v>-365256.06592289952</v>
      </c>
      <c r="Y2" s="754">
        <v>-376022.83275174786</v>
      </c>
      <c r="Z2" s="754">
        <v>-376928.98800041998</v>
      </c>
      <c r="AA2" s="754">
        <v>-377624.88784409239</v>
      </c>
      <c r="AB2" s="754">
        <v>-378245.56917368929</v>
      </c>
      <c r="AC2" s="754">
        <v>-379699.09664650063</v>
      </c>
      <c r="AD2" s="754">
        <f>SUM(Q2:W2,X2:AC2)/13*1000</f>
        <v>-362896950.06479907</v>
      </c>
    </row>
    <row r="3" spans="1:30" ht="15.75">
      <c r="A3" s="753" t="s">
        <v>2014</v>
      </c>
      <c r="B3" s="755"/>
      <c r="C3" s="755"/>
      <c r="D3" s="755"/>
      <c r="E3" s="755"/>
      <c r="F3" s="755"/>
      <c r="G3" s="755"/>
      <c r="H3" s="756"/>
      <c r="I3" s="756"/>
      <c r="J3" s="756"/>
      <c r="K3" s="756"/>
      <c r="L3" s="756"/>
      <c r="M3" s="757">
        <f>'JURISSEP B'!$G$1260</f>
        <v>0.87673530496058716</v>
      </c>
      <c r="N3" s="756"/>
      <c r="O3" s="756"/>
      <c r="P3" s="756"/>
      <c r="Q3" s="756"/>
      <c r="R3" s="756"/>
      <c r="S3" s="756"/>
      <c r="T3" s="756"/>
      <c r="U3" s="756"/>
      <c r="V3" s="756"/>
      <c r="W3" s="756"/>
      <c r="X3" s="756"/>
      <c r="Y3" s="756"/>
      <c r="Z3" s="756"/>
      <c r="AA3" s="756"/>
      <c r="AB3" s="756"/>
      <c r="AC3" s="756"/>
      <c r="AD3" s="757">
        <f>'JURISSEP F'!$G$1260</f>
        <v>0.93741603079505242</v>
      </c>
    </row>
    <row r="4" spans="1:30" ht="15.75">
      <c r="A4" s="753" t="s">
        <v>2015</v>
      </c>
      <c r="B4" s="755"/>
      <c r="C4" s="755"/>
      <c r="D4" s="755"/>
      <c r="E4" s="755"/>
      <c r="F4" s="755"/>
      <c r="G4" s="755"/>
      <c r="H4" s="756"/>
      <c r="I4" s="756"/>
      <c r="J4" s="756"/>
      <c r="K4" s="756"/>
      <c r="L4" s="756"/>
      <c r="M4" s="756">
        <f>M2*M3</f>
        <v>-294508460.53322691</v>
      </c>
      <c r="N4" s="756"/>
      <c r="O4" s="756"/>
      <c r="P4" s="756"/>
      <c r="Q4" s="756"/>
      <c r="R4" s="756"/>
      <c r="S4" s="756"/>
      <c r="T4" s="756"/>
      <c r="U4" s="756"/>
      <c r="V4" s="756"/>
      <c r="W4" s="756"/>
      <c r="X4" s="756"/>
      <c r="Y4" s="756"/>
      <c r="Z4" s="756"/>
      <c r="AA4" s="756"/>
      <c r="AB4" s="756"/>
      <c r="AC4" s="756"/>
      <c r="AD4" s="756">
        <f>AD2*AD3</f>
        <v>-340185418.51737428</v>
      </c>
    </row>
    <row r="5" spans="1:30" ht="15.75">
      <c r="A5" s="753"/>
      <c r="B5" s="755"/>
      <c r="C5" s="755"/>
      <c r="D5" s="755"/>
      <c r="E5" s="755"/>
      <c r="F5" s="755"/>
      <c r="G5" s="755"/>
      <c r="H5" s="756"/>
      <c r="I5" s="756"/>
      <c r="J5" s="756"/>
      <c r="K5" s="756"/>
      <c r="L5" s="756"/>
      <c r="M5" s="756"/>
      <c r="N5" s="756"/>
      <c r="O5" s="756"/>
      <c r="P5" s="756"/>
      <c r="Q5" s="756"/>
      <c r="R5" s="756"/>
      <c r="S5" s="756"/>
      <c r="T5" s="756"/>
      <c r="U5" s="756"/>
      <c r="V5" s="756"/>
      <c r="W5" s="756"/>
      <c r="X5" s="756"/>
      <c r="Y5" s="756"/>
      <c r="Z5" s="756"/>
      <c r="AA5" s="756"/>
      <c r="AB5" s="756"/>
      <c r="AC5" s="756"/>
      <c r="AD5" s="756"/>
    </row>
    <row r="6" spans="1:30" ht="15.75">
      <c r="A6" s="753"/>
      <c r="B6" s="755"/>
      <c r="C6" s="755"/>
      <c r="D6" s="755"/>
      <c r="E6" s="755"/>
      <c r="F6" s="755"/>
      <c r="G6" s="755"/>
      <c r="H6" s="756"/>
      <c r="I6" s="756"/>
      <c r="J6" s="756"/>
      <c r="K6" s="756"/>
      <c r="L6" s="756"/>
      <c r="M6" s="756"/>
      <c r="N6" s="756"/>
      <c r="O6" s="756"/>
      <c r="P6" s="756"/>
      <c r="Q6" s="756"/>
      <c r="R6" s="756"/>
      <c r="S6" s="756"/>
      <c r="T6" s="756"/>
      <c r="U6" s="756"/>
      <c r="V6" s="756"/>
      <c r="W6" s="756"/>
      <c r="X6" s="756"/>
      <c r="Y6" s="756"/>
      <c r="Z6" s="756"/>
      <c r="AA6" s="756"/>
      <c r="AB6" s="756"/>
      <c r="AC6" s="756"/>
      <c r="AD6" s="756"/>
    </row>
    <row r="7" spans="1:30" ht="15.75">
      <c r="A7" s="753"/>
      <c r="B7" s="755"/>
      <c r="C7" s="755"/>
      <c r="D7" s="755"/>
      <c r="E7" s="755"/>
      <c r="F7" s="755"/>
      <c r="G7" s="755"/>
      <c r="H7" s="756"/>
      <c r="I7" s="756"/>
      <c r="J7" s="756"/>
      <c r="K7" s="756"/>
      <c r="L7" s="756"/>
      <c r="M7" s="756"/>
      <c r="N7" s="756"/>
      <c r="O7" s="756"/>
      <c r="P7" s="756"/>
      <c r="Q7" s="756"/>
      <c r="R7" s="756"/>
      <c r="S7" s="756"/>
      <c r="T7" s="756"/>
      <c r="U7" s="756"/>
      <c r="V7" s="756"/>
      <c r="W7" s="756"/>
      <c r="X7" s="756"/>
      <c r="Y7" s="756"/>
      <c r="Z7" s="756"/>
      <c r="AA7" s="756"/>
      <c r="AB7" s="756"/>
      <c r="AC7" s="756"/>
      <c r="AD7" s="756"/>
    </row>
    <row r="8" spans="1:30">
      <c r="A8" s="758" t="s">
        <v>2012</v>
      </c>
      <c r="B8" s="754">
        <v>-254703.95669982961</v>
      </c>
      <c r="C8" s="754">
        <v>-255461.43653841241</v>
      </c>
      <c r="D8" s="754">
        <v>-256870.927084725</v>
      </c>
      <c r="E8" s="754">
        <v>-258103.44392876831</v>
      </c>
      <c r="F8" s="754">
        <v>-259244.28845238889</v>
      </c>
      <c r="G8" s="754">
        <v>-260465.7683444361</v>
      </c>
      <c r="H8" s="754">
        <v>-261819.11509919641</v>
      </c>
      <c r="I8" s="754">
        <v>-264024.68864487385</v>
      </c>
      <c r="J8" s="754">
        <v>-267131.63205297029</v>
      </c>
      <c r="K8" s="754">
        <v>-270307.56834170857</v>
      </c>
      <c r="L8" s="754">
        <v>-273225.26214260986</v>
      </c>
      <c r="M8" s="754">
        <f>-278650.776617759</f>
        <v>-278650.77661775902</v>
      </c>
      <c r="N8" s="754">
        <v>-281168.31340300478</v>
      </c>
      <c r="O8" s="754">
        <v>-283726.47485351644</v>
      </c>
      <c r="P8" s="754">
        <v>-286355.50966260239</v>
      </c>
      <c r="Q8" s="754">
        <v>-289553.79481828783</v>
      </c>
      <c r="R8" s="754">
        <v>-292507.45087738684</v>
      </c>
      <c r="S8" s="754">
        <v>-294938.36603416892</v>
      </c>
      <c r="T8" s="754">
        <v>-297631.01709695224</v>
      </c>
      <c r="U8" s="754">
        <v>-300649.0994425735</v>
      </c>
      <c r="V8" s="754">
        <v>-303614.67268363526</v>
      </c>
      <c r="W8" s="754">
        <v>-306432.38851188467</v>
      </c>
      <c r="X8" s="754">
        <v>-310165.84574728436</v>
      </c>
      <c r="Y8" s="754">
        <v>-317694.23916654685</v>
      </c>
      <c r="Z8" s="754">
        <v>-318230.95850966481</v>
      </c>
      <c r="AA8" s="754">
        <v>-318766.34109350678</v>
      </c>
      <c r="AB8" s="754">
        <v>-319350.06707537523</v>
      </c>
      <c r="AC8" s="754">
        <v>-320075.57533751143</v>
      </c>
      <c r="AD8" s="754">
        <f>SUM(Q8:W8,X8:AC8)/13*1000</f>
        <v>-306893062.7995984</v>
      </c>
    </row>
  </sheetData>
  <pageMargins left="0.7" right="0.7" top="0.75" bottom="0.75" header="0.3" footer="0.3"/>
  <pageSetup scale="39"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Q11"/>
  <sheetViews>
    <sheetView zoomScale="85" zoomScaleNormal="85" workbookViewId="0">
      <pane xSplit="1" ySplit="1" topLeftCell="L2" activePane="bottomRight" state="frozen"/>
      <selection activeCell="AF2" sqref="AF2"/>
      <selection pane="topRight" activeCell="AF2" sqref="AF2"/>
      <selection pane="bottomLeft" activeCell="AF2" sqref="AF2"/>
      <selection pane="bottomRight" activeCell="AD18" sqref="AD18"/>
    </sheetView>
  </sheetViews>
  <sheetFormatPr defaultColWidth="9" defaultRowHeight="15"/>
  <cols>
    <col min="1" max="1" width="28.88671875" style="417" bestFit="1" customWidth="1"/>
    <col min="2" max="7" width="12.88671875" style="417" bestFit="1" customWidth="1"/>
    <col min="8" max="8" width="11.77734375" style="417" bestFit="1" customWidth="1"/>
    <col min="9" max="12" width="8.44140625" style="417" bestFit="1" customWidth="1"/>
    <col min="13" max="13" width="13.44140625" style="417" customWidth="1"/>
    <col min="14" max="29" width="8.44140625" style="417" bestFit="1" customWidth="1"/>
    <col min="30" max="30" width="14" style="417" customWidth="1"/>
    <col min="31" max="16384" width="9" style="417"/>
  </cols>
  <sheetData>
    <row r="1" spans="1:43">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c r="AE1" s="418"/>
      <c r="AF1" s="418"/>
      <c r="AG1" s="418"/>
      <c r="AH1" s="418"/>
      <c r="AI1" s="418"/>
      <c r="AJ1" s="418"/>
      <c r="AK1" s="418"/>
      <c r="AL1" s="418"/>
      <c r="AM1" s="418"/>
      <c r="AN1" s="418"/>
      <c r="AO1" s="418"/>
      <c r="AP1" s="418"/>
      <c r="AQ1" s="418"/>
    </row>
    <row r="2" spans="1:43">
      <c r="A2" s="417" t="s">
        <v>2017</v>
      </c>
      <c r="B2" s="759">
        <v>-1907.4482977470934</v>
      </c>
      <c r="C2" s="759">
        <v>-1894.9961763438632</v>
      </c>
      <c r="D2" s="759">
        <v>-1883.8899007456862</v>
      </c>
      <c r="E2" s="759">
        <v>-1871.5941277921002</v>
      </c>
      <c r="F2" s="759">
        <v>-1859.3804758813578</v>
      </c>
      <c r="G2" s="759">
        <v>-1847.2414821632908</v>
      </c>
      <c r="H2" s="759">
        <v>-1836.1785436249208</v>
      </c>
      <c r="I2" s="759">
        <v>-1825.1019848141859</v>
      </c>
      <c r="J2" s="759">
        <v>-1813.8590117763961</v>
      </c>
      <c r="K2" s="759">
        <v>-1802.448973381421</v>
      </c>
      <c r="L2" s="759">
        <v>-1791.025029520611</v>
      </c>
      <c r="M2" s="759">
        <f>-1782.74930126464*1000</f>
        <v>-1782749.3012646399</v>
      </c>
      <c r="N2" s="759">
        <v>-1768.0010676831989</v>
      </c>
      <c r="O2" s="759">
        <v>-1753.1918452214622</v>
      </c>
      <c r="P2" s="759">
        <v>-1738.3216338819254</v>
      </c>
      <c r="Q2" s="759">
        <v>-1723.3904336620938</v>
      </c>
      <c r="R2" s="759">
        <v>-1708.3982445644619</v>
      </c>
      <c r="S2" s="759">
        <v>-1693.3450665865353</v>
      </c>
      <c r="T2" s="759">
        <v>-1678.2308997283135</v>
      </c>
      <c r="U2" s="759">
        <v>-1663.0557439922916</v>
      </c>
      <c r="V2" s="759">
        <v>-1647.8195993759748</v>
      </c>
      <c r="W2" s="759">
        <v>-1632.5224658818579</v>
      </c>
      <c r="X2" s="759">
        <v>-1617.1643435074461</v>
      </c>
      <c r="Y2" s="759">
        <v>-1601.7452322552342</v>
      </c>
      <c r="Z2" s="759">
        <v>-1582.8789959982435</v>
      </c>
      <c r="AA2" s="759">
        <v>-1564.0053191023528</v>
      </c>
      <c r="AB2" s="759">
        <v>-1545.1242015525922</v>
      </c>
      <c r="AC2" s="759">
        <v>-1526.2356433489617</v>
      </c>
      <c r="AD2" s="759">
        <f>SUM(Q2:AC2)/13*1000</f>
        <v>-1629532.0145812586</v>
      </c>
    </row>
    <row r="3" spans="1:43" ht="15.75">
      <c r="A3" s="417" t="s">
        <v>2020</v>
      </c>
      <c r="B3" s="292"/>
      <c r="C3" s="292"/>
      <c r="D3" s="292"/>
      <c r="E3" s="292"/>
      <c r="F3" s="292"/>
      <c r="G3" s="292"/>
      <c r="H3" s="759"/>
      <c r="I3" s="759"/>
      <c r="J3" s="759"/>
      <c r="K3" s="759"/>
      <c r="L3" s="759"/>
      <c r="M3" s="759"/>
      <c r="N3" s="759"/>
      <c r="O3" s="759"/>
      <c r="P3" s="759"/>
      <c r="Q3" s="759"/>
      <c r="R3" s="759"/>
      <c r="S3" s="759"/>
      <c r="T3" s="759"/>
      <c r="U3" s="759"/>
      <c r="V3" s="759"/>
      <c r="W3" s="759"/>
      <c r="X3" s="759"/>
      <c r="Y3" s="759"/>
      <c r="Z3" s="759"/>
      <c r="AA3" s="759"/>
      <c r="AB3" s="759"/>
      <c r="AC3" s="759"/>
      <c r="AD3" s="759"/>
    </row>
    <row r="4" spans="1:43" ht="15.75">
      <c r="B4" s="292"/>
      <c r="C4" s="292"/>
      <c r="D4" s="292"/>
      <c r="E4" s="292"/>
      <c r="F4" s="292"/>
      <c r="G4" s="292"/>
      <c r="H4" s="759"/>
      <c r="I4" s="759"/>
      <c r="J4" s="759"/>
      <c r="K4" s="759"/>
      <c r="L4" s="759"/>
      <c r="M4" s="759"/>
      <c r="N4" s="759"/>
      <c r="O4" s="759"/>
      <c r="P4" s="759"/>
      <c r="Q4" s="759"/>
      <c r="R4" s="759"/>
      <c r="S4" s="759"/>
      <c r="T4" s="759"/>
      <c r="U4" s="759"/>
      <c r="V4" s="759"/>
      <c r="W4" s="759"/>
      <c r="X4" s="759"/>
      <c r="Y4" s="759"/>
      <c r="Z4" s="759"/>
      <c r="AA4" s="759"/>
      <c r="AB4" s="759"/>
      <c r="AC4" s="759"/>
      <c r="AD4" s="759"/>
    </row>
    <row r="5" spans="1:43" ht="15.75">
      <c r="B5" s="292"/>
      <c r="C5" s="292"/>
      <c r="D5" s="292"/>
      <c r="E5" s="292"/>
      <c r="F5" s="292"/>
      <c r="G5" s="292"/>
      <c r="H5" s="759"/>
      <c r="I5" s="759"/>
      <c r="J5" s="759"/>
      <c r="K5" s="759"/>
      <c r="L5" s="759"/>
      <c r="M5" s="759"/>
      <c r="N5" s="759"/>
      <c r="O5" s="759"/>
      <c r="P5" s="759"/>
      <c r="Q5" s="759"/>
      <c r="R5" s="759"/>
      <c r="S5" s="759"/>
      <c r="T5" s="759"/>
      <c r="U5" s="759"/>
      <c r="V5" s="759"/>
      <c r="W5" s="759"/>
      <c r="X5" s="759"/>
      <c r="Y5" s="759"/>
      <c r="Z5" s="759"/>
      <c r="AA5" s="759"/>
      <c r="AB5" s="759"/>
      <c r="AC5" s="759"/>
      <c r="AD5" s="759"/>
    </row>
    <row r="6" spans="1:43" ht="15.75">
      <c r="B6" s="292"/>
      <c r="C6" s="292"/>
      <c r="D6" s="292"/>
      <c r="E6" s="292"/>
      <c r="F6" s="292"/>
      <c r="G6" s="292"/>
      <c r="H6" s="759"/>
      <c r="I6" s="759"/>
      <c r="J6" s="759"/>
      <c r="K6" s="759"/>
      <c r="L6" s="759"/>
      <c r="M6" s="759"/>
      <c r="N6" s="759"/>
      <c r="O6" s="759"/>
      <c r="P6" s="759"/>
      <c r="Q6" s="759"/>
      <c r="R6" s="759"/>
      <c r="S6" s="759"/>
      <c r="T6" s="759"/>
      <c r="U6" s="759"/>
      <c r="V6" s="759"/>
      <c r="W6" s="759"/>
      <c r="X6" s="759"/>
      <c r="Y6" s="759"/>
      <c r="Z6" s="759"/>
      <c r="AA6" s="759"/>
      <c r="AB6" s="759"/>
      <c r="AC6" s="759"/>
      <c r="AD6" s="759"/>
    </row>
    <row r="7" spans="1:43" ht="15.75">
      <c r="B7" s="292"/>
      <c r="C7" s="292"/>
      <c r="D7" s="292"/>
      <c r="E7" s="292"/>
      <c r="F7" s="292"/>
      <c r="G7" s="292"/>
      <c r="H7" s="759"/>
      <c r="I7" s="759"/>
      <c r="J7" s="759"/>
      <c r="K7" s="759"/>
      <c r="L7" s="759"/>
      <c r="M7" s="759"/>
      <c r="N7" s="759"/>
      <c r="O7" s="759"/>
      <c r="P7" s="759"/>
      <c r="Q7" s="759"/>
      <c r="R7" s="759"/>
      <c r="S7" s="759"/>
      <c r="T7" s="759"/>
      <c r="U7" s="759"/>
      <c r="V7" s="759"/>
      <c r="W7" s="759"/>
      <c r="X7" s="759"/>
      <c r="Y7" s="759"/>
      <c r="Z7" s="759"/>
      <c r="AA7" s="759"/>
      <c r="AB7" s="759"/>
      <c r="AC7" s="759"/>
      <c r="AD7" s="759"/>
    </row>
    <row r="8" spans="1:43" ht="15.75">
      <c r="B8" s="292"/>
      <c r="C8" s="292"/>
      <c r="D8" s="292"/>
      <c r="E8" s="292"/>
      <c r="F8" s="292"/>
      <c r="G8" s="292"/>
      <c r="H8" s="759"/>
      <c r="I8" s="759"/>
      <c r="J8" s="759"/>
      <c r="K8" s="759"/>
      <c r="L8" s="759"/>
      <c r="M8" s="759"/>
      <c r="N8" s="759"/>
      <c r="O8" s="759"/>
      <c r="P8" s="759"/>
      <c r="Q8" s="759"/>
      <c r="R8" s="759"/>
      <c r="S8" s="759"/>
      <c r="T8" s="759"/>
      <c r="U8" s="759"/>
      <c r="V8" s="759"/>
      <c r="W8" s="759"/>
      <c r="X8" s="759"/>
      <c r="Y8" s="759"/>
      <c r="Z8" s="759"/>
      <c r="AA8" s="759"/>
      <c r="AB8" s="759"/>
      <c r="AC8" s="759"/>
      <c r="AD8" s="759"/>
    </row>
    <row r="9" spans="1:43" ht="15.75">
      <c r="B9" s="292"/>
      <c r="C9" s="292"/>
      <c r="D9" s="292"/>
      <c r="E9" s="292"/>
      <c r="F9" s="292"/>
      <c r="G9" s="292"/>
      <c r="H9" s="759"/>
      <c r="I9" s="759"/>
      <c r="J9" s="759"/>
      <c r="K9" s="759"/>
      <c r="L9" s="759"/>
      <c r="M9" s="759"/>
      <c r="N9" s="759"/>
      <c r="O9" s="759"/>
      <c r="P9" s="759"/>
      <c r="Q9" s="759"/>
      <c r="R9" s="759"/>
      <c r="S9" s="759"/>
      <c r="T9" s="759"/>
      <c r="U9" s="759"/>
      <c r="V9" s="759"/>
      <c r="W9" s="759"/>
      <c r="X9" s="759"/>
      <c r="Y9" s="759"/>
      <c r="Z9" s="759"/>
      <c r="AA9" s="759"/>
      <c r="AB9" s="759"/>
      <c r="AC9" s="759"/>
      <c r="AD9" s="759"/>
    </row>
    <row r="10" spans="1:43">
      <c r="A10" s="417" t="s">
        <v>2018</v>
      </c>
      <c r="B10" s="759">
        <v>-1463.583751096786</v>
      </c>
      <c r="C10" s="759">
        <v>-1453.5470501114096</v>
      </c>
      <c r="D10" s="759">
        <v>-1426.6919449397615</v>
      </c>
      <c r="E10" s="759">
        <v>-1416.4026638825651</v>
      </c>
      <c r="F10" s="759">
        <v>-1406.565394374398</v>
      </c>
      <c r="G10" s="759">
        <v>-1396.5879887188091</v>
      </c>
      <c r="H10" s="759">
        <v>-1387.7274336402691</v>
      </c>
      <c r="I10" s="759">
        <v>-1378.8544361364491</v>
      </c>
      <c r="J10" s="759">
        <v>-1369.838470511889</v>
      </c>
      <c r="K10" s="759">
        <v>-1360.6795322606188</v>
      </c>
      <c r="L10" s="759">
        <v>-1351.5084662310137</v>
      </c>
      <c r="M10" s="759">
        <f>-1345.01040723335*1000</f>
        <v>-1345010.40723335</v>
      </c>
      <c r="N10" s="759">
        <v>-1332.1703042076342</v>
      </c>
      <c r="O10" s="759">
        <v>-1319.2770092015758</v>
      </c>
      <c r="P10" s="759">
        <v>-1306.3305221652724</v>
      </c>
      <c r="Q10" s="759">
        <v>-1293.330843098724</v>
      </c>
      <c r="R10" s="759">
        <v>-1280.2779719994355</v>
      </c>
      <c r="S10" s="759">
        <v>-1267.1719088699022</v>
      </c>
      <c r="T10" s="759">
        <v>-1254.0126537101237</v>
      </c>
      <c r="U10" s="759">
        <v>-1240.8002065176054</v>
      </c>
      <c r="V10" s="759">
        <v>-1227.534567294842</v>
      </c>
      <c r="W10" s="759">
        <v>-1214.2157360418335</v>
      </c>
      <c r="X10" s="759">
        <v>-1200.8437127585801</v>
      </c>
      <c r="Y10" s="759">
        <v>-1187.4184974425866</v>
      </c>
      <c r="Z10" s="759">
        <v>-1170.9544960909661</v>
      </c>
      <c r="AA10" s="759">
        <v>-1154.4840053815708</v>
      </c>
      <c r="AB10" s="759">
        <v>-1138.0070252370556</v>
      </c>
      <c r="AC10" s="759">
        <v>-1121.5235556574203</v>
      </c>
      <c r="AD10" s="759">
        <f t="shared" ref="AD10:AD11" si="0">SUM(Q10:AC10)/13*1000</f>
        <v>-1211582.706161588</v>
      </c>
    </row>
    <row r="11" spans="1:43">
      <c r="A11" s="417" t="s">
        <v>2019</v>
      </c>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f t="shared" si="0"/>
        <v>0</v>
      </c>
    </row>
  </sheetData>
  <pageMargins left="0.7" right="0.7" top="0.75" bottom="0.75" header="0.3" footer="0.3"/>
  <pageSetup scale="3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
  <sheetViews>
    <sheetView workbookViewId="0">
      <pane xSplit="1" topLeftCell="B1" activePane="topRight" state="frozen"/>
      <selection pane="topRight" activeCell="L10" sqref="L10"/>
    </sheetView>
  </sheetViews>
  <sheetFormatPr defaultColWidth="9" defaultRowHeight="15"/>
  <cols>
    <col min="1" max="1" width="44.109375" style="414" bestFit="1" customWidth="1"/>
    <col min="2" max="4" width="9" style="414"/>
    <col min="5" max="5" width="9.88671875" style="414" customWidth="1"/>
    <col min="6" max="16384" width="9" style="414"/>
  </cols>
  <sheetData>
    <row r="1" spans="1:78" ht="30">
      <c r="A1" s="724" t="s">
        <v>1842</v>
      </c>
      <c r="B1" s="709" t="s">
        <v>2504</v>
      </c>
      <c r="C1" s="709" t="s">
        <v>2473</v>
      </c>
      <c r="D1" s="709" t="s">
        <v>2474</v>
      </c>
      <c r="E1" s="709" t="s">
        <v>2475</v>
      </c>
      <c r="F1" s="709" t="s">
        <v>2476</v>
      </c>
      <c r="G1" s="709" t="s">
        <v>2477</v>
      </c>
      <c r="H1" s="709" t="s">
        <v>2478</v>
      </c>
      <c r="I1" s="709" t="s">
        <v>2400</v>
      </c>
      <c r="J1" s="709" t="s">
        <v>2401</v>
      </c>
      <c r="K1" s="709" t="s">
        <v>2402</v>
      </c>
      <c r="L1" s="709" t="s">
        <v>2403</v>
      </c>
      <c r="M1" s="709" t="s">
        <v>2404</v>
      </c>
      <c r="N1" s="709" t="s">
        <v>2405</v>
      </c>
      <c r="O1" s="401" t="s">
        <v>2519</v>
      </c>
      <c r="P1" s="709" t="s">
        <v>2558</v>
      </c>
      <c r="Q1" s="709" t="s">
        <v>2559</v>
      </c>
      <c r="R1" s="709" t="s">
        <v>2560</v>
      </c>
      <c r="S1" s="709" t="s">
        <v>2532</v>
      </c>
      <c r="T1" s="709" t="s">
        <v>2533</v>
      </c>
      <c r="U1" s="709" t="s">
        <v>2534</v>
      </c>
      <c r="V1" s="709" t="s">
        <v>2535</v>
      </c>
      <c r="W1" s="709" t="s">
        <v>2536</v>
      </c>
      <c r="X1" s="709" t="s">
        <v>2537</v>
      </c>
      <c r="Y1" s="709" t="s">
        <v>2538</v>
      </c>
      <c r="Z1" s="709" t="s">
        <v>2539</v>
      </c>
      <c r="AA1" s="709" t="s">
        <v>2540</v>
      </c>
      <c r="AB1" s="709" t="s">
        <v>2541</v>
      </c>
      <c r="AC1" s="709" t="s">
        <v>2542</v>
      </c>
      <c r="AD1" s="709" t="s">
        <v>2543</v>
      </c>
      <c r="AE1" s="709" t="s">
        <v>2544</v>
      </c>
      <c r="AF1" s="401" t="s">
        <v>2569</v>
      </c>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row>
    <row r="2" spans="1:78">
      <c r="A2" s="415" t="s">
        <v>1841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row>
    <row r="3" spans="1:78">
      <c r="A3" s="416"/>
    </row>
    <row r="5" spans="1:78">
      <c r="A5" s="414" t="s">
        <v>2271</v>
      </c>
      <c r="B5" s="235">
        <v>131.23773</v>
      </c>
      <c r="C5" s="235">
        <v>130.94333</v>
      </c>
      <c r="D5" s="235">
        <v>130.77305999999999</v>
      </c>
      <c r="E5" s="235">
        <v>130.48747</v>
      </c>
      <c r="F5" s="235">
        <v>130.16242</v>
      </c>
      <c r="G5" s="235">
        <v>129.82372000000001</v>
      </c>
      <c r="H5" s="235">
        <v>129.52207999999999</v>
      </c>
      <c r="I5" s="235">
        <v>129.52207999999999</v>
      </c>
      <c r="J5" s="235">
        <v>129.52207999999999</v>
      </c>
      <c r="K5" s="235">
        <v>129.52207999999999</v>
      </c>
      <c r="L5" s="235">
        <v>129.52207999999999</v>
      </c>
      <c r="M5" s="235">
        <v>129.52207999999999</v>
      </c>
      <c r="N5" s="235">
        <v>129.52207999999999</v>
      </c>
      <c r="O5" s="404">
        <f>SUM(B5:L5,M5:N5)/13</f>
        <v>130.00632999999999</v>
      </c>
      <c r="P5" s="235">
        <v>129.52207999999999</v>
      </c>
      <c r="Q5" s="235">
        <v>129.52207999999999</v>
      </c>
      <c r="R5" s="235">
        <v>129.52207999999999</v>
      </c>
      <c r="S5" s="235">
        <v>129.52207999999999</v>
      </c>
      <c r="T5" s="235">
        <v>129.52207999999999</v>
      </c>
      <c r="U5" s="235">
        <v>129.52207999999999</v>
      </c>
      <c r="V5" s="235">
        <v>129.52207999999999</v>
      </c>
      <c r="W5" s="235">
        <v>129.52207999999999</v>
      </c>
      <c r="X5" s="235">
        <v>129.52207999999999</v>
      </c>
      <c r="Y5" s="235">
        <v>129.52207999999999</v>
      </c>
      <c r="Z5" s="235">
        <v>129.52207999999999</v>
      </c>
      <c r="AA5" s="235">
        <v>129.52207999999999</v>
      </c>
      <c r="AB5" s="235">
        <v>129.52207999999999</v>
      </c>
      <c r="AC5" s="235">
        <v>129.52207999999999</v>
      </c>
      <c r="AD5" s="235">
        <v>129.52207999999999</v>
      </c>
      <c r="AE5" s="235">
        <v>129.52207999999999</v>
      </c>
      <c r="AF5" s="404">
        <f>SUM(S5:Y5,Z5:AE5)/13</f>
        <v>129.52207999999999</v>
      </c>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78">
      <c r="A6" s="414" t="s">
        <v>2095</v>
      </c>
      <c r="O6" s="491">
        <f>'JURISSEP B'!$G$1153</f>
        <v>0.87673530496058716</v>
      </c>
      <c r="AF6" s="491">
        <f>'JURISSEP F'!$G$1153</f>
        <v>0.93741603079505242</v>
      </c>
    </row>
    <row r="7" spans="1:78">
      <c r="O7" s="560">
        <f>O5*O6</f>
        <v>113.98113937935672</v>
      </c>
      <c r="AF7" s="560">
        <f>AF5*AF6</f>
        <v>121.41607413391924</v>
      </c>
    </row>
  </sheetData>
  <pageMargins left="0.7" right="0.7" top="0.75" bottom="0.75" header="0.3" footer="0.3"/>
  <pageSetup scale="3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S467"/>
  <sheetViews>
    <sheetView zoomScale="70" zoomScaleNormal="70" workbookViewId="0">
      <selection activeCell="B2" sqref="B2"/>
    </sheetView>
  </sheetViews>
  <sheetFormatPr defaultColWidth="9" defaultRowHeight="15.75"/>
  <cols>
    <col min="1" max="1" width="9" style="652"/>
    <col min="2" max="2" width="9" style="474"/>
    <col min="3" max="3" width="1.6640625" style="474" customWidth="1"/>
    <col min="4" max="4" width="68.6640625" style="474" bestFit="1" customWidth="1"/>
    <col min="5" max="5" width="1.6640625" style="474" customWidth="1"/>
    <col min="6" max="6" width="25.33203125" style="473" customWidth="1"/>
    <col min="7" max="7" width="1.6640625" style="474" customWidth="1"/>
    <col min="8" max="8" width="10.4414062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7.33203125" style="661" customWidth="1"/>
    <col min="17" max="17" width="1.6640625" style="661" customWidth="1"/>
    <col min="18" max="18" width="13.109375" style="661" bestFit="1" customWidth="1"/>
    <col min="19" max="16384" width="9" style="237"/>
  </cols>
  <sheetData>
    <row r="1" spans="1:19">
      <c r="B1" s="781" t="s">
        <v>0</v>
      </c>
      <c r="C1" s="781"/>
      <c r="D1" s="781"/>
      <c r="E1" s="781"/>
      <c r="F1" s="781"/>
      <c r="G1" s="781"/>
      <c r="H1" s="781"/>
      <c r="I1" s="781"/>
      <c r="J1" s="781"/>
      <c r="K1" s="781"/>
      <c r="L1" s="781"/>
      <c r="M1" s="781"/>
      <c r="N1" s="781"/>
      <c r="O1" s="781"/>
      <c r="P1" s="781"/>
      <c r="Q1" s="781"/>
      <c r="R1" s="781"/>
    </row>
    <row r="2" spans="1:19">
      <c r="A2" s="273"/>
      <c r="B2" s="238"/>
      <c r="C2" s="238"/>
      <c r="D2" s="238"/>
      <c r="E2" s="238"/>
      <c r="F2" s="244"/>
      <c r="G2" s="238"/>
      <c r="H2" s="653"/>
      <c r="I2" s="653"/>
      <c r="J2" s="653"/>
      <c r="K2" s="653"/>
      <c r="L2" s="653"/>
      <c r="M2" s="653"/>
      <c r="N2" s="653"/>
      <c r="O2" s="653"/>
      <c r="P2" s="251"/>
      <c r="Q2" s="251"/>
      <c r="R2" s="251"/>
    </row>
    <row r="3" spans="1:19">
      <c r="A3" s="273"/>
      <c r="B3" s="238"/>
      <c r="C3" s="238"/>
      <c r="D3" s="238"/>
      <c r="E3" s="238"/>
      <c r="F3" s="244"/>
      <c r="G3" s="238"/>
      <c r="H3" s="653"/>
      <c r="I3" s="653"/>
      <c r="J3" s="653"/>
      <c r="K3" s="653"/>
      <c r="L3" s="653"/>
      <c r="M3" s="653"/>
      <c r="N3" s="653"/>
      <c r="O3" s="653"/>
      <c r="P3" s="251"/>
      <c r="Q3" s="251"/>
      <c r="R3" s="251"/>
    </row>
    <row r="4" spans="1:19" s="692" customFormat="1">
      <c r="A4" s="783" t="s">
        <v>2272</v>
      </c>
      <c r="B4" s="783"/>
      <c r="C4" s="783"/>
      <c r="D4" s="783"/>
      <c r="E4" s="783"/>
      <c r="F4" s="783"/>
      <c r="G4" s="783"/>
      <c r="H4" s="783"/>
      <c r="I4" s="783"/>
      <c r="J4" s="783"/>
      <c r="K4" s="783"/>
      <c r="L4" s="783"/>
      <c r="M4" s="783"/>
      <c r="N4" s="783"/>
      <c r="O4" s="783"/>
      <c r="P4" s="783"/>
      <c r="Q4" s="783"/>
      <c r="R4" s="783"/>
      <c r="S4" s="783"/>
    </row>
    <row r="5" spans="1:19" s="692" customFormat="1">
      <c r="A5" s="784" t="s">
        <v>2708</v>
      </c>
      <c r="B5" s="783"/>
      <c r="C5" s="783"/>
      <c r="D5" s="783"/>
      <c r="E5" s="783"/>
      <c r="F5" s="783"/>
      <c r="G5" s="783"/>
      <c r="H5" s="783"/>
      <c r="I5" s="783"/>
      <c r="J5" s="783"/>
      <c r="K5" s="783"/>
      <c r="L5" s="783"/>
      <c r="M5" s="783"/>
      <c r="N5" s="783"/>
      <c r="O5" s="783"/>
      <c r="P5" s="783"/>
      <c r="Q5" s="783"/>
      <c r="R5" s="783"/>
      <c r="S5" s="783"/>
    </row>
    <row r="6" spans="1:19">
      <c r="A6" s="273"/>
      <c r="B6" s="241"/>
      <c r="C6" s="242"/>
      <c r="D6" s="242"/>
      <c r="E6" s="242"/>
      <c r="F6" s="250"/>
      <c r="G6" s="242"/>
      <c r="H6" s="251"/>
      <c r="I6" s="251"/>
      <c r="J6" s="251"/>
      <c r="K6" s="251"/>
      <c r="L6" s="251"/>
      <c r="M6" s="251"/>
      <c r="N6" s="251"/>
      <c r="O6" s="251"/>
      <c r="P6" s="251"/>
      <c r="Q6" s="251"/>
      <c r="R6" s="251"/>
    </row>
    <row r="7" spans="1:19">
      <c r="A7" s="273"/>
      <c r="B7" s="241"/>
      <c r="C7" s="242"/>
      <c r="D7" s="242"/>
      <c r="E7" s="242"/>
      <c r="F7" s="250"/>
      <c r="G7" s="242"/>
      <c r="H7" s="251"/>
      <c r="I7" s="251"/>
      <c r="J7" s="251"/>
      <c r="K7" s="251"/>
      <c r="L7" s="251"/>
      <c r="M7" s="251"/>
      <c r="N7" s="251"/>
      <c r="O7" s="251"/>
      <c r="P7" s="251"/>
      <c r="Q7" s="251"/>
      <c r="R7" s="251"/>
    </row>
    <row r="8" spans="1:19">
      <c r="A8" s="273"/>
      <c r="B8" s="241"/>
      <c r="C8" s="242"/>
      <c r="D8" s="242"/>
      <c r="E8" s="242"/>
      <c r="F8" s="250"/>
      <c r="G8" s="242"/>
      <c r="H8" s="653" t="s">
        <v>1252</v>
      </c>
      <c r="I8" s="251"/>
      <c r="J8" s="653" t="s">
        <v>1253</v>
      </c>
      <c r="K8" s="653"/>
      <c r="L8" s="653" t="s">
        <v>1254</v>
      </c>
      <c r="M8" s="653"/>
      <c r="N8" s="653" t="s">
        <v>1255</v>
      </c>
      <c r="O8" s="653"/>
      <c r="P8" s="251"/>
      <c r="Q8" s="251"/>
      <c r="R8" s="251"/>
    </row>
    <row r="9" spans="1:19">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9">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9">
      <c r="A11" s="782" t="s">
        <v>1265</v>
      </c>
      <c r="B11" s="782"/>
      <c r="C11" s="782"/>
      <c r="D11" s="782"/>
      <c r="E11" s="648"/>
      <c r="F11" s="245" t="s">
        <v>1266</v>
      </c>
      <c r="G11" s="648"/>
      <c r="H11" s="655" t="s">
        <v>1267</v>
      </c>
      <c r="I11" s="251"/>
      <c r="J11" s="655" t="s">
        <v>1268</v>
      </c>
      <c r="K11" s="653"/>
      <c r="L11" s="655" t="s">
        <v>1268</v>
      </c>
      <c r="M11" s="653"/>
      <c r="N11" s="655" t="s">
        <v>1268</v>
      </c>
      <c r="O11" s="655"/>
      <c r="P11" s="655" t="s">
        <v>1269</v>
      </c>
      <c r="Q11" s="655"/>
      <c r="R11" s="655" t="s">
        <v>1270</v>
      </c>
    </row>
    <row r="12" spans="1:19">
      <c r="A12" s="272"/>
      <c r="B12" s="239"/>
      <c r="C12" s="243"/>
      <c r="D12" s="246"/>
      <c r="E12" s="246"/>
      <c r="F12" s="244"/>
      <c r="G12" s="246"/>
      <c r="H12" s="653"/>
      <c r="I12" s="251"/>
      <c r="J12" s="653"/>
      <c r="K12" s="251"/>
      <c r="L12" s="653"/>
      <c r="M12" s="251"/>
      <c r="N12" s="653"/>
      <c r="O12" s="653"/>
      <c r="P12" s="251"/>
      <c r="Q12" s="251"/>
      <c r="R12" s="251"/>
    </row>
    <row r="13" spans="1:19">
      <c r="A13" s="272"/>
      <c r="B13" s="239"/>
      <c r="C13" s="249"/>
      <c r="D13" s="247" t="s">
        <v>1271</v>
      </c>
      <c r="E13" s="249"/>
      <c r="F13" s="250"/>
      <c r="G13" s="249"/>
      <c r="H13" s="251"/>
      <c r="I13" s="251"/>
      <c r="J13" s="251"/>
      <c r="K13" s="251"/>
      <c r="L13" s="251"/>
      <c r="M13" s="251"/>
      <c r="N13" s="251"/>
      <c r="O13" s="251"/>
      <c r="P13" s="251"/>
      <c r="Q13" s="251"/>
      <c r="R13" s="251"/>
    </row>
    <row r="14" spans="1:19">
      <c r="A14" s="272"/>
      <c r="B14" s="239"/>
      <c r="C14" s="249"/>
      <c r="D14" s="249"/>
      <c r="E14" s="249"/>
      <c r="F14" s="250"/>
      <c r="G14" s="249"/>
      <c r="H14" s="251"/>
      <c r="I14" s="251"/>
      <c r="J14" s="251"/>
      <c r="K14" s="251"/>
      <c r="L14" s="251"/>
      <c r="M14" s="251"/>
      <c r="N14" s="251"/>
      <c r="O14" s="251"/>
      <c r="P14" s="251"/>
      <c r="Q14" s="251"/>
      <c r="R14" s="251"/>
    </row>
    <row r="15" spans="1:19">
      <c r="A15" s="272"/>
      <c r="B15" s="239"/>
      <c r="C15" s="249"/>
      <c r="D15" s="245" t="s">
        <v>294</v>
      </c>
      <c r="E15" s="249"/>
      <c r="F15" s="250"/>
      <c r="G15" s="249"/>
      <c r="H15" s="251"/>
      <c r="I15" s="251"/>
      <c r="J15" s="251"/>
      <c r="K15" s="251"/>
      <c r="L15" s="251"/>
      <c r="M15" s="251"/>
      <c r="N15" s="251"/>
      <c r="O15" s="251"/>
      <c r="P15" s="251"/>
      <c r="Q15" s="251"/>
      <c r="R15" s="251"/>
    </row>
    <row r="16" spans="1:19">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v>0</v>
      </c>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v>0</v>
      </c>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1289</v>
      </c>
      <c r="E28" s="249"/>
      <c r="F28" s="659">
        <v>-6</v>
      </c>
      <c r="G28" s="249"/>
      <c r="H28" s="251">
        <v>0.05</v>
      </c>
      <c r="I28" s="251"/>
      <c r="J28" s="251">
        <v>0.05</v>
      </c>
      <c r="K28" s="251"/>
      <c r="L28" s="251">
        <v>0</v>
      </c>
      <c r="M28" s="251"/>
      <c r="N28" s="251">
        <v>0</v>
      </c>
      <c r="O28" s="251"/>
      <c r="P28" s="660" t="s">
        <v>2273</v>
      </c>
      <c r="Q28" s="251"/>
      <c r="R28" s="251">
        <v>7.5</v>
      </c>
    </row>
    <row r="29" spans="1:18">
      <c r="A29" s="272"/>
      <c r="B29" s="248"/>
      <c r="C29" s="249"/>
      <c r="D29" s="253" t="s">
        <v>1292</v>
      </c>
      <c r="E29" s="249"/>
      <c r="F29" s="659">
        <v>-6</v>
      </c>
      <c r="G29" s="249"/>
      <c r="H29" s="251">
        <v>4.8299999999999992</v>
      </c>
      <c r="I29" s="251"/>
      <c r="J29" s="251">
        <v>4.6899999999999995</v>
      </c>
      <c r="K29" s="251"/>
      <c r="L29" s="251">
        <v>0.13999999999999999</v>
      </c>
      <c r="M29" s="251"/>
      <c r="N29" s="251">
        <v>0</v>
      </c>
      <c r="O29" s="251"/>
      <c r="P29" s="660" t="s">
        <v>2273</v>
      </c>
      <c r="Q29" s="251"/>
      <c r="R29" s="251">
        <v>19.399999999999999</v>
      </c>
    </row>
    <row r="30" spans="1:18">
      <c r="A30" s="272"/>
      <c r="B30" s="248"/>
      <c r="C30" s="249"/>
      <c r="D30" s="253" t="s">
        <v>1290</v>
      </c>
      <c r="E30" s="249"/>
      <c r="F30" s="659">
        <v>-6</v>
      </c>
      <c r="G30" s="249"/>
      <c r="H30" s="251">
        <v>0.66999999999999993</v>
      </c>
      <c r="I30" s="251"/>
      <c r="J30" s="251">
        <v>0.65</v>
      </c>
      <c r="K30" s="251"/>
      <c r="L30" s="251">
        <v>0.02</v>
      </c>
      <c r="M30" s="251"/>
      <c r="N30" s="251">
        <v>0</v>
      </c>
      <c r="O30" s="251"/>
      <c r="P30" s="660" t="s">
        <v>2273</v>
      </c>
      <c r="Q30" s="251"/>
      <c r="R30" s="251">
        <v>13.4</v>
      </c>
    </row>
    <row r="31" spans="1:18">
      <c r="A31" s="272"/>
      <c r="B31" s="248"/>
      <c r="C31" s="249"/>
      <c r="D31" s="253" t="s">
        <v>1291</v>
      </c>
      <c r="E31" s="249"/>
      <c r="F31" s="659">
        <v>-6</v>
      </c>
      <c r="G31" s="249"/>
      <c r="H31" s="251">
        <v>1.8000000000000003</v>
      </c>
      <c r="I31" s="251"/>
      <c r="J31" s="251">
        <v>1.7500000000000002</v>
      </c>
      <c r="K31" s="251"/>
      <c r="L31" s="251">
        <v>0.05</v>
      </c>
      <c r="M31" s="251"/>
      <c r="N31" s="251">
        <v>0</v>
      </c>
      <c r="O31" s="251"/>
      <c r="P31" s="660" t="s">
        <v>2273</v>
      </c>
      <c r="Q31" s="251"/>
      <c r="R31" s="251">
        <v>19.2</v>
      </c>
    </row>
    <row r="32" spans="1:18">
      <c r="A32" s="272"/>
      <c r="B32" s="248"/>
      <c r="C32" s="249"/>
      <c r="D32" s="253" t="s">
        <v>1295</v>
      </c>
      <c r="E32" s="249"/>
      <c r="F32" s="659">
        <v>-7</v>
      </c>
      <c r="G32" s="249"/>
      <c r="H32" s="251">
        <v>0.31999999999999995</v>
      </c>
      <c r="I32" s="251"/>
      <c r="J32" s="251">
        <v>0.31</v>
      </c>
      <c r="K32" s="251"/>
      <c r="L32" s="251">
        <v>0.01</v>
      </c>
      <c r="M32" s="251"/>
      <c r="N32" s="251">
        <v>0</v>
      </c>
      <c r="O32" s="251"/>
      <c r="P32" s="660" t="s">
        <v>2273</v>
      </c>
      <c r="Q32" s="251"/>
      <c r="R32" s="251">
        <v>18.3</v>
      </c>
    </row>
    <row r="33" spans="1:18">
      <c r="A33" s="272"/>
      <c r="B33" s="248"/>
      <c r="C33" s="249"/>
      <c r="D33" s="253" t="s">
        <v>1294</v>
      </c>
      <c r="E33" s="249"/>
      <c r="F33" s="659">
        <v>-7</v>
      </c>
      <c r="G33" s="249"/>
      <c r="H33" s="251">
        <v>1.1599999999999999</v>
      </c>
      <c r="I33" s="251"/>
      <c r="J33" s="251">
        <v>1.1199999999999999</v>
      </c>
      <c r="K33" s="251"/>
      <c r="L33" s="251">
        <v>0.04</v>
      </c>
      <c r="M33" s="251"/>
      <c r="N33" s="251">
        <v>0</v>
      </c>
      <c r="O33" s="251"/>
      <c r="P33" s="660" t="s">
        <v>2273</v>
      </c>
      <c r="Q33" s="251"/>
      <c r="R33" s="251">
        <v>18.3</v>
      </c>
    </row>
    <row r="34" spans="1:18">
      <c r="A34" s="272"/>
      <c r="B34" s="248"/>
      <c r="C34" s="249"/>
      <c r="D34" s="253" t="s">
        <v>1296</v>
      </c>
      <c r="E34" s="249"/>
      <c r="F34" s="659">
        <v>-7</v>
      </c>
      <c r="G34" s="249"/>
      <c r="H34" s="251">
        <v>0.88</v>
      </c>
      <c r="I34" s="251"/>
      <c r="J34" s="251">
        <v>0.85000000000000009</v>
      </c>
      <c r="K34" s="251"/>
      <c r="L34" s="251">
        <v>0.03</v>
      </c>
      <c r="M34" s="251"/>
      <c r="N34" s="251">
        <v>0</v>
      </c>
      <c r="O34" s="251"/>
      <c r="P34" s="660" t="s">
        <v>2273</v>
      </c>
      <c r="Q34" s="251"/>
      <c r="R34" s="251">
        <v>18</v>
      </c>
    </row>
    <row r="35" spans="1:18">
      <c r="A35" s="272"/>
      <c r="B35" s="248"/>
      <c r="C35" s="249"/>
      <c r="D35" s="253" t="s">
        <v>1299</v>
      </c>
      <c r="E35" s="249"/>
      <c r="F35" s="659">
        <v>-7</v>
      </c>
      <c r="G35" s="249"/>
      <c r="H35" s="251">
        <v>1.2</v>
      </c>
      <c r="I35" s="251"/>
      <c r="J35" s="251">
        <v>1.1499999999999999</v>
      </c>
      <c r="K35" s="251"/>
      <c r="L35" s="251">
        <v>0.05</v>
      </c>
      <c r="M35" s="251"/>
      <c r="N35" s="251">
        <v>0</v>
      </c>
      <c r="O35" s="251"/>
      <c r="P35" s="660" t="s">
        <v>2273</v>
      </c>
      <c r="Q35" s="251"/>
      <c r="R35" s="251">
        <v>18.2</v>
      </c>
    </row>
    <row r="36" spans="1:18">
      <c r="A36" s="272"/>
      <c r="B36" s="248"/>
      <c r="C36" s="249"/>
      <c r="D36" s="253" t="s">
        <v>1297</v>
      </c>
      <c r="E36" s="249"/>
      <c r="F36" s="659">
        <v>-7</v>
      </c>
      <c r="G36" s="249"/>
      <c r="H36" s="251">
        <v>1.47</v>
      </c>
      <c r="I36" s="251"/>
      <c r="J36" s="251">
        <v>1.41</v>
      </c>
      <c r="K36" s="251"/>
      <c r="L36" s="251">
        <v>0.06</v>
      </c>
      <c r="M36" s="251"/>
      <c r="N36" s="251">
        <v>0</v>
      </c>
      <c r="O36" s="251"/>
      <c r="P36" s="660" t="s">
        <v>2273</v>
      </c>
      <c r="Q36" s="251"/>
      <c r="R36" s="251">
        <v>21.1</v>
      </c>
    </row>
    <row r="37" spans="1:18">
      <c r="A37" s="272"/>
      <c r="B37" s="248"/>
      <c r="C37" s="249"/>
      <c r="D37" s="253" t="s">
        <v>1298</v>
      </c>
      <c r="E37" s="249"/>
      <c r="F37" s="659">
        <v>-7</v>
      </c>
      <c r="G37" s="249"/>
      <c r="H37" s="251">
        <v>2.4900000000000002</v>
      </c>
      <c r="I37" s="251"/>
      <c r="J37" s="251">
        <v>2.39</v>
      </c>
      <c r="K37" s="251"/>
      <c r="L37" s="251">
        <v>0.1</v>
      </c>
      <c r="M37" s="251"/>
      <c r="N37" s="251">
        <v>0</v>
      </c>
      <c r="O37" s="251"/>
      <c r="P37" s="660" t="s">
        <v>2273</v>
      </c>
      <c r="Q37" s="251"/>
      <c r="R37" s="251">
        <v>22.1</v>
      </c>
    </row>
    <row r="38" spans="1:18">
      <c r="A38" s="272"/>
      <c r="B38" s="248"/>
      <c r="C38" s="249"/>
      <c r="D38" s="253" t="s">
        <v>1283</v>
      </c>
      <c r="E38" s="249"/>
      <c r="F38" s="659">
        <v>-1</v>
      </c>
      <c r="G38" s="249"/>
      <c r="H38" s="251">
        <v>1.1199999999999999</v>
      </c>
      <c r="I38" s="251"/>
      <c r="J38" s="251">
        <v>1.1100000000000001</v>
      </c>
      <c r="K38" s="251"/>
      <c r="L38" s="251">
        <v>0.01</v>
      </c>
      <c r="M38" s="251"/>
      <c r="N38" s="251">
        <v>0</v>
      </c>
      <c r="O38" s="251"/>
      <c r="P38" s="660" t="s">
        <v>2273</v>
      </c>
      <c r="Q38" s="251"/>
      <c r="R38" s="251">
        <v>24.1</v>
      </c>
    </row>
    <row r="39" spans="1:18">
      <c r="A39" s="272"/>
      <c r="B39" s="248"/>
      <c r="C39" s="249"/>
      <c r="D39" s="253" t="s">
        <v>1281</v>
      </c>
      <c r="E39" s="249"/>
      <c r="F39" s="659">
        <v>-13</v>
      </c>
      <c r="G39" s="249"/>
      <c r="H39" s="251">
        <v>2.0499999999999998</v>
      </c>
      <c r="I39" s="251"/>
      <c r="J39" s="251">
        <v>1.92</v>
      </c>
      <c r="K39" s="251"/>
      <c r="L39" s="251">
        <v>0.13</v>
      </c>
      <c r="M39" s="251"/>
      <c r="N39" s="251">
        <v>0</v>
      </c>
      <c r="O39" s="251"/>
      <c r="P39" s="660" t="s">
        <v>2273</v>
      </c>
      <c r="Q39" s="251"/>
      <c r="R39" s="251">
        <v>48.2</v>
      </c>
    </row>
    <row r="40" spans="1:18">
      <c r="A40" s="272"/>
      <c r="B40" s="248"/>
      <c r="C40" s="249"/>
      <c r="D40" s="253" t="s">
        <v>1282</v>
      </c>
      <c r="E40" s="249"/>
      <c r="F40" s="659">
        <v>-13</v>
      </c>
      <c r="G40" s="249"/>
      <c r="H40" s="251">
        <v>1.44</v>
      </c>
      <c r="I40" s="251"/>
      <c r="J40" s="251">
        <v>1.35</v>
      </c>
      <c r="K40" s="251"/>
      <c r="L40" s="251">
        <v>0.09</v>
      </c>
      <c r="M40" s="251"/>
      <c r="N40" s="251">
        <v>0</v>
      </c>
      <c r="O40" s="251"/>
      <c r="P40" s="660" t="s">
        <v>2273</v>
      </c>
      <c r="Q40" s="251"/>
      <c r="R40" s="251">
        <v>46.8</v>
      </c>
    </row>
    <row r="41" spans="1:18">
      <c r="A41" s="272"/>
      <c r="B41" s="248"/>
      <c r="C41" s="249"/>
      <c r="D41" s="249"/>
      <c r="E41" s="249"/>
      <c r="F41" s="250"/>
      <c r="G41" s="249"/>
      <c r="H41" s="251"/>
      <c r="I41" s="251"/>
      <c r="J41" s="251"/>
      <c r="K41" s="251"/>
      <c r="L41" s="251"/>
      <c r="M41" s="251"/>
      <c r="N41" s="251"/>
      <c r="O41" s="251"/>
      <c r="P41" s="251"/>
      <c r="Q41" s="251"/>
      <c r="R41" s="251"/>
    </row>
    <row r="42" spans="1:18">
      <c r="A42" s="272"/>
      <c r="B42" s="248"/>
      <c r="C42" s="249"/>
      <c r="D42" s="254" t="s">
        <v>2680</v>
      </c>
      <c r="E42" s="249"/>
      <c r="F42" s="278" t="s">
        <v>2681</v>
      </c>
      <c r="G42" s="249"/>
      <c r="H42" s="251">
        <v>2.1</v>
      </c>
      <c r="I42" s="251"/>
      <c r="J42" s="251"/>
      <c r="K42" s="251"/>
      <c r="L42" s="251"/>
      <c r="M42" s="251"/>
      <c r="N42" s="251"/>
      <c r="O42" s="251"/>
      <c r="P42" s="251" t="s">
        <v>2273</v>
      </c>
      <c r="Q42" s="251"/>
      <c r="R42" s="251">
        <v>27.4</v>
      </c>
    </row>
    <row r="43" spans="1:18">
      <c r="A43" s="272"/>
      <c r="B43" s="248"/>
      <c r="C43" s="249"/>
      <c r="D43" s="249"/>
      <c r="E43" s="249"/>
      <c r="F43" s="250"/>
      <c r="G43" s="249"/>
      <c r="H43" s="251"/>
      <c r="I43" s="251"/>
      <c r="J43" s="251"/>
      <c r="K43" s="251"/>
      <c r="L43" s="251"/>
      <c r="M43" s="251"/>
      <c r="N43" s="251"/>
      <c r="O43" s="251"/>
      <c r="P43" s="251"/>
      <c r="Q43" s="251"/>
      <c r="R43" s="251"/>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80"/>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c r="B60" s="478"/>
      <c r="C60" s="476"/>
      <c r="D60" s="482" t="s">
        <v>2685</v>
      </c>
      <c r="E60" s="480"/>
      <c r="F60" s="480"/>
      <c r="G60" s="472"/>
      <c r="H60" s="251">
        <v>0</v>
      </c>
      <c r="I60" s="251"/>
      <c r="J60" s="251"/>
      <c r="K60" s="251"/>
      <c r="L60" s="251"/>
      <c r="M60" s="251"/>
      <c r="N60" s="251"/>
      <c r="P60" s="662" t="str">
        <f>P58</f>
        <v>100-R2.5</v>
      </c>
      <c r="R60" s="663">
        <v>0</v>
      </c>
    </row>
    <row r="61" spans="1:18">
      <c r="A61" s="472"/>
      <c r="B61" s="478"/>
      <c r="C61" s="476"/>
      <c r="D61" s="482"/>
      <c r="E61" s="480"/>
      <c r="F61" s="480"/>
      <c r="G61" s="472"/>
      <c r="H61" s="251"/>
      <c r="I61" s="251"/>
      <c r="J61" s="251"/>
      <c r="K61" s="251"/>
      <c r="L61" s="251"/>
      <c r="M61" s="251"/>
      <c r="N61" s="251"/>
      <c r="P61" s="662"/>
      <c r="R61" s="663"/>
    </row>
    <row r="62" spans="1:18">
      <c r="A62" s="472">
        <v>311</v>
      </c>
      <c r="B62" s="478"/>
      <c r="C62" s="476"/>
      <c r="D62" s="482" t="s">
        <v>1300</v>
      </c>
      <c r="E62" s="480"/>
      <c r="F62" s="278" t="str">
        <f>F42</f>
        <v>-1%,-6%,-7%,-10%,-13%</v>
      </c>
      <c r="G62" s="472"/>
      <c r="H62" s="251">
        <v>2</v>
      </c>
      <c r="I62" s="251"/>
      <c r="J62" s="251"/>
      <c r="K62" s="251"/>
      <c r="L62" s="251"/>
      <c r="M62" s="251"/>
      <c r="N62" s="251"/>
      <c r="P62" s="664" t="s">
        <v>2273</v>
      </c>
      <c r="R62" s="665">
        <v>27.5</v>
      </c>
    </row>
    <row r="63" spans="1:18">
      <c r="A63" s="272"/>
      <c r="B63" s="248"/>
      <c r="C63" s="249"/>
      <c r="D63" s="249"/>
      <c r="E63" s="249"/>
      <c r="F63" s="250"/>
      <c r="G63" s="249"/>
      <c r="H63" s="251"/>
      <c r="I63" s="251"/>
      <c r="J63" s="251"/>
      <c r="K63" s="251"/>
      <c r="L63" s="251"/>
      <c r="M63" s="251"/>
      <c r="N63" s="251"/>
      <c r="O63" s="251"/>
      <c r="P63" s="251"/>
      <c r="Q63" s="251"/>
      <c r="R63" s="251"/>
    </row>
    <row r="64" spans="1:18">
      <c r="A64" s="272"/>
      <c r="B64" s="248">
        <v>312</v>
      </c>
      <c r="C64" s="249"/>
      <c r="D64" s="249" t="s">
        <v>1301</v>
      </c>
      <c r="E64" s="249"/>
      <c r="F64" s="250"/>
      <c r="G64" s="249"/>
      <c r="H64" s="251"/>
      <c r="I64" s="251"/>
      <c r="J64" s="251"/>
      <c r="K64" s="251"/>
      <c r="L64" s="251"/>
      <c r="M64" s="251"/>
      <c r="N64" s="251"/>
      <c r="O64" s="251"/>
      <c r="P64" s="251"/>
      <c r="Q64" s="251"/>
      <c r="R64" s="251"/>
    </row>
    <row r="65" spans="1:18">
      <c r="A65" s="272"/>
      <c r="B65" s="248"/>
      <c r="C65" s="249"/>
      <c r="D65" s="666" t="s">
        <v>1289</v>
      </c>
      <c r="E65" s="249"/>
      <c r="F65" s="659">
        <v>-6</v>
      </c>
      <c r="G65" s="249"/>
      <c r="H65" s="251">
        <v>3.16</v>
      </c>
      <c r="I65" s="251"/>
      <c r="J65" s="251">
        <v>3.09</v>
      </c>
      <c r="K65" s="251"/>
      <c r="L65" s="251">
        <v>0.13999999999999999</v>
      </c>
      <c r="M65" s="251"/>
      <c r="N65" s="251">
        <v>-6.9999999999999993E-2</v>
      </c>
      <c r="O65" s="251"/>
      <c r="P65" s="660" t="s">
        <v>2281</v>
      </c>
      <c r="Q65" s="251"/>
      <c r="R65" s="667">
        <v>7.4</v>
      </c>
    </row>
    <row r="66" spans="1:18">
      <c r="A66" s="272"/>
      <c r="B66" s="248"/>
      <c r="C66" s="249"/>
      <c r="D66" s="666" t="s">
        <v>1292</v>
      </c>
      <c r="E66" s="249"/>
      <c r="F66" s="659">
        <v>-6</v>
      </c>
      <c r="G66" s="249"/>
      <c r="H66" s="251">
        <v>4.8100000000000005</v>
      </c>
      <c r="I66" s="251"/>
      <c r="J66" s="251">
        <v>4.7600000000000007</v>
      </c>
      <c r="K66" s="251"/>
      <c r="L66" s="251">
        <v>0.1</v>
      </c>
      <c r="M66" s="251"/>
      <c r="N66" s="251">
        <v>-0.05</v>
      </c>
      <c r="O66" s="251"/>
      <c r="P66" s="667" t="s">
        <v>2281</v>
      </c>
      <c r="Q66" s="251"/>
      <c r="R66" s="667">
        <v>19.100000000000001</v>
      </c>
    </row>
    <row r="67" spans="1:18">
      <c r="A67" s="272"/>
      <c r="B67" s="248"/>
      <c r="C67" s="249"/>
      <c r="D67" s="666" t="s">
        <v>1290</v>
      </c>
      <c r="E67" s="249"/>
      <c r="F67" s="659">
        <v>-6</v>
      </c>
      <c r="G67" s="249"/>
      <c r="H67" s="251">
        <v>2.98</v>
      </c>
      <c r="I67" s="251"/>
      <c r="J67" s="251">
        <v>2.93</v>
      </c>
      <c r="K67" s="251"/>
      <c r="L67" s="251">
        <v>0.11</v>
      </c>
      <c r="M67" s="251"/>
      <c r="N67" s="251">
        <v>-0.06</v>
      </c>
      <c r="O67" s="251"/>
      <c r="P67" s="667" t="s">
        <v>2281</v>
      </c>
      <c r="Q67" s="251"/>
      <c r="R67" s="667">
        <v>13.1</v>
      </c>
    </row>
    <row r="68" spans="1:18">
      <c r="A68" s="668"/>
      <c r="B68" s="249"/>
      <c r="C68" s="249"/>
      <c r="D68" s="666" t="s">
        <v>1291</v>
      </c>
      <c r="E68" s="249"/>
      <c r="F68" s="659">
        <v>-6</v>
      </c>
      <c r="G68" s="249"/>
      <c r="H68" s="251">
        <v>2.65</v>
      </c>
      <c r="I68" s="251"/>
      <c r="J68" s="251">
        <v>2.6</v>
      </c>
      <c r="K68" s="251"/>
      <c r="L68" s="251">
        <v>0.1</v>
      </c>
      <c r="M68" s="251"/>
      <c r="N68" s="251">
        <v>-0.05</v>
      </c>
      <c r="O68" s="251"/>
      <c r="P68" s="667" t="s">
        <v>2281</v>
      </c>
      <c r="Q68" s="251"/>
      <c r="R68" s="667">
        <v>18.899999999999999</v>
      </c>
    </row>
    <row r="69" spans="1:18">
      <c r="A69" s="668"/>
      <c r="B69" s="249"/>
      <c r="C69" s="249"/>
      <c r="D69" s="666" t="s">
        <v>1295</v>
      </c>
      <c r="E69" s="249"/>
      <c r="F69" s="659">
        <v>-7</v>
      </c>
      <c r="G69" s="249"/>
      <c r="H69" s="251">
        <v>2.93</v>
      </c>
      <c r="I69" s="251"/>
      <c r="J69" s="251">
        <v>2.87</v>
      </c>
      <c r="K69" s="251"/>
      <c r="L69" s="251">
        <v>0.11</v>
      </c>
      <c r="M69" s="251"/>
      <c r="N69" s="251">
        <v>-0.05</v>
      </c>
      <c r="O69" s="251"/>
      <c r="P69" s="667" t="s">
        <v>2281</v>
      </c>
      <c r="Q69" s="251"/>
      <c r="R69" s="667">
        <v>18</v>
      </c>
    </row>
    <row r="70" spans="1:18">
      <c r="A70" s="668"/>
      <c r="B70" s="249"/>
      <c r="C70" s="249"/>
      <c r="D70" s="666" t="s">
        <v>1294</v>
      </c>
      <c r="E70" s="249"/>
      <c r="F70" s="659">
        <v>-7</v>
      </c>
      <c r="G70" s="249"/>
      <c r="H70" s="251">
        <v>4.17</v>
      </c>
      <c r="I70" s="251"/>
      <c r="J70" s="251">
        <v>4.1099999999999994</v>
      </c>
      <c r="K70" s="251"/>
      <c r="L70" s="251">
        <v>0.1</v>
      </c>
      <c r="M70" s="251"/>
      <c r="N70" s="251">
        <v>-0.04</v>
      </c>
      <c r="O70" s="251"/>
      <c r="P70" s="667" t="s">
        <v>2281</v>
      </c>
      <c r="Q70" s="251"/>
      <c r="R70" s="667">
        <v>18.100000000000001</v>
      </c>
    </row>
    <row r="71" spans="1:18">
      <c r="A71" s="668"/>
      <c r="B71" s="249"/>
      <c r="C71" s="249"/>
      <c r="D71" s="666" t="s">
        <v>1296</v>
      </c>
      <c r="E71" s="249"/>
      <c r="F71" s="659">
        <v>-7</v>
      </c>
      <c r="G71" s="249"/>
      <c r="H71" s="251">
        <v>1.6500000000000001</v>
      </c>
      <c r="I71" s="251"/>
      <c r="J71" s="251">
        <v>1.58</v>
      </c>
      <c r="K71" s="251"/>
      <c r="L71" s="251">
        <v>0.12</v>
      </c>
      <c r="M71" s="251"/>
      <c r="N71" s="251">
        <v>-0.05</v>
      </c>
      <c r="O71" s="251"/>
      <c r="P71" s="667" t="s">
        <v>2281</v>
      </c>
      <c r="Q71" s="251"/>
      <c r="R71" s="667">
        <v>18</v>
      </c>
    </row>
    <row r="72" spans="1:18">
      <c r="A72" s="668"/>
      <c r="B72" s="249"/>
      <c r="C72" s="249"/>
      <c r="D72" s="666" t="s">
        <v>1299</v>
      </c>
      <c r="E72" s="249"/>
      <c r="F72" s="659">
        <v>-7</v>
      </c>
      <c r="G72" s="249"/>
      <c r="H72" s="251">
        <v>2.38</v>
      </c>
      <c r="I72" s="251"/>
      <c r="J72" s="251">
        <v>2.37</v>
      </c>
      <c r="K72" s="251"/>
      <c r="L72" s="251">
        <v>0.02</v>
      </c>
      <c r="M72" s="251"/>
      <c r="N72" s="251">
        <v>-0.01</v>
      </c>
      <c r="O72" s="251"/>
      <c r="P72" s="667" t="s">
        <v>2281</v>
      </c>
      <c r="Q72" s="251"/>
      <c r="R72" s="667">
        <v>17.899999999999999</v>
      </c>
    </row>
    <row r="73" spans="1:18">
      <c r="A73" s="668"/>
      <c r="B73" s="249"/>
      <c r="C73" s="249"/>
      <c r="D73" s="666" t="s">
        <v>1297</v>
      </c>
      <c r="E73" s="249"/>
      <c r="F73" s="659">
        <v>-7</v>
      </c>
      <c r="G73" s="249"/>
      <c r="H73" s="251">
        <v>2.2599999999999998</v>
      </c>
      <c r="I73" s="251"/>
      <c r="J73" s="251">
        <v>2.2200000000000002</v>
      </c>
      <c r="K73" s="251"/>
      <c r="L73" s="251">
        <v>0.08</v>
      </c>
      <c r="M73" s="251"/>
      <c r="N73" s="251">
        <v>-0.04</v>
      </c>
      <c r="O73" s="251"/>
      <c r="P73" s="667" t="s">
        <v>2281</v>
      </c>
      <c r="Q73" s="251"/>
      <c r="R73" s="667">
        <v>20.6</v>
      </c>
    </row>
    <row r="74" spans="1:18">
      <c r="A74" s="668"/>
      <c r="B74" s="249"/>
      <c r="C74" s="249"/>
      <c r="D74" s="666" t="s">
        <v>1303</v>
      </c>
      <c r="E74" s="249"/>
      <c r="F74" s="659">
        <v>-7</v>
      </c>
      <c r="G74" s="249"/>
      <c r="H74" s="251">
        <v>3.8900000000000006</v>
      </c>
      <c r="I74" s="251"/>
      <c r="J74" s="251">
        <v>3.83</v>
      </c>
      <c r="K74" s="251"/>
      <c r="L74" s="251">
        <v>0.1</v>
      </c>
      <c r="M74" s="251"/>
      <c r="N74" s="251">
        <v>-0.04</v>
      </c>
      <c r="O74" s="251"/>
      <c r="P74" s="660" t="s">
        <v>2281</v>
      </c>
      <c r="Q74" s="251"/>
      <c r="R74" s="667">
        <v>20.8</v>
      </c>
    </row>
    <row r="75" spans="1:18">
      <c r="A75" s="668"/>
      <c r="B75" s="249"/>
      <c r="C75" s="249"/>
      <c r="D75" s="666" t="s">
        <v>1298</v>
      </c>
      <c r="E75" s="249"/>
      <c r="F75" s="659">
        <v>-7</v>
      </c>
      <c r="G75" s="249"/>
      <c r="H75" s="251">
        <v>2.6</v>
      </c>
      <c r="I75" s="251"/>
      <c r="J75" s="251">
        <v>2.54</v>
      </c>
      <c r="K75" s="251"/>
      <c r="L75" s="251">
        <v>0.11</v>
      </c>
      <c r="M75" s="251"/>
      <c r="N75" s="251">
        <v>-0.05</v>
      </c>
      <c r="O75" s="251"/>
      <c r="P75" s="660" t="s">
        <v>2281</v>
      </c>
      <c r="Q75" s="251"/>
      <c r="R75" s="667">
        <v>21.7</v>
      </c>
    </row>
    <row r="76" spans="1:18">
      <c r="A76" s="668"/>
      <c r="B76" s="249"/>
      <c r="C76" s="249"/>
      <c r="D76" s="666" t="s">
        <v>1304</v>
      </c>
      <c r="E76" s="249"/>
      <c r="F76" s="659">
        <v>-7</v>
      </c>
      <c r="G76" s="249"/>
      <c r="H76" s="251">
        <v>4.0100000000000007</v>
      </c>
      <c r="I76" s="251"/>
      <c r="J76" s="251">
        <v>3.9600000000000004</v>
      </c>
      <c r="K76" s="251"/>
      <c r="L76" s="251">
        <v>0.09</v>
      </c>
      <c r="M76" s="251"/>
      <c r="N76" s="251">
        <v>-0.04</v>
      </c>
      <c r="O76" s="251"/>
      <c r="P76" s="660" t="s">
        <v>2281</v>
      </c>
      <c r="Q76" s="251"/>
      <c r="R76" s="667">
        <v>21.9</v>
      </c>
    </row>
    <row r="77" spans="1:18">
      <c r="A77" s="272"/>
      <c r="B77" s="248"/>
      <c r="C77" s="249"/>
      <c r="D77" s="669" t="s">
        <v>1281</v>
      </c>
      <c r="E77" s="249"/>
      <c r="F77" s="659">
        <v>-13</v>
      </c>
      <c r="G77" s="249"/>
      <c r="H77" s="251">
        <v>2.37</v>
      </c>
      <c r="I77" s="251"/>
      <c r="J77" s="251">
        <v>2.3199999999999998</v>
      </c>
      <c r="K77" s="251"/>
      <c r="L77" s="251">
        <v>6.9999999999999993E-2</v>
      </c>
      <c r="M77" s="251"/>
      <c r="N77" s="251">
        <v>-0.02</v>
      </c>
      <c r="O77" s="251"/>
      <c r="P77" s="660" t="s">
        <v>2281</v>
      </c>
      <c r="Q77" s="251"/>
      <c r="R77" s="667">
        <v>44.8</v>
      </c>
    </row>
    <row r="78" spans="1:18">
      <c r="A78" s="272"/>
      <c r="B78" s="248"/>
      <c r="C78" s="249"/>
      <c r="D78" s="669" t="s">
        <v>1282</v>
      </c>
      <c r="E78" s="249"/>
      <c r="F78" s="659">
        <v>-13</v>
      </c>
      <c r="G78" s="249"/>
      <c r="H78" s="251">
        <v>2.2200000000000002</v>
      </c>
      <c r="I78" s="251"/>
      <c r="J78" s="251">
        <v>2.17</v>
      </c>
      <c r="K78" s="251"/>
      <c r="L78" s="251">
        <v>6.9999999999999993E-2</v>
      </c>
      <c r="M78" s="251"/>
      <c r="N78" s="251">
        <v>-0.02</v>
      </c>
      <c r="O78" s="251"/>
      <c r="P78" s="660" t="s">
        <v>2281</v>
      </c>
      <c r="Q78" s="251"/>
      <c r="R78" s="667">
        <v>44.4</v>
      </c>
    </row>
    <row r="79" spans="1:18">
      <c r="A79" s="272"/>
      <c r="B79" s="248"/>
      <c r="C79" s="249"/>
      <c r="D79" s="249"/>
      <c r="E79" s="249"/>
      <c r="F79" s="250"/>
      <c r="G79" s="249"/>
      <c r="H79" s="251"/>
      <c r="I79" s="251"/>
      <c r="J79" s="251"/>
      <c r="K79" s="251"/>
      <c r="L79" s="251"/>
      <c r="M79" s="251"/>
      <c r="N79" s="251"/>
      <c r="O79" s="251"/>
      <c r="P79" s="251"/>
      <c r="Q79" s="251"/>
      <c r="R79" s="251"/>
    </row>
    <row r="80" spans="1:18">
      <c r="A80" s="272"/>
      <c r="B80" s="248"/>
      <c r="C80" s="249"/>
      <c r="D80" s="254" t="s">
        <v>2686</v>
      </c>
      <c r="E80" s="249"/>
      <c r="F80" s="278" t="s">
        <v>2687</v>
      </c>
      <c r="G80" s="249"/>
      <c r="H80" s="251">
        <v>2.89</v>
      </c>
      <c r="I80" s="251"/>
      <c r="J80" s="251"/>
      <c r="K80" s="251"/>
      <c r="L80" s="251"/>
      <c r="M80" s="251"/>
      <c r="N80" s="251"/>
      <c r="O80" s="251"/>
      <c r="P80" s="667" t="s">
        <v>2281</v>
      </c>
      <c r="Q80" s="251"/>
      <c r="R80" s="251">
        <v>21.8</v>
      </c>
    </row>
    <row r="81" spans="1:18">
      <c r="A81" s="272"/>
      <c r="B81" s="248"/>
      <c r="C81" s="249"/>
      <c r="D81" s="254"/>
      <c r="E81" s="249"/>
      <c r="F81" s="250"/>
      <c r="G81" s="249"/>
      <c r="H81" s="251"/>
      <c r="I81" s="251"/>
      <c r="J81" s="251"/>
      <c r="K81" s="251"/>
      <c r="L81" s="251"/>
      <c r="M81" s="251"/>
      <c r="N81" s="251"/>
      <c r="O81" s="251"/>
      <c r="P81" s="251"/>
      <c r="Q81" s="251"/>
      <c r="R81" s="251"/>
    </row>
    <row r="82" spans="1:18">
      <c r="A82" s="472"/>
      <c r="B82" s="478">
        <v>312.10000000000002</v>
      </c>
      <c r="C82" s="476"/>
      <c r="D82" s="479" t="s">
        <v>2282</v>
      </c>
      <c r="E82" s="480"/>
      <c r="F82" s="480"/>
      <c r="G82" s="472"/>
      <c r="H82" s="251"/>
      <c r="I82" s="251"/>
      <c r="J82" s="251"/>
      <c r="K82" s="251"/>
      <c r="L82" s="251"/>
      <c r="M82" s="251"/>
      <c r="N82" s="251"/>
      <c r="P82" s="662"/>
      <c r="R82" s="663"/>
    </row>
    <row r="83" spans="1:18">
      <c r="A83" s="472"/>
      <c r="B83" s="478"/>
      <c r="C83" s="476"/>
      <c r="D83" s="479" t="s">
        <v>2275</v>
      </c>
      <c r="E83" s="480"/>
      <c r="F83" s="480">
        <v>0</v>
      </c>
      <c r="G83" s="472"/>
      <c r="H83" s="251">
        <v>0</v>
      </c>
      <c r="I83" s="251"/>
      <c r="J83" s="251">
        <v>0</v>
      </c>
      <c r="K83" s="251"/>
      <c r="L83" s="251">
        <v>0</v>
      </c>
      <c r="M83" s="251"/>
      <c r="N83" s="251">
        <v>0</v>
      </c>
      <c r="P83" s="662" t="s">
        <v>2276</v>
      </c>
      <c r="R83" s="667">
        <v>43.3</v>
      </c>
    </row>
    <row r="84" spans="1:18">
      <c r="A84" s="472"/>
      <c r="B84" s="478"/>
      <c r="C84" s="476"/>
      <c r="D84" s="481" t="s">
        <v>2283</v>
      </c>
      <c r="E84" s="480"/>
      <c r="F84" s="480">
        <v>0</v>
      </c>
      <c r="G84" s="472"/>
      <c r="H84" s="251">
        <v>0</v>
      </c>
      <c r="I84" s="251"/>
      <c r="J84" s="251">
        <v>0</v>
      </c>
      <c r="K84" s="251"/>
      <c r="L84" s="251">
        <v>0</v>
      </c>
      <c r="M84" s="251"/>
      <c r="N84" s="251">
        <v>0</v>
      </c>
      <c r="P84" s="662" t="s">
        <v>2276</v>
      </c>
      <c r="R84" s="667">
        <v>7.4</v>
      </c>
    </row>
    <row r="85" spans="1:18">
      <c r="A85" s="472"/>
      <c r="B85" s="478"/>
      <c r="C85" s="476"/>
      <c r="D85" s="481" t="s">
        <v>2284</v>
      </c>
      <c r="E85" s="480"/>
      <c r="F85" s="480">
        <v>0</v>
      </c>
      <c r="G85" s="472"/>
      <c r="H85" s="251">
        <v>0</v>
      </c>
      <c r="I85" s="251"/>
      <c r="J85" s="251">
        <v>0</v>
      </c>
      <c r="K85" s="251"/>
      <c r="L85" s="251">
        <v>0</v>
      </c>
      <c r="M85" s="251"/>
      <c r="N85" s="251">
        <v>0</v>
      </c>
      <c r="P85" s="662" t="s">
        <v>2276</v>
      </c>
      <c r="R85" s="667">
        <v>13.1</v>
      </c>
    </row>
    <row r="86" spans="1:18">
      <c r="A86" s="472"/>
      <c r="B86" s="478"/>
      <c r="C86" s="476"/>
      <c r="D86" s="481" t="s">
        <v>2285</v>
      </c>
      <c r="E86" s="480"/>
      <c r="F86" s="480">
        <v>0</v>
      </c>
      <c r="G86" s="472"/>
      <c r="H86" s="251">
        <v>0</v>
      </c>
      <c r="I86" s="251"/>
      <c r="J86" s="251">
        <v>0</v>
      </c>
      <c r="K86" s="251"/>
      <c r="L86" s="251">
        <v>0</v>
      </c>
      <c r="M86" s="251"/>
      <c r="N86" s="251">
        <v>0</v>
      </c>
      <c r="P86" s="662" t="s">
        <v>2276</v>
      </c>
      <c r="R86" s="667">
        <v>18.899999999999999</v>
      </c>
    </row>
    <row r="87" spans="1:18">
      <c r="A87" s="472"/>
      <c r="B87" s="478"/>
      <c r="C87" s="476"/>
      <c r="D87" s="481" t="s">
        <v>2278</v>
      </c>
      <c r="E87" s="480"/>
      <c r="F87" s="480">
        <v>0</v>
      </c>
      <c r="G87" s="472"/>
      <c r="H87" s="251">
        <v>0</v>
      </c>
      <c r="I87" s="251"/>
      <c r="J87" s="251">
        <v>0</v>
      </c>
      <c r="K87" s="251"/>
      <c r="L87" s="251">
        <v>0</v>
      </c>
      <c r="M87" s="251"/>
      <c r="N87" s="251">
        <v>0</v>
      </c>
      <c r="P87" s="662" t="s">
        <v>2276</v>
      </c>
      <c r="R87" s="667">
        <v>18</v>
      </c>
    </row>
    <row r="88" spans="1:18">
      <c r="A88" s="472"/>
      <c r="B88" s="478"/>
      <c r="C88" s="476"/>
      <c r="D88" s="481" t="s">
        <v>2286</v>
      </c>
      <c r="E88" s="480"/>
      <c r="F88" s="480">
        <v>0</v>
      </c>
      <c r="G88" s="472"/>
      <c r="H88" s="251">
        <v>0</v>
      </c>
      <c r="I88" s="251"/>
      <c r="J88" s="251">
        <v>0</v>
      </c>
      <c r="K88" s="251"/>
      <c r="L88" s="251">
        <v>0</v>
      </c>
      <c r="M88" s="251"/>
      <c r="N88" s="251">
        <v>0</v>
      </c>
      <c r="P88" s="662" t="s">
        <v>2276</v>
      </c>
      <c r="R88" s="667">
        <v>21.7</v>
      </c>
    </row>
    <row r="89" spans="1:18">
      <c r="A89" s="487"/>
      <c r="B89" s="483"/>
      <c r="C89" s="484"/>
      <c r="D89" s="485" t="s">
        <v>2287</v>
      </c>
      <c r="E89" s="486"/>
      <c r="F89" s="486">
        <v>0</v>
      </c>
      <c r="G89" s="487"/>
      <c r="H89" s="251">
        <v>0</v>
      </c>
      <c r="I89" s="251"/>
      <c r="J89" s="251">
        <v>0</v>
      </c>
      <c r="K89" s="251"/>
      <c r="L89" s="251">
        <v>0</v>
      </c>
      <c r="M89" s="251"/>
      <c r="N89" s="251">
        <v>0</v>
      </c>
      <c r="O89" s="670"/>
      <c r="P89" s="671" t="s">
        <v>2276</v>
      </c>
      <c r="Q89" s="670"/>
      <c r="R89" s="667">
        <v>17.899999999999999</v>
      </c>
    </row>
    <row r="90" spans="1:18">
      <c r="A90" s="472"/>
      <c r="B90" s="478"/>
      <c r="C90" s="476"/>
      <c r="D90" s="479" t="s">
        <v>2288</v>
      </c>
      <c r="E90" s="477"/>
      <c r="F90" s="480">
        <v>0</v>
      </c>
      <c r="G90" s="472"/>
      <c r="H90" s="251">
        <v>0</v>
      </c>
      <c r="I90" s="251"/>
      <c r="J90" s="251">
        <v>0</v>
      </c>
      <c r="K90" s="251"/>
      <c r="L90" s="251">
        <v>0</v>
      </c>
      <c r="M90" s="251"/>
      <c r="N90" s="251">
        <v>0</v>
      </c>
      <c r="P90" s="661" t="s">
        <v>2276</v>
      </c>
      <c r="R90" s="667">
        <v>0</v>
      </c>
    </row>
    <row r="91" spans="1:18">
      <c r="A91" s="472"/>
      <c r="B91" s="472"/>
      <c r="C91" s="476"/>
      <c r="D91" s="481" t="s">
        <v>2289</v>
      </c>
      <c r="E91" s="477"/>
      <c r="F91" s="480">
        <v>0</v>
      </c>
      <c r="G91" s="472"/>
      <c r="H91" s="251">
        <v>0</v>
      </c>
      <c r="I91" s="251"/>
      <c r="J91" s="251">
        <v>0</v>
      </c>
      <c r="K91" s="251"/>
      <c r="L91" s="251">
        <v>0</v>
      </c>
      <c r="M91" s="251"/>
      <c r="N91" s="251">
        <v>0</v>
      </c>
      <c r="P91" s="661" t="s">
        <v>2276</v>
      </c>
      <c r="R91" s="667">
        <v>0</v>
      </c>
    </row>
    <row r="92" spans="1:18">
      <c r="A92" s="472"/>
      <c r="B92" s="478"/>
      <c r="C92" s="476"/>
      <c r="D92" s="481" t="s">
        <v>2290</v>
      </c>
      <c r="E92" s="480"/>
      <c r="F92" s="480">
        <v>0</v>
      </c>
      <c r="G92" s="472"/>
      <c r="H92" s="251">
        <v>0</v>
      </c>
      <c r="I92" s="251"/>
      <c r="J92" s="251">
        <v>0</v>
      </c>
      <c r="K92" s="251"/>
      <c r="L92" s="251">
        <v>0</v>
      </c>
      <c r="M92" s="251"/>
      <c r="N92" s="251">
        <v>0</v>
      </c>
      <c r="P92" s="661" t="s">
        <v>2276</v>
      </c>
      <c r="R92" s="667">
        <v>0</v>
      </c>
    </row>
    <row r="93" spans="1:18">
      <c r="A93" s="472"/>
      <c r="B93" s="478"/>
      <c r="C93" s="476"/>
      <c r="D93" s="482"/>
      <c r="E93" s="480"/>
      <c r="F93" s="480"/>
      <c r="G93" s="472"/>
      <c r="H93" s="251"/>
      <c r="I93" s="251"/>
      <c r="J93" s="251"/>
      <c r="K93" s="251"/>
      <c r="L93" s="251"/>
      <c r="M93" s="251"/>
      <c r="N93" s="251"/>
      <c r="P93" s="662"/>
      <c r="R93" s="663"/>
    </row>
    <row r="94" spans="1:18">
      <c r="A94" s="472"/>
      <c r="B94" s="478"/>
      <c r="C94" s="476"/>
      <c r="D94" s="482" t="s">
        <v>2291</v>
      </c>
      <c r="E94" s="480"/>
      <c r="F94" s="480"/>
      <c r="G94" s="472"/>
      <c r="H94" s="251">
        <v>0</v>
      </c>
      <c r="I94" s="251"/>
      <c r="J94" s="251"/>
      <c r="K94" s="251"/>
      <c r="L94" s="251"/>
      <c r="M94" s="251"/>
      <c r="N94" s="251"/>
      <c r="P94" s="662"/>
      <c r="R94" s="663">
        <v>20.5</v>
      </c>
    </row>
    <row r="95" spans="1:18">
      <c r="A95" s="472"/>
      <c r="B95" s="478"/>
      <c r="C95" s="476"/>
      <c r="D95" s="482"/>
      <c r="E95" s="480"/>
      <c r="F95" s="480"/>
      <c r="G95" s="472"/>
      <c r="H95" s="251"/>
      <c r="I95" s="251"/>
      <c r="J95" s="251"/>
      <c r="K95" s="251"/>
      <c r="L95" s="251"/>
      <c r="M95" s="251"/>
      <c r="N95" s="251"/>
      <c r="P95" s="662"/>
      <c r="R95" s="663"/>
    </row>
    <row r="96" spans="1:18">
      <c r="A96" s="472"/>
      <c r="B96" s="478">
        <v>312.2</v>
      </c>
      <c r="C96" s="476"/>
      <c r="D96" s="479" t="s">
        <v>2292</v>
      </c>
      <c r="E96" s="480"/>
      <c r="F96" s="480"/>
      <c r="G96" s="472"/>
      <c r="H96" s="251"/>
      <c r="I96" s="251"/>
      <c r="J96" s="251"/>
      <c r="K96" s="251"/>
      <c r="L96" s="251"/>
      <c r="M96" s="251"/>
      <c r="N96" s="251"/>
      <c r="P96" s="662"/>
      <c r="R96" s="663"/>
    </row>
    <row r="97" spans="1:18">
      <c r="A97" s="472"/>
      <c r="B97" s="478"/>
      <c r="C97" s="476"/>
      <c r="D97" s="479" t="s">
        <v>1284</v>
      </c>
      <c r="E97" s="477"/>
      <c r="F97" s="480">
        <v>-10</v>
      </c>
      <c r="G97" s="472"/>
      <c r="H97" s="251">
        <v>0</v>
      </c>
      <c r="I97" s="251"/>
      <c r="J97" s="251">
        <v>0</v>
      </c>
      <c r="K97" s="251"/>
      <c r="L97" s="251">
        <v>0</v>
      </c>
      <c r="M97" s="251"/>
      <c r="N97" s="251">
        <v>0</v>
      </c>
      <c r="P97" s="661" t="s">
        <v>2281</v>
      </c>
      <c r="R97" s="663">
        <v>0</v>
      </c>
    </row>
    <row r="98" spans="1:18">
      <c r="A98" s="472"/>
      <c r="B98" s="478"/>
      <c r="C98" s="476"/>
      <c r="D98" s="479" t="s">
        <v>1285</v>
      </c>
      <c r="E98" s="477"/>
      <c r="F98" s="480">
        <v>-10</v>
      </c>
      <c r="G98" s="472"/>
      <c r="H98" s="251">
        <v>0</v>
      </c>
      <c r="I98" s="251"/>
      <c r="J98" s="251">
        <v>0</v>
      </c>
      <c r="K98" s="251"/>
      <c r="L98" s="251">
        <v>0</v>
      </c>
      <c r="M98" s="251"/>
      <c r="N98" s="251">
        <v>0</v>
      </c>
      <c r="P98" s="661" t="s">
        <v>2281</v>
      </c>
      <c r="R98" s="663">
        <v>0</v>
      </c>
    </row>
    <row r="99" spans="1:18">
      <c r="A99" s="472"/>
      <c r="B99" s="472"/>
      <c r="C99" s="476"/>
      <c r="D99" s="481" t="s">
        <v>1286</v>
      </c>
      <c r="E99" s="477"/>
      <c r="F99" s="480">
        <v>-10</v>
      </c>
      <c r="G99" s="472"/>
      <c r="H99" s="251">
        <v>0</v>
      </c>
      <c r="I99" s="251"/>
      <c r="J99" s="251">
        <v>0</v>
      </c>
      <c r="K99" s="251"/>
      <c r="L99" s="251">
        <v>0</v>
      </c>
      <c r="M99" s="251"/>
      <c r="N99" s="251">
        <v>0</v>
      </c>
      <c r="P99" s="661" t="s">
        <v>2281</v>
      </c>
      <c r="R99" s="663">
        <v>0</v>
      </c>
    </row>
    <row r="100" spans="1:18">
      <c r="A100" s="472"/>
      <c r="B100" s="478"/>
      <c r="C100" s="476"/>
      <c r="D100" s="481" t="s">
        <v>1287</v>
      </c>
      <c r="E100" s="480"/>
      <c r="F100" s="480">
        <v>-10</v>
      </c>
      <c r="G100" s="472"/>
      <c r="H100" s="251">
        <v>0</v>
      </c>
      <c r="I100" s="251"/>
      <c r="J100" s="251">
        <v>0</v>
      </c>
      <c r="K100" s="251"/>
      <c r="L100" s="251">
        <v>0</v>
      </c>
      <c r="M100" s="251"/>
      <c r="N100" s="251">
        <v>0</v>
      </c>
      <c r="P100" s="662" t="s">
        <v>2281</v>
      </c>
      <c r="R100" s="663">
        <v>0</v>
      </c>
    </row>
    <row r="101" spans="1:18">
      <c r="A101" s="472"/>
      <c r="B101" s="478"/>
      <c r="C101" s="476"/>
      <c r="D101" s="481" t="s">
        <v>1288</v>
      </c>
      <c r="E101" s="480"/>
      <c r="F101" s="480">
        <v>-10</v>
      </c>
      <c r="G101" s="472"/>
      <c r="H101" s="251">
        <v>0</v>
      </c>
      <c r="I101" s="251"/>
      <c r="J101" s="251">
        <v>0</v>
      </c>
      <c r="K101" s="251"/>
      <c r="L101" s="251">
        <v>0</v>
      </c>
      <c r="M101" s="251"/>
      <c r="N101" s="251">
        <v>0</v>
      </c>
      <c r="P101" s="661" t="s">
        <v>2281</v>
      </c>
      <c r="R101" s="663">
        <v>0</v>
      </c>
    </row>
    <row r="102" spans="1:18">
      <c r="A102" s="487"/>
      <c r="B102" s="488"/>
      <c r="C102" s="484"/>
      <c r="D102" s="485" t="s">
        <v>1293</v>
      </c>
      <c r="E102" s="486"/>
      <c r="F102" s="486">
        <v>-10</v>
      </c>
      <c r="G102" s="487"/>
      <c r="H102" s="251">
        <v>0</v>
      </c>
      <c r="I102" s="251"/>
      <c r="J102" s="251">
        <v>0</v>
      </c>
      <c r="K102" s="251"/>
      <c r="L102" s="251">
        <v>0</v>
      </c>
      <c r="M102" s="251"/>
      <c r="N102" s="251">
        <v>0</v>
      </c>
      <c r="O102" s="670"/>
      <c r="P102" s="670" t="s">
        <v>2281</v>
      </c>
      <c r="Q102" s="670"/>
      <c r="R102" s="663">
        <v>0</v>
      </c>
    </row>
    <row r="103" spans="1:18">
      <c r="A103" s="472"/>
      <c r="B103" s="478"/>
      <c r="C103" s="476"/>
      <c r="D103" s="482"/>
      <c r="E103" s="480"/>
      <c r="F103" s="480"/>
      <c r="G103" s="472"/>
      <c r="H103" s="251"/>
      <c r="I103" s="251"/>
      <c r="J103" s="251"/>
      <c r="K103" s="251"/>
      <c r="L103" s="251"/>
      <c r="M103" s="251"/>
      <c r="N103" s="251"/>
      <c r="P103" s="662"/>
      <c r="R103" s="672"/>
    </row>
    <row r="104" spans="1:18">
      <c r="A104" s="472"/>
      <c r="B104" s="478"/>
      <c r="C104" s="476"/>
      <c r="D104" s="482" t="s">
        <v>2688</v>
      </c>
      <c r="E104" s="480"/>
      <c r="F104" s="480"/>
      <c r="G104" s="472"/>
      <c r="H104" s="251">
        <v>0</v>
      </c>
      <c r="I104" s="251"/>
      <c r="J104" s="251"/>
      <c r="K104" s="251"/>
      <c r="L104" s="251"/>
      <c r="M104" s="251"/>
      <c r="N104" s="251"/>
      <c r="P104" s="662"/>
      <c r="R104" s="672"/>
    </row>
    <row r="105" spans="1:18">
      <c r="A105" s="472"/>
      <c r="B105" s="478"/>
      <c r="C105" s="476"/>
      <c r="D105" s="482"/>
      <c r="E105" s="480"/>
      <c r="F105" s="480"/>
      <c r="G105" s="472"/>
      <c r="H105" s="251"/>
      <c r="I105" s="251"/>
      <c r="J105" s="251"/>
      <c r="K105" s="251"/>
      <c r="L105" s="251"/>
      <c r="M105" s="251"/>
      <c r="N105" s="251"/>
      <c r="P105" s="662"/>
      <c r="R105" s="672"/>
    </row>
    <row r="106" spans="1:18">
      <c r="A106" s="472">
        <v>312</v>
      </c>
      <c r="B106" s="478"/>
      <c r="C106" s="476"/>
      <c r="D106" s="482" t="s">
        <v>1305</v>
      </c>
      <c r="E106" s="480"/>
      <c r="F106" s="278" t="str">
        <f>F80</f>
        <v>-6%,-7%,-10%,-13%</v>
      </c>
      <c r="G106" s="472"/>
      <c r="H106" s="251">
        <v>2.83</v>
      </c>
      <c r="I106" s="251"/>
      <c r="J106" s="251"/>
      <c r="K106" s="251"/>
      <c r="L106" s="251"/>
      <c r="M106" s="251"/>
      <c r="N106" s="251"/>
      <c r="P106" s="664" t="s">
        <v>2399</v>
      </c>
      <c r="R106" s="665">
        <v>21.8</v>
      </c>
    </row>
    <row r="107" spans="1:18">
      <c r="A107" s="272"/>
      <c r="B107" s="248"/>
      <c r="C107" s="249"/>
      <c r="D107" s="254"/>
      <c r="E107" s="249"/>
      <c r="F107" s="250"/>
      <c r="G107" s="249"/>
      <c r="H107" s="251"/>
      <c r="I107" s="251"/>
      <c r="J107" s="251"/>
      <c r="K107" s="251"/>
      <c r="L107" s="251"/>
      <c r="M107" s="251"/>
      <c r="N107" s="251"/>
      <c r="O107" s="251"/>
      <c r="P107" s="251"/>
      <c r="Q107" s="251"/>
      <c r="R107" s="251"/>
    </row>
    <row r="108" spans="1:18">
      <c r="A108" s="272"/>
      <c r="B108" s="248">
        <v>314</v>
      </c>
      <c r="C108" s="249"/>
      <c r="D108" s="249" t="s">
        <v>1306</v>
      </c>
      <c r="E108" s="249"/>
      <c r="F108" s="250"/>
      <c r="G108" s="249"/>
      <c r="H108" s="251"/>
      <c r="I108" s="251"/>
      <c r="J108" s="251"/>
      <c r="K108" s="251"/>
      <c r="L108" s="251"/>
      <c r="M108" s="251"/>
      <c r="N108" s="251"/>
      <c r="O108" s="251"/>
      <c r="P108" s="251"/>
      <c r="Q108" s="251"/>
      <c r="R108" s="251"/>
    </row>
    <row r="109" spans="1:18">
      <c r="A109" s="272"/>
      <c r="B109" s="248"/>
      <c r="C109" s="249"/>
      <c r="D109" s="669" t="s">
        <v>1289</v>
      </c>
      <c r="E109" s="249"/>
      <c r="F109" s="659">
        <v>-6</v>
      </c>
      <c r="G109" s="249"/>
      <c r="H109" s="251">
        <v>2.68</v>
      </c>
      <c r="I109" s="251"/>
      <c r="J109" s="251">
        <v>2.85</v>
      </c>
      <c r="K109" s="251"/>
      <c r="L109" s="251">
        <v>0.21</v>
      </c>
      <c r="M109" s="251"/>
      <c r="N109" s="251">
        <v>-0.38</v>
      </c>
      <c r="O109" s="251"/>
      <c r="P109" s="660" t="s">
        <v>1373</v>
      </c>
      <c r="Q109" s="251"/>
      <c r="R109" s="251">
        <v>7.3</v>
      </c>
    </row>
    <row r="110" spans="1:18">
      <c r="A110" s="272"/>
      <c r="B110" s="248"/>
      <c r="C110" s="249"/>
      <c r="D110" s="669" t="s">
        <v>1290</v>
      </c>
      <c r="E110" s="249"/>
      <c r="F110" s="659">
        <v>-6</v>
      </c>
      <c r="G110" s="249"/>
      <c r="H110" s="251">
        <v>1.73</v>
      </c>
      <c r="I110" s="251"/>
      <c r="J110" s="251">
        <v>1.7399999999999998</v>
      </c>
      <c r="K110" s="251"/>
      <c r="L110" s="251">
        <v>0.13</v>
      </c>
      <c r="M110" s="251"/>
      <c r="N110" s="251">
        <v>-0.13999999999999999</v>
      </c>
      <c r="O110" s="251"/>
      <c r="P110" s="660" t="s">
        <v>1373</v>
      </c>
      <c r="Q110" s="251"/>
      <c r="R110" s="251">
        <v>13.1</v>
      </c>
    </row>
    <row r="111" spans="1:18">
      <c r="A111" s="272"/>
      <c r="B111" s="248"/>
      <c r="C111" s="249"/>
      <c r="D111" s="669" t="s">
        <v>1291</v>
      </c>
      <c r="E111" s="249"/>
      <c r="F111" s="659">
        <v>-6</v>
      </c>
      <c r="G111" s="249"/>
      <c r="H111" s="251">
        <v>1.73</v>
      </c>
      <c r="I111" s="251"/>
      <c r="J111" s="251">
        <v>1.7500000000000002</v>
      </c>
      <c r="K111" s="251"/>
      <c r="L111" s="251">
        <v>0.13</v>
      </c>
      <c r="M111" s="251"/>
      <c r="N111" s="251">
        <v>-0.15</v>
      </c>
      <c r="O111" s="251"/>
      <c r="P111" s="660" t="s">
        <v>1373</v>
      </c>
      <c r="Q111" s="251"/>
      <c r="R111" s="251">
        <v>18.8</v>
      </c>
    </row>
    <row r="112" spans="1:18">
      <c r="A112" s="272"/>
      <c r="B112" s="248"/>
      <c r="C112" s="249"/>
      <c r="D112" s="669" t="s">
        <v>1295</v>
      </c>
      <c r="E112" s="249"/>
      <c r="F112" s="659">
        <v>-7</v>
      </c>
      <c r="G112" s="249"/>
      <c r="H112" s="251">
        <v>2.6</v>
      </c>
      <c r="I112" s="251"/>
      <c r="J112" s="251">
        <v>2.5100000000000002</v>
      </c>
      <c r="K112" s="251"/>
      <c r="L112" s="251">
        <v>0.22999999999999998</v>
      </c>
      <c r="M112" s="251"/>
      <c r="N112" s="251">
        <v>-0.13999999999999999</v>
      </c>
      <c r="O112" s="251"/>
      <c r="P112" s="660" t="s">
        <v>1373</v>
      </c>
      <c r="Q112" s="251"/>
      <c r="R112" s="251">
        <v>17.600000000000001</v>
      </c>
    </row>
    <row r="113" spans="1:18">
      <c r="A113" s="272"/>
      <c r="B113" s="248"/>
      <c r="C113" s="249"/>
      <c r="D113" s="669" t="s">
        <v>1296</v>
      </c>
      <c r="E113" s="249"/>
      <c r="F113" s="659">
        <v>-7</v>
      </c>
      <c r="G113" s="249"/>
      <c r="H113" s="251">
        <v>2.11</v>
      </c>
      <c r="I113" s="251"/>
      <c r="J113" s="251">
        <v>2.0299999999999998</v>
      </c>
      <c r="K113" s="251"/>
      <c r="L113" s="251">
        <v>0.18</v>
      </c>
      <c r="M113" s="251"/>
      <c r="N113" s="251">
        <v>-0.1</v>
      </c>
      <c r="O113" s="251"/>
      <c r="P113" s="660" t="s">
        <v>1373</v>
      </c>
      <c r="Q113" s="251"/>
      <c r="R113" s="251">
        <v>17</v>
      </c>
    </row>
    <row r="114" spans="1:18">
      <c r="A114" s="272"/>
      <c r="B114" s="248"/>
      <c r="C114" s="249"/>
      <c r="D114" s="669" t="s">
        <v>1297</v>
      </c>
      <c r="E114" s="249"/>
      <c r="F114" s="659">
        <v>-7</v>
      </c>
      <c r="G114" s="249"/>
      <c r="H114" s="251">
        <v>1.97</v>
      </c>
      <c r="I114" s="251"/>
      <c r="J114" s="251">
        <v>1.8900000000000001</v>
      </c>
      <c r="K114" s="251"/>
      <c r="L114" s="251">
        <v>0.16999999999999998</v>
      </c>
      <c r="M114" s="251"/>
      <c r="N114" s="251">
        <v>-0.09</v>
      </c>
      <c r="O114" s="251"/>
      <c r="P114" s="660" t="s">
        <v>1373</v>
      </c>
      <c r="Q114" s="251"/>
      <c r="R114" s="251">
        <v>19.600000000000001</v>
      </c>
    </row>
    <row r="115" spans="1:18">
      <c r="A115" s="272"/>
      <c r="B115" s="248"/>
      <c r="C115" s="249"/>
      <c r="D115" s="669" t="s">
        <v>1298</v>
      </c>
      <c r="E115" s="249"/>
      <c r="F115" s="659">
        <v>-7</v>
      </c>
      <c r="G115" s="249"/>
      <c r="H115" s="251">
        <v>2.39</v>
      </c>
      <c r="I115" s="251"/>
      <c r="J115" s="251">
        <v>2.29</v>
      </c>
      <c r="K115" s="251"/>
      <c r="L115" s="251">
        <v>0.21</v>
      </c>
      <c r="M115" s="251"/>
      <c r="N115" s="251">
        <v>-0.11</v>
      </c>
      <c r="O115" s="251"/>
      <c r="P115" s="660" t="s">
        <v>1373</v>
      </c>
      <c r="Q115" s="251"/>
      <c r="R115" s="251">
        <v>20.6</v>
      </c>
    </row>
    <row r="116" spans="1:18">
      <c r="A116" s="272"/>
      <c r="B116" s="248"/>
      <c r="C116" s="256"/>
      <c r="D116" s="669" t="s">
        <v>1281</v>
      </c>
      <c r="E116" s="239"/>
      <c r="F116" s="659">
        <v>-13</v>
      </c>
      <c r="G116" s="239"/>
      <c r="H116" s="251">
        <v>2.37</v>
      </c>
      <c r="I116" s="251"/>
      <c r="J116" s="251">
        <v>2.3199999999999998</v>
      </c>
      <c r="K116" s="251"/>
      <c r="L116" s="251">
        <v>6.9999999999999993E-2</v>
      </c>
      <c r="M116" s="251"/>
      <c r="N116" s="251">
        <v>-0.02</v>
      </c>
      <c r="O116" s="251"/>
      <c r="P116" s="660" t="s">
        <v>1373</v>
      </c>
      <c r="Q116" s="251"/>
      <c r="R116" s="251">
        <v>43.3</v>
      </c>
    </row>
    <row r="117" spans="1:18">
      <c r="A117" s="272"/>
      <c r="B117" s="248"/>
      <c r="C117" s="249"/>
      <c r="D117" s="249"/>
      <c r="E117" s="249"/>
      <c r="F117" s="250"/>
      <c r="G117" s="249"/>
      <c r="H117" s="251"/>
      <c r="I117" s="251"/>
      <c r="J117" s="251"/>
      <c r="K117" s="251"/>
      <c r="L117" s="251"/>
      <c r="M117" s="251"/>
      <c r="N117" s="251"/>
      <c r="O117" s="251"/>
      <c r="P117" s="251"/>
      <c r="Q117" s="251"/>
      <c r="R117" s="251"/>
    </row>
    <row r="118" spans="1:18">
      <c r="B118" s="248"/>
      <c r="C118" s="249"/>
      <c r="D118" s="254" t="s">
        <v>2689</v>
      </c>
      <c r="E118" s="249"/>
      <c r="F118" s="278" t="s">
        <v>2333</v>
      </c>
      <c r="G118" s="249"/>
      <c r="H118" s="251">
        <v>2.2200000000000002</v>
      </c>
      <c r="I118" s="251"/>
      <c r="J118" s="251"/>
      <c r="K118" s="251"/>
      <c r="L118" s="251"/>
      <c r="M118" s="251"/>
      <c r="N118" s="251"/>
      <c r="O118" s="251"/>
      <c r="P118" s="251" t="s">
        <v>2690</v>
      </c>
      <c r="Q118" s="251"/>
      <c r="R118" s="251">
        <v>23</v>
      </c>
    </row>
    <row r="119" spans="1:18">
      <c r="A119" s="272"/>
      <c r="B119" s="248"/>
      <c r="C119" s="249"/>
      <c r="D119" s="254"/>
      <c r="E119" s="249"/>
      <c r="F119" s="278"/>
      <c r="G119" s="249"/>
      <c r="H119" s="251"/>
      <c r="I119" s="251"/>
      <c r="J119" s="251"/>
      <c r="K119" s="251"/>
      <c r="L119" s="251"/>
      <c r="M119" s="251"/>
      <c r="N119" s="251"/>
      <c r="O119" s="251"/>
      <c r="P119" s="251"/>
      <c r="Q119" s="251"/>
      <c r="R119" s="251"/>
    </row>
    <row r="120" spans="1:18">
      <c r="A120" s="472"/>
      <c r="B120" s="478">
        <v>314.10000000000002</v>
      </c>
      <c r="C120" s="476"/>
      <c r="D120" s="479" t="s">
        <v>2293</v>
      </c>
      <c r="E120" s="480"/>
      <c r="F120" s="480"/>
      <c r="G120" s="472"/>
      <c r="H120" s="251"/>
      <c r="I120" s="251"/>
      <c r="J120" s="251"/>
      <c r="K120" s="251"/>
      <c r="L120" s="251"/>
      <c r="M120" s="251"/>
      <c r="N120" s="251"/>
      <c r="P120" s="662"/>
      <c r="R120" s="663"/>
    </row>
    <row r="121" spans="1:18">
      <c r="A121" s="472"/>
      <c r="B121" s="478"/>
      <c r="C121" s="476"/>
      <c r="D121" s="481" t="s">
        <v>1284</v>
      </c>
      <c r="E121" s="480"/>
      <c r="F121" s="673">
        <v>0</v>
      </c>
      <c r="G121" s="674"/>
      <c r="H121" s="251">
        <v>0</v>
      </c>
      <c r="I121" s="251"/>
      <c r="J121" s="251">
        <v>0</v>
      </c>
      <c r="K121" s="251"/>
      <c r="L121" s="251">
        <v>0</v>
      </c>
      <c r="M121" s="251"/>
      <c r="N121" s="251">
        <v>0</v>
      </c>
      <c r="R121" s="663">
        <v>0</v>
      </c>
    </row>
    <row r="122" spans="1:18">
      <c r="A122" s="472"/>
      <c r="B122" s="478"/>
      <c r="C122" s="476"/>
      <c r="D122" s="481" t="s">
        <v>1285</v>
      </c>
      <c r="E122" s="480"/>
      <c r="F122" s="673">
        <v>0</v>
      </c>
      <c r="G122" s="674"/>
      <c r="H122" s="251">
        <v>0</v>
      </c>
      <c r="I122" s="251"/>
      <c r="J122" s="251">
        <v>0</v>
      </c>
      <c r="K122" s="251"/>
      <c r="L122" s="251">
        <v>0</v>
      </c>
      <c r="M122" s="251"/>
      <c r="N122" s="251">
        <v>0</v>
      </c>
      <c r="R122" s="663">
        <v>0</v>
      </c>
    </row>
    <row r="123" spans="1:18">
      <c r="A123" s="472"/>
      <c r="B123" s="478"/>
      <c r="C123" s="476"/>
      <c r="D123" s="481" t="s">
        <v>1286</v>
      </c>
      <c r="E123" s="480"/>
      <c r="F123" s="673">
        <v>0</v>
      </c>
      <c r="G123" s="674"/>
      <c r="H123" s="251">
        <v>0</v>
      </c>
      <c r="I123" s="251"/>
      <c r="J123" s="251">
        <v>0</v>
      </c>
      <c r="K123" s="251"/>
      <c r="L123" s="251">
        <v>0</v>
      </c>
      <c r="M123" s="251"/>
      <c r="N123" s="251">
        <v>0</v>
      </c>
      <c r="R123" s="663">
        <v>0</v>
      </c>
    </row>
    <row r="124" spans="1:18">
      <c r="A124" s="472"/>
      <c r="B124" s="478"/>
      <c r="C124" s="476"/>
      <c r="D124" s="481" t="s">
        <v>1287</v>
      </c>
      <c r="E124" s="480"/>
      <c r="F124" s="673">
        <v>0</v>
      </c>
      <c r="G124" s="674"/>
      <c r="H124" s="251">
        <v>0</v>
      </c>
      <c r="I124" s="251"/>
      <c r="J124" s="251">
        <v>0</v>
      </c>
      <c r="K124" s="251"/>
      <c r="L124" s="251">
        <v>0</v>
      </c>
      <c r="M124" s="251"/>
      <c r="N124" s="251">
        <v>0</v>
      </c>
      <c r="R124" s="663">
        <v>0</v>
      </c>
    </row>
    <row r="125" spans="1:18">
      <c r="A125" s="472"/>
      <c r="B125" s="478"/>
      <c r="C125" s="476"/>
      <c r="D125" s="482"/>
      <c r="E125" s="480"/>
      <c r="F125" s="673"/>
      <c r="G125" s="674"/>
      <c r="H125" s="251"/>
      <c r="I125" s="251"/>
      <c r="J125" s="251"/>
      <c r="K125" s="251"/>
      <c r="L125" s="251"/>
      <c r="M125" s="251"/>
      <c r="N125" s="251"/>
      <c r="R125" s="663"/>
    </row>
    <row r="126" spans="1:18">
      <c r="A126" s="472"/>
      <c r="B126" s="478"/>
      <c r="C126" s="476"/>
      <c r="D126" s="482" t="s">
        <v>2294</v>
      </c>
      <c r="E126" s="480"/>
      <c r="F126" s="673">
        <v>0</v>
      </c>
      <c r="G126" s="674"/>
      <c r="H126" s="251">
        <v>0</v>
      </c>
      <c r="I126" s="251"/>
      <c r="J126" s="251">
        <v>0</v>
      </c>
      <c r="K126" s="251"/>
      <c r="L126" s="251">
        <v>0</v>
      </c>
      <c r="M126" s="251"/>
      <c r="N126" s="251">
        <v>0</v>
      </c>
      <c r="R126" s="663">
        <v>0</v>
      </c>
    </row>
    <row r="127" spans="1:18">
      <c r="A127" s="272"/>
      <c r="B127" s="248"/>
      <c r="C127" s="249"/>
      <c r="D127" s="249"/>
      <c r="E127" s="249"/>
      <c r="F127" s="250"/>
      <c r="G127" s="249"/>
      <c r="H127" s="251"/>
      <c r="I127" s="251"/>
      <c r="J127" s="251"/>
      <c r="K127" s="251"/>
      <c r="L127" s="251"/>
      <c r="M127" s="251"/>
      <c r="N127" s="251"/>
      <c r="O127" s="251"/>
      <c r="P127" s="251"/>
      <c r="Q127" s="251"/>
      <c r="R127" s="251"/>
    </row>
    <row r="128" spans="1:18">
      <c r="A128" s="272">
        <v>314</v>
      </c>
      <c r="B128" s="248"/>
      <c r="C128" s="249"/>
      <c r="D128" s="675" t="s">
        <v>1307</v>
      </c>
      <c r="E128" s="249"/>
      <c r="F128" s="250" t="s">
        <v>2333</v>
      </c>
      <c r="G128" s="249"/>
      <c r="H128" s="251">
        <v>2.2200000000000002</v>
      </c>
      <c r="I128" s="251"/>
      <c r="J128" s="251"/>
      <c r="K128" s="251"/>
      <c r="L128" s="251"/>
      <c r="M128" s="251"/>
      <c r="N128" s="251"/>
      <c r="O128" s="251"/>
      <c r="P128" s="251" t="s">
        <v>2690</v>
      </c>
      <c r="Q128" s="251"/>
      <c r="R128" s="251">
        <v>23</v>
      </c>
    </row>
    <row r="129" spans="1:19">
      <c r="A129" s="272"/>
      <c r="B129" s="248"/>
      <c r="C129" s="249"/>
      <c r="D129" s="249"/>
      <c r="E129" s="249"/>
      <c r="F129" s="250"/>
      <c r="G129" s="249"/>
      <c r="H129" s="251"/>
      <c r="I129" s="251"/>
      <c r="J129" s="251"/>
      <c r="K129" s="251"/>
      <c r="L129" s="251"/>
      <c r="M129" s="251"/>
      <c r="N129" s="251"/>
      <c r="O129" s="251"/>
      <c r="P129" s="251"/>
      <c r="Q129" s="251"/>
      <c r="R129" s="251"/>
    </row>
    <row r="130" spans="1:19">
      <c r="A130" s="272"/>
      <c r="B130" s="248">
        <v>315</v>
      </c>
      <c r="C130" s="249"/>
      <c r="D130" s="249" t="s">
        <v>1308</v>
      </c>
      <c r="E130" s="249"/>
      <c r="F130" s="250"/>
      <c r="G130" s="249"/>
      <c r="H130" s="251"/>
      <c r="I130" s="251"/>
      <c r="J130" s="251"/>
      <c r="K130" s="251"/>
      <c r="L130" s="251"/>
      <c r="M130" s="251"/>
      <c r="N130" s="251"/>
      <c r="O130" s="251"/>
      <c r="P130" s="251"/>
      <c r="Q130" s="251"/>
      <c r="R130" s="251"/>
      <c r="S130" s="240"/>
    </row>
    <row r="131" spans="1:19">
      <c r="A131" s="272"/>
      <c r="B131" s="248"/>
      <c r="C131" s="249"/>
      <c r="D131" s="666" t="s">
        <v>1289</v>
      </c>
      <c r="E131" s="249"/>
      <c r="F131" s="659">
        <v>-6</v>
      </c>
      <c r="G131" s="249"/>
      <c r="H131" s="667">
        <v>1.33</v>
      </c>
      <c r="I131" s="251"/>
      <c r="J131" s="667">
        <v>1.34</v>
      </c>
      <c r="K131" s="251"/>
      <c r="L131" s="667">
        <v>0.06</v>
      </c>
      <c r="M131" s="251"/>
      <c r="N131" s="667">
        <v>-6.9999999999999993E-2</v>
      </c>
      <c r="O131" s="251"/>
      <c r="P131" s="251" t="s">
        <v>2295</v>
      </c>
      <c r="Q131" s="251"/>
      <c r="R131" s="667">
        <v>7.5</v>
      </c>
      <c r="S131" s="240"/>
    </row>
    <row r="132" spans="1:19">
      <c r="A132" s="272"/>
      <c r="B132" s="248"/>
      <c r="C132" s="249"/>
      <c r="D132" s="666" t="s">
        <v>1292</v>
      </c>
      <c r="E132" s="249"/>
      <c r="F132" s="659">
        <v>-6</v>
      </c>
      <c r="G132" s="249"/>
      <c r="H132" s="667">
        <v>4.7899999999999991</v>
      </c>
      <c r="I132" s="251"/>
      <c r="J132" s="667">
        <v>4.6399999999999997</v>
      </c>
      <c r="K132" s="251"/>
      <c r="L132" s="667">
        <v>0.22999999999999998</v>
      </c>
      <c r="M132" s="251"/>
      <c r="N132" s="667">
        <v>-0.08</v>
      </c>
      <c r="O132" s="251"/>
      <c r="P132" s="251" t="s">
        <v>2295</v>
      </c>
      <c r="Q132" s="251"/>
      <c r="R132" s="667">
        <v>19.399999999999999</v>
      </c>
      <c r="S132" s="240"/>
    </row>
    <row r="133" spans="1:19">
      <c r="A133" s="272"/>
      <c r="B133" s="248"/>
      <c r="C133" s="249"/>
      <c r="D133" s="666" t="s">
        <v>1290</v>
      </c>
      <c r="E133" s="249"/>
      <c r="F133" s="659">
        <v>-6</v>
      </c>
      <c r="G133" s="249"/>
      <c r="H133" s="667">
        <v>2.13</v>
      </c>
      <c r="I133" s="251"/>
      <c r="J133" s="667">
        <v>2.09</v>
      </c>
      <c r="K133" s="251"/>
      <c r="L133" s="667">
        <v>0.1</v>
      </c>
      <c r="M133" s="251"/>
      <c r="N133" s="667">
        <v>-0.06</v>
      </c>
      <c r="O133" s="251"/>
      <c r="P133" s="251" t="s">
        <v>2295</v>
      </c>
      <c r="Q133" s="251"/>
      <c r="R133" s="667">
        <v>13.4</v>
      </c>
      <c r="S133" s="240"/>
    </row>
    <row r="134" spans="1:19">
      <c r="A134" s="272"/>
      <c r="B134" s="248"/>
      <c r="C134" s="249"/>
      <c r="D134" s="666" t="s">
        <v>1291</v>
      </c>
      <c r="E134" s="249"/>
      <c r="F134" s="659">
        <v>-6</v>
      </c>
      <c r="G134" s="249"/>
      <c r="H134" s="667">
        <v>1.3399999999999999</v>
      </c>
      <c r="I134" s="251"/>
      <c r="J134" s="667">
        <v>1.3</v>
      </c>
      <c r="K134" s="251"/>
      <c r="L134" s="667">
        <v>6.9999999999999993E-2</v>
      </c>
      <c r="M134" s="251"/>
      <c r="N134" s="667">
        <v>-0.03</v>
      </c>
      <c r="O134" s="251"/>
      <c r="P134" s="251" t="s">
        <v>2295</v>
      </c>
      <c r="Q134" s="251"/>
      <c r="R134" s="667">
        <v>19.3</v>
      </c>
      <c r="S134" s="258"/>
    </row>
    <row r="135" spans="1:19">
      <c r="A135" s="272"/>
      <c r="B135" s="248"/>
      <c r="C135" s="249"/>
      <c r="D135" s="666" t="s">
        <v>1295</v>
      </c>
      <c r="E135" s="249"/>
      <c r="F135" s="659">
        <v>-7</v>
      </c>
      <c r="G135" s="249"/>
      <c r="H135" s="667">
        <v>0.6</v>
      </c>
      <c r="I135" s="251"/>
      <c r="J135" s="667">
        <v>0.6</v>
      </c>
      <c r="K135" s="251"/>
      <c r="L135" s="667">
        <v>0.03</v>
      </c>
      <c r="M135" s="251"/>
      <c r="N135" s="667">
        <v>-0.03</v>
      </c>
      <c r="O135" s="251"/>
      <c r="P135" s="251" t="s">
        <v>2295</v>
      </c>
      <c r="Q135" s="251"/>
      <c r="R135" s="667">
        <v>18.2</v>
      </c>
      <c r="S135" s="258"/>
    </row>
    <row r="136" spans="1:19">
      <c r="A136" s="272"/>
      <c r="B136" s="248"/>
      <c r="C136" s="249"/>
      <c r="D136" s="666" t="s">
        <v>1294</v>
      </c>
      <c r="E136" s="249"/>
      <c r="F136" s="659">
        <v>-7</v>
      </c>
      <c r="G136" s="249"/>
      <c r="H136" s="667">
        <v>4.04</v>
      </c>
      <c r="I136" s="251"/>
      <c r="J136" s="667">
        <v>3.88</v>
      </c>
      <c r="K136" s="251"/>
      <c r="L136" s="667">
        <v>0.22999999999999998</v>
      </c>
      <c r="M136" s="251"/>
      <c r="N136" s="667">
        <v>-6.9999999999999993E-2</v>
      </c>
      <c r="O136" s="251"/>
      <c r="P136" s="251" t="s">
        <v>2295</v>
      </c>
      <c r="Q136" s="251"/>
      <c r="R136" s="667">
        <v>18.399999999999999</v>
      </c>
      <c r="S136" s="240"/>
    </row>
    <row r="137" spans="1:19">
      <c r="A137" s="272"/>
      <c r="B137" s="248"/>
      <c r="C137" s="249"/>
      <c r="D137" s="666" t="s">
        <v>1296</v>
      </c>
      <c r="E137" s="249"/>
      <c r="F137" s="659">
        <v>-7</v>
      </c>
      <c r="G137" s="249"/>
      <c r="H137" s="667">
        <v>1.49</v>
      </c>
      <c r="I137" s="251"/>
      <c r="J137" s="667">
        <v>1.43</v>
      </c>
      <c r="K137" s="251"/>
      <c r="L137" s="667">
        <v>0.09</v>
      </c>
      <c r="M137" s="251"/>
      <c r="N137" s="667">
        <v>-0.03</v>
      </c>
      <c r="O137" s="251"/>
      <c r="P137" s="251" t="s">
        <v>2295</v>
      </c>
      <c r="Q137" s="251"/>
      <c r="R137" s="667">
        <v>17.7</v>
      </c>
      <c r="S137" s="240"/>
    </row>
    <row r="138" spans="1:19">
      <c r="A138" s="272"/>
      <c r="B138" s="248"/>
      <c r="C138" s="249"/>
      <c r="D138" s="666" t="s">
        <v>1299</v>
      </c>
      <c r="E138" s="249"/>
      <c r="F138" s="659">
        <v>-7</v>
      </c>
      <c r="G138" s="249"/>
      <c r="H138" s="667">
        <v>4.9399999999999995</v>
      </c>
      <c r="I138" s="251"/>
      <c r="J138" s="667">
        <v>4.74</v>
      </c>
      <c r="K138" s="251"/>
      <c r="L138" s="667">
        <v>0.28999999999999998</v>
      </c>
      <c r="M138" s="251"/>
      <c r="N138" s="667">
        <v>-0.09</v>
      </c>
      <c r="O138" s="251"/>
      <c r="P138" s="251" t="s">
        <v>2295</v>
      </c>
      <c r="Q138" s="251"/>
      <c r="R138" s="667">
        <v>18.399999999999999</v>
      </c>
      <c r="S138" s="240"/>
    </row>
    <row r="139" spans="1:19">
      <c r="A139" s="272"/>
      <c r="B139" s="248"/>
      <c r="C139" s="249"/>
      <c r="D139" s="666" t="s">
        <v>1297</v>
      </c>
      <c r="E139" s="249"/>
      <c r="F139" s="659">
        <v>-7</v>
      </c>
      <c r="G139" s="249"/>
      <c r="H139" s="667">
        <v>1.4500000000000002</v>
      </c>
      <c r="I139" s="251"/>
      <c r="J139" s="667">
        <v>1.4000000000000001</v>
      </c>
      <c r="K139" s="251"/>
      <c r="L139" s="667">
        <v>0.08</v>
      </c>
      <c r="M139" s="251"/>
      <c r="N139" s="667">
        <v>-0.03</v>
      </c>
      <c r="O139" s="251"/>
      <c r="P139" s="251" t="s">
        <v>2295</v>
      </c>
      <c r="Q139" s="251"/>
      <c r="R139" s="667">
        <v>20.5</v>
      </c>
      <c r="S139" s="240"/>
    </row>
    <row r="140" spans="1:19">
      <c r="A140" s="272"/>
      <c r="B140" s="248"/>
      <c r="C140" s="249"/>
      <c r="D140" s="666" t="s">
        <v>1303</v>
      </c>
      <c r="E140" s="249"/>
      <c r="F140" s="659">
        <v>-7</v>
      </c>
      <c r="G140" s="249"/>
      <c r="H140" s="667">
        <v>3.91</v>
      </c>
      <c r="I140" s="251"/>
      <c r="J140" s="667">
        <v>3.75</v>
      </c>
      <c r="K140" s="251"/>
      <c r="L140" s="667">
        <v>0.22999999999999998</v>
      </c>
      <c r="M140" s="251"/>
      <c r="N140" s="667">
        <v>-6.9999999999999993E-2</v>
      </c>
      <c r="O140" s="251"/>
      <c r="P140" s="251" t="s">
        <v>2295</v>
      </c>
      <c r="Q140" s="251"/>
      <c r="R140" s="667">
        <v>21.2</v>
      </c>
      <c r="S140" s="240"/>
    </row>
    <row r="141" spans="1:19">
      <c r="A141" s="272"/>
      <c r="B141" s="248"/>
      <c r="C141" s="249"/>
      <c r="D141" s="666" t="s">
        <v>1298</v>
      </c>
      <c r="E141" s="249"/>
      <c r="F141" s="659">
        <v>-7</v>
      </c>
      <c r="G141" s="249"/>
      <c r="H141" s="667">
        <v>1.67</v>
      </c>
      <c r="I141" s="251"/>
      <c r="J141" s="667">
        <v>1.6</v>
      </c>
      <c r="K141" s="251"/>
      <c r="L141" s="667">
        <v>0.1</v>
      </c>
      <c r="M141" s="251"/>
      <c r="N141" s="667">
        <v>-0.03</v>
      </c>
      <c r="O141" s="251"/>
      <c r="P141" s="251" t="s">
        <v>2295</v>
      </c>
      <c r="Q141" s="251"/>
      <c r="R141" s="667">
        <v>21.5</v>
      </c>
      <c r="S141" s="240"/>
    </row>
    <row r="142" spans="1:19">
      <c r="A142" s="272"/>
      <c r="B142" s="248"/>
      <c r="C142" s="249"/>
      <c r="D142" s="666" t="s">
        <v>1304</v>
      </c>
      <c r="E142" s="249"/>
      <c r="F142" s="659">
        <v>-7</v>
      </c>
      <c r="G142" s="249"/>
      <c r="H142" s="667">
        <v>4.05</v>
      </c>
      <c r="I142" s="251"/>
      <c r="J142" s="667">
        <v>3.9</v>
      </c>
      <c r="K142" s="251"/>
      <c r="L142" s="667">
        <v>0.22999999999999998</v>
      </c>
      <c r="M142" s="251"/>
      <c r="N142" s="667">
        <v>-0.08</v>
      </c>
      <c r="O142" s="251"/>
      <c r="P142" s="251" t="s">
        <v>2295</v>
      </c>
      <c r="Q142" s="251"/>
      <c r="R142" s="667">
        <v>22.3</v>
      </c>
      <c r="S142" s="240"/>
    </row>
    <row r="143" spans="1:19">
      <c r="A143" s="272"/>
      <c r="B143" s="248"/>
      <c r="C143" s="249"/>
      <c r="D143" s="669" t="s">
        <v>1281</v>
      </c>
      <c r="E143" s="249"/>
      <c r="F143" s="659">
        <v>-13</v>
      </c>
      <c r="G143" s="249"/>
      <c r="H143" s="667">
        <v>2.1800000000000002</v>
      </c>
      <c r="I143" s="251"/>
      <c r="J143" s="667">
        <v>2.04</v>
      </c>
      <c r="K143" s="251"/>
      <c r="L143" s="667">
        <v>0.18</v>
      </c>
      <c r="M143" s="251"/>
      <c r="N143" s="667">
        <v>-0.04</v>
      </c>
      <c r="O143" s="251"/>
      <c r="P143" s="251" t="s">
        <v>2295</v>
      </c>
      <c r="Q143" s="251"/>
      <c r="R143" s="667">
        <v>46.6</v>
      </c>
      <c r="S143" s="240"/>
    </row>
    <row r="144" spans="1:19">
      <c r="A144" s="272"/>
      <c r="B144" s="248"/>
      <c r="C144" s="249"/>
      <c r="D144" s="669" t="s">
        <v>1282</v>
      </c>
      <c r="E144" s="249"/>
      <c r="F144" s="659">
        <v>-13</v>
      </c>
      <c r="G144" s="249"/>
      <c r="H144" s="667">
        <v>1.66</v>
      </c>
      <c r="I144" s="251"/>
      <c r="J144" s="667">
        <v>1.54</v>
      </c>
      <c r="K144" s="251"/>
      <c r="L144" s="667">
        <v>0.13999999999999999</v>
      </c>
      <c r="M144" s="251"/>
      <c r="N144" s="667">
        <v>-0.02</v>
      </c>
      <c r="O144" s="251"/>
      <c r="P144" s="251" t="s">
        <v>2295</v>
      </c>
      <c r="Q144" s="251"/>
      <c r="R144" s="667">
        <v>40.9</v>
      </c>
      <c r="S144" s="240"/>
    </row>
    <row r="145" spans="1:19">
      <c r="A145" s="272"/>
      <c r="B145" s="248"/>
      <c r="C145" s="249"/>
      <c r="D145" s="669" t="s">
        <v>1285</v>
      </c>
      <c r="E145" s="249"/>
      <c r="F145" s="676">
        <v>0</v>
      </c>
      <c r="G145" s="249"/>
      <c r="H145" s="667">
        <v>0</v>
      </c>
      <c r="I145" s="251"/>
      <c r="J145" s="667">
        <v>0</v>
      </c>
      <c r="K145" s="251"/>
      <c r="L145" s="667">
        <v>0</v>
      </c>
      <c r="M145" s="251"/>
      <c r="N145" s="667">
        <v>0</v>
      </c>
      <c r="O145" s="251"/>
      <c r="P145" s="251" t="s">
        <v>1309</v>
      </c>
      <c r="Q145" s="251"/>
      <c r="R145" s="251">
        <v>26.5</v>
      </c>
      <c r="S145" s="240"/>
    </row>
    <row r="146" spans="1:19">
      <c r="A146" s="272"/>
      <c r="B146" s="248"/>
      <c r="C146" s="249"/>
      <c r="D146" s="249"/>
      <c r="E146" s="249"/>
      <c r="F146" s="250"/>
      <c r="G146" s="249"/>
      <c r="H146" s="251"/>
      <c r="I146" s="251"/>
      <c r="J146" s="251"/>
      <c r="K146" s="251"/>
      <c r="L146" s="251"/>
      <c r="M146" s="251"/>
      <c r="N146" s="251"/>
      <c r="O146" s="251"/>
      <c r="P146" s="251"/>
      <c r="Q146" s="251"/>
      <c r="R146" s="251"/>
    </row>
    <row r="147" spans="1:19">
      <c r="A147" s="272"/>
      <c r="B147" s="248"/>
      <c r="C147" s="249"/>
      <c r="D147" s="254" t="s">
        <v>2691</v>
      </c>
      <c r="E147" s="249"/>
      <c r="F147" s="278" t="s">
        <v>2687</v>
      </c>
      <c r="G147" s="249"/>
      <c r="H147" s="251">
        <v>2.5</v>
      </c>
      <c r="I147" s="251"/>
      <c r="J147" s="251"/>
      <c r="K147" s="251"/>
      <c r="L147" s="251"/>
      <c r="M147" s="251"/>
      <c r="N147" s="251"/>
      <c r="O147" s="251"/>
      <c r="P147" s="251" t="str">
        <f>P145</f>
        <v>70-S3</v>
      </c>
      <c r="Q147" s="251"/>
      <c r="R147" s="251">
        <v>24.1</v>
      </c>
    </row>
    <row r="148" spans="1:19">
      <c r="A148" s="472"/>
      <c r="B148" s="478"/>
      <c r="C148" s="476"/>
      <c r="D148" s="482"/>
      <c r="E148" s="480"/>
      <c r="F148" s="480"/>
      <c r="G148" s="472"/>
      <c r="P148" s="662"/>
      <c r="R148" s="663"/>
    </row>
    <row r="149" spans="1:19">
      <c r="A149" s="472"/>
      <c r="B149" s="478">
        <v>315.10000000000002</v>
      </c>
      <c r="C149" s="476"/>
      <c r="D149" s="479" t="s">
        <v>2296</v>
      </c>
      <c r="E149" s="480"/>
      <c r="F149" s="480"/>
      <c r="G149" s="472"/>
      <c r="P149" s="662"/>
      <c r="R149" s="663"/>
    </row>
    <row r="150" spans="1:19">
      <c r="A150" s="472"/>
      <c r="B150" s="478"/>
      <c r="C150" s="476"/>
      <c r="D150" s="479" t="s">
        <v>1284</v>
      </c>
      <c r="E150" s="477"/>
      <c r="F150" s="473">
        <v>-10</v>
      </c>
      <c r="G150" s="472"/>
      <c r="H150" s="661">
        <v>0</v>
      </c>
      <c r="J150" s="661">
        <v>0</v>
      </c>
      <c r="L150" s="661">
        <v>0</v>
      </c>
      <c r="N150" s="661">
        <v>0</v>
      </c>
      <c r="P150" s="661" t="s">
        <v>2295</v>
      </c>
      <c r="R150" s="677">
        <v>0</v>
      </c>
    </row>
    <row r="151" spans="1:19">
      <c r="A151" s="472"/>
      <c r="B151" s="478"/>
      <c r="C151" s="476"/>
      <c r="D151" s="481" t="s">
        <v>1286</v>
      </c>
      <c r="E151" s="477"/>
      <c r="F151" s="473">
        <v>-10</v>
      </c>
      <c r="G151" s="472"/>
      <c r="H151" s="661">
        <v>0</v>
      </c>
      <c r="J151" s="661">
        <v>0</v>
      </c>
      <c r="L151" s="661">
        <v>0</v>
      </c>
      <c r="N151" s="661">
        <v>0</v>
      </c>
      <c r="P151" s="661" t="s">
        <v>2295</v>
      </c>
      <c r="R151" s="677">
        <v>0</v>
      </c>
    </row>
    <row r="152" spans="1:19">
      <c r="A152" s="472"/>
      <c r="B152" s="478"/>
      <c r="C152" s="476"/>
      <c r="D152" s="481" t="s">
        <v>1287</v>
      </c>
      <c r="E152" s="480"/>
      <c r="F152" s="480">
        <v>-10</v>
      </c>
      <c r="G152" s="472"/>
      <c r="H152" s="661">
        <v>0</v>
      </c>
      <c r="J152" s="661">
        <v>0</v>
      </c>
      <c r="L152" s="661">
        <v>0</v>
      </c>
      <c r="N152" s="661">
        <v>0</v>
      </c>
      <c r="P152" s="662" t="s">
        <v>2295</v>
      </c>
      <c r="R152" s="677">
        <v>0</v>
      </c>
    </row>
    <row r="153" spans="1:19">
      <c r="A153" s="472"/>
      <c r="B153" s="478"/>
      <c r="C153" s="476"/>
      <c r="D153" s="482"/>
      <c r="E153" s="480"/>
      <c r="F153" s="480"/>
      <c r="G153" s="472"/>
      <c r="P153" s="662"/>
      <c r="R153" s="677"/>
    </row>
    <row r="154" spans="1:19">
      <c r="A154" s="472"/>
      <c r="B154" s="478"/>
      <c r="C154" s="476"/>
      <c r="D154" s="482" t="s">
        <v>2297</v>
      </c>
      <c r="E154" s="480"/>
      <c r="F154" s="480"/>
      <c r="G154" s="472"/>
      <c r="H154" s="661">
        <v>0</v>
      </c>
      <c r="J154" s="661">
        <v>0</v>
      </c>
      <c r="L154" s="661">
        <v>0</v>
      </c>
      <c r="N154" s="661">
        <v>0</v>
      </c>
      <c r="P154" s="662"/>
      <c r="R154" s="677">
        <v>0</v>
      </c>
    </row>
    <row r="155" spans="1:19">
      <c r="A155" s="472"/>
      <c r="B155" s="478"/>
      <c r="C155" s="476"/>
      <c r="D155" s="482"/>
      <c r="E155" s="480"/>
      <c r="F155" s="480"/>
      <c r="G155" s="472"/>
      <c r="P155" s="662"/>
      <c r="R155" s="677"/>
    </row>
    <row r="156" spans="1:19">
      <c r="A156" s="472">
        <v>315</v>
      </c>
      <c r="B156" s="478"/>
      <c r="C156" s="476"/>
      <c r="D156" s="482" t="s">
        <v>1310</v>
      </c>
      <c r="E156" s="480"/>
      <c r="F156" s="480" t="s">
        <v>2687</v>
      </c>
      <c r="G156" s="472"/>
      <c r="H156" s="661">
        <v>2.5</v>
      </c>
      <c r="P156" s="662" t="s">
        <v>1309</v>
      </c>
      <c r="R156" s="677">
        <v>24.1</v>
      </c>
    </row>
    <row r="157" spans="1:19">
      <c r="A157" s="472"/>
      <c r="B157" s="478"/>
      <c r="C157" s="476"/>
      <c r="D157" s="482"/>
      <c r="E157" s="480"/>
      <c r="F157" s="480"/>
      <c r="G157" s="472"/>
      <c r="P157" s="662"/>
      <c r="R157" s="677"/>
    </row>
    <row r="158" spans="1:19">
      <c r="A158" s="272"/>
      <c r="B158" s="248"/>
      <c r="C158" s="249"/>
      <c r="D158" s="249"/>
      <c r="E158" s="249"/>
      <c r="F158" s="250"/>
      <c r="G158" s="249"/>
      <c r="H158" s="251"/>
      <c r="I158" s="251"/>
      <c r="J158" s="251"/>
      <c r="K158" s="251"/>
      <c r="L158" s="251"/>
      <c r="M158" s="251"/>
      <c r="N158" s="251"/>
      <c r="O158" s="251"/>
      <c r="P158" s="251"/>
      <c r="Q158" s="251"/>
      <c r="R158" s="251"/>
    </row>
    <row r="159" spans="1:19">
      <c r="A159" s="272"/>
      <c r="B159" s="248">
        <v>316</v>
      </c>
      <c r="C159" s="249" t="s">
        <v>160</v>
      </c>
      <c r="D159" s="249" t="s">
        <v>1311</v>
      </c>
      <c r="E159" s="249"/>
      <c r="F159" s="250"/>
      <c r="G159" s="249"/>
      <c r="H159" s="251"/>
      <c r="I159" s="251"/>
      <c r="J159" s="251"/>
      <c r="K159" s="251"/>
      <c r="L159" s="251"/>
      <c r="M159" s="251"/>
      <c r="N159" s="251"/>
      <c r="O159" s="251"/>
      <c r="P159" s="251"/>
      <c r="Q159" s="251"/>
      <c r="R159" s="251"/>
    </row>
    <row r="160" spans="1:19">
      <c r="A160" s="272"/>
      <c r="B160" s="248"/>
      <c r="C160" s="249"/>
      <c r="D160" s="253" t="s">
        <v>1281</v>
      </c>
      <c r="E160" s="249"/>
      <c r="F160" s="250">
        <v>-11</v>
      </c>
      <c r="G160" s="249"/>
      <c r="H160" s="667">
        <v>1.5999999999999996</v>
      </c>
      <c r="I160" s="251"/>
      <c r="J160" s="667">
        <v>1.5699999999999998</v>
      </c>
      <c r="K160" s="251"/>
      <c r="L160" s="667">
        <v>0.06</v>
      </c>
      <c r="M160" s="251"/>
      <c r="N160" s="667">
        <v>-0.03</v>
      </c>
      <c r="O160" s="251"/>
      <c r="P160" s="660" t="s">
        <v>2299</v>
      </c>
      <c r="Q160" s="251"/>
      <c r="R160" s="251">
        <v>48.2</v>
      </c>
    </row>
    <row r="161" spans="1:19">
      <c r="A161" s="272"/>
      <c r="B161" s="248"/>
      <c r="C161" s="249"/>
      <c r="D161" s="249" t="s">
        <v>1283</v>
      </c>
      <c r="E161" s="249"/>
      <c r="F161" s="250">
        <v>-1</v>
      </c>
      <c r="G161" s="249"/>
      <c r="H161" s="667">
        <v>0.06</v>
      </c>
      <c r="I161" s="251"/>
      <c r="J161" s="667">
        <v>6.9999999999999993E-2</v>
      </c>
      <c r="K161" s="251"/>
      <c r="L161" s="667">
        <v>0</v>
      </c>
      <c r="M161" s="251"/>
      <c r="N161" s="667">
        <v>-0.01</v>
      </c>
      <c r="O161" s="251"/>
      <c r="P161" s="660" t="s">
        <v>2299</v>
      </c>
      <c r="Q161" s="251"/>
      <c r="R161" s="251">
        <v>26.8</v>
      </c>
    </row>
    <row r="162" spans="1:19">
      <c r="A162" s="272"/>
      <c r="B162" s="248"/>
      <c r="C162" s="249"/>
      <c r="D162" s="253" t="s">
        <v>1286</v>
      </c>
      <c r="E162" s="249"/>
      <c r="F162" s="250">
        <v>-2</v>
      </c>
      <c r="G162" s="249"/>
      <c r="H162" s="667">
        <v>1.27</v>
      </c>
      <c r="I162" s="251"/>
      <c r="J162" s="667">
        <v>1.22</v>
      </c>
      <c r="K162" s="251"/>
      <c r="L162" s="667">
        <v>0.06</v>
      </c>
      <c r="M162" s="251"/>
      <c r="N162" s="667">
        <v>-0.01</v>
      </c>
      <c r="O162" s="251"/>
      <c r="P162" s="660" t="s">
        <v>2299</v>
      </c>
      <c r="Q162" s="251"/>
      <c r="R162" s="251">
        <v>4</v>
      </c>
      <c r="S162" s="240"/>
    </row>
    <row r="163" spans="1:19">
      <c r="A163" s="272"/>
      <c r="B163" s="248"/>
      <c r="C163" s="249"/>
      <c r="D163" s="253" t="s">
        <v>1289</v>
      </c>
      <c r="E163" s="249"/>
      <c r="F163" s="250">
        <v>-4</v>
      </c>
      <c r="G163" s="249"/>
      <c r="H163" s="667">
        <v>3.0300000000000002</v>
      </c>
      <c r="I163" s="251"/>
      <c r="J163" s="667">
        <v>2.91</v>
      </c>
      <c r="K163" s="251"/>
      <c r="L163" s="667">
        <v>0.15</v>
      </c>
      <c r="M163" s="251"/>
      <c r="N163" s="667">
        <v>-0.03</v>
      </c>
      <c r="O163" s="251"/>
      <c r="P163" s="660" t="s">
        <v>2299</v>
      </c>
      <c r="Q163" s="251"/>
      <c r="R163" s="251">
        <v>16</v>
      </c>
      <c r="S163" s="240"/>
    </row>
    <row r="164" spans="1:19">
      <c r="A164" s="272"/>
      <c r="B164" s="248"/>
      <c r="C164" s="249"/>
      <c r="D164" s="253" t="s">
        <v>1290</v>
      </c>
      <c r="E164" s="249"/>
      <c r="F164" s="250">
        <v>-4</v>
      </c>
      <c r="G164" s="249"/>
      <c r="H164" s="667">
        <v>0</v>
      </c>
      <c r="I164" s="251"/>
      <c r="J164" s="667">
        <v>0</v>
      </c>
      <c r="K164" s="251"/>
      <c r="L164" s="667">
        <v>0</v>
      </c>
      <c r="M164" s="251"/>
      <c r="N164" s="667">
        <v>0</v>
      </c>
      <c r="O164" s="251"/>
      <c r="P164" s="660"/>
      <c r="Q164" s="251"/>
      <c r="R164" s="251">
        <v>21.7</v>
      </c>
      <c r="S164" s="240"/>
    </row>
    <row r="165" spans="1:19">
      <c r="A165" s="272"/>
      <c r="B165" s="248"/>
      <c r="C165" s="249"/>
      <c r="D165" s="253" t="s">
        <v>1291</v>
      </c>
      <c r="E165" s="249"/>
      <c r="F165" s="250">
        <v>-4</v>
      </c>
      <c r="G165" s="249"/>
      <c r="H165" s="667">
        <v>0</v>
      </c>
      <c r="I165" s="251"/>
      <c r="J165" s="667">
        <v>0</v>
      </c>
      <c r="K165" s="251"/>
      <c r="L165" s="667">
        <v>0</v>
      </c>
      <c r="M165" s="251"/>
      <c r="N165" s="667">
        <v>0</v>
      </c>
      <c r="O165" s="251"/>
      <c r="P165" s="660" t="s">
        <v>2299</v>
      </c>
      <c r="Q165" s="251"/>
      <c r="R165" s="251">
        <v>22.3</v>
      </c>
      <c r="S165" s="240"/>
    </row>
    <row r="166" spans="1:19">
      <c r="A166" s="274"/>
      <c r="B166" s="255"/>
      <c r="C166" s="249"/>
      <c r="D166" s="253" t="s">
        <v>1294</v>
      </c>
      <c r="E166" s="249"/>
      <c r="F166" s="250">
        <v>-5</v>
      </c>
      <c r="G166" s="249"/>
      <c r="H166" s="667">
        <v>0</v>
      </c>
      <c r="I166" s="251"/>
      <c r="J166" s="667">
        <v>0</v>
      </c>
      <c r="K166" s="251"/>
      <c r="L166" s="667">
        <v>0</v>
      </c>
      <c r="M166" s="251"/>
      <c r="N166" s="667">
        <v>0</v>
      </c>
      <c r="O166" s="251"/>
      <c r="P166" s="660" t="s">
        <v>2299</v>
      </c>
      <c r="Q166" s="251"/>
      <c r="R166" s="251">
        <v>21.4</v>
      </c>
      <c r="S166" s="240"/>
    </row>
    <row r="167" spans="1:19">
      <c r="A167" s="272"/>
      <c r="B167" s="248"/>
      <c r="C167" s="249"/>
      <c r="D167" s="253" t="s">
        <v>1295</v>
      </c>
      <c r="E167" s="249"/>
      <c r="F167" s="250">
        <v>-5</v>
      </c>
      <c r="G167" s="249"/>
      <c r="H167" s="667">
        <v>3.0399999999999996</v>
      </c>
      <c r="I167" s="251"/>
      <c r="J167" s="667">
        <v>3.01</v>
      </c>
      <c r="K167" s="251"/>
      <c r="L167" s="667">
        <v>0.06</v>
      </c>
      <c r="M167" s="251"/>
      <c r="N167" s="667">
        <v>-0.03</v>
      </c>
      <c r="O167" s="251"/>
      <c r="P167" s="660" t="s">
        <v>2299</v>
      </c>
      <c r="Q167" s="251"/>
      <c r="R167" s="251">
        <v>21.2</v>
      </c>
      <c r="S167" s="240"/>
    </row>
    <row r="168" spans="1:19">
      <c r="A168" s="668"/>
      <c r="B168" s="249"/>
      <c r="C168" s="249"/>
      <c r="D168" s="253" t="s">
        <v>1296</v>
      </c>
      <c r="E168" s="249"/>
      <c r="F168" s="250">
        <v>-5</v>
      </c>
      <c r="G168" s="249"/>
      <c r="H168" s="667">
        <v>2.5100000000000002</v>
      </c>
      <c r="I168" s="251"/>
      <c r="J168" s="667">
        <v>2.34</v>
      </c>
      <c r="K168" s="251"/>
      <c r="L168" s="667">
        <v>0.19</v>
      </c>
      <c r="M168" s="251"/>
      <c r="N168" s="667">
        <v>-0.02</v>
      </c>
      <c r="O168" s="251"/>
      <c r="P168" s="660" t="s">
        <v>2299</v>
      </c>
      <c r="Q168" s="251"/>
      <c r="R168" s="251">
        <v>20.6</v>
      </c>
      <c r="S168" s="240"/>
    </row>
    <row r="169" spans="1:19">
      <c r="A169" s="272"/>
      <c r="B169" s="248"/>
      <c r="C169" s="249"/>
      <c r="D169" s="253" t="s">
        <v>1297</v>
      </c>
      <c r="E169" s="249"/>
      <c r="F169" s="250">
        <v>-5</v>
      </c>
      <c r="G169" s="249"/>
      <c r="H169" s="667">
        <v>0</v>
      </c>
      <c r="I169" s="251"/>
      <c r="J169" s="667">
        <v>0</v>
      </c>
      <c r="K169" s="251"/>
      <c r="L169" s="667">
        <v>0</v>
      </c>
      <c r="M169" s="251"/>
      <c r="N169" s="667">
        <v>0</v>
      </c>
      <c r="O169" s="251"/>
      <c r="P169" s="660" t="s">
        <v>2299</v>
      </c>
      <c r="Q169" s="251"/>
      <c r="R169" s="251">
        <v>23.2</v>
      </c>
      <c r="S169" s="240"/>
    </row>
    <row r="170" spans="1:19">
      <c r="A170" s="272"/>
      <c r="B170" s="248"/>
      <c r="C170" s="249"/>
      <c r="D170" s="253" t="s">
        <v>1298</v>
      </c>
      <c r="E170" s="249"/>
      <c r="F170" s="250">
        <v>-5</v>
      </c>
      <c r="G170" s="249"/>
      <c r="H170" s="667">
        <v>0</v>
      </c>
      <c r="I170" s="251"/>
      <c r="J170" s="667">
        <v>0</v>
      </c>
      <c r="K170" s="251"/>
      <c r="L170" s="667">
        <v>0</v>
      </c>
      <c r="M170" s="251"/>
      <c r="N170" s="667">
        <v>0</v>
      </c>
      <c r="O170" s="251"/>
      <c r="P170" s="660" t="s">
        <v>2299</v>
      </c>
      <c r="Q170" s="251"/>
      <c r="R170" s="251">
        <v>24.8</v>
      </c>
      <c r="S170" s="261"/>
    </row>
    <row r="171" spans="1:19">
      <c r="A171" s="272"/>
      <c r="B171" s="248"/>
      <c r="C171" s="249"/>
      <c r="D171" s="253"/>
      <c r="E171" s="249"/>
      <c r="F171" s="250"/>
      <c r="G171" s="249"/>
      <c r="H171" s="251"/>
      <c r="I171" s="251"/>
      <c r="J171" s="251"/>
      <c r="K171" s="251"/>
      <c r="L171" s="251"/>
      <c r="M171" s="251"/>
      <c r="N171" s="251"/>
      <c r="O171" s="251"/>
      <c r="P171" s="251"/>
      <c r="Q171" s="251"/>
      <c r="R171" s="251"/>
      <c r="S171" s="240"/>
    </row>
    <row r="172" spans="1:19">
      <c r="B172" s="248"/>
      <c r="C172" s="249"/>
      <c r="D172" s="254" t="s">
        <v>2692</v>
      </c>
      <c r="E172" s="249"/>
      <c r="F172" s="278" t="s">
        <v>1838</v>
      </c>
      <c r="G172" s="249"/>
      <c r="H172" s="251">
        <v>2.29</v>
      </c>
      <c r="I172" s="251"/>
      <c r="J172" s="251"/>
      <c r="K172" s="251"/>
      <c r="L172" s="251"/>
      <c r="M172" s="251"/>
      <c r="N172" s="251"/>
      <c r="O172" s="251"/>
      <c r="P172" s="251" t="str">
        <f>P170</f>
        <v>75-R1.5</v>
      </c>
      <c r="Q172" s="251"/>
      <c r="R172" s="251">
        <v>25.8</v>
      </c>
      <c r="S172" s="240"/>
    </row>
    <row r="173" spans="1:19">
      <c r="A173" s="272"/>
      <c r="B173" s="248"/>
      <c r="C173" s="249"/>
      <c r="D173" s="254"/>
      <c r="E173" s="249"/>
      <c r="F173" s="278"/>
      <c r="G173" s="249"/>
      <c r="H173" s="251"/>
      <c r="I173" s="251"/>
      <c r="J173" s="251"/>
      <c r="K173" s="251"/>
      <c r="L173" s="251"/>
      <c r="M173" s="251"/>
      <c r="N173" s="251"/>
      <c r="O173" s="251"/>
      <c r="P173" s="251"/>
      <c r="Q173" s="251"/>
      <c r="R173" s="251"/>
      <c r="S173" s="240"/>
    </row>
    <row r="174" spans="1:19">
      <c r="A174" s="472"/>
      <c r="B174" s="478">
        <v>316.10000000000002</v>
      </c>
      <c r="C174" s="476"/>
      <c r="D174" s="479" t="s">
        <v>2301</v>
      </c>
      <c r="E174" s="480"/>
      <c r="F174" s="480"/>
      <c r="G174" s="472"/>
      <c r="P174" s="662"/>
      <c r="R174" s="663"/>
      <c r="S174" s="258"/>
    </row>
    <row r="175" spans="1:19">
      <c r="A175" s="472"/>
      <c r="B175" s="478"/>
      <c r="C175" s="476"/>
      <c r="D175" s="479" t="s">
        <v>1284</v>
      </c>
      <c r="E175" s="480"/>
      <c r="F175" s="250">
        <v>-3</v>
      </c>
      <c r="G175" s="249"/>
      <c r="H175" s="661">
        <v>0</v>
      </c>
      <c r="J175" s="661">
        <v>0</v>
      </c>
      <c r="L175" s="661">
        <v>0</v>
      </c>
      <c r="N175" s="661">
        <v>0</v>
      </c>
      <c r="O175" s="251"/>
      <c r="P175" s="660" t="s">
        <v>2299</v>
      </c>
      <c r="Q175" s="251"/>
      <c r="R175" s="677">
        <v>0</v>
      </c>
      <c r="S175" s="267"/>
    </row>
    <row r="176" spans="1:19">
      <c r="A176" s="472"/>
      <c r="B176" s="478"/>
      <c r="C176" s="476"/>
      <c r="D176" s="479" t="s">
        <v>1285</v>
      </c>
      <c r="E176" s="480"/>
      <c r="F176" s="250">
        <v>-3</v>
      </c>
      <c r="G176" s="249"/>
      <c r="H176" s="661">
        <v>0</v>
      </c>
      <c r="J176" s="661">
        <v>0</v>
      </c>
      <c r="L176" s="661">
        <v>0</v>
      </c>
      <c r="N176" s="661">
        <v>0</v>
      </c>
      <c r="O176" s="251"/>
      <c r="P176" s="660" t="s">
        <v>2299</v>
      </c>
      <c r="Q176" s="251"/>
      <c r="R176" s="677">
        <v>0</v>
      </c>
      <c r="S176" s="267"/>
    </row>
    <row r="177" spans="1:19">
      <c r="A177" s="472"/>
      <c r="B177" s="478"/>
      <c r="C177" s="476"/>
      <c r="D177" s="481" t="s">
        <v>1287</v>
      </c>
      <c r="E177" s="480"/>
      <c r="F177" s="250">
        <v>-2</v>
      </c>
      <c r="G177" s="249"/>
      <c r="H177" s="661">
        <v>0</v>
      </c>
      <c r="J177" s="661">
        <v>0</v>
      </c>
      <c r="L177" s="661">
        <v>0</v>
      </c>
      <c r="N177" s="661">
        <v>0</v>
      </c>
      <c r="O177" s="251"/>
      <c r="P177" s="660" t="s">
        <v>2299</v>
      </c>
      <c r="Q177" s="251"/>
      <c r="R177" s="677">
        <v>0</v>
      </c>
      <c r="S177" s="267"/>
    </row>
    <row r="178" spans="1:19">
      <c r="A178" s="472"/>
      <c r="B178" s="478"/>
      <c r="C178" s="476"/>
      <c r="D178" s="481" t="s">
        <v>1288</v>
      </c>
      <c r="E178" s="480"/>
      <c r="F178" s="250">
        <v>-2</v>
      </c>
      <c r="G178" s="249"/>
      <c r="H178" s="661">
        <v>0</v>
      </c>
      <c r="J178" s="661">
        <v>0</v>
      </c>
      <c r="L178" s="661">
        <v>0</v>
      </c>
      <c r="N178" s="661">
        <v>0</v>
      </c>
      <c r="O178" s="251"/>
      <c r="P178" s="660" t="s">
        <v>2299</v>
      </c>
      <c r="Q178" s="251"/>
      <c r="R178" s="677">
        <v>0</v>
      </c>
      <c r="S178" s="267"/>
    </row>
    <row r="179" spans="1:19">
      <c r="A179" s="472"/>
      <c r="B179" s="478"/>
      <c r="C179" s="476"/>
      <c r="D179" s="482"/>
      <c r="E179" s="480"/>
      <c r="F179" s="480"/>
      <c r="G179" s="472"/>
      <c r="P179" s="662"/>
      <c r="R179" s="677"/>
      <c r="S179" s="267"/>
    </row>
    <row r="180" spans="1:19">
      <c r="A180" s="472"/>
      <c r="B180" s="478"/>
      <c r="C180" s="476"/>
      <c r="D180" s="482" t="s">
        <v>2302</v>
      </c>
      <c r="E180" s="480"/>
      <c r="F180" s="480"/>
      <c r="G180" s="472"/>
      <c r="H180" s="677">
        <v>0</v>
      </c>
      <c r="P180" s="662"/>
      <c r="R180" s="677">
        <v>0</v>
      </c>
      <c r="S180" s="240"/>
    </row>
    <row r="181" spans="1:19">
      <c r="A181" s="472"/>
      <c r="B181" s="478"/>
      <c r="C181" s="476"/>
      <c r="D181" s="482"/>
      <c r="E181" s="480"/>
      <c r="F181" s="480"/>
      <c r="G181" s="472"/>
      <c r="H181" s="677"/>
      <c r="P181" s="662"/>
      <c r="R181" s="677"/>
      <c r="S181" s="240"/>
    </row>
    <row r="182" spans="1:19">
      <c r="A182" s="272">
        <v>316</v>
      </c>
      <c r="B182" s="478"/>
      <c r="C182" s="476"/>
      <c r="D182" s="482" t="s">
        <v>2693</v>
      </c>
      <c r="E182" s="480"/>
      <c r="F182" s="278" t="s">
        <v>1838</v>
      </c>
      <c r="G182" s="249"/>
      <c r="H182" s="251">
        <v>2.29</v>
      </c>
      <c r="I182" s="251"/>
      <c r="J182" s="251"/>
      <c r="K182" s="251"/>
      <c r="L182" s="251"/>
      <c r="M182" s="251"/>
      <c r="N182" s="251"/>
      <c r="O182" s="251"/>
      <c r="P182" s="251" t="str">
        <f>P172</f>
        <v>75-R1.5</v>
      </c>
      <c r="Q182" s="251"/>
      <c r="R182" s="251">
        <v>25.8</v>
      </c>
      <c r="S182" s="240"/>
    </row>
    <row r="183" spans="1:19">
      <c r="A183" s="272"/>
      <c r="B183" s="248"/>
      <c r="C183" s="249"/>
      <c r="D183" s="254"/>
      <c r="E183" s="249"/>
      <c r="F183" s="250"/>
      <c r="G183" s="249"/>
      <c r="H183" s="251"/>
      <c r="I183" s="251"/>
      <c r="J183" s="251"/>
      <c r="K183" s="251"/>
      <c r="L183" s="251"/>
      <c r="M183" s="251"/>
      <c r="N183" s="251"/>
      <c r="O183" s="251"/>
      <c r="P183" s="251"/>
      <c r="Q183" s="251"/>
      <c r="R183" s="251"/>
      <c r="S183" s="240"/>
    </row>
    <row r="184" spans="1:19">
      <c r="A184" s="272"/>
      <c r="B184" s="248"/>
      <c r="C184" s="249"/>
      <c r="D184" s="247" t="s">
        <v>1313</v>
      </c>
      <c r="E184" s="249"/>
      <c r="F184" s="250"/>
      <c r="G184" s="249"/>
      <c r="H184" s="251">
        <v>2.25</v>
      </c>
      <c r="I184" s="251"/>
      <c r="J184" s="251"/>
      <c r="K184" s="251"/>
      <c r="L184" s="251"/>
      <c r="M184" s="251"/>
      <c r="N184" s="251"/>
      <c r="O184" s="251"/>
      <c r="P184" s="251"/>
      <c r="Q184" s="251"/>
      <c r="R184" s="251"/>
      <c r="S184" s="240"/>
    </row>
    <row r="185" spans="1:19">
      <c r="A185" s="272"/>
      <c r="B185" s="248"/>
      <c r="C185" s="249"/>
      <c r="D185" s="247"/>
      <c r="E185" s="249"/>
      <c r="F185" s="250"/>
      <c r="G185" s="249"/>
      <c r="H185" s="251"/>
      <c r="I185" s="251"/>
      <c r="J185" s="251"/>
      <c r="K185" s="251"/>
      <c r="L185" s="251"/>
      <c r="M185" s="251"/>
      <c r="N185" s="251"/>
      <c r="O185" s="251"/>
      <c r="P185" s="251"/>
      <c r="Q185" s="251"/>
      <c r="R185" s="251"/>
      <c r="S185" s="240"/>
    </row>
    <row r="186" spans="1:19">
      <c r="A186" s="272"/>
      <c r="B186" s="248"/>
      <c r="C186" s="249"/>
      <c r="D186" s="245" t="s">
        <v>316</v>
      </c>
      <c r="E186" s="249"/>
      <c r="F186" s="250"/>
      <c r="G186" s="249"/>
      <c r="H186" s="251"/>
      <c r="I186" s="251"/>
      <c r="J186" s="251"/>
      <c r="K186" s="251"/>
      <c r="L186" s="251"/>
      <c r="M186" s="251"/>
      <c r="N186" s="251"/>
      <c r="O186" s="251"/>
      <c r="P186" s="251"/>
      <c r="Q186" s="251"/>
      <c r="R186" s="251"/>
      <c r="S186" s="240"/>
    </row>
    <row r="187" spans="1:19">
      <c r="A187" s="272"/>
      <c r="B187" s="248"/>
      <c r="C187" s="249"/>
      <c r="D187" s="257"/>
      <c r="E187" s="249"/>
      <c r="F187" s="250"/>
      <c r="G187" s="249"/>
      <c r="H187" s="251"/>
      <c r="I187" s="251"/>
      <c r="J187" s="251"/>
      <c r="K187" s="251"/>
      <c r="L187" s="251"/>
      <c r="M187" s="251"/>
      <c r="N187" s="251"/>
      <c r="O187" s="251"/>
      <c r="P187" s="251"/>
      <c r="Q187" s="251"/>
      <c r="R187" s="251"/>
      <c r="S187" s="240"/>
    </row>
    <row r="188" spans="1:19">
      <c r="A188" s="272"/>
      <c r="B188" s="248">
        <v>330.1</v>
      </c>
      <c r="C188" s="249"/>
      <c r="D188" s="257" t="s">
        <v>1314</v>
      </c>
      <c r="E188" s="249"/>
      <c r="F188" s="250"/>
      <c r="G188" s="249"/>
      <c r="H188" s="251"/>
      <c r="I188" s="251"/>
      <c r="J188" s="251"/>
      <c r="K188" s="251"/>
      <c r="L188" s="251"/>
      <c r="M188" s="251"/>
      <c r="N188" s="251"/>
      <c r="O188" s="251"/>
      <c r="P188" s="251"/>
      <c r="Q188" s="251"/>
      <c r="R188" s="251"/>
      <c r="S188" s="240"/>
    </row>
    <row r="189" spans="1:19">
      <c r="A189" s="272">
        <v>330</v>
      </c>
      <c r="B189" s="248"/>
      <c r="C189" s="249"/>
      <c r="D189" s="257" t="s">
        <v>1315</v>
      </c>
      <c r="E189" s="249"/>
      <c r="F189" s="678">
        <v>0</v>
      </c>
      <c r="G189" s="249"/>
      <c r="H189" s="251">
        <v>0</v>
      </c>
      <c r="I189" s="251"/>
      <c r="J189" s="251">
        <v>0</v>
      </c>
      <c r="K189" s="251"/>
      <c r="L189" s="251">
        <v>0</v>
      </c>
      <c r="M189" s="251"/>
      <c r="N189" s="251">
        <v>0</v>
      </c>
      <c r="O189" s="251"/>
      <c r="P189" s="656" t="s">
        <v>1316</v>
      </c>
      <c r="Q189" s="656"/>
      <c r="R189" s="657">
        <v>0</v>
      </c>
      <c r="S189" s="240"/>
    </row>
    <row r="190" spans="1:19">
      <c r="A190" s="272"/>
      <c r="B190" s="248"/>
      <c r="C190" s="249"/>
      <c r="D190" s="257"/>
      <c r="E190" s="249"/>
      <c r="F190" s="678"/>
      <c r="G190" s="249"/>
      <c r="H190" s="251"/>
      <c r="I190" s="251"/>
      <c r="J190" s="251"/>
      <c r="K190" s="251"/>
      <c r="L190" s="251"/>
      <c r="M190" s="251"/>
      <c r="N190" s="251"/>
      <c r="O190" s="251"/>
      <c r="P190" s="656"/>
      <c r="Q190" s="656"/>
      <c r="R190" s="657"/>
      <c r="S190" s="240"/>
    </row>
    <row r="191" spans="1:19">
      <c r="A191" s="272"/>
      <c r="B191" s="248"/>
      <c r="C191" s="249"/>
      <c r="D191" s="259" t="s">
        <v>1317</v>
      </c>
      <c r="E191" s="249"/>
      <c r="F191" s="678"/>
      <c r="G191" s="249"/>
      <c r="H191" s="251">
        <v>0</v>
      </c>
      <c r="I191" s="251"/>
      <c r="J191" s="251"/>
      <c r="K191" s="251"/>
      <c r="L191" s="251"/>
      <c r="M191" s="251"/>
      <c r="N191" s="251"/>
      <c r="O191" s="251"/>
      <c r="P191" s="656"/>
      <c r="Q191" s="656"/>
      <c r="R191" s="657">
        <v>0</v>
      </c>
      <c r="S191" s="240"/>
    </row>
    <row r="192" spans="1:19">
      <c r="A192" s="272"/>
      <c r="B192" s="248"/>
      <c r="C192" s="249"/>
      <c r="D192" s="257"/>
      <c r="E192" s="249"/>
      <c r="F192" s="678"/>
      <c r="G192" s="249"/>
      <c r="H192" s="251"/>
      <c r="I192" s="251"/>
      <c r="J192" s="251"/>
      <c r="K192" s="251"/>
      <c r="L192" s="251"/>
      <c r="M192" s="251"/>
      <c r="N192" s="251"/>
      <c r="O192" s="251"/>
      <c r="P192" s="656"/>
      <c r="Q192" s="656"/>
      <c r="R192" s="657"/>
      <c r="S192" s="240"/>
    </row>
    <row r="193" spans="1:19">
      <c r="A193" s="272"/>
      <c r="B193" s="248">
        <v>331</v>
      </c>
      <c r="C193" s="249"/>
      <c r="D193" s="257" t="s">
        <v>1318</v>
      </c>
      <c r="E193" s="249"/>
      <c r="F193" s="678"/>
      <c r="G193" s="249"/>
      <c r="H193" s="251"/>
      <c r="I193" s="251"/>
      <c r="J193" s="251"/>
      <c r="K193" s="251"/>
      <c r="L193" s="251"/>
      <c r="M193" s="251"/>
      <c r="N193" s="251"/>
      <c r="O193" s="251"/>
      <c r="P193" s="656"/>
      <c r="Q193" s="656"/>
      <c r="R193" s="657"/>
      <c r="S193" s="240"/>
    </row>
    <row r="194" spans="1:19">
      <c r="A194" s="272">
        <v>331</v>
      </c>
      <c r="B194" s="248"/>
      <c r="C194" s="249"/>
      <c r="D194" s="257" t="s">
        <v>1319</v>
      </c>
      <c r="E194" s="249"/>
      <c r="F194" s="678">
        <v>-3</v>
      </c>
      <c r="G194" s="249"/>
      <c r="H194" s="251">
        <v>2.48</v>
      </c>
      <c r="I194" s="251"/>
      <c r="J194" s="251">
        <v>2.41</v>
      </c>
      <c r="K194" s="251"/>
      <c r="L194" s="251">
        <v>7.0000000000000007E-2</v>
      </c>
      <c r="M194" s="251"/>
      <c r="N194" s="251">
        <v>0</v>
      </c>
      <c r="O194" s="251"/>
      <c r="P194" s="656" t="s">
        <v>1320</v>
      </c>
      <c r="Q194" s="656"/>
      <c r="R194" s="657">
        <v>24.7</v>
      </c>
    </row>
    <row r="195" spans="1:19">
      <c r="A195" s="272"/>
      <c r="B195" s="248"/>
      <c r="C195" s="249"/>
      <c r="D195" s="257"/>
      <c r="E195" s="249"/>
      <c r="F195" s="678"/>
      <c r="G195" s="249"/>
      <c r="H195" s="251"/>
      <c r="I195" s="251"/>
      <c r="J195" s="251"/>
      <c r="K195" s="251"/>
      <c r="L195" s="251"/>
      <c r="M195" s="251"/>
      <c r="N195" s="251"/>
      <c r="O195" s="251"/>
      <c r="P195" s="656"/>
      <c r="Q195" s="656"/>
      <c r="R195" s="657"/>
    </row>
    <row r="196" spans="1:19">
      <c r="A196" s="272"/>
      <c r="B196" s="248"/>
      <c r="C196" s="249"/>
      <c r="D196" s="259" t="s">
        <v>1321</v>
      </c>
      <c r="E196" s="249"/>
      <c r="F196" s="678"/>
      <c r="G196" s="249"/>
      <c r="H196" s="251">
        <v>2.48</v>
      </c>
      <c r="I196" s="251"/>
      <c r="J196" s="251"/>
      <c r="K196" s="251"/>
      <c r="L196" s="251"/>
      <c r="M196" s="251"/>
      <c r="N196" s="251"/>
      <c r="O196" s="251"/>
      <c r="P196" s="656"/>
      <c r="Q196" s="656"/>
      <c r="R196" s="657">
        <v>24.7</v>
      </c>
    </row>
    <row r="197" spans="1:19">
      <c r="A197" s="272"/>
      <c r="B197" s="248"/>
      <c r="C197" s="249"/>
      <c r="D197" s="257"/>
      <c r="E197" s="249"/>
      <c r="F197" s="678"/>
      <c r="G197" s="249"/>
      <c r="H197" s="251"/>
      <c r="I197" s="251"/>
      <c r="J197" s="251"/>
      <c r="K197" s="251"/>
      <c r="L197" s="251"/>
      <c r="M197" s="251"/>
      <c r="N197" s="251"/>
      <c r="O197" s="251"/>
      <c r="P197" s="656"/>
      <c r="Q197" s="656"/>
      <c r="R197" s="657"/>
    </row>
    <row r="198" spans="1:19">
      <c r="A198" s="272"/>
      <c r="B198" s="248">
        <v>332</v>
      </c>
      <c r="C198" s="249"/>
      <c r="D198" s="257" t="s">
        <v>1322</v>
      </c>
      <c r="E198" s="249"/>
      <c r="F198" s="679"/>
      <c r="G198" s="249"/>
      <c r="H198" s="251"/>
      <c r="I198" s="251"/>
      <c r="J198" s="251"/>
      <c r="K198" s="251"/>
      <c r="L198" s="251"/>
      <c r="M198" s="251"/>
      <c r="N198" s="251"/>
      <c r="O198" s="251"/>
      <c r="P198" s="657"/>
      <c r="Q198" s="657"/>
      <c r="R198" s="657"/>
    </row>
    <row r="199" spans="1:19">
      <c r="A199" s="272">
        <v>332</v>
      </c>
      <c r="B199" s="248"/>
      <c r="C199" s="249"/>
      <c r="D199" s="257" t="s">
        <v>1319</v>
      </c>
      <c r="E199" s="249"/>
      <c r="F199" s="678">
        <v>-3</v>
      </c>
      <c r="G199" s="249"/>
      <c r="H199" s="251">
        <v>2.61</v>
      </c>
      <c r="I199" s="251"/>
      <c r="J199" s="251">
        <v>2.5299999999999998</v>
      </c>
      <c r="K199" s="251"/>
      <c r="L199" s="251">
        <v>0.08</v>
      </c>
      <c r="M199" s="251"/>
      <c r="N199" s="251">
        <v>0</v>
      </c>
      <c r="O199" s="251"/>
      <c r="P199" s="656" t="s">
        <v>2303</v>
      </c>
      <c r="Q199" s="656"/>
      <c r="R199" s="657">
        <v>25.1</v>
      </c>
    </row>
    <row r="200" spans="1:19">
      <c r="A200" s="272"/>
      <c r="B200" s="248"/>
      <c r="C200" s="249"/>
      <c r="D200" s="257"/>
      <c r="E200" s="249"/>
      <c r="F200" s="678"/>
      <c r="G200" s="249"/>
      <c r="H200" s="251"/>
      <c r="I200" s="251"/>
      <c r="J200" s="251"/>
      <c r="K200" s="251"/>
      <c r="L200" s="251"/>
      <c r="M200" s="251"/>
      <c r="N200" s="251"/>
      <c r="O200" s="251"/>
      <c r="P200" s="656"/>
      <c r="Q200" s="656"/>
      <c r="R200" s="657"/>
    </row>
    <row r="201" spans="1:19">
      <c r="A201" s="272"/>
      <c r="B201" s="248"/>
      <c r="C201" s="249"/>
      <c r="D201" s="259" t="s">
        <v>1323</v>
      </c>
      <c r="E201" s="249"/>
      <c r="F201" s="678"/>
      <c r="G201" s="249"/>
      <c r="H201" s="251">
        <v>2.61</v>
      </c>
      <c r="I201" s="251"/>
      <c r="J201" s="251"/>
      <c r="K201" s="251"/>
      <c r="L201" s="251"/>
      <c r="M201" s="251"/>
      <c r="N201" s="251"/>
      <c r="O201" s="251"/>
      <c r="P201" s="656"/>
      <c r="Q201" s="656"/>
      <c r="R201" s="657">
        <v>25.1</v>
      </c>
    </row>
    <row r="202" spans="1:19">
      <c r="A202" s="272"/>
      <c r="B202" s="248"/>
      <c r="C202" s="249"/>
      <c r="D202" s="257"/>
      <c r="E202" s="249"/>
      <c r="F202" s="678"/>
      <c r="G202" s="249"/>
      <c r="H202" s="251"/>
      <c r="I202" s="251"/>
      <c r="J202" s="251"/>
      <c r="K202" s="251"/>
      <c r="L202" s="251"/>
      <c r="M202" s="251"/>
      <c r="N202" s="251"/>
      <c r="O202" s="251"/>
      <c r="P202" s="656"/>
      <c r="Q202" s="656"/>
      <c r="R202" s="657"/>
    </row>
    <row r="203" spans="1:19">
      <c r="A203" s="272"/>
      <c r="B203" s="248">
        <v>333</v>
      </c>
      <c r="C203" s="249"/>
      <c r="D203" s="257" t="s">
        <v>1324</v>
      </c>
      <c r="E203" s="249"/>
      <c r="F203" s="678"/>
      <c r="G203" s="249"/>
      <c r="H203" s="251"/>
      <c r="I203" s="251"/>
      <c r="J203" s="251"/>
      <c r="K203" s="251"/>
      <c r="L203" s="251"/>
      <c r="M203" s="251"/>
      <c r="N203" s="251"/>
      <c r="O203" s="251"/>
      <c r="P203" s="656"/>
      <c r="Q203" s="656"/>
      <c r="R203" s="657"/>
    </row>
    <row r="204" spans="1:19">
      <c r="A204" s="272">
        <v>333</v>
      </c>
      <c r="B204" s="248"/>
      <c r="C204" s="249"/>
      <c r="D204" s="257" t="s">
        <v>1325</v>
      </c>
      <c r="E204" s="249"/>
      <c r="F204" s="678">
        <v>-3</v>
      </c>
      <c r="G204" s="249"/>
      <c r="H204" s="251">
        <v>3.8600000000000003</v>
      </c>
      <c r="I204" s="251"/>
      <c r="J204" s="251">
        <v>3.75</v>
      </c>
      <c r="K204" s="251"/>
      <c r="L204" s="251">
        <v>0.15</v>
      </c>
      <c r="M204" s="251"/>
      <c r="N204" s="251">
        <v>-0.04</v>
      </c>
      <c r="O204" s="251"/>
      <c r="P204" s="656" t="s">
        <v>1326</v>
      </c>
      <c r="Q204" s="656"/>
      <c r="R204" s="657">
        <v>25.2</v>
      </c>
    </row>
    <row r="205" spans="1:19">
      <c r="A205" s="272"/>
      <c r="B205" s="248"/>
      <c r="C205" s="249"/>
      <c r="D205" s="257"/>
      <c r="E205" s="249"/>
      <c r="F205" s="678"/>
      <c r="G205" s="249"/>
      <c r="H205" s="251"/>
      <c r="I205" s="251"/>
      <c r="J205" s="251"/>
      <c r="K205" s="251"/>
      <c r="L205" s="251"/>
      <c r="M205" s="251"/>
      <c r="N205" s="251"/>
      <c r="O205" s="251"/>
      <c r="P205" s="656"/>
      <c r="Q205" s="656"/>
      <c r="R205" s="657"/>
    </row>
    <row r="206" spans="1:19">
      <c r="A206" s="272"/>
      <c r="B206" s="248"/>
      <c r="C206" s="249"/>
      <c r="D206" s="259" t="s">
        <v>1327</v>
      </c>
      <c r="E206" s="249"/>
      <c r="F206" s="678"/>
      <c r="G206" s="249"/>
      <c r="H206" s="251">
        <v>3.8600000000000003</v>
      </c>
      <c r="I206" s="251"/>
      <c r="J206" s="251"/>
      <c r="K206" s="251"/>
      <c r="L206" s="251"/>
      <c r="M206" s="251"/>
      <c r="N206" s="251"/>
      <c r="O206" s="251"/>
      <c r="P206" s="656"/>
      <c r="Q206" s="656"/>
      <c r="R206" s="657">
        <v>25.2</v>
      </c>
    </row>
    <row r="207" spans="1:19">
      <c r="A207" s="272"/>
      <c r="B207" s="248"/>
      <c r="C207" s="249"/>
      <c r="D207" s="257"/>
      <c r="E207" s="249"/>
      <c r="F207" s="678"/>
      <c r="G207" s="249"/>
      <c r="H207" s="251"/>
      <c r="I207" s="251"/>
      <c r="J207" s="251"/>
      <c r="K207" s="251"/>
      <c r="L207" s="251"/>
      <c r="M207" s="251"/>
      <c r="N207" s="251"/>
      <c r="O207" s="251"/>
      <c r="P207" s="656"/>
      <c r="Q207" s="656"/>
      <c r="R207" s="657"/>
    </row>
    <row r="208" spans="1:19">
      <c r="A208" s="272"/>
      <c r="B208" s="248">
        <v>334</v>
      </c>
      <c r="C208" s="249"/>
      <c r="D208" s="257" t="s">
        <v>1328</v>
      </c>
      <c r="E208" s="249"/>
      <c r="F208" s="678"/>
      <c r="G208" s="249"/>
      <c r="H208" s="251"/>
      <c r="I208" s="251"/>
      <c r="J208" s="251"/>
      <c r="K208" s="251"/>
      <c r="L208" s="251"/>
      <c r="M208" s="251"/>
      <c r="N208" s="251"/>
      <c r="O208" s="251"/>
      <c r="P208" s="656"/>
      <c r="Q208" s="656"/>
      <c r="R208" s="657"/>
    </row>
    <row r="209" spans="1:18">
      <c r="A209" s="272">
        <v>334</v>
      </c>
      <c r="B209" s="248"/>
      <c r="C209" s="249"/>
      <c r="D209" s="257" t="s">
        <v>1325</v>
      </c>
      <c r="E209" s="249"/>
      <c r="F209" s="678">
        <v>-3</v>
      </c>
      <c r="G209" s="249"/>
      <c r="H209" s="251">
        <v>3.8099999999999996</v>
      </c>
      <c r="I209" s="251"/>
      <c r="J209" s="251">
        <v>3.7</v>
      </c>
      <c r="K209" s="251"/>
      <c r="L209" s="251">
        <v>0.11</v>
      </c>
      <c r="M209" s="251"/>
      <c r="N209" s="251">
        <v>0</v>
      </c>
      <c r="O209" s="251"/>
      <c r="P209" s="656" t="s">
        <v>1329</v>
      </c>
      <c r="Q209" s="656"/>
      <c r="R209" s="657">
        <v>22.7</v>
      </c>
    </row>
    <row r="210" spans="1:18">
      <c r="A210" s="272"/>
      <c r="B210" s="248"/>
      <c r="C210" s="249"/>
      <c r="D210" s="257"/>
      <c r="E210" s="249"/>
      <c r="F210" s="678"/>
      <c r="G210" s="249"/>
      <c r="H210" s="251"/>
      <c r="I210" s="251"/>
      <c r="J210" s="251"/>
      <c r="K210" s="251"/>
      <c r="L210" s="251"/>
      <c r="M210" s="251"/>
      <c r="N210" s="251"/>
      <c r="O210" s="251"/>
      <c r="P210" s="656"/>
      <c r="Q210" s="656"/>
      <c r="R210" s="657"/>
    </row>
    <row r="211" spans="1:18">
      <c r="A211" s="272"/>
      <c r="B211" s="248"/>
      <c r="C211" s="249"/>
      <c r="D211" s="259" t="s">
        <v>1330</v>
      </c>
      <c r="E211" s="249"/>
      <c r="F211" s="678"/>
      <c r="G211" s="249"/>
      <c r="H211" s="251">
        <v>3.8099999999999996</v>
      </c>
      <c r="I211" s="251"/>
      <c r="J211" s="251"/>
      <c r="K211" s="251"/>
      <c r="L211" s="251"/>
      <c r="M211" s="251"/>
      <c r="N211" s="251"/>
      <c r="O211" s="251"/>
      <c r="P211" s="656"/>
      <c r="Q211" s="656"/>
      <c r="R211" s="657">
        <v>22.7</v>
      </c>
    </row>
    <row r="212" spans="1:18">
      <c r="A212" s="272"/>
      <c r="B212" s="248"/>
      <c r="C212" s="249"/>
      <c r="D212" s="257"/>
      <c r="E212" s="249"/>
      <c r="F212" s="678"/>
      <c r="G212" s="249"/>
      <c r="H212" s="251"/>
      <c r="I212" s="251"/>
      <c r="J212" s="251"/>
      <c r="K212" s="251"/>
      <c r="L212" s="251"/>
      <c r="M212" s="251"/>
      <c r="N212" s="251"/>
      <c r="O212" s="251"/>
      <c r="P212" s="656"/>
      <c r="Q212" s="656"/>
      <c r="R212" s="657"/>
    </row>
    <row r="213" spans="1:18">
      <c r="A213" s="272"/>
      <c r="B213" s="248">
        <v>335</v>
      </c>
      <c r="C213" s="249"/>
      <c r="D213" s="257" t="s">
        <v>1331</v>
      </c>
      <c r="E213" s="249"/>
      <c r="F213" s="678"/>
      <c r="G213" s="249"/>
      <c r="H213" s="251"/>
      <c r="I213" s="251"/>
      <c r="J213" s="251"/>
      <c r="K213" s="251"/>
      <c r="L213" s="251"/>
      <c r="M213" s="251"/>
      <c r="N213" s="251"/>
      <c r="O213" s="251"/>
      <c r="P213" s="656"/>
      <c r="Q213" s="656"/>
      <c r="R213" s="657"/>
    </row>
    <row r="214" spans="1:18">
      <c r="A214" s="272">
        <v>335</v>
      </c>
      <c r="B214" s="248"/>
      <c r="C214" s="249"/>
      <c r="D214" s="257" t="s">
        <v>1325</v>
      </c>
      <c r="E214" s="249"/>
      <c r="F214" s="678">
        <v>-3</v>
      </c>
      <c r="G214" s="249"/>
      <c r="H214" s="251">
        <v>3.7599999999999993</v>
      </c>
      <c r="I214" s="251"/>
      <c r="J214" s="251">
        <v>3.65</v>
      </c>
      <c r="K214" s="251"/>
      <c r="L214" s="251">
        <v>0.11</v>
      </c>
      <c r="M214" s="251"/>
      <c r="N214" s="251">
        <v>0</v>
      </c>
      <c r="O214" s="251"/>
      <c r="P214" s="656" t="s">
        <v>2304</v>
      </c>
      <c r="Q214" s="656"/>
      <c r="R214" s="657">
        <v>17.600000000000001</v>
      </c>
    </row>
    <row r="215" spans="1:18">
      <c r="A215" s="272"/>
      <c r="B215" s="248"/>
      <c r="C215" s="249"/>
      <c r="D215" s="257"/>
      <c r="E215" s="249"/>
      <c r="F215" s="678"/>
      <c r="G215" s="249"/>
      <c r="H215" s="251"/>
      <c r="I215" s="251"/>
      <c r="J215" s="251"/>
      <c r="K215" s="251"/>
      <c r="L215" s="251"/>
      <c r="M215" s="251"/>
      <c r="N215" s="251"/>
      <c r="O215" s="251"/>
      <c r="P215" s="656"/>
      <c r="Q215" s="656"/>
      <c r="R215" s="657"/>
    </row>
    <row r="216" spans="1:18">
      <c r="A216" s="272"/>
      <c r="B216" s="248"/>
      <c r="C216" s="249"/>
      <c r="D216" s="259" t="s">
        <v>1332</v>
      </c>
      <c r="E216" s="249"/>
      <c r="F216" s="678"/>
      <c r="G216" s="249"/>
      <c r="H216" s="251">
        <v>3.7599999999999993</v>
      </c>
      <c r="I216" s="251"/>
      <c r="J216" s="251"/>
      <c r="K216" s="251"/>
      <c r="L216" s="251"/>
      <c r="M216" s="251"/>
      <c r="N216" s="251"/>
      <c r="O216" s="251"/>
      <c r="P216" s="656"/>
      <c r="Q216" s="656"/>
      <c r="R216" s="657">
        <v>17.600000000000001</v>
      </c>
    </row>
    <row r="217" spans="1:18">
      <c r="A217" s="272"/>
      <c r="B217" s="248"/>
      <c r="C217" s="249"/>
      <c r="D217" s="257"/>
      <c r="E217" s="249"/>
      <c r="F217" s="678"/>
      <c r="G217" s="249"/>
      <c r="H217" s="251"/>
      <c r="I217" s="251"/>
      <c r="J217" s="251"/>
      <c r="K217" s="251"/>
      <c r="L217" s="251"/>
      <c r="M217" s="251"/>
      <c r="N217" s="251"/>
      <c r="O217" s="251"/>
      <c r="P217" s="656"/>
      <c r="Q217" s="656"/>
      <c r="R217" s="657"/>
    </row>
    <row r="218" spans="1:18">
      <c r="A218" s="272"/>
      <c r="B218" s="248">
        <v>336</v>
      </c>
      <c r="C218" s="249"/>
      <c r="D218" s="257" t="s">
        <v>1333</v>
      </c>
      <c r="E218" s="249"/>
      <c r="F218" s="678"/>
      <c r="G218" s="249"/>
      <c r="H218" s="251"/>
      <c r="I218" s="251"/>
      <c r="J218" s="251"/>
      <c r="K218" s="251"/>
      <c r="L218" s="251"/>
      <c r="M218" s="251"/>
      <c r="N218" s="251"/>
      <c r="O218" s="251"/>
      <c r="P218" s="656"/>
      <c r="Q218" s="656"/>
      <c r="R218" s="657"/>
    </row>
    <row r="219" spans="1:18">
      <c r="A219" s="272">
        <v>336</v>
      </c>
      <c r="B219" s="248"/>
      <c r="C219" s="249"/>
      <c r="D219" s="257" t="s">
        <v>1319</v>
      </c>
      <c r="E219" s="249"/>
      <c r="F219" s="678">
        <v>-3</v>
      </c>
      <c r="G219" s="249"/>
      <c r="H219" s="251">
        <v>3.3300000000000005</v>
      </c>
      <c r="I219" s="251"/>
      <c r="J219" s="251">
        <v>3.23</v>
      </c>
      <c r="K219" s="251"/>
      <c r="L219" s="251">
        <v>0.1</v>
      </c>
      <c r="M219" s="251"/>
      <c r="N219" s="251">
        <v>0</v>
      </c>
      <c r="O219" s="251"/>
      <c r="P219" s="656" t="s">
        <v>2305</v>
      </c>
      <c r="Q219" s="656"/>
      <c r="R219" s="657">
        <v>21.9</v>
      </c>
    </row>
    <row r="220" spans="1:18">
      <c r="A220" s="272"/>
      <c r="B220" s="248"/>
      <c r="C220" s="249"/>
      <c r="D220" s="257"/>
      <c r="E220" s="249"/>
      <c r="F220" s="250"/>
      <c r="G220" s="249"/>
      <c r="H220" s="251"/>
      <c r="I220" s="251"/>
      <c r="J220" s="251"/>
      <c r="K220" s="251"/>
      <c r="L220" s="251"/>
      <c r="M220" s="251"/>
      <c r="N220" s="251"/>
      <c r="O220" s="251"/>
      <c r="P220" s="251"/>
      <c r="Q220" s="251"/>
      <c r="R220" s="251"/>
    </row>
    <row r="221" spans="1:18">
      <c r="A221" s="272"/>
      <c r="B221" s="248"/>
      <c r="C221" s="249"/>
      <c r="D221" s="259" t="s">
        <v>1334</v>
      </c>
      <c r="E221" s="249"/>
      <c r="F221" s="250"/>
      <c r="G221" s="249"/>
      <c r="H221" s="251">
        <v>3.33</v>
      </c>
      <c r="I221" s="251"/>
      <c r="J221" s="251"/>
      <c r="K221" s="251"/>
      <c r="L221" s="251"/>
      <c r="M221" s="251"/>
      <c r="N221" s="251"/>
      <c r="O221" s="251"/>
      <c r="P221" s="251"/>
      <c r="Q221" s="251"/>
      <c r="R221" s="251">
        <v>21.9</v>
      </c>
    </row>
    <row r="222" spans="1:18">
      <c r="A222" s="272"/>
      <c r="B222" s="248"/>
      <c r="C222" s="249"/>
      <c r="D222" s="257"/>
      <c r="E222" s="249"/>
      <c r="F222" s="250"/>
      <c r="G222" s="249"/>
      <c r="H222" s="251"/>
      <c r="I222" s="251"/>
      <c r="J222" s="251"/>
      <c r="K222" s="251"/>
      <c r="L222" s="251"/>
      <c r="M222" s="251"/>
      <c r="N222" s="251"/>
      <c r="O222" s="251"/>
      <c r="P222" s="251"/>
      <c r="Q222" s="251"/>
      <c r="R222" s="251"/>
    </row>
    <row r="223" spans="1:18">
      <c r="A223" s="275"/>
      <c r="B223" s="260"/>
      <c r="C223" s="243"/>
      <c r="D223" s="247" t="s">
        <v>1335</v>
      </c>
      <c r="E223" s="243"/>
      <c r="F223" s="250"/>
      <c r="G223" s="243"/>
      <c r="H223" s="251">
        <v>3.05</v>
      </c>
      <c r="I223" s="251"/>
      <c r="J223" s="251"/>
      <c r="K223" s="251"/>
      <c r="L223" s="251"/>
      <c r="M223" s="251"/>
      <c r="N223" s="251"/>
      <c r="O223" s="251"/>
      <c r="P223" s="653"/>
      <c r="Q223" s="653"/>
      <c r="R223" s="251"/>
    </row>
    <row r="224" spans="1:18">
      <c r="A224" s="272"/>
      <c r="B224" s="248"/>
      <c r="C224" s="249"/>
      <c r="D224" s="257"/>
      <c r="E224" s="249"/>
      <c r="F224" s="250"/>
      <c r="G224" s="249"/>
      <c r="H224" s="251"/>
      <c r="I224" s="251"/>
      <c r="J224" s="251"/>
      <c r="K224" s="251"/>
      <c r="L224" s="251"/>
      <c r="M224" s="251"/>
      <c r="N224" s="251"/>
      <c r="O224" s="251"/>
      <c r="P224" s="251"/>
      <c r="Q224" s="251"/>
      <c r="R224" s="251"/>
    </row>
    <row r="225" spans="1:18">
      <c r="A225" s="272"/>
      <c r="B225" s="248"/>
      <c r="C225" s="249"/>
      <c r="D225" s="262"/>
      <c r="E225" s="249"/>
      <c r="F225" s="250"/>
      <c r="G225" s="249"/>
      <c r="H225" s="251"/>
      <c r="I225" s="251"/>
      <c r="J225" s="251"/>
      <c r="K225" s="251"/>
      <c r="L225" s="251"/>
      <c r="M225" s="251"/>
      <c r="N225" s="251"/>
      <c r="O225" s="251"/>
      <c r="P225" s="251"/>
      <c r="Q225" s="251"/>
      <c r="R225" s="251"/>
    </row>
    <row r="226" spans="1:18">
      <c r="A226" s="272"/>
      <c r="B226" s="248"/>
      <c r="C226" s="239"/>
      <c r="D226" s="244" t="s">
        <v>326</v>
      </c>
      <c r="E226" s="239"/>
      <c r="F226" s="250"/>
      <c r="G226" s="239"/>
      <c r="H226" s="251"/>
      <c r="I226" s="251"/>
      <c r="J226" s="251"/>
      <c r="K226" s="251"/>
      <c r="L226" s="251"/>
      <c r="M226" s="251"/>
      <c r="N226" s="251"/>
      <c r="O226" s="251"/>
      <c r="P226" s="251"/>
      <c r="Q226" s="251"/>
      <c r="R226" s="251"/>
    </row>
    <row r="227" spans="1:18">
      <c r="A227" s="272"/>
      <c r="B227" s="248"/>
      <c r="C227" s="249"/>
      <c r="D227" s="263"/>
      <c r="E227" s="249"/>
      <c r="F227" s="250"/>
      <c r="G227" s="249"/>
      <c r="H227" s="251"/>
      <c r="I227" s="251"/>
      <c r="J227" s="251"/>
      <c r="K227" s="251"/>
      <c r="L227" s="251"/>
      <c r="M227" s="251"/>
      <c r="N227" s="251"/>
      <c r="O227" s="251"/>
      <c r="P227" s="251"/>
      <c r="Q227" s="251"/>
      <c r="R227" s="251"/>
    </row>
    <row r="228" spans="1:18">
      <c r="A228" s="276"/>
      <c r="B228" s="264">
        <v>340.1</v>
      </c>
      <c r="C228" s="265"/>
      <c r="D228" s="266" t="s">
        <v>1314</v>
      </c>
      <c r="E228" s="265"/>
      <c r="F228" s="250"/>
      <c r="G228" s="265"/>
      <c r="H228" s="251"/>
      <c r="I228" s="251"/>
      <c r="J228" s="251"/>
      <c r="K228" s="251"/>
      <c r="L228" s="251"/>
      <c r="M228" s="251"/>
      <c r="N228" s="251"/>
      <c r="O228" s="251"/>
      <c r="P228" s="680"/>
      <c r="Q228" s="680"/>
      <c r="R228" s="251"/>
    </row>
    <row r="229" spans="1:18">
      <c r="A229" s="276">
        <v>340</v>
      </c>
      <c r="B229" s="264"/>
      <c r="C229" s="265"/>
      <c r="D229" s="266" t="s">
        <v>1336</v>
      </c>
      <c r="E229" s="265"/>
      <c r="F229" s="250">
        <v>0</v>
      </c>
      <c r="G229" s="265"/>
      <c r="H229" s="251">
        <v>2.19</v>
      </c>
      <c r="I229" s="251"/>
      <c r="J229" s="251">
        <v>2.19</v>
      </c>
      <c r="K229" s="251"/>
      <c r="L229" s="251">
        <v>0</v>
      </c>
      <c r="M229" s="251"/>
      <c r="N229" s="251">
        <v>0</v>
      </c>
      <c r="O229" s="251"/>
      <c r="P229" s="680" t="s">
        <v>1277</v>
      </c>
      <c r="Q229" s="680"/>
      <c r="R229" s="251">
        <v>178.7</v>
      </c>
    </row>
    <row r="230" spans="1:18">
      <c r="A230" s="276"/>
      <c r="B230" s="264"/>
      <c r="C230" s="265"/>
      <c r="D230" s="266"/>
      <c r="E230" s="265"/>
      <c r="F230" s="250"/>
      <c r="G230" s="265"/>
      <c r="H230" s="251"/>
      <c r="I230" s="251"/>
      <c r="J230" s="251"/>
      <c r="K230" s="251"/>
      <c r="L230" s="251"/>
      <c r="M230" s="251"/>
      <c r="N230" s="251"/>
      <c r="O230" s="251"/>
      <c r="P230" s="680"/>
      <c r="Q230" s="680"/>
      <c r="R230" s="251"/>
    </row>
    <row r="231" spans="1:18">
      <c r="A231" s="276"/>
      <c r="B231" s="264"/>
      <c r="C231" s="265"/>
      <c r="D231" s="268" t="s">
        <v>1337</v>
      </c>
      <c r="E231" s="265"/>
      <c r="F231" s="250"/>
      <c r="G231" s="265"/>
      <c r="H231" s="251">
        <v>2.19</v>
      </c>
      <c r="I231" s="251"/>
      <c r="J231" s="251"/>
      <c r="K231" s="251"/>
      <c r="L231" s="251"/>
      <c r="M231" s="251"/>
      <c r="N231" s="251"/>
      <c r="O231" s="251"/>
      <c r="P231" s="680"/>
      <c r="Q231" s="680"/>
      <c r="R231" s="251">
        <v>178.7</v>
      </c>
    </row>
    <row r="232" spans="1:18">
      <c r="A232" s="276"/>
      <c r="B232" s="264"/>
      <c r="C232" s="265"/>
      <c r="D232" s="266"/>
      <c r="E232" s="265"/>
      <c r="F232" s="250"/>
      <c r="G232" s="265"/>
      <c r="H232" s="251"/>
      <c r="I232" s="251"/>
      <c r="J232" s="251"/>
      <c r="K232" s="251"/>
      <c r="L232" s="251"/>
      <c r="M232" s="251"/>
      <c r="N232" s="251"/>
      <c r="O232" s="251"/>
      <c r="P232" s="680"/>
      <c r="Q232" s="680"/>
      <c r="R232" s="251"/>
    </row>
    <row r="233" spans="1:18">
      <c r="A233" s="272"/>
      <c r="B233" s="248">
        <v>341</v>
      </c>
      <c r="C233" s="249"/>
      <c r="D233" s="253" t="s">
        <v>1318</v>
      </c>
      <c r="E233" s="249"/>
      <c r="F233" s="250"/>
      <c r="G233" s="249"/>
      <c r="H233" s="251"/>
      <c r="I233" s="251"/>
      <c r="J233" s="251"/>
      <c r="K233" s="251"/>
      <c r="L233" s="251"/>
      <c r="M233" s="251"/>
      <c r="N233" s="251"/>
      <c r="O233" s="251"/>
      <c r="P233" s="251"/>
      <c r="Q233" s="251"/>
      <c r="R233" s="251"/>
    </row>
    <row r="234" spans="1:18">
      <c r="A234" s="272"/>
      <c r="B234" s="248"/>
      <c r="C234" s="249"/>
      <c r="D234" s="269" t="s">
        <v>1349</v>
      </c>
      <c r="E234" s="249"/>
      <c r="F234" s="678">
        <v>-7</v>
      </c>
      <c r="G234" s="249"/>
      <c r="H234" s="657">
        <v>2.92</v>
      </c>
      <c r="I234" s="251"/>
      <c r="J234" s="657">
        <v>2.73</v>
      </c>
      <c r="K234" s="251"/>
      <c r="L234" s="657">
        <v>0.19</v>
      </c>
      <c r="M234" s="251"/>
      <c r="N234" s="251">
        <v>0</v>
      </c>
      <c r="O234" s="251"/>
      <c r="P234" s="656" t="s">
        <v>2307</v>
      </c>
      <c r="Q234" s="251"/>
      <c r="R234" s="657">
        <v>14.6</v>
      </c>
    </row>
    <row r="235" spans="1:18">
      <c r="A235" s="272"/>
      <c r="B235" s="248"/>
      <c r="C235" s="249"/>
      <c r="D235" s="269" t="s">
        <v>1350</v>
      </c>
      <c r="E235" s="249"/>
      <c r="F235" s="678">
        <v>-7</v>
      </c>
      <c r="G235" s="249"/>
      <c r="H235" s="657">
        <v>4.3199999999999994</v>
      </c>
      <c r="I235" s="251"/>
      <c r="J235" s="657">
        <v>4.04</v>
      </c>
      <c r="K235" s="251"/>
      <c r="L235" s="657">
        <v>0.27999999999999997</v>
      </c>
      <c r="M235" s="251"/>
      <c r="N235" s="251">
        <v>0</v>
      </c>
      <c r="O235" s="251"/>
      <c r="P235" s="656" t="s">
        <v>2307</v>
      </c>
      <c r="Q235" s="251"/>
      <c r="R235" s="657">
        <v>10.199999999999999</v>
      </c>
    </row>
    <row r="236" spans="1:18">
      <c r="A236" s="272"/>
      <c r="B236" s="248"/>
      <c r="C236" s="249"/>
      <c r="D236" s="269" t="s">
        <v>1344</v>
      </c>
      <c r="E236" s="249"/>
      <c r="F236" s="678">
        <v>-7</v>
      </c>
      <c r="G236" s="249"/>
      <c r="H236" s="657">
        <v>3.94</v>
      </c>
      <c r="I236" s="251"/>
      <c r="J236" s="657">
        <v>3.6799999999999997</v>
      </c>
      <c r="K236" s="251"/>
      <c r="L236" s="657">
        <v>0.26</v>
      </c>
      <c r="M236" s="251"/>
      <c r="N236" s="251">
        <v>0</v>
      </c>
      <c r="O236" s="251"/>
      <c r="P236" s="656" t="s">
        <v>2307</v>
      </c>
      <c r="Q236" s="251"/>
      <c r="R236" s="657">
        <v>14.9</v>
      </c>
    </row>
    <row r="237" spans="1:18">
      <c r="A237" s="272"/>
      <c r="B237" s="248"/>
      <c r="C237" s="249"/>
      <c r="D237" s="269" t="s">
        <v>1345</v>
      </c>
      <c r="E237" s="249"/>
      <c r="F237" s="678">
        <v>-7</v>
      </c>
      <c r="G237" s="249"/>
      <c r="H237" s="657">
        <v>4.34</v>
      </c>
      <c r="I237" s="251"/>
      <c r="J237" s="657">
        <v>4.0599999999999996</v>
      </c>
      <c r="K237" s="251"/>
      <c r="L237" s="657">
        <v>0.27999999999999997</v>
      </c>
      <c r="M237" s="251"/>
      <c r="N237" s="251">
        <v>0</v>
      </c>
      <c r="O237" s="251"/>
      <c r="P237" s="656" t="s">
        <v>2307</v>
      </c>
      <c r="Q237" s="251"/>
      <c r="R237" s="657">
        <v>13</v>
      </c>
    </row>
    <row r="238" spans="1:18">
      <c r="A238" s="272"/>
      <c r="B238" s="248"/>
      <c r="C238" s="249"/>
      <c r="D238" s="269" t="s">
        <v>1346</v>
      </c>
      <c r="E238" s="249"/>
      <c r="F238" s="678">
        <v>-7</v>
      </c>
      <c r="G238" s="249"/>
      <c r="H238" s="657">
        <v>4.33</v>
      </c>
      <c r="I238" s="251"/>
      <c r="J238" s="657">
        <v>4.05</v>
      </c>
      <c r="K238" s="251"/>
      <c r="L238" s="657">
        <v>0.27999999999999997</v>
      </c>
      <c r="M238" s="251"/>
      <c r="N238" s="251">
        <v>0</v>
      </c>
      <c r="O238" s="251"/>
      <c r="P238" s="656" t="s">
        <v>2307</v>
      </c>
      <c r="Q238" s="251"/>
      <c r="R238" s="657">
        <v>13</v>
      </c>
    </row>
    <row r="239" spans="1:18">
      <c r="A239" s="272"/>
      <c r="B239" s="248"/>
      <c r="C239" s="249"/>
      <c r="D239" s="269" t="s">
        <v>1347</v>
      </c>
      <c r="E239" s="249"/>
      <c r="F239" s="678">
        <v>-7</v>
      </c>
      <c r="G239" s="249"/>
      <c r="H239" s="657">
        <v>3.9699999999999998</v>
      </c>
      <c r="I239" s="251"/>
      <c r="J239" s="657">
        <v>3.71</v>
      </c>
      <c r="K239" s="251"/>
      <c r="L239" s="657">
        <v>0.26</v>
      </c>
      <c r="M239" s="251"/>
      <c r="N239" s="251">
        <v>0</v>
      </c>
      <c r="O239" s="251"/>
      <c r="P239" s="656" t="s">
        <v>2307</v>
      </c>
      <c r="Q239" s="251"/>
      <c r="R239" s="657">
        <v>9.1999999999999993</v>
      </c>
    </row>
    <row r="240" spans="1:18">
      <c r="A240" s="272"/>
      <c r="B240" s="248"/>
      <c r="C240" s="249"/>
      <c r="D240" s="269" t="s">
        <v>1348</v>
      </c>
      <c r="E240" s="249"/>
      <c r="F240" s="678">
        <v>-7</v>
      </c>
      <c r="G240" s="249"/>
      <c r="H240" s="657">
        <v>2.76</v>
      </c>
      <c r="I240" s="251"/>
      <c r="J240" s="657">
        <v>2.58</v>
      </c>
      <c r="K240" s="251"/>
      <c r="L240" s="657">
        <v>0.18</v>
      </c>
      <c r="M240" s="251"/>
      <c r="N240" s="251">
        <v>0</v>
      </c>
      <c r="O240" s="251"/>
      <c r="P240" s="656" t="s">
        <v>2307</v>
      </c>
      <c r="Q240" s="251"/>
      <c r="R240" s="657">
        <v>14.6</v>
      </c>
    </row>
    <row r="241" spans="1:18">
      <c r="A241" s="272"/>
      <c r="B241" s="248"/>
      <c r="C241" s="249"/>
      <c r="D241" s="269" t="s">
        <v>2694</v>
      </c>
      <c r="E241" s="249"/>
      <c r="F241" s="678">
        <v>-5</v>
      </c>
      <c r="G241" s="249"/>
      <c r="H241" s="657">
        <v>4.24</v>
      </c>
      <c r="I241" s="251"/>
      <c r="J241" s="657">
        <v>4.04</v>
      </c>
      <c r="K241" s="251"/>
      <c r="L241" s="657">
        <v>0.2</v>
      </c>
      <c r="M241" s="251"/>
      <c r="N241" s="251">
        <v>0</v>
      </c>
      <c r="O241" s="251"/>
      <c r="P241" s="656" t="s">
        <v>2695</v>
      </c>
      <c r="Q241" s="251"/>
      <c r="R241" s="657">
        <v>40</v>
      </c>
    </row>
    <row r="242" spans="1:18">
      <c r="A242" s="272"/>
      <c r="B242" s="248"/>
      <c r="C242" s="249"/>
      <c r="D242" s="269" t="s">
        <v>1351</v>
      </c>
      <c r="E242" s="249"/>
      <c r="F242" s="678">
        <v>-10</v>
      </c>
      <c r="G242" s="249"/>
      <c r="H242" s="657">
        <v>19.170000000000002</v>
      </c>
      <c r="I242" s="251"/>
      <c r="J242" s="657">
        <v>17.43</v>
      </c>
      <c r="K242" s="251"/>
      <c r="L242" s="657">
        <v>1.7399999999999998</v>
      </c>
      <c r="M242" s="251"/>
      <c r="N242" s="251">
        <v>0</v>
      </c>
      <c r="O242" s="251"/>
      <c r="P242" s="656" t="s">
        <v>2307</v>
      </c>
      <c r="Q242" s="251"/>
      <c r="R242" s="657">
        <v>4.5</v>
      </c>
    </row>
    <row r="243" spans="1:18">
      <c r="A243" s="272"/>
      <c r="B243" s="248"/>
      <c r="C243" s="249"/>
      <c r="D243" s="269" t="s">
        <v>1352</v>
      </c>
      <c r="E243" s="249"/>
      <c r="F243" s="678">
        <v>-6</v>
      </c>
      <c r="G243" s="249"/>
      <c r="H243" s="657">
        <v>4.16</v>
      </c>
      <c r="I243" s="251"/>
      <c r="J243" s="657">
        <v>3.92</v>
      </c>
      <c r="K243" s="251"/>
      <c r="L243" s="657">
        <v>0.24</v>
      </c>
      <c r="M243" s="251"/>
      <c r="N243" s="251">
        <v>0</v>
      </c>
      <c r="O243" s="251"/>
      <c r="P243" s="656" t="s">
        <v>2307</v>
      </c>
      <c r="Q243" s="251"/>
      <c r="R243" s="657">
        <v>14.9</v>
      </c>
    </row>
    <row r="244" spans="1:18">
      <c r="A244" s="272"/>
      <c r="B244" s="248"/>
      <c r="C244" s="249"/>
      <c r="D244" s="269" t="s">
        <v>1343</v>
      </c>
      <c r="E244" s="249"/>
      <c r="F244" s="678">
        <v>-7</v>
      </c>
      <c r="G244" s="249"/>
      <c r="H244" s="657">
        <v>3.7900000000000005</v>
      </c>
      <c r="I244" s="251"/>
      <c r="J244" s="657">
        <v>3.54</v>
      </c>
      <c r="K244" s="251"/>
      <c r="L244" s="657">
        <v>0.25</v>
      </c>
      <c r="M244" s="251"/>
      <c r="N244" s="251">
        <v>0</v>
      </c>
      <c r="O244" s="251"/>
      <c r="P244" s="656" t="s">
        <v>2307</v>
      </c>
      <c r="Q244" s="251"/>
      <c r="R244" s="657">
        <v>17.7</v>
      </c>
    </row>
    <row r="245" spans="1:18">
      <c r="A245" s="272"/>
      <c r="B245" s="248"/>
      <c r="C245" s="249"/>
      <c r="D245" s="269" t="s">
        <v>1338</v>
      </c>
      <c r="E245" s="249"/>
      <c r="F245" s="678">
        <v>-7</v>
      </c>
      <c r="G245" s="249"/>
      <c r="H245" s="657">
        <v>3.8700000000000006</v>
      </c>
      <c r="I245" s="251"/>
      <c r="J245" s="657">
        <v>3.62</v>
      </c>
      <c r="K245" s="251"/>
      <c r="L245" s="657">
        <v>0.25</v>
      </c>
      <c r="M245" s="251"/>
      <c r="N245" s="251">
        <v>0</v>
      </c>
      <c r="O245" s="251"/>
      <c r="P245" s="656" t="s">
        <v>2307</v>
      </c>
      <c r="Q245" s="251"/>
      <c r="R245" s="657">
        <v>15.8</v>
      </c>
    </row>
    <row r="246" spans="1:18">
      <c r="A246" s="272"/>
      <c r="B246" s="248"/>
      <c r="C246" s="249"/>
      <c r="D246" s="269" t="s">
        <v>1339</v>
      </c>
      <c r="E246" s="249"/>
      <c r="F246" s="678">
        <v>-7</v>
      </c>
      <c r="G246" s="249"/>
      <c r="H246" s="657">
        <v>3.8600000000000003</v>
      </c>
      <c r="I246" s="251"/>
      <c r="J246" s="657">
        <v>3.61</v>
      </c>
      <c r="K246" s="251"/>
      <c r="L246" s="657">
        <v>0.25</v>
      </c>
      <c r="M246" s="251"/>
      <c r="N246" s="251">
        <v>0</v>
      </c>
      <c r="O246" s="251"/>
      <c r="P246" s="656" t="s">
        <v>2307</v>
      </c>
      <c r="Q246" s="251"/>
      <c r="R246" s="657">
        <v>15.8</v>
      </c>
    </row>
    <row r="247" spans="1:18">
      <c r="A247" s="272"/>
      <c r="B247" s="248"/>
      <c r="C247" s="249"/>
      <c r="D247" s="269" t="s">
        <v>1340</v>
      </c>
      <c r="E247" s="249"/>
      <c r="F247" s="678">
        <v>-7</v>
      </c>
      <c r="G247" s="249"/>
      <c r="H247" s="657">
        <v>3.7800000000000002</v>
      </c>
      <c r="I247" s="251"/>
      <c r="J247" s="657">
        <v>3.53</v>
      </c>
      <c r="K247" s="251"/>
      <c r="L247" s="657">
        <v>0.25</v>
      </c>
      <c r="M247" s="251"/>
      <c r="N247" s="251">
        <v>0</v>
      </c>
      <c r="O247" s="251"/>
      <c r="P247" s="656" t="s">
        <v>2307</v>
      </c>
      <c r="Q247" s="251"/>
      <c r="R247" s="657">
        <v>17.7</v>
      </c>
    </row>
    <row r="248" spans="1:18">
      <c r="A248" s="272"/>
      <c r="B248" s="248"/>
      <c r="C248" s="249"/>
      <c r="D248" s="269" t="s">
        <v>1341</v>
      </c>
      <c r="E248" s="249"/>
      <c r="F248" s="678">
        <v>-7</v>
      </c>
      <c r="G248" s="249"/>
      <c r="H248" s="657">
        <v>3.7800000000000002</v>
      </c>
      <c r="I248" s="251"/>
      <c r="J248" s="657">
        <v>3.53</v>
      </c>
      <c r="K248" s="251"/>
      <c r="L248" s="657">
        <v>0.25</v>
      </c>
      <c r="M248" s="251"/>
      <c r="N248" s="251">
        <v>0</v>
      </c>
      <c r="O248" s="251"/>
      <c r="P248" s="656" t="s">
        <v>2307</v>
      </c>
      <c r="Q248" s="251"/>
      <c r="R248" s="657">
        <v>17.7</v>
      </c>
    </row>
    <row r="249" spans="1:18">
      <c r="A249" s="272"/>
      <c r="B249" s="248"/>
      <c r="C249" s="249"/>
      <c r="D249" s="269" t="s">
        <v>1342</v>
      </c>
      <c r="E249" s="249"/>
      <c r="F249" s="678">
        <v>-7</v>
      </c>
      <c r="G249" s="249"/>
      <c r="H249" s="657">
        <v>3.7900000000000005</v>
      </c>
      <c r="I249" s="251"/>
      <c r="J249" s="657">
        <v>3.54</v>
      </c>
      <c r="K249" s="251"/>
      <c r="L249" s="657">
        <v>0.25</v>
      </c>
      <c r="M249" s="251"/>
      <c r="N249" s="251">
        <v>0</v>
      </c>
      <c r="O249" s="251"/>
      <c r="P249" s="656" t="s">
        <v>2307</v>
      </c>
      <c r="Q249" s="251"/>
      <c r="R249" s="657">
        <v>17.7</v>
      </c>
    </row>
    <row r="250" spans="1:18">
      <c r="A250" s="272"/>
      <c r="B250" s="248"/>
      <c r="C250" s="249"/>
      <c r="D250" s="269" t="s">
        <v>2306</v>
      </c>
      <c r="E250" s="249"/>
      <c r="F250" s="678">
        <v>-12</v>
      </c>
      <c r="G250" s="249"/>
      <c r="H250" s="657">
        <v>3.0300000000000002</v>
      </c>
      <c r="I250" s="251"/>
      <c r="J250" s="657">
        <v>2.71</v>
      </c>
      <c r="K250" s="251"/>
      <c r="L250" s="657">
        <v>0.32</v>
      </c>
      <c r="M250" s="251"/>
      <c r="N250" s="251">
        <v>0</v>
      </c>
      <c r="O250" s="251"/>
      <c r="P250" s="656" t="s">
        <v>2307</v>
      </c>
      <c r="Q250" s="251"/>
      <c r="R250" s="657">
        <v>35.6</v>
      </c>
    </row>
    <row r="251" spans="1:18">
      <c r="A251" s="272"/>
      <c r="B251" s="248"/>
      <c r="C251" s="249"/>
      <c r="D251" s="253"/>
      <c r="E251" s="249"/>
      <c r="F251" s="250"/>
      <c r="G251" s="249"/>
      <c r="H251" s="251"/>
      <c r="I251" s="251"/>
      <c r="J251" s="251"/>
      <c r="K251" s="251"/>
      <c r="L251" s="251"/>
      <c r="M251" s="251"/>
      <c r="N251" s="251"/>
      <c r="O251" s="251"/>
      <c r="P251" s="251"/>
      <c r="Q251" s="251"/>
      <c r="R251" s="251"/>
    </row>
    <row r="252" spans="1:18">
      <c r="A252" s="272">
        <v>341</v>
      </c>
      <c r="B252" s="248"/>
      <c r="C252" s="249"/>
      <c r="D252" s="254" t="s">
        <v>1353</v>
      </c>
      <c r="E252" s="249"/>
      <c r="F252" s="278" t="s">
        <v>2696</v>
      </c>
      <c r="G252" s="249"/>
      <c r="H252" s="251">
        <v>3.38</v>
      </c>
      <c r="I252" s="251"/>
      <c r="J252" s="251"/>
      <c r="K252" s="251"/>
      <c r="L252" s="251"/>
      <c r="M252" s="251"/>
      <c r="N252" s="251"/>
      <c r="O252" s="251"/>
      <c r="P252" s="251" t="str">
        <f>P250</f>
        <v>50-R2.5</v>
      </c>
      <c r="Q252" s="251"/>
      <c r="R252" s="251">
        <v>25.9</v>
      </c>
    </row>
    <row r="253" spans="1:18">
      <c r="A253" s="272"/>
      <c r="B253" s="248"/>
      <c r="C253" s="249"/>
      <c r="D253" s="253"/>
      <c r="E253" s="249"/>
      <c r="F253" s="250"/>
      <c r="G253" s="249"/>
      <c r="H253" s="251"/>
      <c r="I253" s="251"/>
      <c r="J253" s="251"/>
      <c r="K253" s="251"/>
      <c r="L253" s="251"/>
      <c r="M253" s="251"/>
      <c r="N253" s="251"/>
      <c r="O253" s="251"/>
      <c r="P253" s="251"/>
      <c r="Q253" s="251"/>
      <c r="R253" s="251"/>
    </row>
    <row r="254" spans="1:18">
      <c r="A254" s="272"/>
      <c r="B254" s="248">
        <v>342</v>
      </c>
      <c r="C254" s="249"/>
      <c r="D254" s="249" t="s">
        <v>1354</v>
      </c>
      <c r="E254" s="249"/>
      <c r="F254" s="250"/>
      <c r="G254" s="249"/>
      <c r="H254" s="251"/>
      <c r="I254" s="251"/>
      <c r="J254" s="251"/>
      <c r="K254" s="251"/>
      <c r="L254" s="251"/>
      <c r="M254" s="251"/>
      <c r="N254" s="251"/>
      <c r="O254" s="251"/>
      <c r="P254" s="251"/>
      <c r="Q254" s="251"/>
      <c r="R254" s="251"/>
    </row>
    <row r="255" spans="1:18">
      <c r="A255" s="272"/>
      <c r="B255" s="248"/>
      <c r="C255" s="249"/>
      <c r="D255" s="269" t="s">
        <v>1349</v>
      </c>
      <c r="E255" s="249"/>
      <c r="F255" s="678">
        <v>-7</v>
      </c>
      <c r="G255" s="249"/>
      <c r="H255" s="657">
        <v>5.43</v>
      </c>
      <c r="I255" s="251"/>
      <c r="J255" s="657">
        <v>5.07</v>
      </c>
      <c r="K255" s="251"/>
      <c r="L255" s="657">
        <v>0.36</v>
      </c>
      <c r="M255" s="251"/>
      <c r="N255" s="251">
        <v>0</v>
      </c>
      <c r="O255" s="251"/>
      <c r="P255" s="251" t="s">
        <v>1355</v>
      </c>
      <c r="Q255" s="251"/>
      <c r="R255" s="657">
        <v>15.1</v>
      </c>
    </row>
    <row r="256" spans="1:18">
      <c r="A256" s="272"/>
      <c r="B256" s="248"/>
      <c r="C256" s="249"/>
      <c r="D256" s="269" t="s">
        <v>1350</v>
      </c>
      <c r="E256" s="249"/>
      <c r="F256" s="678">
        <v>-7</v>
      </c>
      <c r="G256" s="249"/>
      <c r="H256" s="657">
        <v>7.39</v>
      </c>
      <c r="I256" s="251"/>
      <c r="J256" s="657">
        <v>6.9099999999999993</v>
      </c>
      <c r="K256" s="251"/>
      <c r="L256" s="657">
        <v>0.48</v>
      </c>
      <c r="M256" s="251"/>
      <c r="N256" s="251">
        <v>0</v>
      </c>
      <c r="O256" s="251"/>
      <c r="P256" s="251" t="s">
        <v>1355</v>
      </c>
      <c r="Q256" s="251"/>
      <c r="R256" s="657">
        <v>10.3</v>
      </c>
    </row>
    <row r="257" spans="1:18">
      <c r="A257" s="272"/>
      <c r="B257" s="248"/>
      <c r="C257" s="249"/>
      <c r="D257" s="253" t="s">
        <v>1344</v>
      </c>
      <c r="E257" s="249"/>
      <c r="F257" s="678">
        <v>-7</v>
      </c>
      <c r="G257" s="249"/>
      <c r="H257" s="657">
        <v>5</v>
      </c>
      <c r="I257" s="251"/>
      <c r="J257" s="657">
        <v>4.67</v>
      </c>
      <c r="K257" s="251"/>
      <c r="L257" s="657">
        <v>0.33</v>
      </c>
      <c r="M257" s="251"/>
      <c r="N257" s="251">
        <v>0</v>
      </c>
      <c r="O257" s="251"/>
      <c r="P257" s="251" t="s">
        <v>1355</v>
      </c>
      <c r="Q257" s="251"/>
      <c r="R257" s="657">
        <v>14.8</v>
      </c>
    </row>
    <row r="258" spans="1:18">
      <c r="A258" s="272"/>
      <c r="B258" s="248"/>
      <c r="C258" s="249"/>
      <c r="D258" s="269" t="s">
        <v>1345</v>
      </c>
      <c r="E258" s="249"/>
      <c r="F258" s="678">
        <v>-7</v>
      </c>
      <c r="G258" s="249"/>
      <c r="H258" s="657">
        <v>6.9599999999999991</v>
      </c>
      <c r="I258" s="251"/>
      <c r="J258" s="657">
        <v>6.5</v>
      </c>
      <c r="K258" s="251"/>
      <c r="L258" s="657">
        <v>0.45999999999999996</v>
      </c>
      <c r="M258" s="251"/>
      <c r="N258" s="251">
        <v>0</v>
      </c>
      <c r="O258" s="251"/>
      <c r="P258" s="251" t="s">
        <v>1355</v>
      </c>
      <c r="Q258" s="251"/>
      <c r="R258" s="657">
        <v>13.2</v>
      </c>
    </row>
    <row r="259" spans="1:18">
      <c r="A259" s="272"/>
      <c r="B259" s="248"/>
      <c r="C259" s="249"/>
      <c r="D259" s="269" t="s">
        <v>1346</v>
      </c>
      <c r="E259" s="249"/>
      <c r="F259" s="678">
        <v>-7</v>
      </c>
      <c r="G259" s="249"/>
      <c r="H259" s="657">
        <v>6.9899999999999993</v>
      </c>
      <c r="I259" s="251"/>
      <c r="J259" s="657">
        <v>6.5299999999999994</v>
      </c>
      <c r="K259" s="251"/>
      <c r="L259" s="657">
        <v>0.45999999999999996</v>
      </c>
      <c r="M259" s="251"/>
      <c r="N259" s="251">
        <v>0</v>
      </c>
      <c r="O259" s="251"/>
      <c r="P259" s="251" t="s">
        <v>1355</v>
      </c>
      <c r="Q259" s="251"/>
      <c r="R259" s="657">
        <v>13.2</v>
      </c>
    </row>
    <row r="260" spans="1:18">
      <c r="A260" s="272"/>
      <c r="B260" s="248"/>
      <c r="C260" s="249"/>
      <c r="D260" s="269" t="s">
        <v>1347</v>
      </c>
      <c r="E260" s="249"/>
      <c r="F260" s="678">
        <v>-7</v>
      </c>
      <c r="G260" s="249"/>
      <c r="H260" s="657">
        <v>6.5299999999999994</v>
      </c>
      <c r="I260" s="251"/>
      <c r="J260" s="657">
        <v>6.1</v>
      </c>
      <c r="K260" s="251"/>
      <c r="L260" s="657">
        <v>0.43</v>
      </c>
      <c r="M260" s="251"/>
      <c r="N260" s="251">
        <v>0</v>
      </c>
      <c r="O260" s="251"/>
      <c r="P260" s="251" t="s">
        <v>1355</v>
      </c>
      <c r="Q260" s="251"/>
      <c r="R260" s="657">
        <v>9.4</v>
      </c>
    </row>
    <row r="261" spans="1:18">
      <c r="A261" s="272"/>
      <c r="B261" s="248"/>
      <c r="C261" s="249"/>
      <c r="D261" s="269" t="s">
        <v>1348</v>
      </c>
      <c r="E261" s="249"/>
      <c r="F261" s="678">
        <v>-7</v>
      </c>
      <c r="G261" s="249"/>
      <c r="H261" s="657">
        <v>4.6500000000000004</v>
      </c>
      <c r="I261" s="251"/>
      <c r="J261" s="657">
        <v>4.3499999999999996</v>
      </c>
      <c r="K261" s="251"/>
      <c r="L261" s="657">
        <v>0.3</v>
      </c>
      <c r="M261" s="251"/>
      <c r="N261" s="251">
        <v>0</v>
      </c>
      <c r="O261" s="251"/>
      <c r="P261" s="251" t="s">
        <v>1355</v>
      </c>
      <c r="Q261" s="251"/>
      <c r="R261" s="657">
        <v>14.8</v>
      </c>
    </row>
    <row r="262" spans="1:18">
      <c r="A262" s="272"/>
      <c r="B262" s="248"/>
      <c r="C262" s="249"/>
      <c r="D262" s="269" t="s">
        <v>1336</v>
      </c>
      <c r="E262" s="249"/>
      <c r="F262" s="678">
        <v>-7</v>
      </c>
      <c r="G262" s="249"/>
      <c r="H262" s="657">
        <v>3.0300000000000002</v>
      </c>
      <c r="I262" s="251"/>
      <c r="J262" s="657">
        <v>2.83</v>
      </c>
      <c r="K262" s="251"/>
      <c r="L262" s="657">
        <v>0.2</v>
      </c>
      <c r="M262" s="251"/>
      <c r="N262" s="251">
        <v>0</v>
      </c>
      <c r="O262" s="251"/>
      <c r="P262" s="251" t="s">
        <v>1355</v>
      </c>
      <c r="Q262" s="251"/>
      <c r="R262" s="657">
        <v>14.2</v>
      </c>
    </row>
    <row r="263" spans="1:18">
      <c r="A263" s="272"/>
      <c r="B263" s="248"/>
      <c r="C263" s="249"/>
      <c r="D263" s="269" t="s">
        <v>1351</v>
      </c>
      <c r="E263" s="249"/>
      <c r="F263" s="678">
        <v>-10</v>
      </c>
      <c r="G263" s="249"/>
      <c r="H263" s="657">
        <v>15.740000000000002</v>
      </c>
      <c r="I263" s="251"/>
      <c r="J263" s="657">
        <v>14.31</v>
      </c>
      <c r="K263" s="251"/>
      <c r="L263" s="657">
        <v>1.43</v>
      </c>
      <c r="M263" s="251"/>
      <c r="N263" s="251">
        <v>0</v>
      </c>
      <c r="O263" s="251"/>
      <c r="P263" s="251" t="s">
        <v>1355</v>
      </c>
      <c r="Q263" s="251"/>
      <c r="R263" s="657">
        <v>4.4000000000000004</v>
      </c>
    </row>
    <row r="264" spans="1:18">
      <c r="A264" s="272"/>
      <c r="B264" s="248"/>
      <c r="C264" s="249"/>
      <c r="D264" s="269" t="s">
        <v>1352</v>
      </c>
      <c r="E264" s="249"/>
      <c r="F264" s="678">
        <v>-6</v>
      </c>
      <c r="G264" s="249"/>
      <c r="H264" s="657">
        <v>3.8900000000000006</v>
      </c>
      <c r="I264" s="251"/>
      <c r="J264" s="657">
        <v>3.6700000000000004</v>
      </c>
      <c r="K264" s="251"/>
      <c r="L264" s="657">
        <v>0.22</v>
      </c>
      <c r="M264" s="251"/>
      <c r="N264" s="251">
        <v>0</v>
      </c>
      <c r="O264" s="251"/>
      <c r="P264" s="251" t="s">
        <v>1355</v>
      </c>
      <c r="Q264" s="251"/>
      <c r="R264" s="657">
        <v>14.7</v>
      </c>
    </row>
    <row r="265" spans="1:18">
      <c r="A265" s="272"/>
      <c r="B265" s="248"/>
      <c r="C265" s="249"/>
      <c r="D265" s="269" t="s">
        <v>1343</v>
      </c>
      <c r="E265" s="249"/>
      <c r="F265" s="678">
        <v>-7</v>
      </c>
      <c r="G265" s="249"/>
      <c r="H265" s="657">
        <v>3.85</v>
      </c>
      <c r="I265" s="251"/>
      <c r="J265" s="657">
        <v>3.5999999999999996</v>
      </c>
      <c r="K265" s="251"/>
      <c r="L265" s="657">
        <v>0.25</v>
      </c>
      <c r="M265" s="251"/>
      <c r="N265" s="251">
        <v>0</v>
      </c>
      <c r="O265" s="251"/>
      <c r="P265" s="251" t="s">
        <v>1355</v>
      </c>
      <c r="Q265" s="251"/>
      <c r="R265" s="657">
        <v>17.5</v>
      </c>
    </row>
    <row r="266" spans="1:18">
      <c r="A266" s="272"/>
      <c r="B266" s="248"/>
      <c r="C266" s="249"/>
      <c r="D266" s="269" t="s">
        <v>1338</v>
      </c>
      <c r="E266" s="249"/>
      <c r="F266" s="678">
        <v>-7</v>
      </c>
      <c r="G266" s="249"/>
      <c r="H266" s="657">
        <v>3.9</v>
      </c>
      <c r="I266" s="251"/>
      <c r="J266" s="657">
        <v>3.64</v>
      </c>
      <c r="K266" s="251"/>
      <c r="L266" s="657">
        <v>0.26</v>
      </c>
      <c r="M266" s="251"/>
      <c r="N266" s="251">
        <v>0</v>
      </c>
      <c r="O266" s="251"/>
      <c r="P266" s="251" t="s">
        <v>1355</v>
      </c>
      <c r="Q266" s="251"/>
      <c r="R266" s="657">
        <v>15.6</v>
      </c>
    </row>
    <row r="267" spans="1:18">
      <c r="A267" s="272"/>
      <c r="B267" s="248"/>
      <c r="C267" s="249"/>
      <c r="D267" s="269" t="s">
        <v>1339</v>
      </c>
      <c r="E267" s="249"/>
      <c r="F267" s="678">
        <v>-7</v>
      </c>
      <c r="G267" s="249"/>
      <c r="H267" s="657">
        <v>3.9</v>
      </c>
      <c r="I267" s="251"/>
      <c r="J267" s="657">
        <v>3.64</v>
      </c>
      <c r="K267" s="251"/>
      <c r="L267" s="657">
        <v>0.26</v>
      </c>
      <c r="M267" s="251"/>
      <c r="N267" s="251">
        <v>0</v>
      </c>
      <c r="O267" s="251"/>
      <c r="P267" s="251" t="s">
        <v>1355</v>
      </c>
      <c r="Q267" s="251"/>
      <c r="R267" s="657">
        <v>15.6</v>
      </c>
    </row>
    <row r="268" spans="1:18">
      <c r="A268" s="272"/>
      <c r="B268" s="248"/>
      <c r="C268" s="249"/>
      <c r="D268" s="269" t="s">
        <v>1340</v>
      </c>
      <c r="E268" s="249"/>
      <c r="F268" s="678">
        <v>-7</v>
      </c>
      <c r="G268" s="249"/>
      <c r="H268" s="657">
        <v>3.8200000000000003</v>
      </c>
      <c r="I268" s="251"/>
      <c r="J268" s="657">
        <v>3.5700000000000003</v>
      </c>
      <c r="K268" s="251"/>
      <c r="L268" s="657">
        <v>0.25</v>
      </c>
      <c r="M268" s="251"/>
      <c r="N268" s="251">
        <v>0</v>
      </c>
      <c r="O268" s="251"/>
      <c r="P268" s="251" t="s">
        <v>1355</v>
      </c>
      <c r="Q268" s="251"/>
      <c r="R268" s="657">
        <v>17.5</v>
      </c>
    </row>
    <row r="269" spans="1:18">
      <c r="A269" s="272"/>
      <c r="B269" s="248"/>
      <c r="C269" s="249"/>
      <c r="D269" s="269" t="s">
        <v>1341</v>
      </c>
      <c r="E269" s="249"/>
      <c r="F269" s="678">
        <v>-7</v>
      </c>
      <c r="G269" s="249"/>
      <c r="H269" s="657">
        <v>3.8200000000000003</v>
      </c>
      <c r="I269" s="251"/>
      <c r="J269" s="657">
        <v>3.5700000000000003</v>
      </c>
      <c r="K269" s="251"/>
      <c r="L269" s="657">
        <v>0.25</v>
      </c>
      <c r="M269" s="251"/>
      <c r="N269" s="251">
        <v>0</v>
      </c>
      <c r="O269" s="251"/>
      <c r="P269" s="251" t="s">
        <v>1355</v>
      </c>
      <c r="Q269" s="251"/>
      <c r="R269" s="657">
        <v>17.5</v>
      </c>
    </row>
    <row r="270" spans="1:18">
      <c r="A270" s="272"/>
      <c r="B270" s="248"/>
      <c r="C270" s="249"/>
      <c r="D270" s="269" t="s">
        <v>1342</v>
      </c>
      <c r="E270" s="249"/>
      <c r="F270" s="678">
        <v>-7</v>
      </c>
      <c r="G270" s="249"/>
      <c r="H270" s="657">
        <v>3.83</v>
      </c>
      <c r="I270" s="251"/>
      <c r="J270" s="657">
        <v>3.58</v>
      </c>
      <c r="K270" s="251"/>
      <c r="L270" s="657">
        <v>0.25</v>
      </c>
      <c r="M270" s="251"/>
      <c r="N270" s="251">
        <v>0</v>
      </c>
      <c r="O270" s="251"/>
      <c r="P270" s="251" t="s">
        <v>1355</v>
      </c>
      <c r="Q270" s="251"/>
      <c r="R270" s="657">
        <v>17.5</v>
      </c>
    </row>
    <row r="271" spans="1:18">
      <c r="A271" s="272"/>
      <c r="B271" s="248"/>
      <c r="C271" s="249"/>
      <c r="D271" s="269" t="s">
        <v>1356</v>
      </c>
      <c r="E271" s="249"/>
      <c r="F271" s="678">
        <v>-7</v>
      </c>
      <c r="G271" s="249"/>
      <c r="H271" s="657">
        <v>3.53</v>
      </c>
      <c r="I271" s="251"/>
      <c r="J271" s="657">
        <v>3.3000000000000003</v>
      </c>
      <c r="K271" s="251"/>
      <c r="L271" s="657">
        <v>0.22999999999999998</v>
      </c>
      <c r="M271" s="251"/>
      <c r="N271" s="251">
        <v>0</v>
      </c>
      <c r="O271" s="251"/>
      <c r="P271" s="251" t="s">
        <v>1355</v>
      </c>
      <c r="Q271" s="251"/>
      <c r="R271" s="657">
        <v>17.399999999999999</v>
      </c>
    </row>
    <row r="272" spans="1:18">
      <c r="A272" s="272"/>
      <c r="B272" s="248"/>
      <c r="C272" s="249"/>
      <c r="D272" s="266" t="s">
        <v>2306</v>
      </c>
      <c r="E272" s="249"/>
      <c r="F272" s="678">
        <v>-12</v>
      </c>
      <c r="G272" s="249"/>
      <c r="H272" s="657">
        <v>3.1</v>
      </c>
      <c r="I272" s="251"/>
      <c r="J272" s="657">
        <v>2.77</v>
      </c>
      <c r="K272" s="251"/>
      <c r="L272" s="657">
        <v>0.33</v>
      </c>
      <c r="M272" s="251"/>
      <c r="N272" s="251">
        <v>0</v>
      </c>
      <c r="O272" s="251"/>
      <c r="P272" s="251" t="s">
        <v>1355</v>
      </c>
      <c r="Q272" s="251"/>
      <c r="R272" s="657">
        <v>35.6</v>
      </c>
    </row>
    <row r="273" spans="1:18">
      <c r="A273" s="272"/>
      <c r="B273" s="248"/>
      <c r="C273" s="249"/>
      <c r="D273" s="269" t="s">
        <v>2308</v>
      </c>
      <c r="E273" s="249"/>
      <c r="F273" s="678">
        <v>-12</v>
      </c>
      <c r="G273" s="249"/>
      <c r="H273" s="657">
        <v>3.1</v>
      </c>
      <c r="I273" s="251"/>
      <c r="J273" s="657">
        <v>2.77</v>
      </c>
      <c r="K273" s="251"/>
      <c r="L273" s="657">
        <v>0.33</v>
      </c>
      <c r="M273" s="251"/>
      <c r="N273" s="251">
        <v>0</v>
      </c>
      <c r="O273" s="251"/>
      <c r="P273" s="251" t="s">
        <v>1355</v>
      </c>
      <c r="Q273" s="251"/>
      <c r="R273" s="657">
        <v>35.6</v>
      </c>
    </row>
    <row r="274" spans="1:18">
      <c r="A274" s="272"/>
      <c r="B274" s="248"/>
      <c r="C274" s="249"/>
      <c r="D274" s="269" t="s">
        <v>2697</v>
      </c>
      <c r="E274" s="249"/>
      <c r="F274" s="678">
        <v>-12</v>
      </c>
      <c r="G274" s="249"/>
      <c r="H274" s="657">
        <v>3.1</v>
      </c>
      <c r="I274" s="251"/>
      <c r="J274" s="657">
        <v>2.77</v>
      </c>
      <c r="K274" s="251"/>
      <c r="L274" s="657">
        <v>0.33</v>
      </c>
      <c r="M274" s="251"/>
      <c r="N274" s="251">
        <v>0</v>
      </c>
      <c r="O274" s="251"/>
      <c r="P274" s="251" t="s">
        <v>1355</v>
      </c>
      <c r="Q274" s="251"/>
      <c r="R274" s="657">
        <v>14.7</v>
      </c>
    </row>
    <row r="275" spans="1:18">
      <c r="A275" s="272"/>
      <c r="B275" s="248"/>
      <c r="C275" s="249"/>
      <c r="D275" s="249"/>
      <c r="E275" s="249"/>
      <c r="F275" s="250"/>
      <c r="G275" s="249"/>
      <c r="H275" s="251"/>
      <c r="I275" s="251"/>
      <c r="J275" s="251"/>
      <c r="K275" s="251"/>
      <c r="L275" s="251"/>
      <c r="M275" s="251"/>
      <c r="N275" s="251"/>
      <c r="O275" s="251"/>
      <c r="P275" s="251"/>
      <c r="Q275" s="251"/>
      <c r="R275" s="251"/>
    </row>
    <row r="276" spans="1:18">
      <c r="A276" s="272">
        <v>342</v>
      </c>
      <c r="B276" s="248"/>
      <c r="C276" s="249"/>
      <c r="D276" s="254" t="s">
        <v>1357</v>
      </c>
      <c r="E276" s="249"/>
      <c r="F276" s="278" t="s">
        <v>2334</v>
      </c>
      <c r="G276" s="249"/>
      <c r="H276" s="251">
        <v>3.27</v>
      </c>
      <c r="I276" s="251"/>
      <c r="J276" s="251"/>
      <c r="K276" s="251"/>
      <c r="L276" s="251"/>
      <c r="M276" s="251"/>
      <c r="N276" s="251"/>
      <c r="O276" s="251"/>
      <c r="P276" s="251" t="str">
        <f>P274</f>
        <v>45-R2.5</v>
      </c>
      <c r="Q276" s="251"/>
      <c r="R276" s="251">
        <v>31.3</v>
      </c>
    </row>
    <row r="277" spans="1:18">
      <c r="A277" s="272"/>
      <c r="B277" s="248"/>
      <c r="C277" s="249"/>
      <c r="D277" s="249"/>
      <c r="E277" s="249"/>
      <c r="F277" s="250"/>
      <c r="G277" s="249"/>
      <c r="H277" s="251"/>
      <c r="I277" s="251"/>
      <c r="J277" s="251"/>
      <c r="K277" s="251"/>
      <c r="L277" s="251"/>
      <c r="M277" s="251"/>
      <c r="N277" s="251"/>
      <c r="O277" s="251"/>
      <c r="P277" s="251"/>
      <c r="Q277" s="251"/>
      <c r="R277" s="251"/>
    </row>
    <row r="278" spans="1:18">
      <c r="A278" s="272"/>
      <c r="B278" s="248">
        <v>343</v>
      </c>
      <c r="C278" s="249"/>
      <c r="D278" s="249" t="s">
        <v>1358</v>
      </c>
      <c r="E278" s="249"/>
      <c r="F278" s="250"/>
      <c r="G278" s="249"/>
      <c r="H278" s="251"/>
      <c r="I278" s="251"/>
      <c r="J278" s="251"/>
      <c r="K278" s="251"/>
      <c r="L278" s="251"/>
      <c r="M278" s="251"/>
      <c r="N278" s="251"/>
      <c r="O278" s="251"/>
      <c r="P278" s="251"/>
      <c r="Q278" s="251"/>
      <c r="R278" s="251"/>
    </row>
    <row r="279" spans="1:18">
      <c r="A279" s="272"/>
      <c r="B279" s="248"/>
      <c r="C279" s="249"/>
      <c r="D279" s="269" t="s">
        <v>1349</v>
      </c>
      <c r="E279" s="249"/>
      <c r="F279" s="678">
        <v>-7</v>
      </c>
      <c r="G279" s="249"/>
      <c r="H279" s="251">
        <v>4.9399999999999995</v>
      </c>
      <c r="I279" s="251"/>
      <c r="J279" s="251">
        <v>4.62</v>
      </c>
      <c r="K279" s="251"/>
      <c r="L279" s="251">
        <v>0.37</v>
      </c>
      <c r="M279" s="251"/>
      <c r="N279" s="251">
        <v>-0.05</v>
      </c>
      <c r="O279" s="251"/>
      <c r="P279" s="656" t="s">
        <v>1359</v>
      </c>
      <c r="Q279" s="251"/>
      <c r="R279" s="657">
        <v>13.8</v>
      </c>
    </row>
    <row r="280" spans="1:18">
      <c r="A280" s="272"/>
      <c r="B280" s="248"/>
      <c r="C280" s="249"/>
      <c r="D280" s="269" t="s">
        <v>1350</v>
      </c>
      <c r="E280" s="249"/>
      <c r="F280" s="678">
        <v>-7</v>
      </c>
      <c r="G280" s="249"/>
      <c r="H280" s="251">
        <v>4.82</v>
      </c>
      <c r="I280" s="251"/>
      <c r="J280" s="251">
        <v>4.51</v>
      </c>
      <c r="K280" s="251"/>
      <c r="L280" s="251">
        <v>0.36</v>
      </c>
      <c r="M280" s="251"/>
      <c r="N280" s="251">
        <v>-0.05</v>
      </c>
      <c r="O280" s="251"/>
      <c r="P280" s="656" t="s">
        <v>1359</v>
      </c>
      <c r="Q280" s="251"/>
      <c r="R280" s="657">
        <v>9.6</v>
      </c>
    </row>
    <row r="281" spans="1:18">
      <c r="A281" s="272"/>
      <c r="B281" s="248"/>
      <c r="C281" s="249"/>
      <c r="D281" s="269" t="s">
        <v>1344</v>
      </c>
      <c r="E281" s="249"/>
      <c r="F281" s="678">
        <v>-7</v>
      </c>
      <c r="G281" s="249"/>
      <c r="H281" s="251">
        <v>4.41</v>
      </c>
      <c r="I281" s="251"/>
      <c r="J281" s="251">
        <v>4.12</v>
      </c>
      <c r="K281" s="251"/>
      <c r="L281" s="251">
        <v>0.33</v>
      </c>
      <c r="M281" s="251"/>
      <c r="N281" s="251">
        <v>-0.04</v>
      </c>
      <c r="O281" s="251"/>
      <c r="P281" s="656" t="s">
        <v>1359</v>
      </c>
      <c r="Q281" s="251"/>
      <c r="R281" s="657">
        <v>13.8</v>
      </c>
    </row>
    <row r="282" spans="1:18">
      <c r="A282" s="272"/>
      <c r="B282" s="248"/>
      <c r="C282" s="249"/>
      <c r="D282" s="269" t="s">
        <v>1345</v>
      </c>
      <c r="E282" s="249"/>
      <c r="F282" s="678">
        <v>-7</v>
      </c>
      <c r="G282" s="249"/>
      <c r="H282" s="251">
        <v>5.42</v>
      </c>
      <c r="I282" s="251"/>
      <c r="J282" s="251">
        <v>5.0599999999999996</v>
      </c>
      <c r="K282" s="251"/>
      <c r="L282" s="251">
        <v>0.41000000000000003</v>
      </c>
      <c r="M282" s="251"/>
      <c r="N282" s="251">
        <v>-0.05</v>
      </c>
      <c r="O282" s="251"/>
      <c r="P282" s="656" t="s">
        <v>1359</v>
      </c>
      <c r="Q282" s="251"/>
      <c r="R282" s="657">
        <v>12.2</v>
      </c>
    </row>
    <row r="283" spans="1:18">
      <c r="A283" s="272"/>
      <c r="B283" s="248"/>
      <c r="C283" s="249"/>
      <c r="D283" s="269" t="s">
        <v>1346</v>
      </c>
      <c r="E283" s="249"/>
      <c r="F283" s="678">
        <v>-7</v>
      </c>
      <c r="G283" s="249"/>
      <c r="H283" s="251">
        <v>5.28</v>
      </c>
      <c r="I283" s="251"/>
      <c r="J283" s="251">
        <v>4.9399999999999995</v>
      </c>
      <c r="K283" s="251"/>
      <c r="L283" s="251">
        <v>0.38999999999999996</v>
      </c>
      <c r="M283" s="251"/>
      <c r="N283" s="251">
        <v>-0.05</v>
      </c>
      <c r="O283" s="251"/>
      <c r="P283" s="656" t="s">
        <v>1359</v>
      </c>
      <c r="Q283" s="251"/>
      <c r="R283" s="657">
        <v>12.2</v>
      </c>
    </row>
    <row r="284" spans="1:18">
      <c r="A284" s="272"/>
      <c r="B284" s="248"/>
      <c r="C284" s="249"/>
      <c r="D284" s="269" t="s">
        <v>1347</v>
      </c>
      <c r="E284" s="249"/>
      <c r="F284" s="678">
        <v>-7</v>
      </c>
      <c r="G284" s="249"/>
      <c r="H284" s="251">
        <v>5.81</v>
      </c>
      <c r="I284" s="251"/>
      <c r="J284" s="251">
        <v>5.43</v>
      </c>
      <c r="K284" s="251"/>
      <c r="L284" s="251">
        <v>0.43</v>
      </c>
      <c r="M284" s="251"/>
      <c r="N284" s="251">
        <v>-0.05</v>
      </c>
      <c r="O284" s="251"/>
      <c r="P284" s="656" t="s">
        <v>1359</v>
      </c>
      <c r="Q284" s="251"/>
      <c r="R284" s="657">
        <v>8.8000000000000007</v>
      </c>
    </row>
    <row r="285" spans="1:18">
      <c r="A285" s="272"/>
      <c r="B285" s="248"/>
      <c r="C285" s="249"/>
      <c r="D285" s="269" t="s">
        <v>1348</v>
      </c>
      <c r="E285" s="249"/>
      <c r="F285" s="678">
        <v>-7</v>
      </c>
      <c r="G285" s="249"/>
      <c r="H285" s="251">
        <v>4.74</v>
      </c>
      <c r="I285" s="251"/>
      <c r="J285" s="251">
        <v>4.43</v>
      </c>
      <c r="K285" s="251"/>
      <c r="L285" s="251">
        <v>0.35000000000000003</v>
      </c>
      <c r="M285" s="251"/>
      <c r="N285" s="251">
        <v>-0.04</v>
      </c>
      <c r="O285" s="251"/>
      <c r="P285" s="656" t="s">
        <v>1359</v>
      </c>
      <c r="Q285" s="251"/>
      <c r="R285" s="657">
        <v>13.6</v>
      </c>
    </row>
    <row r="286" spans="1:18">
      <c r="A286" s="272"/>
      <c r="B286" s="248"/>
      <c r="C286" s="249"/>
      <c r="D286" s="269" t="s">
        <v>1352</v>
      </c>
      <c r="E286" s="249"/>
      <c r="F286" s="678">
        <v>-6</v>
      </c>
      <c r="G286" s="249"/>
      <c r="H286" s="251">
        <v>5.53</v>
      </c>
      <c r="I286" s="251"/>
      <c r="J286" s="251">
        <v>5.21</v>
      </c>
      <c r="K286" s="251"/>
      <c r="L286" s="251">
        <v>0.37</v>
      </c>
      <c r="M286" s="251"/>
      <c r="N286" s="251">
        <v>-0.05</v>
      </c>
      <c r="O286" s="251"/>
      <c r="P286" s="656" t="s">
        <v>1359</v>
      </c>
      <c r="Q286" s="251"/>
      <c r="R286" s="657">
        <v>13.9</v>
      </c>
    </row>
    <row r="287" spans="1:18">
      <c r="A287" s="274"/>
      <c r="B287" s="255"/>
      <c r="C287" s="249"/>
      <c r="D287" s="269" t="s">
        <v>1343</v>
      </c>
      <c r="E287" s="249"/>
      <c r="F287" s="678">
        <v>-7</v>
      </c>
      <c r="G287" s="249"/>
      <c r="H287" s="251">
        <v>4.49</v>
      </c>
      <c r="I287" s="251"/>
      <c r="J287" s="251">
        <v>4.1900000000000004</v>
      </c>
      <c r="K287" s="251"/>
      <c r="L287" s="251">
        <v>0.33999999999999997</v>
      </c>
      <c r="M287" s="251"/>
      <c r="N287" s="251">
        <v>-0.04</v>
      </c>
      <c r="O287" s="251"/>
      <c r="P287" s="656" t="s">
        <v>1359</v>
      </c>
      <c r="Q287" s="251"/>
      <c r="R287" s="657">
        <v>16.399999999999999</v>
      </c>
    </row>
    <row r="288" spans="1:18">
      <c r="A288" s="272"/>
      <c r="B288" s="248"/>
      <c r="C288" s="249"/>
      <c r="D288" s="269" t="s">
        <v>1338</v>
      </c>
      <c r="E288" s="249"/>
      <c r="F288" s="678">
        <v>-7</v>
      </c>
      <c r="G288" s="249"/>
      <c r="H288" s="251">
        <v>4.58</v>
      </c>
      <c r="I288" s="251"/>
      <c r="J288" s="251">
        <v>4.2799999999999994</v>
      </c>
      <c r="K288" s="251"/>
      <c r="L288" s="251">
        <v>0.33999999999999997</v>
      </c>
      <c r="M288" s="251"/>
      <c r="N288" s="251">
        <v>-0.04</v>
      </c>
      <c r="O288" s="251"/>
      <c r="P288" s="656" t="s">
        <v>1359</v>
      </c>
      <c r="Q288" s="251"/>
      <c r="R288" s="657">
        <v>14.7</v>
      </c>
    </row>
    <row r="289" spans="1:19">
      <c r="A289" s="272"/>
      <c r="B289" s="248"/>
      <c r="C289" s="249"/>
      <c r="D289" s="269" t="s">
        <v>1339</v>
      </c>
      <c r="E289" s="249"/>
      <c r="F289" s="678">
        <v>-7</v>
      </c>
      <c r="G289" s="249"/>
      <c r="H289" s="251">
        <v>4.5000000000000009</v>
      </c>
      <c r="I289" s="251"/>
      <c r="J289" s="251">
        <v>4.2</v>
      </c>
      <c r="K289" s="251"/>
      <c r="L289" s="251">
        <v>0.33999999999999997</v>
      </c>
      <c r="M289" s="251"/>
      <c r="N289" s="251">
        <v>-0.04</v>
      </c>
      <c r="O289" s="251"/>
      <c r="P289" s="656" t="s">
        <v>1359</v>
      </c>
      <c r="Q289" s="251"/>
      <c r="R289" s="657">
        <v>14.6</v>
      </c>
    </row>
    <row r="290" spans="1:19">
      <c r="A290" s="272"/>
      <c r="B290" s="248"/>
      <c r="C290" s="249"/>
      <c r="D290" s="269" t="s">
        <v>1340</v>
      </c>
      <c r="E290" s="249"/>
      <c r="F290" s="678">
        <v>-7</v>
      </c>
      <c r="G290" s="249"/>
      <c r="H290" s="251">
        <v>4.5200000000000005</v>
      </c>
      <c r="I290" s="251"/>
      <c r="J290" s="251">
        <v>4.22</v>
      </c>
      <c r="K290" s="251"/>
      <c r="L290" s="251">
        <v>0.33999999999999997</v>
      </c>
      <c r="M290" s="251"/>
      <c r="N290" s="251">
        <v>-0.04</v>
      </c>
      <c r="O290" s="251"/>
      <c r="P290" s="656" t="s">
        <v>1359</v>
      </c>
      <c r="Q290" s="251"/>
      <c r="R290" s="657">
        <v>16.399999999999999</v>
      </c>
      <c r="S290" s="240"/>
    </row>
    <row r="291" spans="1:19">
      <c r="A291" s="272"/>
      <c r="B291" s="248"/>
      <c r="C291" s="249"/>
      <c r="D291" s="269" t="s">
        <v>1341</v>
      </c>
      <c r="E291" s="249"/>
      <c r="F291" s="678">
        <v>-7</v>
      </c>
      <c r="G291" s="249"/>
      <c r="H291" s="251">
        <v>4.57</v>
      </c>
      <c r="I291" s="251"/>
      <c r="J291" s="251">
        <v>4.2700000000000005</v>
      </c>
      <c r="K291" s="251"/>
      <c r="L291" s="251">
        <v>0.33999999999999997</v>
      </c>
      <c r="M291" s="251"/>
      <c r="N291" s="251">
        <v>-0.04</v>
      </c>
      <c r="O291" s="251"/>
      <c r="P291" s="656" t="s">
        <v>1359</v>
      </c>
      <c r="Q291" s="251"/>
      <c r="R291" s="657">
        <v>16.399999999999999</v>
      </c>
      <c r="S291" s="240"/>
    </row>
    <row r="292" spans="1:19">
      <c r="A292" s="272"/>
      <c r="B292" s="248"/>
      <c r="C292" s="249"/>
      <c r="D292" s="269" t="s">
        <v>1342</v>
      </c>
      <c r="E292" s="249"/>
      <c r="F292" s="678">
        <v>-7</v>
      </c>
      <c r="G292" s="249"/>
      <c r="H292" s="251">
        <v>4.4799999999999995</v>
      </c>
      <c r="I292" s="251"/>
      <c r="J292" s="251">
        <v>4.1900000000000004</v>
      </c>
      <c r="K292" s="251"/>
      <c r="L292" s="251">
        <v>0.33</v>
      </c>
      <c r="M292" s="251"/>
      <c r="N292" s="251">
        <v>-0.04</v>
      </c>
      <c r="O292" s="251"/>
      <c r="P292" s="656" t="s">
        <v>1359</v>
      </c>
      <c r="Q292" s="251"/>
      <c r="R292" s="657">
        <v>16.3</v>
      </c>
      <c r="S292" s="240"/>
    </row>
    <row r="293" spans="1:19">
      <c r="A293" s="272"/>
      <c r="B293" s="248"/>
      <c r="C293" s="249"/>
      <c r="D293" s="269" t="s">
        <v>2306</v>
      </c>
      <c r="E293" s="249"/>
      <c r="F293" s="678">
        <v>-12</v>
      </c>
      <c r="G293" s="249"/>
      <c r="H293" s="251">
        <v>3.5699999999999994</v>
      </c>
      <c r="I293" s="251"/>
      <c r="J293" s="251">
        <v>3.19</v>
      </c>
      <c r="K293" s="251"/>
      <c r="L293" s="251">
        <v>0.41000000000000003</v>
      </c>
      <c r="M293" s="251"/>
      <c r="N293" s="251">
        <v>-0.03</v>
      </c>
      <c r="O293" s="251"/>
      <c r="P293" s="656" t="s">
        <v>1359</v>
      </c>
      <c r="Q293" s="251"/>
      <c r="R293" s="657">
        <v>30.9</v>
      </c>
      <c r="S293" s="240"/>
    </row>
    <row r="294" spans="1:19">
      <c r="A294" s="272"/>
      <c r="B294" s="248"/>
      <c r="C294" s="249"/>
      <c r="D294" s="249"/>
      <c r="E294" s="249"/>
      <c r="F294" s="250"/>
      <c r="G294" s="249"/>
      <c r="H294" s="251"/>
      <c r="I294" s="251"/>
      <c r="J294" s="251"/>
      <c r="K294" s="251"/>
      <c r="L294" s="251"/>
      <c r="M294" s="251"/>
      <c r="N294" s="251"/>
      <c r="O294" s="251"/>
      <c r="P294" s="251"/>
      <c r="Q294" s="251"/>
      <c r="R294" s="251"/>
      <c r="S294" s="240"/>
    </row>
    <row r="295" spans="1:19">
      <c r="A295" s="272">
        <v>343</v>
      </c>
      <c r="B295" s="248"/>
      <c r="C295" s="249"/>
      <c r="D295" s="254" t="s">
        <v>1360</v>
      </c>
      <c r="E295" s="249"/>
      <c r="F295" s="278" t="s">
        <v>2335</v>
      </c>
      <c r="G295" s="249"/>
      <c r="H295" s="251">
        <v>4.63</v>
      </c>
      <c r="I295" s="251"/>
      <c r="J295" s="251"/>
      <c r="K295" s="251"/>
      <c r="L295" s="251"/>
      <c r="M295" s="251"/>
      <c r="N295" s="251"/>
      <c r="O295" s="251"/>
      <c r="P295" s="251" t="str">
        <f>P293</f>
        <v>35-R1.5</v>
      </c>
      <c r="Q295" s="251"/>
      <c r="R295" s="251">
        <v>16</v>
      </c>
      <c r="S295" s="240"/>
    </row>
    <row r="296" spans="1:19">
      <c r="A296" s="272"/>
      <c r="B296" s="248"/>
      <c r="C296" s="249"/>
      <c r="D296" s="249"/>
      <c r="E296" s="249"/>
      <c r="F296" s="250"/>
      <c r="G296" s="249"/>
      <c r="H296" s="251"/>
      <c r="I296" s="251"/>
      <c r="J296" s="251"/>
      <c r="K296" s="251"/>
      <c r="L296" s="251"/>
      <c r="M296" s="251"/>
      <c r="N296" s="251"/>
      <c r="O296" s="251"/>
      <c r="P296" s="251"/>
      <c r="Q296" s="251"/>
      <c r="R296" s="251"/>
      <c r="S296" s="240"/>
    </row>
    <row r="297" spans="1:19">
      <c r="A297" s="272"/>
      <c r="B297" s="248">
        <v>344</v>
      </c>
      <c r="C297" s="249"/>
      <c r="D297" s="249" t="s">
        <v>1361</v>
      </c>
      <c r="E297" s="249"/>
      <c r="F297" s="250"/>
      <c r="G297" s="249"/>
      <c r="H297" s="251"/>
      <c r="I297" s="251"/>
      <c r="J297" s="251"/>
      <c r="K297" s="251"/>
      <c r="L297" s="251"/>
      <c r="M297" s="251"/>
      <c r="N297" s="251"/>
      <c r="O297" s="251"/>
      <c r="P297" s="251"/>
      <c r="Q297" s="251"/>
      <c r="R297" s="251"/>
      <c r="S297" s="240"/>
    </row>
    <row r="298" spans="1:19">
      <c r="A298" s="272"/>
      <c r="B298" s="248"/>
      <c r="C298" s="249"/>
      <c r="D298" s="681" t="s">
        <v>1349</v>
      </c>
      <c r="E298" s="249"/>
      <c r="F298" s="678">
        <v>-7</v>
      </c>
      <c r="G298" s="249"/>
      <c r="H298" s="657">
        <v>2.94</v>
      </c>
      <c r="I298" s="251"/>
      <c r="J298" s="657">
        <v>2.74</v>
      </c>
      <c r="K298" s="251"/>
      <c r="L298" s="657">
        <v>0.25</v>
      </c>
      <c r="M298" s="251"/>
      <c r="N298" s="657">
        <v>-0.05</v>
      </c>
      <c r="O298" s="251"/>
      <c r="P298" s="656" t="s">
        <v>2309</v>
      </c>
      <c r="Q298" s="251"/>
      <c r="R298" s="657">
        <v>14.9</v>
      </c>
      <c r="S298" s="258"/>
    </row>
    <row r="299" spans="1:19">
      <c r="A299" s="272"/>
      <c r="B299" s="248"/>
      <c r="C299" s="249"/>
      <c r="D299" s="681" t="s">
        <v>1350</v>
      </c>
      <c r="E299" s="249"/>
      <c r="F299" s="678">
        <v>-7</v>
      </c>
      <c r="G299" s="249"/>
      <c r="H299" s="657">
        <v>5.55</v>
      </c>
      <c r="I299" s="251"/>
      <c r="J299" s="657">
        <v>5.18</v>
      </c>
      <c r="K299" s="251"/>
      <c r="L299" s="657">
        <v>0.47000000000000003</v>
      </c>
      <c r="M299" s="251"/>
      <c r="N299" s="657">
        <v>-0.1</v>
      </c>
      <c r="O299" s="251"/>
      <c r="P299" s="656" t="s">
        <v>2309</v>
      </c>
      <c r="Q299" s="251"/>
      <c r="R299" s="657">
        <v>10.4</v>
      </c>
      <c r="S299" s="258"/>
    </row>
    <row r="300" spans="1:19">
      <c r="A300" s="272"/>
      <c r="B300" s="248"/>
      <c r="C300" s="249"/>
      <c r="D300" s="681" t="s">
        <v>1344</v>
      </c>
      <c r="E300" s="249"/>
      <c r="F300" s="678">
        <v>-7</v>
      </c>
      <c r="G300" s="249"/>
      <c r="H300" s="657">
        <v>3.9799999999999995</v>
      </c>
      <c r="I300" s="251"/>
      <c r="J300" s="657">
        <v>3.7199999999999998</v>
      </c>
      <c r="K300" s="251"/>
      <c r="L300" s="657">
        <v>0.33</v>
      </c>
      <c r="M300" s="251"/>
      <c r="N300" s="657">
        <v>-6.9999999999999993E-2</v>
      </c>
      <c r="O300" s="251"/>
      <c r="P300" s="656" t="s">
        <v>2309</v>
      </c>
      <c r="Q300" s="251"/>
      <c r="R300" s="657">
        <v>15.2</v>
      </c>
      <c r="S300" s="258"/>
    </row>
    <row r="301" spans="1:19">
      <c r="A301" s="272"/>
      <c r="B301" s="248"/>
      <c r="C301" s="249"/>
      <c r="D301" s="681" t="s">
        <v>1345</v>
      </c>
      <c r="E301" s="249"/>
      <c r="F301" s="678">
        <v>-7</v>
      </c>
      <c r="G301" s="249"/>
      <c r="H301" s="657">
        <v>4.0199999999999996</v>
      </c>
      <c r="I301" s="251"/>
      <c r="J301" s="657">
        <v>3.7600000000000002</v>
      </c>
      <c r="K301" s="251"/>
      <c r="L301" s="657">
        <v>0.33999999999999997</v>
      </c>
      <c r="M301" s="251"/>
      <c r="N301" s="657">
        <v>-0.08</v>
      </c>
      <c r="O301" s="251"/>
      <c r="P301" s="656" t="s">
        <v>2309</v>
      </c>
      <c r="Q301" s="251"/>
      <c r="R301" s="657">
        <v>13.3</v>
      </c>
      <c r="S301" s="258"/>
    </row>
    <row r="302" spans="1:19">
      <c r="A302" s="272"/>
      <c r="B302" s="248"/>
      <c r="C302" s="249"/>
      <c r="D302" s="681" t="s">
        <v>1346</v>
      </c>
      <c r="E302" s="249"/>
      <c r="F302" s="678">
        <v>-7</v>
      </c>
      <c r="G302" s="249"/>
      <c r="H302" s="657">
        <v>4.0799999999999992</v>
      </c>
      <c r="I302" s="251"/>
      <c r="J302" s="657">
        <v>3.82</v>
      </c>
      <c r="K302" s="251"/>
      <c r="L302" s="657">
        <v>0.33999999999999997</v>
      </c>
      <c r="M302" s="251"/>
      <c r="N302" s="657">
        <v>-0.08</v>
      </c>
      <c r="O302" s="251"/>
      <c r="P302" s="656" t="s">
        <v>2309</v>
      </c>
      <c r="Q302" s="251"/>
      <c r="R302" s="657">
        <v>13.3</v>
      </c>
      <c r="S302" s="258"/>
    </row>
    <row r="303" spans="1:19">
      <c r="A303" s="272"/>
      <c r="B303" s="248"/>
      <c r="C303" s="249"/>
      <c r="D303" s="681" t="s">
        <v>1347</v>
      </c>
      <c r="E303" s="249"/>
      <c r="F303" s="678">
        <v>-7</v>
      </c>
      <c r="G303" s="249"/>
      <c r="H303" s="657">
        <v>4.04</v>
      </c>
      <c r="I303" s="251"/>
      <c r="J303" s="657">
        <v>3.7800000000000002</v>
      </c>
      <c r="K303" s="251"/>
      <c r="L303" s="657">
        <v>0.33999999999999997</v>
      </c>
      <c r="M303" s="251"/>
      <c r="N303" s="657">
        <v>-0.08</v>
      </c>
      <c r="O303" s="251"/>
      <c r="P303" s="656" t="s">
        <v>2309</v>
      </c>
      <c r="Q303" s="251"/>
      <c r="R303" s="657">
        <v>9.3000000000000007</v>
      </c>
      <c r="S303" s="249"/>
    </row>
    <row r="304" spans="1:19">
      <c r="A304" s="272"/>
      <c r="B304" s="248"/>
      <c r="C304" s="249"/>
      <c r="D304" s="681" t="s">
        <v>1348</v>
      </c>
      <c r="E304" s="249"/>
      <c r="F304" s="678">
        <v>-7</v>
      </c>
      <c r="G304" s="249"/>
      <c r="H304" s="657">
        <v>2.77</v>
      </c>
      <c r="I304" s="251"/>
      <c r="J304" s="657">
        <v>2.59</v>
      </c>
      <c r="K304" s="251"/>
      <c r="L304" s="657">
        <v>0.22999999999999998</v>
      </c>
      <c r="M304" s="251"/>
      <c r="N304" s="657">
        <v>-0.05</v>
      </c>
      <c r="O304" s="251"/>
      <c r="P304" s="656" t="s">
        <v>2309</v>
      </c>
      <c r="Q304" s="251"/>
      <c r="R304" s="657">
        <v>14.8</v>
      </c>
      <c r="S304" s="249"/>
    </row>
    <row r="305" spans="1:19">
      <c r="A305" s="272"/>
      <c r="B305" s="248"/>
      <c r="C305" s="249"/>
      <c r="D305" s="682" t="s">
        <v>2694</v>
      </c>
      <c r="E305" s="249"/>
      <c r="F305" s="678">
        <v>-5</v>
      </c>
      <c r="G305" s="249"/>
      <c r="H305" s="657">
        <v>4.6100000000000003</v>
      </c>
      <c r="I305" s="251"/>
      <c r="J305" s="657">
        <v>4.3900000000000006</v>
      </c>
      <c r="K305" s="251"/>
      <c r="L305" s="657">
        <v>0.26</v>
      </c>
      <c r="M305" s="251"/>
      <c r="N305" s="657">
        <v>-0.04</v>
      </c>
      <c r="O305" s="251"/>
      <c r="P305" s="656" t="s">
        <v>2698</v>
      </c>
      <c r="Q305" s="251"/>
      <c r="R305" s="657">
        <v>30</v>
      </c>
      <c r="S305" s="249"/>
    </row>
    <row r="306" spans="1:19">
      <c r="A306" s="272"/>
      <c r="B306" s="248"/>
      <c r="C306" s="249"/>
      <c r="D306" s="681" t="s">
        <v>1351</v>
      </c>
      <c r="E306" s="249"/>
      <c r="F306" s="678">
        <v>-10</v>
      </c>
      <c r="G306" s="249"/>
      <c r="H306" s="657">
        <v>5.37</v>
      </c>
      <c r="I306" s="251"/>
      <c r="J306" s="657">
        <v>4.88</v>
      </c>
      <c r="K306" s="251"/>
      <c r="L306" s="657">
        <v>0.59</v>
      </c>
      <c r="M306" s="251"/>
      <c r="N306" s="657">
        <v>-0.1</v>
      </c>
      <c r="O306" s="251"/>
      <c r="P306" s="656" t="s">
        <v>2309</v>
      </c>
      <c r="Q306" s="251"/>
      <c r="R306" s="657">
        <v>4.2</v>
      </c>
      <c r="S306" s="249"/>
    </row>
    <row r="307" spans="1:19">
      <c r="A307" s="272"/>
      <c r="B307" s="248"/>
      <c r="C307" s="249"/>
      <c r="D307" s="681" t="s">
        <v>1352</v>
      </c>
      <c r="E307" s="249"/>
      <c r="F307" s="678">
        <v>-6</v>
      </c>
      <c r="G307" s="249"/>
      <c r="H307" s="657">
        <v>4.21</v>
      </c>
      <c r="I307" s="251"/>
      <c r="J307" s="657">
        <v>3.9699999999999998</v>
      </c>
      <c r="K307" s="251"/>
      <c r="L307" s="657">
        <v>0.32</v>
      </c>
      <c r="M307" s="251"/>
      <c r="N307" s="657">
        <v>-0.08</v>
      </c>
      <c r="O307" s="251"/>
      <c r="P307" s="656" t="s">
        <v>2309</v>
      </c>
      <c r="Q307" s="251"/>
      <c r="R307" s="657">
        <v>15.3</v>
      </c>
      <c r="S307" s="249"/>
    </row>
    <row r="308" spans="1:19">
      <c r="A308" s="272"/>
      <c r="B308" s="248"/>
      <c r="C308" s="249"/>
      <c r="D308" s="681" t="s">
        <v>1343</v>
      </c>
      <c r="E308" s="249"/>
      <c r="F308" s="678">
        <v>-7</v>
      </c>
      <c r="G308" s="249"/>
      <c r="H308" s="657">
        <v>3.7600000000000002</v>
      </c>
      <c r="I308" s="251"/>
      <c r="J308" s="657">
        <v>3.51</v>
      </c>
      <c r="K308" s="251"/>
      <c r="L308" s="657">
        <v>0.32</v>
      </c>
      <c r="M308" s="251"/>
      <c r="N308" s="657">
        <v>-6.9999999999999993E-2</v>
      </c>
      <c r="O308" s="251"/>
      <c r="P308" s="656" t="s">
        <v>2309</v>
      </c>
      <c r="Q308" s="251"/>
      <c r="R308" s="657">
        <v>18.2</v>
      </c>
      <c r="S308" s="258"/>
    </row>
    <row r="309" spans="1:19">
      <c r="A309" s="272"/>
      <c r="B309" s="248"/>
      <c r="C309" s="249"/>
      <c r="D309" s="681" t="s">
        <v>1338</v>
      </c>
      <c r="E309" s="249"/>
      <c r="F309" s="678">
        <v>-7</v>
      </c>
      <c r="G309" s="249"/>
      <c r="H309" s="657">
        <v>3.85</v>
      </c>
      <c r="I309" s="251"/>
      <c r="J309" s="657">
        <v>3.5999999999999996</v>
      </c>
      <c r="K309" s="251"/>
      <c r="L309" s="657">
        <v>0.32</v>
      </c>
      <c r="M309" s="251"/>
      <c r="N309" s="657">
        <v>-6.9999999999999993E-2</v>
      </c>
      <c r="O309" s="251"/>
      <c r="P309" s="656" t="s">
        <v>2309</v>
      </c>
      <c r="Q309" s="251"/>
      <c r="R309" s="657">
        <v>16.2</v>
      </c>
      <c r="S309" s="258"/>
    </row>
    <row r="310" spans="1:19">
      <c r="A310" s="272"/>
      <c r="B310" s="248"/>
      <c r="C310" s="249"/>
      <c r="D310" s="681" t="s">
        <v>1339</v>
      </c>
      <c r="E310" s="249"/>
      <c r="F310" s="678">
        <v>-7</v>
      </c>
      <c r="G310" s="249"/>
      <c r="H310" s="657">
        <v>3.85</v>
      </c>
      <c r="I310" s="251"/>
      <c r="J310" s="657">
        <v>3.5999999999999996</v>
      </c>
      <c r="K310" s="251"/>
      <c r="L310" s="657">
        <v>0.32</v>
      </c>
      <c r="M310" s="251"/>
      <c r="N310" s="657">
        <v>-6.9999999999999993E-2</v>
      </c>
      <c r="O310" s="251"/>
      <c r="P310" s="656" t="s">
        <v>2309</v>
      </c>
      <c r="Q310" s="251"/>
      <c r="R310" s="657">
        <v>16.2</v>
      </c>
      <c r="S310" s="258"/>
    </row>
    <row r="311" spans="1:19">
      <c r="A311" s="272"/>
      <c r="B311" s="248"/>
      <c r="C311" s="249"/>
      <c r="D311" s="681" t="s">
        <v>1340</v>
      </c>
      <c r="E311" s="249"/>
      <c r="F311" s="678">
        <v>-7</v>
      </c>
      <c r="G311" s="249"/>
      <c r="H311" s="657">
        <v>3.7500000000000004</v>
      </c>
      <c r="I311" s="251"/>
      <c r="J311" s="657">
        <v>3.5000000000000004</v>
      </c>
      <c r="K311" s="251"/>
      <c r="L311" s="657">
        <v>0.32</v>
      </c>
      <c r="M311" s="251"/>
      <c r="N311" s="657">
        <v>-6.9999999999999993E-2</v>
      </c>
      <c r="O311" s="251"/>
      <c r="P311" s="656" t="s">
        <v>2309</v>
      </c>
      <c r="Q311" s="251"/>
      <c r="R311" s="657">
        <v>18.2</v>
      </c>
      <c r="S311" s="258"/>
    </row>
    <row r="312" spans="1:19" s="293" customFormat="1">
      <c r="A312" s="272"/>
      <c r="B312" s="248"/>
      <c r="C312" s="239"/>
      <c r="D312" s="681" t="s">
        <v>1341</v>
      </c>
      <c r="E312" s="239"/>
      <c r="F312" s="678">
        <v>-7</v>
      </c>
      <c r="G312" s="239"/>
      <c r="H312" s="657">
        <v>3.7500000000000004</v>
      </c>
      <c r="I312" s="251"/>
      <c r="J312" s="657">
        <v>3.5000000000000004</v>
      </c>
      <c r="K312" s="251"/>
      <c r="L312" s="657">
        <v>0.32</v>
      </c>
      <c r="M312" s="251"/>
      <c r="N312" s="657">
        <v>-6.9999999999999993E-2</v>
      </c>
      <c r="O312" s="251"/>
      <c r="P312" s="656" t="s">
        <v>2309</v>
      </c>
      <c r="Q312" s="251"/>
      <c r="R312" s="657">
        <v>18.2</v>
      </c>
      <c r="S312" s="297"/>
    </row>
    <row r="313" spans="1:19" s="293" customFormat="1">
      <c r="A313" s="272"/>
      <c r="B313" s="248"/>
      <c r="C313" s="249"/>
      <c r="D313" s="681" t="s">
        <v>1342</v>
      </c>
      <c r="E313" s="249"/>
      <c r="F313" s="678">
        <v>-7</v>
      </c>
      <c r="G313" s="249"/>
      <c r="H313" s="657">
        <v>3.7600000000000002</v>
      </c>
      <c r="I313" s="251"/>
      <c r="J313" s="657">
        <v>3.51</v>
      </c>
      <c r="K313" s="251"/>
      <c r="L313" s="657">
        <v>0.32</v>
      </c>
      <c r="M313" s="251"/>
      <c r="N313" s="657">
        <v>-6.9999999999999993E-2</v>
      </c>
      <c r="O313" s="251"/>
      <c r="P313" s="656" t="s">
        <v>2309</v>
      </c>
      <c r="Q313" s="251"/>
      <c r="R313" s="657">
        <v>18.2</v>
      </c>
      <c r="S313" s="297"/>
    </row>
    <row r="314" spans="1:19" s="293" customFormat="1">
      <c r="A314" s="272"/>
      <c r="B314" s="248"/>
      <c r="C314" s="249"/>
      <c r="D314" s="683" t="s">
        <v>2306</v>
      </c>
      <c r="E314" s="249"/>
      <c r="F314" s="678">
        <v>-12</v>
      </c>
      <c r="G314" s="249"/>
      <c r="H314" s="657">
        <v>2.8899999999999997</v>
      </c>
      <c r="I314" s="251"/>
      <c r="J314" s="657">
        <v>2.58</v>
      </c>
      <c r="K314" s="251"/>
      <c r="L314" s="657">
        <v>0.36</v>
      </c>
      <c r="M314" s="251"/>
      <c r="N314" s="657">
        <v>-0.05</v>
      </c>
      <c r="O314" s="251"/>
      <c r="P314" s="656" t="s">
        <v>2309</v>
      </c>
      <c r="Q314" s="251"/>
      <c r="R314" s="657">
        <v>38.200000000000003</v>
      </c>
      <c r="S314" s="297"/>
    </row>
    <row r="315" spans="1:19" s="293" customFormat="1">
      <c r="A315" s="272"/>
      <c r="B315" s="248"/>
      <c r="C315" s="249"/>
      <c r="D315" s="249"/>
      <c r="E315" s="249"/>
      <c r="F315" s="250"/>
      <c r="G315" s="249"/>
      <c r="H315" s="251"/>
      <c r="I315" s="251"/>
      <c r="J315" s="251"/>
      <c r="K315" s="251"/>
      <c r="L315" s="251"/>
      <c r="M315" s="251"/>
      <c r="N315" s="251"/>
      <c r="O315" s="251"/>
      <c r="P315" s="251"/>
      <c r="Q315" s="251"/>
      <c r="R315" s="251"/>
      <c r="S315" s="297"/>
    </row>
    <row r="316" spans="1:19" s="293" customFormat="1">
      <c r="A316" s="272">
        <v>344</v>
      </c>
      <c r="B316" s="248"/>
      <c r="C316" s="249"/>
      <c r="D316" s="254" t="s">
        <v>1362</v>
      </c>
      <c r="E316" s="249"/>
      <c r="F316" s="278" t="s">
        <v>2696</v>
      </c>
      <c r="G316" s="249"/>
      <c r="H316" s="251">
        <v>3.26</v>
      </c>
      <c r="I316" s="251"/>
      <c r="J316" s="251"/>
      <c r="K316" s="251"/>
      <c r="L316" s="251"/>
      <c r="M316" s="251"/>
      <c r="N316" s="251"/>
      <c r="O316" s="251"/>
      <c r="P316" s="251" t="str">
        <f>P314</f>
        <v>55-S2.5</v>
      </c>
      <c r="Q316" s="251"/>
      <c r="R316" s="251">
        <v>28</v>
      </c>
      <c r="S316" s="297"/>
    </row>
    <row r="317" spans="1:19" s="293" customFormat="1">
      <c r="A317" s="272"/>
      <c r="B317" s="248"/>
      <c r="C317" s="249"/>
      <c r="D317" s="249"/>
      <c r="E317" s="249"/>
      <c r="F317" s="250"/>
      <c r="G317" s="249"/>
      <c r="H317" s="251"/>
      <c r="I317" s="251"/>
      <c r="J317" s="251"/>
      <c r="K317" s="251"/>
      <c r="L317" s="251"/>
      <c r="M317" s="251"/>
      <c r="N317" s="251"/>
      <c r="O317" s="251"/>
      <c r="P317" s="251"/>
      <c r="Q317" s="251"/>
      <c r="R317" s="251"/>
      <c r="S317" s="294"/>
    </row>
    <row r="318" spans="1:19" s="293" customFormat="1">
      <c r="A318" s="272"/>
      <c r="B318" s="248">
        <v>345</v>
      </c>
      <c r="C318" s="249"/>
      <c r="D318" s="249" t="s">
        <v>1363</v>
      </c>
      <c r="E318" s="249"/>
      <c r="F318" s="250"/>
      <c r="G318" s="249"/>
      <c r="H318" s="251"/>
      <c r="I318" s="251"/>
      <c r="J318" s="251"/>
      <c r="K318" s="251"/>
      <c r="L318" s="251"/>
      <c r="M318" s="251"/>
      <c r="N318" s="251"/>
      <c r="O318" s="251"/>
      <c r="P318" s="251"/>
      <c r="Q318" s="251"/>
      <c r="R318" s="251"/>
      <c r="S318" s="297"/>
    </row>
    <row r="319" spans="1:19" s="293" customFormat="1">
      <c r="A319" s="272"/>
      <c r="B319" s="248"/>
      <c r="C319" s="249"/>
      <c r="D319" s="681" t="s">
        <v>1349</v>
      </c>
      <c r="E319" s="249"/>
      <c r="F319" s="678">
        <v>-7</v>
      </c>
      <c r="G319" s="249"/>
      <c r="H319" s="657">
        <v>3.7700000000000005</v>
      </c>
      <c r="I319" s="251"/>
      <c r="J319" s="657">
        <v>3.52</v>
      </c>
      <c r="K319" s="251"/>
      <c r="L319" s="657">
        <v>0.25</v>
      </c>
      <c r="M319" s="251"/>
      <c r="N319" s="251">
        <v>0</v>
      </c>
      <c r="O319" s="251"/>
      <c r="P319" s="656" t="s">
        <v>2310</v>
      </c>
      <c r="Q319" s="251"/>
      <c r="R319" s="657">
        <v>14.8</v>
      </c>
      <c r="S319" s="297"/>
    </row>
    <row r="320" spans="1:19">
      <c r="A320" s="272"/>
      <c r="B320" s="248"/>
      <c r="C320" s="249"/>
      <c r="D320" s="681" t="s">
        <v>1350</v>
      </c>
      <c r="E320" s="249"/>
      <c r="F320" s="678">
        <v>-7</v>
      </c>
      <c r="G320" s="249"/>
      <c r="H320" s="657">
        <v>4.92</v>
      </c>
      <c r="I320" s="251"/>
      <c r="J320" s="657">
        <v>4.5999999999999996</v>
      </c>
      <c r="K320" s="251"/>
      <c r="L320" s="657">
        <v>0.32</v>
      </c>
      <c r="M320" s="251"/>
      <c r="N320" s="251">
        <v>0</v>
      </c>
      <c r="O320" s="251"/>
      <c r="P320" s="656" t="s">
        <v>2310</v>
      </c>
      <c r="Q320" s="251"/>
      <c r="R320" s="657">
        <v>10.3</v>
      </c>
      <c r="S320" s="258"/>
    </row>
    <row r="321" spans="1:19">
      <c r="A321" s="272"/>
      <c r="B321" s="248"/>
      <c r="C321" s="249"/>
      <c r="D321" s="681" t="s">
        <v>1344</v>
      </c>
      <c r="E321" s="249"/>
      <c r="F321" s="678">
        <v>-7</v>
      </c>
      <c r="G321" s="249"/>
      <c r="H321" s="657">
        <v>4.2299999999999995</v>
      </c>
      <c r="I321" s="251"/>
      <c r="J321" s="657">
        <v>3.95</v>
      </c>
      <c r="K321" s="251"/>
      <c r="L321" s="657">
        <v>0.27999999999999997</v>
      </c>
      <c r="M321" s="251"/>
      <c r="N321" s="251">
        <v>0</v>
      </c>
      <c r="O321" s="251"/>
      <c r="P321" s="656" t="s">
        <v>2310</v>
      </c>
      <c r="Q321" s="251"/>
      <c r="R321" s="657">
        <v>15</v>
      </c>
      <c r="S321" s="258"/>
    </row>
    <row r="322" spans="1:19">
      <c r="A322" s="272"/>
      <c r="B322" s="248"/>
      <c r="C322" s="249"/>
      <c r="D322" s="681" t="s">
        <v>1345</v>
      </c>
      <c r="E322" s="249"/>
      <c r="F322" s="678">
        <v>-7</v>
      </c>
      <c r="G322" s="249"/>
      <c r="H322" s="657">
        <v>4.4400000000000004</v>
      </c>
      <c r="I322" s="251"/>
      <c r="J322" s="657">
        <v>4.1500000000000004</v>
      </c>
      <c r="K322" s="251"/>
      <c r="L322" s="657">
        <v>0.28999999999999998</v>
      </c>
      <c r="M322" s="251"/>
      <c r="N322" s="251">
        <v>0</v>
      </c>
      <c r="O322" s="251"/>
      <c r="P322" s="656" t="s">
        <v>2310</v>
      </c>
      <c r="Q322" s="251"/>
      <c r="R322" s="657">
        <v>13.1</v>
      </c>
      <c r="S322" s="258"/>
    </row>
    <row r="323" spans="1:19">
      <c r="A323" s="272"/>
      <c r="B323" s="248"/>
      <c r="C323" s="249"/>
      <c r="D323" s="681" t="s">
        <v>1346</v>
      </c>
      <c r="E323" s="249"/>
      <c r="F323" s="678">
        <v>-7</v>
      </c>
      <c r="G323" s="249"/>
      <c r="H323" s="657">
        <v>4.45</v>
      </c>
      <c r="I323" s="251"/>
      <c r="J323" s="657">
        <v>4.16</v>
      </c>
      <c r="K323" s="251"/>
      <c r="L323" s="657">
        <v>0.28999999999999998</v>
      </c>
      <c r="M323" s="251"/>
      <c r="N323" s="251">
        <v>0</v>
      </c>
      <c r="O323" s="251"/>
      <c r="P323" s="656" t="s">
        <v>2310</v>
      </c>
      <c r="Q323" s="251"/>
      <c r="R323" s="657">
        <v>13.1</v>
      </c>
      <c r="S323" s="249"/>
    </row>
    <row r="324" spans="1:19">
      <c r="A324" s="272"/>
      <c r="B324" s="248"/>
      <c r="C324" s="249"/>
      <c r="D324" s="681" t="s">
        <v>1347</v>
      </c>
      <c r="E324" s="249"/>
      <c r="F324" s="678">
        <v>-7</v>
      </c>
      <c r="G324" s="249"/>
      <c r="H324" s="657">
        <v>5.84</v>
      </c>
      <c r="I324" s="251"/>
      <c r="J324" s="657">
        <v>5.46</v>
      </c>
      <c r="K324" s="251"/>
      <c r="L324" s="657">
        <v>0.38</v>
      </c>
      <c r="M324" s="251"/>
      <c r="N324" s="251">
        <v>0</v>
      </c>
      <c r="O324" s="251"/>
      <c r="P324" s="656" t="s">
        <v>2310</v>
      </c>
      <c r="Q324" s="251"/>
      <c r="R324" s="657">
        <v>9.3000000000000007</v>
      </c>
      <c r="S324" s="249"/>
    </row>
    <row r="325" spans="1:19">
      <c r="A325" s="272"/>
      <c r="B325" s="248"/>
      <c r="C325" s="249"/>
      <c r="D325" s="681" t="s">
        <v>1348</v>
      </c>
      <c r="E325" s="249"/>
      <c r="F325" s="678">
        <v>-7</v>
      </c>
      <c r="G325" s="249"/>
      <c r="H325" s="657">
        <v>3.64</v>
      </c>
      <c r="I325" s="251"/>
      <c r="J325" s="657">
        <v>3.4000000000000004</v>
      </c>
      <c r="K325" s="251"/>
      <c r="L325" s="657">
        <v>0.24</v>
      </c>
      <c r="M325" s="251"/>
      <c r="N325" s="251">
        <v>0</v>
      </c>
      <c r="O325" s="251"/>
      <c r="P325" s="656" t="s">
        <v>2310</v>
      </c>
      <c r="Q325" s="251"/>
      <c r="R325" s="657">
        <v>14.8</v>
      </c>
      <c r="S325" s="249"/>
    </row>
    <row r="326" spans="1:19">
      <c r="A326" s="272"/>
      <c r="B326" s="248"/>
      <c r="C326" s="249"/>
      <c r="D326" s="682" t="s">
        <v>2694</v>
      </c>
      <c r="E326" s="249"/>
      <c r="F326" s="678">
        <v>-5</v>
      </c>
      <c r="G326" s="249"/>
      <c r="H326" s="657">
        <v>4.3600000000000003</v>
      </c>
      <c r="I326" s="251"/>
      <c r="J326" s="657">
        <v>4.1500000000000004</v>
      </c>
      <c r="K326" s="251"/>
      <c r="L326" s="657">
        <v>0.21</v>
      </c>
      <c r="M326" s="251"/>
      <c r="N326" s="251">
        <v>0</v>
      </c>
      <c r="O326" s="251"/>
      <c r="P326" s="656" t="s">
        <v>1355</v>
      </c>
      <c r="Q326" s="251"/>
      <c r="R326" s="657">
        <v>45</v>
      </c>
      <c r="S326" s="249"/>
    </row>
    <row r="327" spans="1:19">
      <c r="A327" s="272"/>
      <c r="B327" s="248"/>
      <c r="C327" s="249"/>
      <c r="D327" s="681" t="s">
        <v>1351</v>
      </c>
      <c r="E327" s="249"/>
      <c r="F327" s="678">
        <v>-10</v>
      </c>
      <c r="G327" s="249"/>
      <c r="H327" s="657">
        <v>22.160000000000004</v>
      </c>
      <c r="I327" s="251"/>
      <c r="J327" s="657">
        <v>20.150000000000002</v>
      </c>
      <c r="K327" s="251"/>
      <c r="L327" s="657">
        <v>2.0099999999999998</v>
      </c>
      <c r="M327" s="251"/>
      <c r="N327" s="251">
        <v>0</v>
      </c>
      <c r="O327" s="251"/>
      <c r="P327" s="656" t="s">
        <v>2310</v>
      </c>
      <c r="Q327" s="251"/>
      <c r="R327" s="657">
        <v>4.4000000000000004</v>
      </c>
      <c r="S327" s="249"/>
    </row>
    <row r="328" spans="1:19">
      <c r="A328" s="272"/>
      <c r="B328" s="248"/>
      <c r="C328" s="249"/>
      <c r="D328" s="681" t="s">
        <v>1352</v>
      </c>
      <c r="E328" s="249"/>
      <c r="F328" s="678">
        <v>-6</v>
      </c>
      <c r="G328" s="249"/>
      <c r="H328" s="657">
        <v>4.01</v>
      </c>
      <c r="I328" s="251"/>
      <c r="J328" s="657">
        <v>3.7800000000000002</v>
      </c>
      <c r="K328" s="251"/>
      <c r="L328" s="657">
        <v>0.22999999999999998</v>
      </c>
      <c r="M328" s="251"/>
      <c r="N328" s="251">
        <v>0</v>
      </c>
      <c r="O328" s="251"/>
      <c r="P328" s="656" t="s">
        <v>2310</v>
      </c>
      <c r="Q328" s="251"/>
      <c r="R328" s="657">
        <v>15</v>
      </c>
      <c r="S328" s="249"/>
    </row>
    <row r="329" spans="1:19">
      <c r="A329" s="272"/>
      <c r="B329" s="248"/>
      <c r="C329" s="249"/>
      <c r="D329" s="681" t="s">
        <v>1343</v>
      </c>
      <c r="E329" s="249"/>
      <c r="F329" s="678">
        <v>-7</v>
      </c>
      <c r="G329" s="249"/>
      <c r="H329" s="657">
        <v>4.04</v>
      </c>
      <c r="I329" s="251"/>
      <c r="J329" s="657">
        <v>3.7800000000000002</v>
      </c>
      <c r="K329" s="251"/>
      <c r="L329" s="657">
        <v>0.26</v>
      </c>
      <c r="M329" s="251"/>
      <c r="N329" s="251">
        <v>0</v>
      </c>
      <c r="O329" s="251"/>
      <c r="P329" s="656" t="s">
        <v>2310</v>
      </c>
      <c r="Q329" s="251"/>
      <c r="R329" s="657">
        <v>17.899999999999999</v>
      </c>
      <c r="S329" s="249"/>
    </row>
    <row r="330" spans="1:19">
      <c r="A330" s="272"/>
      <c r="B330" s="248"/>
      <c r="C330" s="249"/>
      <c r="D330" s="681" t="s">
        <v>1338</v>
      </c>
      <c r="E330" s="249"/>
      <c r="F330" s="678">
        <v>-7</v>
      </c>
      <c r="G330" s="249"/>
      <c r="H330" s="657">
        <v>4.1800000000000006</v>
      </c>
      <c r="I330" s="251"/>
      <c r="J330" s="657">
        <v>3.91</v>
      </c>
      <c r="K330" s="251"/>
      <c r="L330" s="657">
        <v>0.27</v>
      </c>
      <c r="M330" s="251"/>
      <c r="N330" s="251">
        <v>0</v>
      </c>
      <c r="O330" s="251"/>
      <c r="P330" s="656" t="s">
        <v>2310</v>
      </c>
      <c r="Q330" s="251"/>
      <c r="R330" s="657">
        <v>16.100000000000001</v>
      </c>
      <c r="S330" s="249"/>
    </row>
    <row r="331" spans="1:19">
      <c r="A331" s="272"/>
      <c r="B331" s="248"/>
      <c r="C331" s="249"/>
      <c r="D331" s="681" t="s">
        <v>1339</v>
      </c>
      <c r="E331" s="249"/>
      <c r="F331" s="678">
        <v>-7</v>
      </c>
      <c r="G331" s="249"/>
      <c r="H331" s="657">
        <v>4.25</v>
      </c>
      <c r="I331" s="251"/>
      <c r="J331" s="657">
        <v>3.9699999999999998</v>
      </c>
      <c r="K331" s="251"/>
      <c r="L331" s="657">
        <v>0.27999999999999997</v>
      </c>
      <c r="M331" s="251"/>
      <c r="N331" s="251">
        <v>0</v>
      </c>
      <c r="O331" s="251"/>
      <c r="P331" s="656" t="s">
        <v>2310</v>
      </c>
      <c r="Q331" s="251"/>
      <c r="R331" s="657">
        <v>16</v>
      </c>
      <c r="S331" s="249"/>
    </row>
    <row r="332" spans="1:19">
      <c r="A332" s="272"/>
      <c r="B332" s="248"/>
      <c r="C332" s="249"/>
      <c r="D332" s="681" t="s">
        <v>1340</v>
      </c>
      <c r="E332" s="249"/>
      <c r="F332" s="678">
        <v>-7</v>
      </c>
      <c r="G332" s="249"/>
      <c r="H332" s="657">
        <v>4.1300000000000008</v>
      </c>
      <c r="I332" s="251"/>
      <c r="J332" s="657">
        <v>3.8600000000000003</v>
      </c>
      <c r="K332" s="251"/>
      <c r="L332" s="657">
        <v>0.27</v>
      </c>
      <c r="M332" s="251"/>
      <c r="N332" s="251">
        <v>0</v>
      </c>
      <c r="O332" s="251"/>
      <c r="P332" s="656" t="s">
        <v>2310</v>
      </c>
      <c r="Q332" s="251"/>
      <c r="R332" s="657">
        <v>18</v>
      </c>
      <c r="S332" s="249"/>
    </row>
    <row r="333" spans="1:19">
      <c r="A333" s="272"/>
      <c r="B333" s="248"/>
      <c r="C333" s="249"/>
      <c r="D333" s="681" t="s">
        <v>1341</v>
      </c>
      <c r="E333" s="249"/>
      <c r="F333" s="678">
        <v>-7</v>
      </c>
      <c r="G333" s="249"/>
      <c r="H333" s="657">
        <v>3.7900000000000005</v>
      </c>
      <c r="I333" s="251"/>
      <c r="J333" s="657">
        <v>3.54</v>
      </c>
      <c r="K333" s="251"/>
      <c r="L333" s="657">
        <v>0.25</v>
      </c>
      <c r="M333" s="251"/>
      <c r="N333" s="251">
        <v>0</v>
      </c>
      <c r="O333" s="251"/>
      <c r="P333" s="656" t="s">
        <v>2310</v>
      </c>
      <c r="Q333" s="251"/>
      <c r="R333" s="657">
        <v>17.899999999999999</v>
      </c>
      <c r="S333" s="249"/>
    </row>
    <row r="334" spans="1:19">
      <c r="A334" s="272"/>
      <c r="B334" s="248"/>
      <c r="C334" s="249"/>
      <c r="D334" s="681" t="s">
        <v>1342</v>
      </c>
      <c r="E334" s="249"/>
      <c r="F334" s="678">
        <v>-7</v>
      </c>
      <c r="G334" s="249"/>
      <c r="H334" s="657">
        <v>3.9099999999999997</v>
      </c>
      <c r="I334" s="251"/>
      <c r="J334" s="657">
        <v>3.65</v>
      </c>
      <c r="K334" s="251"/>
      <c r="L334" s="657">
        <v>0.26</v>
      </c>
      <c r="M334" s="251"/>
      <c r="N334" s="251">
        <v>0</v>
      </c>
      <c r="O334" s="251"/>
      <c r="P334" s="656" t="s">
        <v>2310</v>
      </c>
      <c r="Q334" s="251"/>
      <c r="R334" s="657">
        <v>18</v>
      </c>
      <c r="S334" s="249"/>
    </row>
    <row r="335" spans="1:19">
      <c r="A335" s="272"/>
      <c r="B335" s="248"/>
      <c r="C335" s="249"/>
      <c r="D335" s="683" t="s">
        <v>2306</v>
      </c>
      <c r="E335" s="249"/>
      <c r="F335" s="678">
        <v>-12</v>
      </c>
      <c r="G335" s="249"/>
      <c r="H335" s="657">
        <v>2.96</v>
      </c>
      <c r="I335" s="251"/>
      <c r="J335" s="657">
        <v>2.64</v>
      </c>
      <c r="K335" s="251"/>
      <c r="L335" s="657">
        <v>0.32</v>
      </c>
      <c r="M335" s="251"/>
      <c r="N335" s="251">
        <v>0</v>
      </c>
      <c r="O335" s="251"/>
      <c r="P335" s="656" t="s">
        <v>2310</v>
      </c>
      <c r="Q335" s="251"/>
      <c r="R335" s="657">
        <v>37.299999999999997</v>
      </c>
      <c r="S335" s="249"/>
    </row>
    <row r="336" spans="1:19">
      <c r="A336" s="272"/>
      <c r="B336" s="248"/>
      <c r="C336" s="249"/>
      <c r="D336" s="249"/>
      <c r="E336" s="249"/>
      <c r="F336" s="250"/>
      <c r="G336" s="249"/>
      <c r="H336" s="251"/>
      <c r="I336" s="251"/>
      <c r="J336" s="251"/>
      <c r="K336" s="251"/>
      <c r="L336" s="251"/>
      <c r="M336" s="251"/>
      <c r="N336" s="251"/>
      <c r="O336" s="251"/>
      <c r="P336" s="251"/>
      <c r="Q336" s="251"/>
      <c r="R336" s="251"/>
      <c r="S336" s="240"/>
    </row>
    <row r="337" spans="1:19">
      <c r="A337" s="272">
        <v>345</v>
      </c>
      <c r="B337" s="248"/>
      <c r="C337" s="249"/>
      <c r="D337" s="254" t="s">
        <v>1364</v>
      </c>
      <c r="E337" s="249"/>
      <c r="F337" s="278" t="str">
        <f>F316</f>
        <v>-5%,-6%,-7%,-10%,-12%</v>
      </c>
      <c r="G337" s="249"/>
      <c r="H337" s="251">
        <v>3.96</v>
      </c>
      <c r="I337" s="251"/>
      <c r="J337" s="251"/>
      <c r="K337" s="251"/>
      <c r="L337" s="251"/>
      <c r="M337" s="251"/>
      <c r="N337" s="251"/>
      <c r="O337" s="251"/>
      <c r="P337" s="251" t="str">
        <f>P335</f>
        <v>50-R3</v>
      </c>
      <c r="Q337" s="251"/>
      <c r="R337" s="251">
        <v>20.399999999999999</v>
      </c>
      <c r="S337" s="240"/>
    </row>
    <row r="338" spans="1:19">
      <c r="A338" s="272"/>
      <c r="B338" s="248"/>
      <c r="C338" s="249"/>
      <c r="D338" s="249"/>
      <c r="E338" s="249"/>
      <c r="F338" s="250"/>
      <c r="G338" s="249"/>
      <c r="H338" s="251"/>
      <c r="I338" s="251"/>
      <c r="J338" s="251"/>
      <c r="K338" s="251"/>
      <c r="L338" s="251"/>
      <c r="M338" s="251"/>
      <c r="N338" s="251"/>
      <c r="O338" s="251"/>
      <c r="P338" s="251"/>
      <c r="Q338" s="251"/>
      <c r="R338" s="251"/>
      <c r="S338" s="240"/>
    </row>
    <row r="339" spans="1:19">
      <c r="A339" s="272"/>
      <c r="B339" s="248">
        <v>346</v>
      </c>
      <c r="C339" s="249"/>
      <c r="D339" s="249" t="s">
        <v>1365</v>
      </c>
      <c r="E339" s="249"/>
      <c r="F339" s="250"/>
      <c r="G339" s="249"/>
      <c r="H339" s="251"/>
      <c r="I339" s="251"/>
      <c r="J339" s="251"/>
      <c r="K339" s="251"/>
      <c r="L339" s="251"/>
      <c r="M339" s="251"/>
      <c r="N339" s="251"/>
      <c r="O339" s="251"/>
      <c r="P339" s="251"/>
      <c r="Q339" s="251"/>
      <c r="R339" s="251"/>
      <c r="S339" s="240"/>
    </row>
    <row r="340" spans="1:19">
      <c r="A340" s="272"/>
      <c r="B340" s="248"/>
      <c r="C340" s="249"/>
      <c r="D340" s="681" t="s">
        <v>1349</v>
      </c>
      <c r="E340" s="249"/>
      <c r="F340" s="678">
        <v>-7</v>
      </c>
      <c r="G340" s="249"/>
      <c r="H340" s="657">
        <v>3.26</v>
      </c>
      <c r="I340" s="251"/>
      <c r="J340" s="657">
        <v>3.05</v>
      </c>
      <c r="K340" s="251"/>
      <c r="L340" s="657">
        <v>0.21</v>
      </c>
      <c r="M340" s="251"/>
      <c r="N340" s="251">
        <v>0</v>
      </c>
      <c r="O340" s="251"/>
      <c r="P340" s="656" t="s">
        <v>2311</v>
      </c>
      <c r="Q340" s="251"/>
      <c r="R340" s="657">
        <v>13.8</v>
      </c>
      <c r="S340" s="240"/>
    </row>
    <row r="341" spans="1:19">
      <c r="A341" s="272"/>
      <c r="B341" s="248"/>
      <c r="C341" s="249"/>
      <c r="D341" s="681" t="s">
        <v>1350</v>
      </c>
      <c r="E341" s="249"/>
      <c r="F341" s="678">
        <v>-7</v>
      </c>
      <c r="G341" s="249"/>
      <c r="H341" s="657">
        <v>5.2200000000000006</v>
      </c>
      <c r="I341" s="251"/>
      <c r="J341" s="657">
        <v>4.88</v>
      </c>
      <c r="K341" s="251"/>
      <c r="L341" s="657">
        <v>0.33999999999999997</v>
      </c>
      <c r="M341" s="251"/>
      <c r="N341" s="251">
        <v>0</v>
      </c>
      <c r="O341" s="251"/>
      <c r="P341" s="656" t="s">
        <v>2311</v>
      </c>
      <c r="Q341" s="251"/>
      <c r="R341" s="657">
        <v>10</v>
      </c>
      <c r="S341" s="240"/>
    </row>
    <row r="342" spans="1:19">
      <c r="A342" s="272"/>
      <c r="B342" s="248"/>
      <c r="C342" s="249"/>
      <c r="D342" s="681" t="s">
        <v>1344</v>
      </c>
      <c r="E342" s="249"/>
      <c r="F342" s="678">
        <v>-7</v>
      </c>
      <c r="G342" s="249"/>
      <c r="H342" s="657">
        <v>4.01</v>
      </c>
      <c r="I342" s="251"/>
      <c r="J342" s="657">
        <v>3.75</v>
      </c>
      <c r="K342" s="251"/>
      <c r="L342" s="657">
        <v>0.26</v>
      </c>
      <c r="M342" s="251"/>
      <c r="N342" s="251">
        <v>0</v>
      </c>
      <c r="O342" s="251"/>
      <c r="P342" s="656" t="s">
        <v>2311</v>
      </c>
      <c r="Q342" s="251"/>
      <c r="R342" s="657">
        <v>14.2</v>
      </c>
      <c r="S342" s="240"/>
    </row>
    <row r="343" spans="1:19">
      <c r="A343" s="272"/>
      <c r="B343" s="248"/>
      <c r="C343" s="249"/>
      <c r="D343" s="681" t="s">
        <v>1345</v>
      </c>
      <c r="E343" s="249"/>
      <c r="F343" s="678">
        <v>-7</v>
      </c>
      <c r="G343" s="249"/>
      <c r="H343" s="657">
        <v>6.22</v>
      </c>
      <c r="I343" s="251"/>
      <c r="J343" s="657">
        <v>5.81</v>
      </c>
      <c r="K343" s="251"/>
      <c r="L343" s="657">
        <v>0.41000000000000003</v>
      </c>
      <c r="M343" s="251"/>
      <c r="N343" s="251">
        <v>0</v>
      </c>
      <c r="O343" s="251"/>
      <c r="P343" s="656" t="s">
        <v>2311</v>
      </c>
      <c r="Q343" s="251"/>
      <c r="R343" s="657">
        <v>13</v>
      </c>
      <c r="S343" s="240"/>
    </row>
    <row r="344" spans="1:19">
      <c r="A344" s="272"/>
      <c r="B344" s="248"/>
      <c r="C344" s="249"/>
      <c r="D344" s="681" t="s">
        <v>1346</v>
      </c>
      <c r="E344" s="249"/>
      <c r="F344" s="678">
        <v>-7</v>
      </c>
      <c r="G344" s="249"/>
      <c r="H344" s="657">
        <v>6.2399999999999993</v>
      </c>
      <c r="I344" s="251"/>
      <c r="J344" s="657">
        <v>5.83</v>
      </c>
      <c r="K344" s="251"/>
      <c r="L344" s="657">
        <v>0.41000000000000003</v>
      </c>
      <c r="M344" s="251"/>
      <c r="N344" s="251">
        <v>0</v>
      </c>
      <c r="O344" s="251"/>
      <c r="P344" s="656" t="s">
        <v>2311</v>
      </c>
      <c r="Q344" s="251"/>
      <c r="R344" s="657">
        <v>13</v>
      </c>
      <c r="S344" s="240"/>
    </row>
    <row r="345" spans="1:19">
      <c r="A345" s="272"/>
      <c r="B345" s="248"/>
      <c r="C345" s="249"/>
      <c r="D345" s="681" t="s">
        <v>1347</v>
      </c>
      <c r="E345" s="249"/>
      <c r="F345" s="678">
        <v>-7</v>
      </c>
      <c r="G345" s="249"/>
      <c r="H345" s="657">
        <v>4.9799999999999995</v>
      </c>
      <c r="I345" s="251"/>
      <c r="J345" s="657">
        <v>4.6500000000000004</v>
      </c>
      <c r="K345" s="251"/>
      <c r="L345" s="657">
        <v>0.33</v>
      </c>
      <c r="M345" s="251"/>
      <c r="N345" s="251">
        <v>0</v>
      </c>
      <c r="O345" s="251"/>
      <c r="P345" s="656" t="s">
        <v>2311</v>
      </c>
      <c r="Q345" s="251"/>
      <c r="R345" s="657">
        <v>9</v>
      </c>
      <c r="S345" s="240"/>
    </row>
    <row r="346" spans="1:19">
      <c r="A346" s="272"/>
      <c r="B346" s="248"/>
      <c r="C346" s="249"/>
      <c r="D346" s="681" t="s">
        <v>1348</v>
      </c>
      <c r="E346" s="249"/>
      <c r="F346" s="678">
        <v>-7</v>
      </c>
      <c r="G346" s="249"/>
      <c r="H346" s="657">
        <v>3.3099999999999996</v>
      </c>
      <c r="I346" s="251"/>
      <c r="J346" s="657">
        <v>3.09</v>
      </c>
      <c r="K346" s="251"/>
      <c r="L346" s="657">
        <v>0.22</v>
      </c>
      <c r="M346" s="251"/>
      <c r="N346" s="251">
        <v>0</v>
      </c>
      <c r="O346" s="251"/>
      <c r="P346" s="656" t="s">
        <v>2311</v>
      </c>
      <c r="Q346" s="251"/>
      <c r="R346" s="657">
        <v>13.9</v>
      </c>
    </row>
    <row r="347" spans="1:19">
      <c r="A347" s="272"/>
      <c r="B347" s="248"/>
      <c r="C347" s="249"/>
      <c r="D347" s="682" t="s">
        <v>2694</v>
      </c>
      <c r="E347" s="249"/>
      <c r="F347" s="678">
        <v>0</v>
      </c>
      <c r="G347" s="249"/>
      <c r="H347" s="657">
        <v>4.25</v>
      </c>
      <c r="I347" s="251"/>
      <c r="J347" s="657">
        <v>4.25</v>
      </c>
      <c r="K347" s="251"/>
      <c r="L347" s="657">
        <v>0</v>
      </c>
      <c r="M347" s="251"/>
      <c r="N347" s="251">
        <v>0</v>
      </c>
      <c r="O347" s="251"/>
      <c r="P347" s="656" t="s">
        <v>2699</v>
      </c>
      <c r="Q347" s="251"/>
      <c r="R347" s="657">
        <v>32</v>
      </c>
    </row>
    <row r="348" spans="1:19">
      <c r="A348" s="274"/>
      <c r="B348" s="255"/>
      <c r="C348" s="249"/>
      <c r="D348" s="681" t="s">
        <v>1351</v>
      </c>
      <c r="E348" s="249"/>
      <c r="F348" s="678">
        <v>-10</v>
      </c>
      <c r="G348" s="249"/>
      <c r="H348" s="657">
        <v>17.75</v>
      </c>
      <c r="I348" s="251"/>
      <c r="J348" s="657">
        <v>16.14</v>
      </c>
      <c r="K348" s="251"/>
      <c r="L348" s="657">
        <v>1.6099999999999999</v>
      </c>
      <c r="M348" s="251"/>
      <c r="N348" s="251">
        <v>0</v>
      </c>
      <c r="O348" s="251"/>
      <c r="P348" s="656" t="s">
        <v>2311</v>
      </c>
      <c r="Q348" s="251"/>
      <c r="R348" s="657">
        <v>4.3</v>
      </c>
    </row>
    <row r="349" spans="1:19">
      <c r="A349" s="272"/>
      <c r="B349" s="248"/>
      <c r="C349" s="249"/>
      <c r="D349" s="681" t="s">
        <v>1352</v>
      </c>
      <c r="E349" s="249"/>
      <c r="F349" s="678">
        <v>-6</v>
      </c>
      <c r="G349" s="249"/>
      <c r="H349" s="657">
        <v>3.93</v>
      </c>
      <c r="I349" s="251"/>
      <c r="J349" s="657">
        <v>3.71</v>
      </c>
      <c r="K349" s="251"/>
      <c r="L349" s="657">
        <v>0.22</v>
      </c>
      <c r="M349" s="251"/>
      <c r="N349" s="251">
        <v>0</v>
      </c>
      <c r="O349" s="251"/>
      <c r="P349" s="656" t="s">
        <v>2311</v>
      </c>
      <c r="Q349" s="251"/>
      <c r="R349" s="657">
        <v>14.2</v>
      </c>
    </row>
    <row r="350" spans="1:19">
      <c r="A350" s="272"/>
      <c r="B350" s="248"/>
      <c r="C350" s="249"/>
      <c r="D350" s="681" t="s">
        <v>1343</v>
      </c>
      <c r="E350" s="249"/>
      <c r="F350" s="678">
        <v>-7</v>
      </c>
      <c r="G350" s="249"/>
      <c r="H350" s="657">
        <v>4.6100000000000003</v>
      </c>
      <c r="I350" s="251"/>
      <c r="J350" s="657">
        <v>4.3099999999999996</v>
      </c>
      <c r="K350" s="251"/>
      <c r="L350" s="657">
        <v>0.3</v>
      </c>
      <c r="M350" s="251"/>
      <c r="N350" s="251">
        <v>0</v>
      </c>
      <c r="O350" s="251"/>
      <c r="P350" s="656" t="s">
        <v>2311</v>
      </c>
      <c r="Q350" s="251"/>
      <c r="R350" s="657">
        <v>17.399999999999999</v>
      </c>
    </row>
    <row r="351" spans="1:19">
      <c r="A351" s="272"/>
      <c r="B351" s="248"/>
      <c r="C351" s="249"/>
      <c r="D351" s="681" t="s">
        <v>1338</v>
      </c>
      <c r="E351" s="249"/>
      <c r="F351" s="678">
        <v>-7</v>
      </c>
      <c r="G351" s="249"/>
      <c r="H351" s="657">
        <v>4.04</v>
      </c>
      <c r="I351" s="251"/>
      <c r="J351" s="657">
        <v>3.7800000000000002</v>
      </c>
      <c r="K351" s="251"/>
      <c r="L351" s="657">
        <v>0.26</v>
      </c>
      <c r="M351" s="251"/>
      <c r="N351" s="251">
        <v>0</v>
      </c>
      <c r="O351" s="251"/>
      <c r="P351" s="656" t="s">
        <v>2311</v>
      </c>
      <c r="Q351" s="251"/>
      <c r="R351" s="657">
        <v>15.5</v>
      </c>
    </row>
    <row r="352" spans="1:19">
      <c r="A352" s="272"/>
      <c r="B352" s="248"/>
      <c r="C352" s="249"/>
      <c r="D352" s="681" t="s">
        <v>1340</v>
      </c>
      <c r="E352" s="249"/>
      <c r="F352" s="678">
        <v>-7</v>
      </c>
      <c r="G352" s="249"/>
      <c r="H352" s="657">
        <v>3.8900000000000006</v>
      </c>
      <c r="I352" s="251"/>
      <c r="J352" s="657">
        <v>3.64</v>
      </c>
      <c r="K352" s="251"/>
      <c r="L352" s="657">
        <v>0.25</v>
      </c>
      <c r="M352" s="251"/>
      <c r="N352" s="251">
        <v>0</v>
      </c>
      <c r="O352" s="251"/>
      <c r="P352" s="656" t="s">
        <v>2311</v>
      </c>
      <c r="Q352" s="251"/>
      <c r="R352" s="657">
        <v>16.899999999999999</v>
      </c>
    </row>
    <row r="353" spans="1:19">
      <c r="A353" s="272"/>
      <c r="B353" s="248"/>
      <c r="C353" s="249"/>
      <c r="D353" s="681" t="s">
        <v>1341</v>
      </c>
      <c r="E353" s="249"/>
      <c r="F353" s="678">
        <v>-7</v>
      </c>
      <c r="G353" s="249"/>
      <c r="H353" s="657">
        <v>3.8900000000000006</v>
      </c>
      <c r="I353" s="251"/>
      <c r="J353" s="657">
        <v>3.64</v>
      </c>
      <c r="K353" s="251"/>
      <c r="L353" s="657">
        <v>0.25</v>
      </c>
      <c r="M353" s="251"/>
      <c r="N353" s="251">
        <v>0</v>
      </c>
      <c r="O353" s="251"/>
      <c r="P353" s="656" t="s">
        <v>2311</v>
      </c>
      <c r="Q353" s="251"/>
      <c r="R353" s="657">
        <v>16.899999999999999</v>
      </c>
    </row>
    <row r="354" spans="1:19">
      <c r="A354" s="272"/>
      <c r="B354" s="248"/>
      <c r="C354" s="249"/>
      <c r="D354" s="681" t="s">
        <v>1342</v>
      </c>
      <c r="E354" s="249"/>
      <c r="F354" s="678">
        <v>-7</v>
      </c>
      <c r="G354" s="249"/>
      <c r="H354" s="657">
        <v>3.9099999999999997</v>
      </c>
      <c r="I354" s="251"/>
      <c r="J354" s="657">
        <v>3.65</v>
      </c>
      <c r="K354" s="251"/>
      <c r="L354" s="657">
        <v>0.26</v>
      </c>
      <c r="M354" s="251"/>
      <c r="N354" s="251">
        <v>0</v>
      </c>
      <c r="O354" s="251"/>
      <c r="P354" s="656" t="s">
        <v>2311</v>
      </c>
      <c r="Q354" s="251"/>
      <c r="R354" s="657">
        <v>16.899999999999999</v>
      </c>
    </row>
    <row r="355" spans="1:19">
      <c r="A355" s="272"/>
      <c r="B355" s="248"/>
      <c r="C355" s="249"/>
      <c r="D355" s="683" t="s">
        <v>2306</v>
      </c>
      <c r="E355" s="249"/>
      <c r="F355" s="678">
        <v>-12</v>
      </c>
      <c r="G355" s="249"/>
      <c r="H355" s="657">
        <v>3.32</v>
      </c>
      <c r="I355" s="251"/>
      <c r="J355" s="657">
        <v>2.96</v>
      </c>
      <c r="K355" s="251"/>
      <c r="L355" s="657">
        <v>0.36</v>
      </c>
      <c r="M355" s="251"/>
      <c r="N355" s="251">
        <v>0</v>
      </c>
      <c r="O355" s="251"/>
      <c r="P355" s="656" t="s">
        <v>2311</v>
      </c>
      <c r="Q355" s="251"/>
      <c r="R355" s="657">
        <v>33.6</v>
      </c>
    </row>
    <row r="356" spans="1:19">
      <c r="A356" s="272"/>
      <c r="B356" s="248"/>
      <c r="C356" s="249"/>
      <c r="D356" s="249"/>
      <c r="E356" s="249"/>
      <c r="F356" s="250"/>
      <c r="G356" s="249"/>
      <c r="H356" s="251"/>
      <c r="I356" s="251"/>
      <c r="J356" s="251"/>
      <c r="K356" s="251"/>
      <c r="L356" s="251"/>
      <c r="M356" s="251"/>
      <c r="N356" s="251"/>
      <c r="O356" s="251"/>
      <c r="P356" s="251"/>
      <c r="Q356" s="251"/>
      <c r="R356" s="251"/>
    </row>
    <row r="357" spans="1:19">
      <c r="A357" s="272">
        <v>346</v>
      </c>
      <c r="B357" s="248"/>
      <c r="C357" s="249"/>
      <c r="D357" s="254" t="s">
        <v>1366</v>
      </c>
      <c r="E357" s="249"/>
      <c r="F357" s="278" t="s">
        <v>2334</v>
      </c>
      <c r="G357" s="249"/>
      <c r="H357" s="251">
        <v>4.3600000000000003</v>
      </c>
      <c r="I357" s="251"/>
      <c r="J357" s="251"/>
      <c r="K357" s="251"/>
      <c r="L357" s="251"/>
      <c r="M357" s="251"/>
      <c r="N357" s="251"/>
      <c r="O357" s="251"/>
      <c r="P357" s="251" t="str">
        <f>P355</f>
        <v>40-R2</v>
      </c>
      <c r="Q357" s="251"/>
      <c r="R357" s="251">
        <v>12.6</v>
      </c>
    </row>
    <row r="358" spans="1:19">
      <c r="A358" s="272"/>
      <c r="B358" s="248"/>
      <c r="C358" s="249"/>
      <c r="D358" s="249"/>
      <c r="E358" s="249"/>
      <c r="F358" s="250"/>
      <c r="G358" s="249"/>
      <c r="H358" s="251"/>
      <c r="I358" s="251"/>
      <c r="J358" s="251"/>
      <c r="K358" s="251"/>
      <c r="L358" s="251"/>
      <c r="M358" s="251"/>
      <c r="N358" s="251"/>
      <c r="O358" s="251"/>
      <c r="P358" s="251"/>
      <c r="Q358" s="251"/>
      <c r="R358" s="251"/>
    </row>
    <row r="359" spans="1:19">
      <c r="A359" s="272"/>
      <c r="B359" s="248"/>
      <c r="C359" s="249"/>
      <c r="D359" s="270" t="s">
        <v>1367</v>
      </c>
      <c r="E359" s="249"/>
      <c r="F359" s="250"/>
      <c r="G359" s="243"/>
      <c r="H359" s="251">
        <v>4</v>
      </c>
      <c r="I359" s="251"/>
      <c r="J359" s="251"/>
      <c r="K359" s="251"/>
      <c r="L359" s="251"/>
      <c r="M359" s="251"/>
      <c r="N359" s="251"/>
      <c r="O359" s="251"/>
      <c r="P359" s="251"/>
      <c r="Q359" s="251"/>
      <c r="R359" s="251"/>
      <c r="S359" s="240"/>
    </row>
    <row r="360" spans="1:19">
      <c r="A360" s="272"/>
      <c r="B360" s="248"/>
      <c r="C360" s="249"/>
      <c r="D360" s="270"/>
      <c r="E360" s="249"/>
      <c r="F360" s="250"/>
      <c r="G360" s="243"/>
      <c r="H360" s="251"/>
      <c r="I360" s="251"/>
      <c r="J360" s="251"/>
      <c r="K360" s="251"/>
      <c r="L360" s="251"/>
      <c r="M360" s="251"/>
      <c r="N360" s="251"/>
      <c r="O360" s="251"/>
      <c r="P360" s="251"/>
      <c r="Q360" s="251"/>
      <c r="R360" s="251"/>
    </row>
    <row r="361" spans="1:19">
      <c r="A361" s="272"/>
      <c r="B361" s="248"/>
      <c r="C361" s="249"/>
      <c r="D361" s="249"/>
      <c r="E361" s="249"/>
      <c r="F361" s="250"/>
      <c r="G361" s="249"/>
      <c r="H361" s="251"/>
      <c r="I361" s="251"/>
      <c r="J361" s="251"/>
      <c r="K361" s="251"/>
      <c r="L361" s="251"/>
      <c r="M361" s="251"/>
      <c r="N361" s="251"/>
      <c r="O361" s="251"/>
      <c r="P361" s="251"/>
      <c r="Q361" s="251"/>
      <c r="R361" s="251"/>
    </row>
    <row r="362" spans="1:19">
      <c r="A362" s="272"/>
      <c r="B362" s="248"/>
      <c r="C362" s="249"/>
      <c r="D362" s="244" t="s">
        <v>1368</v>
      </c>
      <c r="E362" s="249"/>
      <c r="F362" s="250"/>
      <c r="G362" s="249"/>
      <c r="H362" s="251"/>
      <c r="I362" s="251"/>
      <c r="J362" s="251"/>
      <c r="K362" s="251"/>
      <c r="L362" s="251"/>
      <c r="M362" s="251"/>
      <c r="N362" s="251"/>
      <c r="O362" s="251"/>
      <c r="P362" s="251"/>
      <c r="Q362" s="251"/>
      <c r="R362" s="251"/>
    </row>
    <row r="363" spans="1:19">
      <c r="A363" s="272"/>
      <c r="B363" s="248"/>
      <c r="C363" s="249"/>
      <c r="D363" s="252"/>
      <c r="E363" s="249"/>
      <c r="F363" s="250"/>
      <c r="G363" s="249"/>
      <c r="H363" s="251"/>
      <c r="I363" s="251"/>
      <c r="J363" s="251"/>
      <c r="K363" s="251"/>
      <c r="L363" s="251"/>
      <c r="M363" s="251"/>
      <c r="N363" s="251"/>
      <c r="O363" s="251"/>
      <c r="P363" s="251"/>
      <c r="Q363" s="251"/>
      <c r="R363" s="251"/>
    </row>
    <row r="364" spans="1:19">
      <c r="A364" s="272">
        <v>350</v>
      </c>
      <c r="B364" s="248">
        <v>350.1</v>
      </c>
      <c r="C364" s="249"/>
      <c r="D364" s="249" t="s">
        <v>1369</v>
      </c>
      <c r="E364" s="249"/>
      <c r="F364" s="250">
        <v>0</v>
      </c>
      <c r="G364" s="249"/>
      <c r="H364" s="251">
        <v>0.86</v>
      </c>
      <c r="I364" s="251"/>
      <c r="J364" s="251">
        <v>0.86</v>
      </c>
      <c r="K364" s="251"/>
      <c r="L364" s="251">
        <v>0</v>
      </c>
      <c r="M364" s="251"/>
      <c r="N364" s="251">
        <v>0</v>
      </c>
      <c r="O364" s="251"/>
      <c r="P364" s="656" t="s">
        <v>2295</v>
      </c>
      <c r="Q364" s="251"/>
      <c r="R364" s="251">
        <v>48.9</v>
      </c>
    </row>
    <row r="365" spans="1:19">
      <c r="A365" s="272"/>
      <c r="B365" s="248">
        <v>352.1</v>
      </c>
      <c r="C365" s="249"/>
      <c r="D365" s="249" t="s">
        <v>1370</v>
      </c>
      <c r="E365" s="249"/>
      <c r="F365" s="250">
        <v>-25</v>
      </c>
      <c r="G365" s="249"/>
      <c r="H365" s="251">
        <v>1.66</v>
      </c>
      <c r="I365" s="251"/>
      <c r="J365" s="251">
        <v>1.3299999999999998</v>
      </c>
      <c r="K365" s="251"/>
      <c r="L365" s="251">
        <v>0.33</v>
      </c>
      <c r="M365" s="251"/>
      <c r="N365" s="251">
        <v>0</v>
      </c>
      <c r="O365" s="251"/>
      <c r="P365" s="656" t="s">
        <v>2295</v>
      </c>
      <c r="Q365" s="251"/>
      <c r="R365" s="251">
        <v>59.5</v>
      </c>
    </row>
    <row r="366" spans="1:19">
      <c r="A366" s="272"/>
      <c r="B366" s="248">
        <v>352.2</v>
      </c>
      <c r="C366" s="249"/>
      <c r="D366" s="249" t="s">
        <v>1371</v>
      </c>
      <c r="E366" s="249"/>
      <c r="F366" s="250">
        <v>-25</v>
      </c>
      <c r="G366" s="249"/>
      <c r="H366" s="251">
        <v>1.66</v>
      </c>
      <c r="I366" s="251"/>
      <c r="J366" s="251">
        <v>1.3299999999999998</v>
      </c>
      <c r="K366" s="251"/>
      <c r="L366" s="251">
        <v>0.33</v>
      </c>
      <c r="M366" s="251"/>
      <c r="N366" s="251">
        <v>0</v>
      </c>
      <c r="O366" s="251"/>
      <c r="P366" s="656" t="s">
        <v>1384</v>
      </c>
      <c r="Q366" s="251"/>
      <c r="R366" s="251">
        <v>47.9</v>
      </c>
    </row>
    <row r="367" spans="1:19">
      <c r="A367" s="272"/>
      <c r="B367" s="248">
        <v>353.1</v>
      </c>
      <c r="C367" s="249"/>
      <c r="D367" s="249" t="s">
        <v>1372</v>
      </c>
      <c r="E367" s="249"/>
      <c r="F367" s="250">
        <v>-10</v>
      </c>
      <c r="G367" s="249"/>
      <c r="H367" s="251">
        <v>1.9</v>
      </c>
      <c r="I367" s="251"/>
      <c r="J367" s="251">
        <v>1.6500000000000001</v>
      </c>
      <c r="K367" s="251"/>
      <c r="L367" s="251">
        <v>0.3</v>
      </c>
      <c r="M367" s="251"/>
      <c r="N367" s="251">
        <v>-0.05</v>
      </c>
      <c r="O367" s="251"/>
      <c r="P367" s="656" t="s">
        <v>1373</v>
      </c>
      <c r="Q367" s="251"/>
      <c r="R367" s="251">
        <v>46</v>
      </c>
    </row>
    <row r="368" spans="1:19">
      <c r="A368" s="272"/>
      <c r="B368" s="248">
        <v>353.2</v>
      </c>
      <c r="C368" s="249"/>
      <c r="D368" s="249" t="s">
        <v>1374</v>
      </c>
      <c r="E368" s="249"/>
      <c r="F368" s="250">
        <v>-10</v>
      </c>
      <c r="G368" s="249"/>
      <c r="H368" s="658">
        <v>0</v>
      </c>
      <c r="I368" s="251"/>
      <c r="J368" s="251">
        <v>0</v>
      </c>
      <c r="K368" s="251"/>
      <c r="L368" s="251">
        <v>0</v>
      </c>
      <c r="M368" s="251"/>
      <c r="N368" s="251">
        <v>0</v>
      </c>
      <c r="O368" s="251"/>
      <c r="P368" s="656" t="s">
        <v>2312</v>
      </c>
      <c r="Q368" s="251"/>
      <c r="R368" s="251">
        <v>0</v>
      </c>
    </row>
    <row r="369" spans="1:18">
      <c r="A369" s="272">
        <v>354</v>
      </c>
      <c r="B369" s="248"/>
      <c r="C369" s="249"/>
      <c r="D369" s="249" t="s">
        <v>1375</v>
      </c>
      <c r="E369" s="249"/>
      <c r="F369" s="250">
        <v>-25</v>
      </c>
      <c r="G369" s="249"/>
      <c r="H369" s="251">
        <v>1.6900000000000002</v>
      </c>
      <c r="I369" s="251"/>
      <c r="J369" s="251">
        <v>1.21</v>
      </c>
      <c r="K369" s="251"/>
      <c r="L369" s="251">
        <v>0.54</v>
      </c>
      <c r="M369" s="251"/>
      <c r="N369" s="251">
        <v>-0.06</v>
      </c>
      <c r="O369" s="251"/>
      <c r="P369" s="656" t="s">
        <v>1376</v>
      </c>
      <c r="Q369" s="251"/>
      <c r="R369" s="251">
        <v>44.8</v>
      </c>
    </row>
    <row r="370" spans="1:18">
      <c r="A370" s="272">
        <v>355</v>
      </c>
      <c r="B370" s="248"/>
      <c r="C370" s="249"/>
      <c r="D370" s="249" t="s">
        <v>1377</v>
      </c>
      <c r="E370" s="249"/>
      <c r="F370" s="250">
        <v>-55</v>
      </c>
      <c r="G370" s="249"/>
      <c r="H370" s="251">
        <v>2.93</v>
      </c>
      <c r="I370" s="251"/>
      <c r="J370" s="251">
        <v>1.68</v>
      </c>
      <c r="K370" s="251"/>
      <c r="L370" s="251">
        <v>1.4200000000000002</v>
      </c>
      <c r="M370" s="251"/>
      <c r="N370" s="251">
        <v>-0.16999999999999998</v>
      </c>
      <c r="O370" s="251"/>
      <c r="P370" s="656" t="s">
        <v>2313</v>
      </c>
      <c r="Q370" s="251"/>
      <c r="R370" s="251">
        <v>48.8</v>
      </c>
    </row>
    <row r="371" spans="1:18">
      <c r="A371" s="272">
        <v>356</v>
      </c>
      <c r="B371" s="248"/>
      <c r="C371" s="249"/>
      <c r="D371" s="249" t="s">
        <v>1378</v>
      </c>
      <c r="E371" s="249"/>
      <c r="F371" s="250">
        <v>-50</v>
      </c>
      <c r="G371" s="249"/>
      <c r="H371" s="251">
        <v>2.54</v>
      </c>
      <c r="I371" s="251"/>
      <c r="J371" s="251">
        <v>1.46</v>
      </c>
      <c r="K371" s="251"/>
      <c r="L371" s="251">
        <v>1.23</v>
      </c>
      <c r="M371" s="251"/>
      <c r="N371" s="251">
        <v>-0.15</v>
      </c>
      <c r="O371" s="251"/>
      <c r="P371" s="656" t="s">
        <v>2314</v>
      </c>
      <c r="Q371" s="251"/>
      <c r="R371" s="251">
        <v>43.8</v>
      </c>
    </row>
    <row r="372" spans="1:18">
      <c r="A372" s="272">
        <v>357</v>
      </c>
      <c r="B372" s="248"/>
      <c r="C372" s="249"/>
      <c r="D372" s="249" t="s">
        <v>1379</v>
      </c>
      <c r="E372" s="249"/>
      <c r="F372" s="250">
        <v>0</v>
      </c>
      <c r="G372" s="249"/>
      <c r="H372" s="251">
        <v>1.7000000000000002</v>
      </c>
      <c r="I372" s="251"/>
      <c r="J372" s="251">
        <v>1.7000000000000002</v>
      </c>
      <c r="K372" s="251"/>
      <c r="L372" s="251">
        <v>0</v>
      </c>
      <c r="M372" s="251"/>
      <c r="N372" s="251">
        <v>0</v>
      </c>
      <c r="O372" s="251"/>
      <c r="P372" s="656" t="s">
        <v>1391</v>
      </c>
      <c r="Q372" s="251"/>
      <c r="R372" s="251">
        <v>28.7</v>
      </c>
    </row>
    <row r="373" spans="1:18">
      <c r="A373" s="272">
        <v>358</v>
      </c>
      <c r="B373" s="248"/>
      <c r="C373" s="249"/>
      <c r="D373" s="253" t="s">
        <v>1380</v>
      </c>
      <c r="E373" s="249"/>
      <c r="F373" s="250">
        <v>0</v>
      </c>
      <c r="G373" s="249"/>
      <c r="H373" s="251">
        <v>0.74</v>
      </c>
      <c r="I373" s="251"/>
      <c r="J373" s="251">
        <v>0.74</v>
      </c>
      <c r="K373" s="251"/>
      <c r="L373" s="251">
        <v>0</v>
      </c>
      <c r="M373" s="251"/>
      <c r="N373" s="251">
        <v>0</v>
      </c>
      <c r="O373" s="251"/>
      <c r="P373" s="656" t="s">
        <v>2315</v>
      </c>
      <c r="Q373" s="251"/>
      <c r="R373" s="251">
        <v>23.6</v>
      </c>
    </row>
    <row r="374" spans="1:18">
      <c r="A374" s="272"/>
      <c r="B374" s="248"/>
      <c r="C374" s="249"/>
      <c r="D374" s="249"/>
      <c r="E374" s="249"/>
      <c r="F374" s="250"/>
      <c r="G374" s="249"/>
      <c r="H374" s="251"/>
      <c r="I374" s="251"/>
      <c r="J374" s="251"/>
      <c r="K374" s="251"/>
      <c r="L374" s="251"/>
      <c r="M374" s="251"/>
      <c r="N374" s="251"/>
      <c r="O374" s="251"/>
      <c r="P374" s="251"/>
      <c r="Q374" s="251"/>
      <c r="R374" s="251"/>
    </row>
    <row r="375" spans="1:18">
      <c r="A375" s="272"/>
      <c r="B375" s="248"/>
      <c r="C375" s="249"/>
      <c r="D375" s="247" t="s">
        <v>1381</v>
      </c>
      <c r="E375" s="249"/>
      <c r="F375" s="250"/>
      <c r="G375" s="243"/>
      <c r="H375" s="251">
        <v>2.25</v>
      </c>
      <c r="I375" s="251"/>
      <c r="J375" s="684"/>
      <c r="K375" s="251"/>
      <c r="L375" s="251"/>
      <c r="M375" s="251"/>
      <c r="N375" s="251"/>
      <c r="O375" s="251"/>
      <c r="P375" s="251"/>
      <c r="Q375" s="251"/>
      <c r="R375" s="251"/>
    </row>
    <row r="376" spans="1:18">
      <c r="A376" s="272"/>
      <c r="B376" s="248"/>
      <c r="C376" s="249"/>
      <c r="D376" s="247"/>
      <c r="E376" s="249"/>
      <c r="F376" s="250"/>
      <c r="G376" s="243"/>
      <c r="H376" s="251"/>
      <c r="I376" s="251"/>
      <c r="J376" s="251"/>
      <c r="K376" s="251"/>
      <c r="L376" s="251"/>
      <c r="M376" s="251"/>
      <c r="N376" s="251"/>
      <c r="O376" s="251"/>
      <c r="P376" s="251"/>
      <c r="Q376" s="251"/>
      <c r="R376" s="251"/>
    </row>
    <row r="377" spans="1:18">
      <c r="A377" s="685"/>
      <c r="B377" s="295">
        <v>352.1</v>
      </c>
      <c r="C377" s="294"/>
      <c r="D377" s="294" t="s">
        <v>1370</v>
      </c>
      <c r="E377" s="294"/>
      <c r="F377" s="250">
        <v>-25</v>
      </c>
      <c r="G377" s="294"/>
      <c r="H377" s="686">
        <v>1.66</v>
      </c>
      <c r="I377" s="686"/>
      <c r="J377" s="686">
        <v>1.3299999999999998</v>
      </c>
      <c r="K377" s="686"/>
      <c r="L377" s="686">
        <v>0.33</v>
      </c>
      <c r="M377" s="686"/>
      <c r="N377" s="686">
        <v>0</v>
      </c>
      <c r="O377" s="686"/>
      <c r="P377" s="686" t="s">
        <v>2295</v>
      </c>
      <c r="Q377" s="686"/>
      <c r="R377" s="686">
        <v>59.5</v>
      </c>
    </row>
    <row r="378" spans="1:18">
      <c r="A378" s="685"/>
      <c r="B378" s="295">
        <v>352.2</v>
      </c>
      <c r="C378" s="294"/>
      <c r="D378" s="294" t="s">
        <v>1371</v>
      </c>
      <c r="E378" s="294"/>
      <c r="F378" s="250">
        <v>-25</v>
      </c>
      <c r="G378" s="294"/>
      <c r="H378" s="687">
        <v>1.66</v>
      </c>
      <c r="I378" s="686"/>
      <c r="J378" s="686">
        <v>1.3299999999999998</v>
      </c>
      <c r="K378" s="686"/>
      <c r="L378" s="686">
        <v>0.33</v>
      </c>
      <c r="M378" s="686"/>
      <c r="N378" s="686">
        <v>0</v>
      </c>
      <c r="O378" s="686"/>
      <c r="P378" s="686" t="s">
        <v>1384</v>
      </c>
      <c r="Q378" s="686"/>
      <c r="R378" s="686">
        <v>47.9</v>
      </c>
    </row>
    <row r="379" spans="1:18">
      <c r="A379" s="272">
        <v>352</v>
      </c>
      <c r="B379" s="295"/>
      <c r="C379" s="294"/>
      <c r="D379" s="294"/>
      <c r="E379" s="294"/>
      <c r="F379" s="688">
        <v>-0.25</v>
      </c>
      <c r="G379" s="294"/>
      <c r="H379" s="686">
        <f>H378</f>
        <v>1.66</v>
      </c>
      <c r="I379" s="686"/>
      <c r="J379" s="689"/>
      <c r="K379" s="689"/>
      <c r="L379" s="689"/>
      <c r="M379" s="689"/>
      <c r="N379" s="689"/>
      <c r="O379" s="689"/>
      <c r="P379" s="690" t="s">
        <v>2700</v>
      </c>
      <c r="Q379" s="689"/>
      <c r="R379" s="690" t="s">
        <v>2343</v>
      </c>
    </row>
    <row r="380" spans="1:18">
      <c r="A380" s="272"/>
      <c r="B380" s="295"/>
      <c r="C380" s="294"/>
      <c r="D380" s="294"/>
      <c r="E380" s="294"/>
      <c r="F380" s="250"/>
      <c r="G380" s="294"/>
      <c r="H380" s="686"/>
      <c r="I380" s="686"/>
      <c r="J380" s="686"/>
      <c r="K380" s="686"/>
      <c r="L380" s="686"/>
      <c r="M380" s="686"/>
      <c r="N380" s="686"/>
      <c r="O380" s="686"/>
      <c r="P380" s="686"/>
      <c r="Q380" s="686"/>
      <c r="R380" s="686"/>
    </row>
    <row r="381" spans="1:18">
      <c r="A381" s="272"/>
      <c r="B381" s="295">
        <v>353.1</v>
      </c>
      <c r="C381" s="294"/>
      <c r="D381" s="294" t="s">
        <v>1372</v>
      </c>
      <c r="E381" s="294"/>
      <c r="F381" s="250">
        <v>-10</v>
      </c>
      <c r="G381" s="294"/>
      <c r="H381" s="686">
        <f>H367</f>
        <v>1.9</v>
      </c>
      <c r="I381" s="686"/>
      <c r="J381" s="686">
        <f t="shared" ref="J381:R382" si="0">J367</f>
        <v>1.6500000000000001</v>
      </c>
      <c r="K381" s="686"/>
      <c r="L381" s="686">
        <f t="shared" si="0"/>
        <v>0.3</v>
      </c>
      <c r="M381" s="686"/>
      <c r="N381" s="686">
        <f t="shared" si="0"/>
        <v>-0.05</v>
      </c>
      <c r="O381" s="686"/>
      <c r="P381" s="686" t="str">
        <f t="shared" si="0"/>
        <v>60-R2</v>
      </c>
      <c r="Q381" s="686"/>
      <c r="R381" s="686">
        <f t="shared" si="0"/>
        <v>46</v>
      </c>
    </row>
    <row r="382" spans="1:18">
      <c r="A382" s="272"/>
      <c r="B382" s="295">
        <v>353.2</v>
      </c>
      <c r="C382" s="294"/>
      <c r="D382" s="294" t="s">
        <v>1374</v>
      </c>
      <c r="E382" s="294"/>
      <c r="F382" s="250">
        <v>-10</v>
      </c>
      <c r="G382" s="294"/>
      <c r="H382" s="686">
        <f>H368</f>
        <v>0</v>
      </c>
      <c r="I382" s="686"/>
      <c r="J382" s="686">
        <f t="shared" si="0"/>
        <v>0</v>
      </c>
      <c r="K382" s="686"/>
      <c r="L382" s="686">
        <f t="shared" si="0"/>
        <v>0</v>
      </c>
      <c r="M382" s="686"/>
      <c r="N382" s="686">
        <f t="shared" si="0"/>
        <v>0</v>
      </c>
      <c r="O382" s="686"/>
      <c r="P382" s="686" t="str">
        <f t="shared" si="0"/>
        <v>45-R2</v>
      </c>
      <c r="Q382" s="686"/>
      <c r="R382" s="686">
        <f t="shared" si="0"/>
        <v>0</v>
      </c>
    </row>
    <row r="383" spans="1:18">
      <c r="A383" s="272">
        <v>353</v>
      </c>
      <c r="B383" s="295"/>
      <c r="C383" s="294"/>
      <c r="D383" s="298"/>
      <c r="E383" s="294"/>
      <c r="F383" s="688">
        <v>-0.1</v>
      </c>
      <c r="G383" s="299"/>
      <c r="H383" s="689">
        <v>1.67</v>
      </c>
      <c r="I383" s="686"/>
      <c r="J383" s="689"/>
      <c r="K383" s="689"/>
      <c r="L383" s="689"/>
      <c r="M383" s="689"/>
      <c r="N383" s="689"/>
      <c r="O383" s="689"/>
      <c r="P383" s="690" t="s">
        <v>2701</v>
      </c>
      <c r="Q383" s="689"/>
      <c r="R383" s="689">
        <v>46</v>
      </c>
    </row>
    <row r="384" spans="1:18">
      <c r="A384" s="272"/>
      <c r="B384" s="295"/>
      <c r="C384" s="294"/>
      <c r="D384" s="294"/>
      <c r="E384" s="294"/>
      <c r="F384" s="296"/>
      <c r="G384" s="294"/>
      <c r="H384" s="686"/>
      <c r="I384" s="686"/>
      <c r="J384" s="686"/>
      <c r="K384" s="686"/>
      <c r="L384" s="686"/>
      <c r="M384" s="686"/>
      <c r="N384" s="686"/>
      <c r="O384" s="686"/>
      <c r="P384" s="686"/>
      <c r="Q384" s="686"/>
      <c r="R384" s="686"/>
    </row>
    <row r="385" spans="1:18">
      <c r="A385" s="272"/>
      <c r="B385" s="248"/>
      <c r="C385" s="249"/>
      <c r="D385" s="249"/>
      <c r="E385" s="249"/>
      <c r="F385" s="250"/>
      <c r="G385" s="249"/>
      <c r="H385" s="251"/>
      <c r="I385" s="251"/>
      <c r="J385" s="251"/>
      <c r="K385" s="251"/>
      <c r="L385" s="251"/>
      <c r="M385" s="251"/>
      <c r="N385" s="251"/>
      <c r="O385" s="251"/>
      <c r="P385" s="251"/>
      <c r="Q385" s="251"/>
      <c r="R385" s="251"/>
    </row>
    <row r="386" spans="1:18">
      <c r="A386" s="272"/>
      <c r="B386" s="248"/>
      <c r="C386" s="239"/>
      <c r="D386" s="244" t="s">
        <v>1382</v>
      </c>
      <c r="E386" s="239"/>
      <c r="F386" s="250"/>
      <c r="G386" s="239"/>
      <c r="H386" s="251"/>
      <c r="I386" s="251"/>
      <c r="J386" s="251"/>
      <c r="K386" s="251"/>
      <c r="L386" s="251"/>
      <c r="M386" s="251"/>
      <c r="N386" s="251"/>
      <c r="O386" s="251"/>
      <c r="P386" s="251"/>
      <c r="Q386" s="251"/>
      <c r="R386" s="251"/>
    </row>
    <row r="387" spans="1:18">
      <c r="A387" s="272"/>
      <c r="B387" s="248"/>
      <c r="C387" s="249"/>
      <c r="D387" s="252"/>
      <c r="E387" s="249"/>
      <c r="F387" s="250"/>
      <c r="G387" s="249"/>
      <c r="H387" s="251"/>
      <c r="I387" s="251"/>
      <c r="J387" s="251"/>
      <c r="K387" s="251"/>
      <c r="L387" s="251"/>
      <c r="M387" s="251"/>
      <c r="N387" s="251"/>
      <c r="O387" s="251"/>
      <c r="P387" s="251"/>
      <c r="Q387" s="251"/>
      <c r="R387" s="686"/>
    </row>
    <row r="388" spans="1:18">
      <c r="A388" s="272">
        <v>360</v>
      </c>
      <c r="B388" s="248">
        <v>360.1</v>
      </c>
      <c r="C388" s="249"/>
      <c r="D388" s="691" t="s">
        <v>1383</v>
      </c>
      <c r="E388" s="249"/>
      <c r="F388" s="678">
        <v>0</v>
      </c>
      <c r="G388" s="249"/>
      <c r="H388" s="657">
        <v>0.64</v>
      </c>
      <c r="I388" s="251"/>
      <c r="J388" s="251">
        <v>0.64</v>
      </c>
      <c r="K388" s="251"/>
      <c r="L388" s="251">
        <v>0</v>
      </c>
      <c r="M388" s="251"/>
      <c r="N388" s="251">
        <v>0</v>
      </c>
      <c r="O388" s="251"/>
      <c r="P388" s="251" t="s">
        <v>1376</v>
      </c>
      <c r="Q388" s="251"/>
      <c r="R388" s="686">
        <v>51.4</v>
      </c>
    </row>
    <row r="389" spans="1:18">
      <c r="A389" s="272">
        <v>361</v>
      </c>
      <c r="B389" s="248"/>
      <c r="C389" s="249"/>
      <c r="D389" s="692" t="s">
        <v>1385</v>
      </c>
      <c r="E389" s="249"/>
      <c r="F389" s="678">
        <v>-25</v>
      </c>
      <c r="G389" s="249"/>
      <c r="H389" s="657">
        <v>2.15</v>
      </c>
      <c r="I389" s="251"/>
      <c r="J389" s="251">
        <v>1.72</v>
      </c>
      <c r="K389" s="251"/>
      <c r="L389" s="251">
        <v>0.43</v>
      </c>
      <c r="M389" s="251"/>
      <c r="N389" s="251">
        <v>0</v>
      </c>
      <c r="O389" s="251"/>
      <c r="P389" s="251" t="s">
        <v>1302</v>
      </c>
      <c r="Q389" s="251"/>
      <c r="R389" s="686">
        <v>48.4</v>
      </c>
    </row>
    <row r="390" spans="1:18">
      <c r="A390" s="272">
        <v>362</v>
      </c>
      <c r="B390" s="248"/>
      <c r="C390" s="249"/>
      <c r="D390" s="693" t="s">
        <v>1386</v>
      </c>
      <c r="E390" s="249"/>
      <c r="F390" s="678">
        <v>-20</v>
      </c>
      <c r="G390" s="249"/>
      <c r="H390" s="657">
        <v>2.29</v>
      </c>
      <c r="I390" s="251"/>
      <c r="J390" s="251">
        <v>1.91</v>
      </c>
      <c r="K390" s="251"/>
      <c r="L390" s="251">
        <v>0.45999999999999996</v>
      </c>
      <c r="M390" s="251"/>
      <c r="N390" s="251">
        <v>-0.08</v>
      </c>
      <c r="O390" s="251"/>
      <c r="P390" s="251" t="s">
        <v>1387</v>
      </c>
      <c r="Q390" s="251"/>
      <c r="R390" s="686">
        <v>40.299999999999997</v>
      </c>
    </row>
    <row r="391" spans="1:18">
      <c r="A391" s="272">
        <v>364</v>
      </c>
      <c r="B391" s="248"/>
      <c r="C391" s="249"/>
      <c r="D391" s="693" t="s">
        <v>1388</v>
      </c>
      <c r="E391" s="249"/>
      <c r="F391" s="678">
        <v>-50</v>
      </c>
      <c r="G391" s="249"/>
      <c r="H391" s="657">
        <v>2.67</v>
      </c>
      <c r="I391" s="251"/>
      <c r="J391" s="251">
        <v>1.78</v>
      </c>
      <c r="K391" s="251"/>
      <c r="L391" s="251">
        <v>1.0699999999999998</v>
      </c>
      <c r="M391" s="251"/>
      <c r="N391" s="251">
        <v>-0.18</v>
      </c>
      <c r="O391" s="251"/>
      <c r="P391" s="251" t="s">
        <v>2316</v>
      </c>
      <c r="Q391" s="251"/>
      <c r="R391" s="686">
        <v>40.1</v>
      </c>
    </row>
    <row r="392" spans="1:18">
      <c r="A392" s="272">
        <v>365</v>
      </c>
      <c r="B392" s="248"/>
      <c r="C392" s="249"/>
      <c r="D392" s="692" t="s">
        <v>1389</v>
      </c>
      <c r="E392" s="249"/>
      <c r="F392" s="678">
        <v>-30</v>
      </c>
      <c r="G392" s="249"/>
      <c r="H392" s="657">
        <v>2.4699999999999998</v>
      </c>
      <c r="I392" s="251"/>
      <c r="J392" s="251">
        <v>1.9</v>
      </c>
      <c r="K392" s="251"/>
      <c r="L392" s="251">
        <v>0.70000000000000007</v>
      </c>
      <c r="M392" s="251"/>
      <c r="N392" s="251">
        <v>-0.13</v>
      </c>
      <c r="O392" s="251"/>
      <c r="P392" s="251" t="s">
        <v>2317</v>
      </c>
      <c r="Q392" s="251"/>
      <c r="R392" s="686">
        <v>38.299999999999997</v>
      </c>
    </row>
    <row r="393" spans="1:18">
      <c r="A393" s="272">
        <v>366</v>
      </c>
      <c r="B393" s="248"/>
      <c r="C393" s="249"/>
      <c r="D393" s="691" t="s">
        <v>1390</v>
      </c>
      <c r="E393" s="249"/>
      <c r="F393" s="678">
        <v>0</v>
      </c>
      <c r="G393" s="249"/>
      <c r="H393" s="657">
        <v>2.3199999999999998</v>
      </c>
      <c r="I393" s="251"/>
      <c r="J393" s="251">
        <v>2.3199999999999998</v>
      </c>
      <c r="K393" s="251"/>
      <c r="L393" s="251">
        <v>0</v>
      </c>
      <c r="M393" s="251"/>
      <c r="N393" s="251">
        <v>0</v>
      </c>
      <c r="O393" s="251"/>
      <c r="P393" s="251" t="s">
        <v>1391</v>
      </c>
      <c r="Q393" s="251"/>
      <c r="R393" s="686">
        <v>25.6</v>
      </c>
    </row>
    <row r="394" spans="1:18">
      <c r="A394" s="272">
        <v>367</v>
      </c>
      <c r="B394" s="272"/>
      <c r="C394" s="249"/>
      <c r="D394" s="692" t="s">
        <v>1392</v>
      </c>
      <c r="E394" s="249"/>
      <c r="F394" s="678">
        <v>-20</v>
      </c>
      <c r="G394" s="249"/>
      <c r="H394" s="657">
        <v>2.4299999999999997</v>
      </c>
      <c r="I394" s="251"/>
      <c r="J394" s="251">
        <v>2.02</v>
      </c>
      <c r="K394" s="251"/>
      <c r="L394" s="251">
        <v>0.51</v>
      </c>
      <c r="M394" s="251"/>
      <c r="N394" s="251">
        <v>-0.1</v>
      </c>
      <c r="O394" s="251"/>
      <c r="P394" s="251" t="s">
        <v>2318</v>
      </c>
      <c r="Q394" s="251"/>
      <c r="R394" s="686">
        <v>40.200000000000003</v>
      </c>
    </row>
    <row r="395" spans="1:18">
      <c r="A395" s="272">
        <v>368</v>
      </c>
      <c r="B395" s="248"/>
      <c r="C395" s="249"/>
      <c r="D395" s="692" t="s">
        <v>1393</v>
      </c>
      <c r="E395" s="249"/>
      <c r="F395" s="678">
        <v>-5</v>
      </c>
      <c r="G395" s="249"/>
      <c r="H395" s="657">
        <v>1.79</v>
      </c>
      <c r="I395" s="251"/>
      <c r="J395" s="251">
        <v>1.7000000000000002</v>
      </c>
      <c r="K395" s="251"/>
      <c r="L395" s="251">
        <v>0.13999999999999999</v>
      </c>
      <c r="M395" s="251"/>
      <c r="N395" s="251">
        <v>-0.05</v>
      </c>
      <c r="O395" s="251"/>
      <c r="P395" s="251" t="s">
        <v>2319</v>
      </c>
      <c r="Q395" s="251"/>
      <c r="R395" s="686">
        <v>33</v>
      </c>
    </row>
    <row r="396" spans="1:18">
      <c r="A396" s="272">
        <v>369</v>
      </c>
      <c r="B396" s="248"/>
      <c r="C396" s="249"/>
      <c r="D396" s="692" t="s">
        <v>1394</v>
      </c>
      <c r="E396" s="249"/>
      <c r="F396" s="678">
        <v>-25</v>
      </c>
      <c r="G396" s="249"/>
      <c r="H396" s="657">
        <v>1.63</v>
      </c>
      <c r="I396" s="251"/>
      <c r="J396" s="251">
        <v>1.3</v>
      </c>
      <c r="K396" s="251"/>
      <c r="L396" s="251">
        <v>0.33</v>
      </c>
      <c r="M396" s="251"/>
      <c r="N396" s="251">
        <v>0</v>
      </c>
      <c r="O396" s="251"/>
      <c r="P396" s="251" t="s">
        <v>2320</v>
      </c>
      <c r="Q396" s="251"/>
      <c r="R396" s="686">
        <v>36.6</v>
      </c>
    </row>
    <row r="397" spans="1:18">
      <c r="A397" s="272"/>
      <c r="B397" s="248">
        <v>370</v>
      </c>
      <c r="C397" s="249"/>
      <c r="D397" s="694" t="s">
        <v>2702</v>
      </c>
      <c r="E397" s="249"/>
      <c r="F397" s="678">
        <v>0</v>
      </c>
      <c r="G397" s="249"/>
      <c r="H397" s="657">
        <v>4.29</v>
      </c>
      <c r="I397" s="251"/>
      <c r="J397" s="251">
        <v>4.29</v>
      </c>
      <c r="K397" s="251"/>
      <c r="L397" s="251">
        <v>0</v>
      </c>
      <c r="M397" s="251"/>
      <c r="N397" s="251">
        <v>0</v>
      </c>
      <c r="O397" s="251"/>
      <c r="P397" s="251" t="s">
        <v>2325</v>
      </c>
      <c r="Q397" s="251"/>
      <c r="R397" s="686">
        <v>14.7</v>
      </c>
    </row>
    <row r="398" spans="1:18">
      <c r="B398" s="248">
        <v>370.01</v>
      </c>
      <c r="C398" s="249"/>
      <c r="D398" s="692" t="s">
        <v>2321</v>
      </c>
      <c r="E398" s="249"/>
      <c r="F398" s="678">
        <v>0</v>
      </c>
      <c r="G398" s="249"/>
      <c r="H398" s="657">
        <v>6.8500000000000005</v>
      </c>
      <c r="I398" s="251"/>
      <c r="J398" s="251">
        <v>6.8500000000000005</v>
      </c>
      <c r="K398" s="251"/>
      <c r="L398" s="251">
        <v>0</v>
      </c>
      <c r="M398" s="251"/>
      <c r="N398" s="251">
        <v>0</v>
      </c>
      <c r="O398" s="251"/>
      <c r="P398" s="251" t="s">
        <v>2322</v>
      </c>
      <c r="Q398" s="251"/>
      <c r="R398" s="686">
        <v>14.5</v>
      </c>
    </row>
    <row r="399" spans="1:18">
      <c r="B399" s="248">
        <v>370.2</v>
      </c>
      <c r="C399" s="249"/>
      <c r="D399" s="692" t="s">
        <v>1395</v>
      </c>
      <c r="E399" s="249"/>
      <c r="F399" s="678">
        <v>0</v>
      </c>
      <c r="G399" s="249"/>
      <c r="H399" s="657">
        <v>3.51</v>
      </c>
      <c r="I399" s="251"/>
      <c r="J399" s="251">
        <v>3.51</v>
      </c>
      <c r="K399" s="251"/>
      <c r="L399" s="251">
        <v>0</v>
      </c>
      <c r="M399" s="251"/>
      <c r="N399" s="251">
        <v>0</v>
      </c>
      <c r="O399" s="251"/>
      <c r="P399" s="251" t="s">
        <v>2325</v>
      </c>
      <c r="Q399" s="251"/>
      <c r="R399" s="686">
        <v>4.3</v>
      </c>
    </row>
    <row r="400" spans="1:18">
      <c r="A400" s="272">
        <v>371</v>
      </c>
      <c r="B400" s="248"/>
      <c r="C400" s="249"/>
      <c r="D400" s="692" t="s">
        <v>1396</v>
      </c>
      <c r="E400" s="249"/>
      <c r="F400" s="678">
        <v>-10</v>
      </c>
      <c r="G400" s="249"/>
      <c r="H400" s="657">
        <v>0.52999999999999992</v>
      </c>
      <c r="I400" s="251"/>
      <c r="J400" s="251">
        <v>0.48</v>
      </c>
      <c r="K400" s="251"/>
      <c r="L400" s="251">
        <v>0.06</v>
      </c>
      <c r="M400" s="251"/>
      <c r="N400" s="251">
        <v>-0.01</v>
      </c>
      <c r="O400" s="251"/>
      <c r="P400" s="251" t="s">
        <v>2323</v>
      </c>
      <c r="Q400" s="251"/>
      <c r="R400" s="686">
        <v>19.3</v>
      </c>
    </row>
    <row r="401" spans="1:18">
      <c r="A401" s="272">
        <v>373</v>
      </c>
      <c r="B401" s="248"/>
      <c r="C401" s="249"/>
      <c r="D401" s="692" t="s">
        <v>1397</v>
      </c>
      <c r="E401" s="249"/>
      <c r="F401" s="678">
        <v>-10</v>
      </c>
      <c r="G401" s="249"/>
      <c r="H401" s="657">
        <v>4.0000000000000009</v>
      </c>
      <c r="I401" s="251"/>
      <c r="J401" s="251">
        <v>3.64</v>
      </c>
      <c r="K401" s="251"/>
      <c r="L401" s="251">
        <v>0.47000000000000003</v>
      </c>
      <c r="M401" s="251"/>
      <c r="N401" s="251">
        <v>-0.11</v>
      </c>
      <c r="O401" s="251"/>
      <c r="P401" s="251" t="s">
        <v>2324</v>
      </c>
      <c r="Q401" s="251"/>
      <c r="R401" s="686">
        <v>22.1</v>
      </c>
    </row>
    <row r="402" spans="1:18">
      <c r="A402" s="272"/>
      <c r="B402" s="248"/>
      <c r="C402" s="249"/>
      <c r="D402" s="249"/>
      <c r="E402" s="249"/>
      <c r="F402" s="250"/>
      <c r="G402" s="249"/>
      <c r="H402" s="251"/>
      <c r="I402" s="251"/>
      <c r="J402" s="251"/>
      <c r="K402" s="251"/>
      <c r="L402" s="251"/>
      <c r="M402" s="251"/>
      <c r="N402" s="251"/>
      <c r="O402" s="251"/>
      <c r="P402" s="251"/>
      <c r="Q402" s="251"/>
      <c r="R402" s="657"/>
    </row>
    <row r="403" spans="1:18">
      <c r="A403" s="272"/>
      <c r="B403" s="248">
        <v>370</v>
      </c>
      <c r="C403" s="249"/>
      <c r="D403" s="694" t="s">
        <v>2702</v>
      </c>
      <c r="E403" s="249"/>
      <c r="F403" s="678">
        <v>0</v>
      </c>
      <c r="G403" s="249"/>
      <c r="H403" s="657">
        <v>4.29</v>
      </c>
      <c r="I403" s="251"/>
      <c r="J403" s="251">
        <v>4.29</v>
      </c>
      <c r="K403" s="251"/>
      <c r="L403" s="251">
        <v>0</v>
      </c>
      <c r="M403" s="251"/>
      <c r="N403" s="251">
        <v>0</v>
      </c>
      <c r="O403" s="251"/>
      <c r="P403" s="251" t="s">
        <v>2325</v>
      </c>
      <c r="Q403" s="251"/>
      <c r="R403" s="686">
        <v>14.7</v>
      </c>
    </row>
    <row r="404" spans="1:18">
      <c r="A404" s="272"/>
      <c r="B404" s="248">
        <v>370.01</v>
      </c>
      <c r="C404" s="249"/>
      <c r="D404" s="692" t="s">
        <v>2321</v>
      </c>
      <c r="E404" s="249"/>
      <c r="F404" s="678">
        <v>0</v>
      </c>
      <c r="G404" s="249"/>
      <c r="H404" s="657">
        <v>6.8500000000000005</v>
      </c>
      <c r="I404" s="251"/>
      <c r="J404" s="251">
        <v>6.8500000000000005</v>
      </c>
      <c r="K404" s="251"/>
      <c r="L404" s="251">
        <v>0</v>
      </c>
      <c r="M404" s="251"/>
      <c r="N404" s="251">
        <v>0</v>
      </c>
      <c r="O404" s="251"/>
      <c r="P404" s="251" t="s">
        <v>2322</v>
      </c>
      <c r="Q404" s="251"/>
      <c r="R404" s="686">
        <v>14.5</v>
      </c>
    </row>
    <row r="405" spans="1:18">
      <c r="A405" s="272"/>
      <c r="B405" s="248">
        <v>370.2</v>
      </c>
      <c r="C405" s="249"/>
      <c r="D405" s="692" t="s">
        <v>1395</v>
      </c>
      <c r="E405" s="249"/>
      <c r="F405" s="678">
        <v>0</v>
      </c>
      <c r="G405" s="249"/>
      <c r="H405" s="657">
        <v>3.51</v>
      </c>
      <c r="I405" s="251"/>
      <c r="J405" s="251">
        <v>3.51</v>
      </c>
      <c r="K405" s="251"/>
      <c r="L405" s="251">
        <v>0</v>
      </c>
      <c r="M405" s="251"/>
      <c r="N405" s="251">
        <v>0</v>
      </c>
      <c r="O405" s="251"/>
      <c r="P405" s="251" t="s">
        <v>2325</v>
      </c>
      <c r="Q405" s="251"/>
      <c r="R405" s="686">
        <v>4.3</v>
      </c>
    </row>
    <row r="406" spans="1:18">
      <c r="A406" s="272">
        <v>370</v>
      </c>
      <c r="B406" s="248"/>
      <c r="C406" s="249"/>
      <c r="D406" s="249"/>
      <c r="E406" s="249"/>
      <c r="F406" s="250">
        <v>0</v>
      </c>
      <c r="G406" s="249"/>
      <c r="H406" s="695">
        <v>3.65</v>
      </c>
      <c r="I406" s="695"/>
      <c r="J406" s="695"/>
      <c r="K406" s="695"/>
      <c r="L406" s="695"/>
      <c r="M406" s="695"/>
      <c r="N406" s="695"/>
      <c r="O406" s="695"/>
      <c r="P406" s="695" t="s">
        <v>2337</v>
      </c>
      <c r="Q406" s="695"/>
      <c r="R406" s="696" t="s">
        <v>2342</v>
      </c>
    </row>
    <row r="407" spans="1:18">
      <c r="A407" s="272"/>
      <c r="B407" s="248"/>
      <c r="C407" s="249"/>
      <c r="D407" s="249"/>
      <c r="E407" s="249"/>
      <c r="F407" s="250"/>
      <c r="G407" s="249"/>
      <c r="H407" s="680"/>
      <c r="I407" s="680"/>
      <c r="J407" s="680"/>
      <c r="K407" s="680"/>
      <c r="L407" s="680"/>
      <c r="M407" s="680"/>
      <c r="N407" s="680"/>
      <c r="O407" s="680"/>
      <c r="P407" s="680"/>
      <c r="Q407" s="680"/>
      <c r="R407" s="667"/>
    </row>
    <row r="408" spans="1:18">
      <c r="A408" s="272"/>
      <c r="B408" s="248"/>
      <c r="C408" s="249"/>
      <c r="D408" s="249"/>
      <c r="E408" s="249"/>
      <c r="F408" s="250"/>
      <c r="G408" s="249"/>
      <c r="H408" s="251"/>
      <c r="I408" s="251"/>
      <c r="J408" s="251"/>
      <c r="K408" s="251"/>
      <c r="L408" s="251"/>
      <c r="M408" s="251"/>
      <c r="N408" s="251"/>
      <c r="O408" s="251"/>
      <c r="P408" s="251"/>
      <c r="Q408" s="251"/>
      <c r="R408" s="657"/>
    </row>
    <row r="409" spans="1:18">
      <c r="A409" s="272"/>
      <c r="B409" s="248"/>
      <c r="C409" s="249"/>
      <c r="D409" s="247" t="s">
        <v>1398</v>
      </c>
      <c r="E409" s="249"/>
      <c r="F409" s="250"/>
      <c r="G409" s="243"/>
      <c r="H409" s="251">
        <v>2.4300000000000002</v>
      </c>
      <c r="I409" s="251"/>
      <c r="J409" s="251"/>
      <c r="K409" s="251"/>
      <c r="L409" s="251"/>
      <c r="M409" s="251"/>
      <c r="N409" s="251"/>
      <c r="O409" s="251"/>
      <c r="P409" s="251"/>
      <c r="Q409" s="251"/>
      <c r="R409" s="251"/>
    </row>
    <row r="410" spans="1:18">
      <c r="A410" s="272"/>
      <c r="B410" s="248"/>
      <c r="C410" s="249"/>
      <c r="D410" s="247"/>
      <c r="E410" s="249"/>
      <c r="F410" s="250"/>
      <c r="G410" s="243"/>
      <c r="H410" s="251"/>
      <c r="I410" s="251"/>
      <c r="J410" s="251"/>
      <c r="K410" s="251"/>
      <c r="L410" s="251"/>
      <c r="M410" s="251"/>
      <c r="N410" s="251"/>
      <c r="O410" s="251"/>
      <c r="P410" s="251"/>
      <c r="Q410" s="251"/>
      <c r="R410" s="251"/>
    </row>
    <row r="411" spans="1:18">
      <c r="A411" s="272"/>
      <c r="B411" s="248"/>
      <c r="C411" s="249"/>
      <c r="D411" s="249"/>
      <c r="E411" s="249"/>
      <c r="F411" s="250"/>
      <c r="G411" s="249"/>
      <c r="H411" s="251"/>
      <c r="I411" s="251"/>
      <c r="J411" s="251"/>
      <c r="K411" s="251"/>
      <c r="L411" s="251"/>
      <c r="M411" s="251"/>
      <c r="N411" s="251"/>
      <c r="O411" s="251"/>
      <c r="P411" s="251"/>
      <c r="Q411" s="251"/>
      <c r="R411" s="251"/>
    </row>
    <row r="412" spans="1:18">
      <c r="A412" s="272"/>
      <c r="B412" s="248"/>
      <c r="C412" s="249"/>
      <c r="D412" s="244" t="s">
        <v>1399</v>
      </c>
      <c r="E412" s="249"/>
      <c r="F412" s="250"/>
      <c r="G412" s="249"/>
      <c r="H412" s="251"/>
      <c r="I412" s="251"/>
      <c r="J412" s="251"/>
      <c r="K412" s="251"/>
      <c r="L412" s="251"/>
      <c r="M412" s="251"/>
      <c r="N412" s="251"/>
      <c r="O412" s="251"/>
      <c r="P412" s="251"/>
      <c r="Q412" s="251"/>
      <c r="R412" s="251"/>
    </row>
    <row r="413" spans="1:18">
      <c r="A413" s="272"/>
      <c r="B413" s="248"/>
      <c r="C413" s="249"/>
      <c r="D413" s="252"/>
      <c r="E413" s="249"/>
      <c r="F413" s="250"/>
      <c r="G413" s="249"/>
      <c r="H413" s="251"/>
      <c r="I413" s="251"/>
      <c r="J413" s="251"/>
      <c r="K413" s="251"/>
      <c r="L413" s="251"/>
      <c r="M413" s="251"/>
      <c r="N413" s="251"/>
      <c r="O413" s="251"/>
      <c r="P413" s="251"/>
      <c r="Q413" s="251"/>
      <c r="R413" s="251"/>
    </row>
    <row r="414" spans="1:18">
      <c r="A414" s="272"/>
      <c r="B414" s="248">
        <v>390.1</v>
      </c>
      <c r="C414" s="249"/>
      <c r="D414" s="257" t="s">
        <v>1400</v>
      </c>
      <c r="E414" s="249"/>
      <c r="F414" s="250">
        <v>-15</v>
      </c>
      <c r="G414" s="249"/>
      <c r="H414" s="251">
        <v>2.4300000000000002</v>
      </c>
      <c r="I414" s="251"/>
      <c r="J414" s="251">
        <v>2.11</v>
      </c>
      <c r="K414" s="251"/>
      <c r="L414" s="251">
        <v>0.32</v>
      </c>
      <c r="M414" s="251"/>
      <c r="N414" s="251">
        <v>0</v>
      </c>
      <c r="O414" s="251"/>
      <c r="P414" s="251" t="s">
        <v>2326</v>
      </c>
      <c r="Q414" s="251"/>
      <c r="R414" s="657">
        <v>39.200000000000003</v>
      </c>
    </row>
    <row r="415" spans="1:18">
      <c r="A415" s="272"/>
      <c r="B415" s="248">
        <v>390.2</v>
      </c>
      <c r="C415" s="249"/>
      <c r="D415" s="257" t="s">
        <v>1401</v>
      </c>
      <c r="E415" s="249"/>
      <c r="F415" s="250">
        <v>-10</v>
      </c>
      <c r="G415" s="249"/>
      <c r="H415" s="251">
        <v>1.43</v>
      </c>
      <c r="I415" s="251"/>
      <c r="J415" s="251">
        <v>1.3</v>
      </c>
      <c r="K415" s="251"/>
      <c r="L415" s="251">
        <v>0.13</v>
      </c>
      <c r="M415" s="251"/>
      <c r="N415" s="251">
        <v>0</v>
      </c>
      <c r="O415" s="251"/>
      <c r="P415" s="251" t="s">
        <v>2327</v>
      </c>
      <c r="Q415" s="251"/>
      <c r="R415" s="657">
        <v>18</v>
      </c>
    </row>
    <row r="416" spans="1:18">
      <c r="A416" s="272"/>
      <c r="B416" s="248">
        <v>391.1</v>
      </c>
      <c r="C416" s="249"/>
      <c r="D416" s="257" t="s">
        <v>1402</v>
      </c>
      <c r="E416" s="249"/>
      <c r="F416" s="250">
        <v>0</v>
      </c>
      <c r="G416" s="249"/>
      <c r="H416" s="251">
        <v>4.3600000000000003</v>
      </c>
      <c r="I416" s="251"/>
      <c r="J416" s="251">
        <v>4.3600000000000003</v>
      </c>
      <c r="K416" s="251"/>
      <c r="L416" s="251">
        <v>0</v>
      </c>
      <c r="M416" s="251"/>
      <c r="N416" s="251">
        <v>0</v>
      </c>
      <c r="O416" s="251"/>
      <c r="P416" s="251" t="s">
        <v>1273</v>
      </c>
      <c r="Q416" s="251"/>
      <c r="R416" s="657">
        <v>9.9</v>
      </c>
    </row>
    <row r="417" spans="1:18">
      <c r="A417" s="272"/>
      <c r="B417" s="248">
        <v>391.2</v>
      </c>
      <c r="C417" s="249"/>
      <c r="D417" s="257" t="s">
        <v>1403</v>
      </c>
      <c r="E417" s="249"/>
      <c r="F417" s="250">
        <v>0</v>
      </c>
      <c r="G417" s="249"/>
      <c r="H417" s="251">
        <v>11.690000000000001</v>
      </c>
      <c r="I417" s="251"/>
      <c r="J417" s="251">
        <v>11.690000000000001</v>
      </c>
      <c r="K417" s="251"/>
      <c r="L417" s="251">
        <v>0</v>
      </c>
      <c r="M417" s="251"/>
      <c r="N417" s="251">
        <v>0</v>
      </c>
      <c r="O417" s="251"/>
      <c r="P417" s="251" t="s">
        <v>1275</v>
      </c>
      <c r="Q417" s="251"/>
      <c r="R417" s="657">
        <v>4</v>
      </c>
    </row>
    <row r="418" spans="1:18">
      <c r="A418" s="272"/>
      <c r="B418" s="248">
        <v>391.31</v>
      </c>
      <c r="C418" s="249"/>
      <c r="D418" s="257" t="s">
        <v>1404</v>
      </c>
      <c r="E418" s="249"/>
      <c r="F418" s="250">
        <v>0</v>
      </c>
      <c r="G418" s="249"/>
      <c r="H418" s="251">
        <v>25.019999999999996</v>
      </c>
      <c r="I418" s="251"/>
      <c r="J418" s="251">
        <v>25.019999999999996</v>
      </c>
      <c r="K418" s="251"/>
      <c r="L418" s="251">
        <v>0</v>
      </c>
      <c r="M418" s="251"/>
      <c r="N418" s="251">
        <v>0</v>
      </c>
      <c r="O418" s="251"/>
      <c r="P418" s="251" t="s">
        <v>1405</v>
      </c>
      <c r="Q418" s="251"/>
      <c r="R418" s="657">
        <v>2.2000000000000002</v>
      </c>
    </row>
    <row r="419" spans="1:18">
      <c r="A419" s="272"/>
      <c r="B419" s="248">
        <v>392</v>
      </c>
      <c r="C419" s="249"/>
      <c r="D419" s="249" t="s">
        <v>1406</v>
      </c>
      <c r="E419" s="249"/>
      <c r="F419" s="250">
        <v>0</v>
      </c>
      <c r="G419" s="249"/>
      <c r="H419" s="251">
        <v>1.97</v>
      </c>
      <c r="I419" s="251"/>
      <c r="J419" s="251">
        <v>1.97</v>
      </c>
      <c r="K419" s="251"/>
      <c r="L419" s="251">
        <v>0</v>
      </c>
      <c r="M419" s="251"/>
      <c r="N419" s="251">
        <v>0</v>
      </c>
      <c r="O419" s="251"/>
      <c r="P419" s="251" t="s">
        <v>2328</v>
      </c>
      <c r="Q419" s="251"/>
      <c r="R419" s="657">
        <v>10.8</v>
      </c>
    </row>
    <row r="420" spans="1:18">
      <c r="A420" s="272"/>
      <c r="B420" s="248">
        <v>392.1</v>
      </c>
      <c r="C420" s="249"/>
      <c r="D420" s="249" t="s">
        <v>1407</v>
      </c>
      <c r="E420" s="249"/>
      <c r="F420" s="250">
        <v>0</v>
      </c>
      <c r="G420" s="249"/>
      <c r="H420" s="251">
        <v>3.19</v>
      </c>
      <c r="I420" s="251"/>
      <c r="J420" s="251">
        <v>3.19</v>
      </c>
      <c r="K420" s="251"/>
      <c r="L420" s="251">
        <v>0</v>
      </c>
      <c r="M420" s="251"/>
      <c r="N420" s="251">
        <v>0</v>
      </c>
      <c r="O420" s="251"/>
      <c r="P420" s="251" t="s">
        <v>2329</v>
      </c>
      <c r="Q420" s="251"/>
      <c r="R420" s="657">
        <v>13.9</v>
      </c>
    </row>
    <row r="421" spans="1:18">
      <c r="A421" s="272">
        <v>393</v>
      </c>
      <c r="B421" s="248">
        <v>393</v>
      </c>
      <c r="C421" s="249"/>
      <c r="D421" s="253" t="s">
        <v>1408</v>
      </c>
      <c r="E421" s="249"/>
      <c r="F421" s="250">
        <v>0</v>
      </c>
      <c r="G421" s="249"/>
      <c r="H421" s="251">
        <v>4.3999999999999995</v>
      </c>
      <c r="I421" s="251"/>
      <c r="J421" s="251">
        <v>4.3999999999999995</v>
      </c>
      <c r="K421" s="251"/>
      <c r="L421" s="251">
        <v>0</v>
      </c>
      <c r="M421" s="251"/>
      <c r="N421" s="251">
        <v>0</v>
      </c>
      <c r="O421" s="251"/>
      <c r="P421" s="251" t="s">
        <v>1409</v>
      </c>
      <c r="Q421" s="251"/>
      <c r="R421" s="657">
        <v>18</v>
      </c>
    </row>
    <row r="422" spans="1:18">
      <c r="A422" s="272">
        <v>394</v>
      </c>
      <c r="B422" s="248">
        <v>394</v>
      </c>
      <c r="C422" s="249"/>
      <c r="D422" s="257" t="s">
        <v>1410</v>
      </c>
      <c r="E422" s="249"/>
      <c r="F422" s="250">
        <v>0</v>
      </c>
      <c r="G422" s="249"/>
      <c r="H422" s="251">
        <v>4.0199999999999996</v>
      </c>
      <c r="I422" s="251"/>
      <c r="J422" s="251">
        <v>4.0199999999999996</v>
      </c>
      <c r="K422" s="251"/>
      <c r="L422" s="251">
        <v>0</v>
      </c>
      <c r="M422" s="251"/>
      <c r="N422" s="251">
        <v>0</v>
      </c>
      <c r="O422" s="251"/>
      <c r="P422" s="251" t="s">
        <v>1409</v>
      </c>
      <c r="Q422" s="251"/>
      <c r="R422" s="657">
        <v>17.5</v>
      </c>
    </row>
    <row r="423" spans="1:18">
      <c r="A423" s="272">
        <v>396</v>
      </c>
      <c r="B423" s="248">
        <v>396.3</v>
      </c>
      <c r="C423" s="249"/>
      <c r="D423" s="257" t="s">
        <v>1411</v>
      </c>
      <c r="E423" s="249"/>
      <c r="F423" s="250">
        <v>0</v>
      </c>
      <c r="G423" s="249"/>
      <c r="H423" s="251">
        <v>5.65</v>
      </c>
      <c r="I423" s="251"/>
      <c r="J423" s="251">
        <v>5.65</v>
      </c>
      <c r="K423" s="251"/>
      <c r="L423" s="251">
        <v>0</v>
      </c>
      <c r="M423" s="251"/>
      <c r="N423" s="251">
        <v>0</v>
      </c>
      <c r="O423" s="251"/>
      <c r="P423" s="251" t="s">
        <v>2330</v>
      </c>
      <c r="Q423" s="251"/>
      <c r="R423" s="657">
        <v>12</v>
      </c>
    </row>
    <row r="424" spans="1:18">
      <c r="A424" s="272"/>
      <c r="B424" s="248">
        <v>397</v>
      </c>
      <c r="C424" s="249"/>
      <c r="D424" s="253" t="s">
        <v>2703</v>
      </c>
      <c r="E424" s="249"/>
      <c r="F424" s="250">
        <v>0</v>
      </c>
      <c r="G424" s="249"/>
      <c r="H424" s="251">
        <v>4.9000000000000004</v>
      </c>
      <c r="I424" s="251"/>
      <c r="J424" s="251">
        <v>4.9000000000000004</v>
      </c>
      <c r="K424" s="251"/>
      <c r="L424" s="251">
        <v>0</v>
      </c>
      <c r="M424" s="251"/>
      <c r="N424" s="251">
        <v>0</v>
      </c>
      <c r="O424" s="251"/>
      <c r="P424" s="251" t="s">
        <v>2331</v>
      </c>
      <c r="Q424" s="251"/>
      <c r="R424" s="657">
        <v>13.4</v>
      </c>
    </row>
    <row r="425" spans="1:18">
      <c r="A425" s="272"/>
      <c r="B425" s="248">
        <v>397.1</v>
      </c>
      <c r="C425" s="249"/>
      <c r="D425" s="253" t="s">
        <v>2704</v>
      </c>
      <c r="E425" s="249"/>
      <c r="F425" s="250">
        <v>0</v>
      </c>
      <c r="G425" s="249"/>
      <c r="H425" s="251">
        <v>10.84</v>
      </c>
      <c r="I425" s="251"/>
      <c r="J425" s="251">
        <v>10.84</v>
      </c>
      <c r="K425" s="251"/>
      <c r="L425" s="251">
        <v>0</v>
      </c>
      <c r="M425" s="251"/>
      <c r="N425" s="251">
        <v>0</v>
      </c>
      <c r="O425" s="251"/>
      <c r="P425" s="251" t="s">
        <v>1412</v>
      </c>
      <c r="Q425" s="251"/>
      <c r="R425" s="657">
        <v>5.6</v>
      </c>
    </row>
    <row r="426" spans="1:18">
      <c r="A426" s="272"/>
      <c r="B426" s="248">
        <v>397.2</v>
      </c>
      <c r="C426" s="249"/>
      <c r="D426" s="249" t="s">
        <v>2332</v>
      </c>
      <c r="E426" s="249"/>
      <c r="F426" s="250">
        <v>0</v>
      </c>
      <c r="G426" s="249"/>
      <c r="H426" s="251">
        <v>14.08</v>
      </c>
      <c r="I426" s="251"/>
      <c r="J426" s="251">
        <v>14.08</v>
      </c>
      <c r="K426" s="251"/>
      <c r="L426" s="251">
        <v>0</v>
      </c>
      <c r="M426" s="251"/>
      <c r="N426" s="251">
        <v>0</v>
      </c>
      <c r="O426" s="251"/>
      <c r="P426" s="251" t="s">
        <v>1412</v>
      </c>
      <c r="Q426" s="251"/>
      <c r="R426" s="251">
        <v>6.5</v>
      </c>
    </row>
    <row r="427" spans="1:18">
      <c r="A427" s="272"/>
      <c r="B427" s="248"/>
      <c r="C427" s="249"/>
      <c r="D427" s="249"/>
      <c r="E427" s="249"/>
      <c r="F427" s="250"/>
      <c r="G427" s="249"/>
      <c r="H427" s="251"/>
      <c r="I427" s="251"/>
      <c r="J427" s="251"/>
      <c r="K427" s="251"/>
      <c r="L427" s="251"/>
      <c r="M427" s="251"/>
      <c r="N427" s="251"/>
      <c r="O427" s="251"/>
      <c r="P427" s="251"/>
      <c r="Q427" s="251"/>
      <c r="R427" s="251"/>
    </row>
    <row r="428" spans="1:18">
      <c r="A428" s="272"/>
      <c r="B428" s="239"/>
      <c r="C428" s="249"/>
      <c r="D428" s="247" t="s">
        <v>1413</v>
      </c>
      <c r="E428" s="249"/>
      <c r="F428" s="250"/>
      <c r="G428" s="249"/>
      <c r="H428" s="251">
        <v>6.84</v>
      </c>
      <c r="I428" s="251"/>
      <c r="J428" s="653"/>
      <c r="K428" s="251"/>
      <c r="L428" s="653"/>
      <c r="M428" s="251"/>
      <c r="N428" s="653"/>
      <c r="O428" s="653"/>
      <c r="P428" s="251"/>
      <c r="Q428" s="251"/>
      <c r="R428" s="251"/>
    </row>
    <row r="429" spans="1:18">
      <c r="A429" s="272"/>
      <c r="B429" s="239"/>
      <c r="C429" s="249"/>
      <c r="D429" s="243"/>
      <c r="E429" s="249"/>
      <c r="F429" s="250"/>
      <c r="G429" s="249"/>
      <c r="H429" s="251"/>
      <c r="I429" s="251"/>
      <c r="J429" s="653"/>
      <c r="K429" s="251"/>
      <c r="L429" s="653"/>
      <c r="M429" s="251"/>
      <c r="N429" s="653"/>
      <c r="O429" s="653"/>
      <c r="P429" s="251"/>
      <c r="Q429" s="251"/>
      <c r="R429" s="251"/>
    </row>
    <row r="430" spans="1:18">
      <c r="A430" s="272"/>
      <c r="B430" s="239"/>
      <c r="C430" s="249"/>
      <c r="D430" s="247" t="s">
        <v>1414</v>
      </c>
      <c r="E430" s="249"/>
      <c r="F430" s="250"/>
      <c r="G430" s="249"/>
      <c r="H430" s="251">
        <v>2.97</v>
      </c>
      <c r="I430" s="251"/>
      <c r="J430" s="653"/>
      <c r="K430" s="251"/>
      <c r="L430" s="653"/>
      <c r="M430" s="251"/>
      <c r="N430" s="653"/>
      <c r="O430" s="653"/>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390.1</v>
      </c>
      <c r="C432" s="249"/>
      <c r="D432" s="257" t="s">
        <v>1400</v>
      </c>
      <c r="E432" s="249"/>
      <c r="F432" s="250">
        <v>-10</v>
      </c>
      <c r="G432" s="249"/>
      <c r="H432" s="251">
        <f>H414</f>
        <v>2.4300000000000002</v>
      </c>
      <c r="I432" s="251"/>
      <c r="J432" s="251">
        <f t="shared" ref="J432:R433" si="1">J414</f>
        <v>2.11</v>
      </c>
      <c r="K432" s="251"/>
      <c r="L432" s="251">
        <f t="shared" si="1"/>
        <v>0.32</v>
      </c>
      <c r="M432" s="251"/>
      <c r="N432" s="251">
        <f t="shared" si="1"/>
        <v>0</v>
      </c>
      <c r="O432" s="251"/>
      <c r="P432" s="251" t="str">
        <f t="shared" si="1"/>
        <v>50-S0</v>
      </c>
      <c r="Q432" s="251"/>
      <c r="R432" s="251">
        <f t="shared" si="1"/>
        <v>39.200000000000003</v>
      </c>
    </row>
    <row r="433" spans="1:18">
      <c r="A433" s="272"/>
      <c r="B433" s="248">
        <v>390.2</v>
      </c>
      <c r="C433" s="249"/>
      <c r="D433" s="257" t="s">
        <v>1401</v>
      </c>
      <c r="E433" s="249"/>
      <c r="F433" s="250">
        <v>-10</v>
      </c>
      <c r="G433" s="249"/>
      <c r="H433" s="251">
        <f>H415</f>
        <v>1.43</v>
      </c>
      <c r="I433" s="251"/>
      <c r="J433" s="251">
        <f t="shared" si="1"/>
        <v>1.3</v>
      </c>
      <c r="K433" s="251"/>
      <c r="L433" s="251">
        <f t="shared" si="1"/>
        <v>0.13</v>
      </c>
      <c r="M433" s="251"/>
      <c r="N433" s="251">
        <f t="shared" si="1"/>
        <v>0</v>
      </c>
      <c r="O433" s="251"/>
      <c r="P433" s="251" t="str">
        <f t="shared" si="1"/>
        <v>33-R1.5</v>
      </c>
      <c r="Q433" s="251"/>
      <c r="R433" s="251">
        <f t="shared" si="1"/>
        <v>18</v>
      </c>
    </row>
    <row r="434" spans="1:18">
      <c r="A434" s="272">
        <v>390</v>
      </c>
      <c r="B434" s="239"/>
      <c r="C434" s="249"/>
      <c r="D434" s="247"/>
      <c r="E434" s="249"/>
      <c r="F434" s="688">
        <v>-0.1</v>
      </c>
      <c r="G434" s="249"/>
      <c r="H434" s="695">
        <v>2.42</v>
      </c>
      <c r="I434" s="695"/>
      <c r="J434" s="697"/>
      <c r="K434" s="695"/>
      <c r="L434" s="697"/>
      <c r="M434" s="695"/>
      <c r="N434" s="697"/>
      <c r="O434" s="697"/>
      <c r="P434" s="695" t="s">
        <v>2705</v>
      </c>
      <c r="Q434" s="695"/>
      <c r="R434" s="698" t="s">
        <v>2706</v>
      </c>
    </row>
    <row r="435" spans="1:18">
      <c r="A435" s="272"/>
      <c r="B435" s="239"/>
      <c r="C435" s="249"/>
      <c r="D435" s="247"/>
      <c r="E435" s="249"/>
      <c r="F435" s="250"/>
      <c r="G435" s="249"/>
      <c r="H435" s="251"/>
      <c r="I435" s="251"/>
      <c r="J435" s="653"/>
      <c r="K435" s="251"/>
      <c r="L435" s="653"/>
      <c r="M435" s="251"/>
      <c r="N435" s="653"/>
      <c r="O435" s="653"/>
      <c r="P435" s="251"/>
      <c r="Q435" s="251"/>
      <c r="R435" s="251"/>
    </row>
    <row r="436" spans="1:18">
      <c r="A436" s="272"/>
      <c r="B436" s="248">
        <v>391.1</v>
      </c>
      <c r="C436" s="249"/>
      <c r="D436" s="257" t="s">
        <v>1402</v>
      </c>
      <c r="E436" s="249"/>
      <c r="F436" s="250">
        <v>0</v>
      </c>
      <c r="G436" s="249"/>
      <c r="H436" s="251">
        <f>H416</f>
        <v>4.3600000000000003</v>
      </c>
      <c r="I436" s="251"/>
      <c r="J436" s="251">
        <f t="shared" ref="J436:R436" si="2">J416</f>
        <v>4.3600000000000003</v>
      </c>
      <c r="K436" s="251"/>
      <c r="L436" s="251">
        <f t="shared" si="2"/>
        <v>0</v>
      </c>
      <c r="M436" s="251"/>
      <c r="N436" s="251">
        <f t="shared" si="2"/>
        <v>0</v>
      </c>
      <c r="O436" s="251"/>
      <c r="P436" s="251" t="str">
        <f t="shared" si="2"/>
        <v>20-SQ</v>
      </c>
      <c r="Q436" s="251"/>
      <c r="R436" s="251">
        <f t="shared" si="2"/>
        <v>9.9</v>
      </c>
    </row>
    <row r="437" spans="1:18">
      <c r="A437" s="272"/>
      <c r="B437" s="248">
        <v>391.2</v>
      </c>
      <c r="C437" s="249"/>
      <c r="D437" s="257" t="s">
        <v>1403</v>
      </c>
      <c r="E437" s="249"/>
      <c r="F437" s="250">
        <v>0</v>
      </c>
      <c r="G437" s="249"/>
      <c r="H437" s="251">
        <f t="shared" ref="H437:R438" si="3">H417</f>
        <v>11.690000000000001</v>
      </c>
      <c r="I437" s="251"/>
      <c r="J437" s="251">
        <f t="shared" si="3"/>
        <v>11.690000000000001</v>
      </c>
      <c r="K437" s="251"/>
      <c r="L437" s="251">
        <f t="shared" si="3"/>
        <v>0</v>
      </c>
      <c r="M437" s="251"/>
      <c r="N437" s="251">
        <f t="shared" si="3"/>
        <v>0</v>
      </c>
      <c r="O437" s="251"/>
      <c r="P437" s="251" t="str">
        <f t="shared" si="3"/>
        <v>5-SQ</v>
      </c>
      <c r="Q437" s="251"/>
      <c r="R437" s="251">
        <f t="shared" si="3"/>
        <v>4</v>
      </c>
    </row>
    <row r="438" spans="1:18">
      <c r="A438" s="272"/>
      <c r="B438" s="248">
        <v>391.31</v>
      </c>
      <c r="C438" s="249"/>
      <c r="D438" s="257" t="s">
        <v>1404</v>
      </c>
      <c r="E438" s="249"/>
      <c r="F438" s="250">
        <v>0</v>
      </c>
      <c r="G438" s="249"/>
      <c r="H438" s="251">
        <f t="shared" si="3"/>
        <v>25.019999999999996</v>
      </c>
      <c r="I438" s="251"/>
      <c r="J438" s="251">
        <f t="shared" si="3"/>
        <v>25.019999999999996</v>
      </c>
      <c r="K438" s="251"/>
      <c r="L438" s="251">
        <f t="shared" si="3"/>
        <v>0</v>
      </c>
      <c r="M438" s="251"/>
      <c r="N438" s="251">
        <f t="shared" si="3"/>
        <v>0</v>
      </c>
      <c r="O438" s="251"/>
      <c r="P438" s="251" t="str">
        <f t="shared" si="3"/>
        <v>4-SQ</v>
      </c>
      <c r="Q438" s="251"/>
      <c r="R438" s="251">
        <f t="shared" si="3"/>
        <v>2.2000000000000002</v>
      </c>
    </row>
    <row r="439" spans="1:18">
      <c r="A439" s="272">
        <v>391</v>
      </c>
      <c r="B439" s="248"/>
      <c r="C439" s="249"/>
      <c r="D439" s="257"/>
      <c r="E439" s="249"/>
      <c r="F439" s="250">
        <v>0</v>
      </c>
      <c r="G439" s="249"/>
      <c r="H439" s="695">
        <v>12.29</v>
      </c>
      <c r="I439" s="695"/>
      <c r="J439" s="697"/>
      <c r="K439" s="695"/>
      <c r="L439" s="697"/>
      <c r="M439" s="695"/>
      <c r="N439" s="697"/>
      <c r="O439" s="697"/>
      <c r="P439" s="695" t="s">
        <v>1837</v>
      </c>
      <c r="Q439" s="695"/>
      <c r="R439" s="698" t="s">
        <v>2339</v>
      </c>
    </row>
    <row r="440" spans="1:18">
      <c r="A440" s="272"/>
      <c r="B440" s="248"/>
      <c r="C440" s="249"/>
      <c r="D440" s="257"/>
      <c r="E440" s="249"/>
      <c r="F440" s="250"/>
      <c r="G440" s="249"/>
      <c r="H440" s="251"/>
      <c r="I440" s="251"/>
      <c r="J440" s="251"/>
      <c r="K440" s="251"/>
      <c r="L440" s="251"/>
      <c r="M440" s="251"/>
      <c r="N440" s="251"/>
      <c r="O440" s="251"/>
      <c r="P440" s="251"/>
      <c r="Q440" s="251"/>
      <c r="R440" s="251"/>
    </row>
    <row r="441" spans="1:18">
      <c r="A441" s="272"/>
      <c r="B441" s="239"/>
      <c r="C441" s="249"/>
      <c r="D441" s="247"/>
      <c r="E441" s="249"/>
      <c r="F441" s="250"/>
      <c r="G441" s="249"/>
      <c r="H441" s="251"/>
      <c r="I441" s="251"/>
      <c r="J441" s="653"/>
      <c r="K441" s="251"/>
      <c r="L441" s="653"/>
      <c r="M441" s="251"/>
      <c r="N441" s="653"/>
      <c r="O441" s="653"/>
      <c r="P441" s="251"/>
      <c r="Q441" s="251"/>
      <c r="R441" s="251"/>
    </row>
    <row r="442" spans="1:18">
      <c r="A442" s="272"/>
      <c r="B442" s="248">
        <v>392</v>
      </c>
      <c r="C442" s="249"/>
      <c r="D442" s="249" t="s">
        <v>1406</v>
      </c>
      <c r="E442" s="249"/>
      <c r="F442" s="250">
        <v>0</v>
      </c>
      <c r="G442" s="249"/>
      <c r="H442" s="251">
        <f>H419</f>
        <v>1.97</v>
      </c>
      <c r="I442" s="251"/>
      <c r="J442" s="251">
        <f t="shared" ref="J442:R443" si="4">J419</f>
        <v>1.97</v>
      </c>
      <c r="K442" s="251"/>
      <c r="L442" s="251">
        <f t="shared" si="4"/>
        <v>0</v>
      </c>
      <c r="M442" s="251"/>
      <c r="N442" s="251">
        <f t="shared" si="4"/>
        <v>0</v>
      </c>
      <c r="O442" s="251"/>
      <c r="P442" s="251" t="str">
        <f t="shared" si="4"/>
        <v>14-S2</v>
      </c>
      <c r="Q442" s="251"/>
      <c r="R442" s="251">
        <f t="shared" si="4"/>
        <v>10.8</v>
      </c>
    </row>
    <row r="443" spans="1:18">
      <c r="A443" s="272"/>
      <c r="B443" s="248">
        <v>392.1</v>
      </c>
      <c r="C443" s="249"/>
      <c r="D443" s="249" t="s">
        <v>1407</v>
      </c>
      <c r="E443" s="249"/>
      <c r="F443" s="250">
        <v>0</v>
      </c>
      <c r="G443" s="249"/>
      <c r="H443" s="251">
        <f>H420</f>
        <v>3.19</v>
      </c>
      <c r="I443" s="251"/>
      <c r="J443" s="251">
        <f t="shared" si="4"/>
        <v>3.19</v>
      </c>
      <c r="K443" s="251"/>
      <c r="L443" s="251">
        <f t="shared" si="4"/>
        <v>0</v>
      </c>
      <c r="M443" s="251"/>
      <c r="N443" s="251">
        <f t="shared" si="4"/>
        <v>0</v>
      </c>
      <c r="O443" s="251"/>
      <c r="P443" s="251" t="str">
        <f t="shared" si="4"/>
        <v>16-L2.5</v>
      </c>
      <c r="Q443" s="251"/>
      <c r="R443" s="251">
        <f t="shared" si="4"/>
        <v>13.9</v>
      </c>
    </row>
    <row r="444" spans="1:18">
      <c r="A444" s="272">
        <v>392</v>
      </c>
      <c r="B444" s="248"/>
      <c r="C444" s="249"/>
      <c r="D444" s="249"/>
      <c r="E444" s="249"/>
      <c r="F444" s="250">
        <v>0</v>
      </c>
      <c r="G444" s="249"/>
      <c r="H444" s="695">
        <v>2.95</v>
      </c>
      <c r="I444" s="695"/>
      <c r="J444" s="697"/>
      <c r="K444" s="695"/>
      <c r="L444" s="697"/>
      <c r="M444" s="695"/>
      <c r="N444" s="697"/>
      <c r="O444" s="697"/>
      <c r="P444" s="695" t="s">
        <v>2707</v>
      </c>
      <c r="Q444" s="695"/>
      <c r="R444" s="698" t="s">
        <v>2340</v>
      </c>
    </row>
    <row r="445" spans="1:18">
      <c r="A445" s="272"/>
      <c r="B445" s="248"/>
      <c r="C445" s="249"/>
      <c r="D445" s="249"/>
      <c r="E445" s="249"/>
      <c r="F445" s="250"/>
      <c r="G445" s="249"/>
      <c r="H445" s="684"/>
      <c r="I445" s="251"/>
      <c r="J445" s="251"/>
      <c r="K445" s="251"/>
      <c r="L445" s="251"/>
      <c r="M445" s="251"/>
      <c r="N445" s="251"/>
      <c r="O445" s="251"/>
      <c r="P445" s="251"/>
      <c r="Q445" s="251"/>
      <c r="R445" s="251"/>
    </row>
    <row r="446" spans="1:18">
      <c r="A446" s="272"/>
      <c r="B446" s="248"/>
      <c r="C446" s="249"/>
      <c r="D446" s="249"/>
      <c r="E446" s="249"/>
      <c r="F446" s="250"/>
      <c r="G446" s="249"/>
      <c r="H446" s="251"/>
      <c r="I446" s="251"/>
      <c r="J446" s="251"/>
      <c r="K446" s="251"/>
      <c r="L446" s="251"/>
      <c r="M446" s="251"/>
      <c r="N446" s="251"/>
      <c r="O446" s="251"/>
      <c r="P446" s="251"/>
      <c r="Q446" s="251"/>
      <c r="R446" s="251"/>
    </row>
    <row r="447" spans="1:18">
      <c r="A447" s="272"/>
      <c r="B447" s="248">
        <v>397</v>
      </c>
      <c r="C447" s="249"/>
      <c r="D447" s="253" t="s">
        <v>2703</v>
      </c>
      <c r="E447" s="249"/>
      <c r="F447" s="250">
        <v>0</v>
      </c>
      <c r="G447" s="249"/>
      <c r="H447" s="251">
        <f>H424</f>
        <v>4.9000000000000004</v>
      </c>
      <c r="I447" s="251"/>
      <c r="J447" s="251">
        <f t="shared" ref="J447:R447" si="5">J424</f>
        <v>4.9000000000000004</v>
      </c>
      <c r="K447" s="251"/>
      <c r="L447" s="251">
        <f t="shared" si="5"/>
        <v>0</v>
      </c>
      <c r="M447" s="251"/>
      <c r="N447" s="251">
        <f t="shared" si="5"/>
        <v>0</v>
      </c>
      <c r="O447" s="251"/>
      <c r="P447" s="251" t="str">
        <f t="shared" si="5"/>
        <v>18-L3</v>
      </c>
      <c r="Q447" s="251"/>
      <c r="R447" s="251">
        <f t="shared" si="5"/>
        <v>13.4</v>
      </c>
    </row>
    <row r="448" spans="1:18">
      <c r="A448" s="272"/>
      <c r="B448" s="248">
        <v>397.1</v>
      </c>
      <c r="C448" s="249"/>
      <c r="D448" s="253" t="s">
        <v>2704</v>
      </c>
      <c r="E448" s="249"/>
      <c r="F448" s="250">
        <v>0</v>
      </c>
      <c r="G448" s="249"/>
      <c r="H448" s="251">
        <f t="shared" ref="H448:R449" si="6">H425</f>
        <v>10.84</v>
      </c>
      <c r="I448" s="251"/>
      <c r="J448" s="251">
        <f t="shared" si="6"/>
        <v>10.84</v>
      </c>
      <c r="K448" s="251"/>
      <c r="L448" s="251">
        <f t="shared" si="6"/>
        <v>0</v>
      </c>
      <c r="M448" s="251"/>
      <c r="N448" s="251">
        <f t="shared" si="6"/>
        <v>0</v>
      </c>
      <c r="O448" s="251"/>
      <c r="P448" s="251" t="str">
        <f t="shared" si="6"/>
        <v>10-SQ</v>
      </c>
      <c r="Q448" s="251"/>
      <c r="R448" s="251">
        <f t="shared" si="6"/>
        <v>5.6</v>
      </c>
    </row>
    <row r="449" spans="1:18">
      <c r="A449" s="272"/>
      <c r="B449" s="248">
        <v>397.2</v>
      </c>
      <c r="C449" s="249"/>
      <c r="D449" s="249" t="s">
        <v>2332</v>
      </c>
      <c r="E449" s="249"/>
      <c r="F449" s="250">
        <v>0</v>
      </c>
      <c r="G449" s="249"/>
      <c r="H449" s="251">
        <f t="shared" si="6"/>
        <v>14.08</v>
      </c>
      <c r="I449" s="251"/>
      <c r="J449" s="251">
        <f t="shared" si="6"/>
        <v>14.08</v>
      </c>
      <c r="K449" s="251"/>
      <c r="L449" s="251">
        <f t="shared" si="6"/>
        <v>0</v>
      </c>
      <c r="M449" s="251"/>
      <c r="N449" s="251">
        <f t="shared" si="6"/>
        <v>0</v>
      </c>
      <c r="O449" s="251"/>
      <c r="P449" s="251" t="str">
        <f t="shared" si="6"/>
        <v>10-SQ</v>
      </c>
      <c r="Q449" s="251"/>
      <c r="R449" s="251">
        <f t="shared" si="6"/>
        <v>6.5</v>
      </c>
    </row>
    <row r="450" spans="1:18">
      <c r="A450" s="272">
        <v>397</v>
      </c>
      <c r="B450" s="248"/>
      <c r="C450" s="249"/>
      <c r="D450" s="249"/>
      <c r="E450" s="249"/>
      <c r="F450" s="250">
        <v>0</v>
      </c>
      <c r="G450" s="249"/>
      <c r="H450" s="695">
        <v>8.24</v>
      </c>
      <c r="I450" s="695"/>
      <c r="J450" s="697"/>
      <c r="K450" s="695"/>
      <c r="L450" s="697"/>
      <c r="M450" s="695"/>
      <c r="N450" s="697"/>
      <c r="O450" s="697"/>
      <c r="P450" s="695" t="s">
        <v>2338</v>
      </c>
      <c r="Q450" s="695"/>
      <c r="R450" s="698" t="s">
        <v>2341</v>
      </c>
    </row>
    <row r="451" spans="1:18">
      <c r="F451" s="250"/>
    </row>
    <row r="452" spans="1:18">
      <c r="F452" s="250"/>
    </row>
    <row r="453" spans="1:18">
      <c r="F453" s="250"/>
    </row>
    <row r="454" spans="1:18">
      <c r="F454" s="250"/>
    </row>
    <row r="455" spans="1:18">
      <c r="F455" s="250"/>
    </row>
    <row r="456" spans="1:18">
      <c r="F456" s="250"/>
    </row>
    <row r="457" spans="1:18">
      <c r="F457" s="250"/>
    </row>
    <row r="458" spans="1:18">
      <c r="F458" s="250"/>
    </row>
    <row r="459" spans="1:18">
      <c r="F459" s="250"/>
    </row>
    <row r="460" spans="1:18">
      <c r="F460" s="250"/>
    </row>
    <row r="461" spans="1:18">
      <c r="A461" s="474"/>
      <c r="F461" s="250"/>
    </row>
    <row r="462" spans="1:18">
      <c r="A462" s="474"/>
      <c r="F462" s="250"/>
    </row>
    <row r="463" spans="1:18">
      <c r="A463" s="474"/>
      <c r="F463" s="250"/>
    </row>
    <row r="464" spans="1:18">
      <c r="A464" s="474"/>
      <c r="F464" s="250"/>
    </row>
    <row r="465" spans="1:6">
      <c r="A465" s="474"/>
      <c r="F465" s="250"/>
    </row>
    <row r="466" spans="1:6">
      <c r="A466" s="474"/>
      <c r="F466" s="250"/>
    </row>
    <row r="467" spans="1:6">
      <c r="A467" s="474"/>
      <c r="F467" s="250"/>
    </row>
  </sheetData>
  <mergeCells count="4">
    <mergeCell ref="B1:R1"/>
    <mergeCell ref="A11:D11"/>
    <mergeCell ref="A4:S4"/>
    <mergeCell ref="A5:S5"/>
  </mergeCells>
  <pageMargins left="0.7" right="0.7" top="0.75" bottom="0.75" header="0.3" footer="0.3"/>
  <pageSetup scale="46"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47"/>
  <sheetViews>
    <sheetView zoomScale="85" zoomScaleNormal="85" workbookViewId="0">
      <selection sqref="A1:F1"/>
    </sheetView>
  </sheetViews>
  <sheetFormatPr defaultColWidth="9" defaultRowHeight="12.75"/>
  <cols>
    <col min="1" max="1" width="6" style="69" customWidth="1"/>
    <col min="2" max="2" width="38.33203125" style="69" customWidth="1"/>
    <col min="3" max="3" width="15.88671875" style="69" customWidth="1"/>
    <col min="4" max="4" width="14.77734375" style="69" customWidth="1"/>
    <col min="5" max="5" width="3.77734375" style="69" customWidth="1"/>
    <col min="6" max="6" width="14.77734375" style="69" customWidth="1"/>
    <col min="7" max="7" width="1.6640625" style="69" customWidth="1"/>
    <col min="8" max="8" width="13.109375" style="69" customWidth="1"/>
    <col min="9" max="16384" width="9" style="69"/>
  </cols>
  <sheetData>
    <row r="1" spans="1:8" s="68" customFormat="1" ht="20.100000000000001" customHeight="1">
      <c r="A1" s="767" t="str">
        <f>'Rate Case Constants'!C9</f>
        <v>KENTUCKY UTILITIES COMPANY</v>
      </c>
      <c r="B1" s="767"/>
      <c r="C1" s="767"/>
      <c r="D1" s="767"/>
      <c r="E1" s="767"/>
      <c r="F1" s="767"/>
    </row>
    <row r="2" spans="1:8" s="68" customFormat="1" ht="20.100000000000001" customHeight="1">
      <c r="A2" s="767" t="str">
        <f>'Rate Case Constants'!C10</f>
        <v>CASE NO. 2018-00294</v>
      </c>
      <c r="B2" s="767"/>
      <c r="C2" s="767"/>
      <c r="D2" s="767"/>
      <c r="E2" s="767"/>
      <c r="F2" s="767"/>
    </row>
    <row r="3" spans="1:8" s="68" customFormat="1" ht="20.100000000000001" customHeight="1">
      <c r="A3" s="767" t="s">
        <v>1176</v>
      </c>
      <c r="B3" s="767"/>
      <c r="C3" s="767"/>
      <c r="D3" s="767"/>
      <c r="E3" s="767"/>
      <c r="F3" s="767"/>
    </row>
    <row r="4" spans="1:8" s="68" customFormat="1" ht="20.100000000000001" customHeight="1">
      <c r="A4" s="767" t="str">
        <f>'Rate Case Constants'!C12</f>
        <v>AS OF DECEMBER 31, 2018</v>
      </c>
      <c r="B4" s="767"/>
      <c r="C4" s="767"/>
      <c r="D4" s="767"/>
      <c r="E4" s="767"/>
      <c r="F4" s="767"/>
    </row>
    <row r="5" spans="1:8" s="68" customFormat="1" ht="20.100000000000001" customHeight="1">
      <c r="A5" s="766" t="str">
        <f>'Rate Case Constants'!C18</f>
        <v>AS OF APRIL 30, 2020</v>
      </c>
      <c r="B5" s="767"/>
      <c r="C5" s="767"/>
      <c r="D5" s="767"/>
      <c r="E5" s="767"/>
      <c r="F5" s="767"/>
    </row>
    <row r="6" spans="1:8" s="68" customFormat="1" ht="20.100000000000001" customHeight="1">
      <c r="A6" s="84"/>
      <c r="B6" s="84"/>
      <c r="C6" s="84"/>
      <c r="D6" s="84"/>
      <c r="E6" s="84"/>
      <c r="F6" s="84"/>
    </row>
    <row r="7" spans="1:8" s="68" customFormat="1" ht="20.100000000000001" customHeight="1">
      <c r="A7" s="67" t="s">
        <v>174</v>
      </c>
      <c r="E7" s="74"/>
      <c r="F7" s="74" t="s">
        <v>1175</v>
      </c>
    </row>
    <row r="8" spans="1:8" s="68" customFormat="1" ht="20.100000000000001" customHeight="1">
      <c r="A8" s="68" t="str">
        <f>'Rate Case Constants'!C29</f>
        <v>TYPE OF FILING: __X__ ORIGINAL  _____ UPDATED  _____ REVISED</v>
      </c>
      <c r="E8" s="74"/>
      <c r="F8" s="74" t="s">
        <v>176</v>
      </c>
    </row>
    <row r="9" spans="1:8" s="68" customFormat="1" ht="20.100000000000001" customHeight="1">
      <c r="A9" s="67" t="s">
        <v>1197</v>
      </c>
      <c r="E9" s="75"/>
      <c r="F9" s="75" t="str">
        <f>'Rate Case Constants'!C36</f>
        <v>WITNESS:   C. M. GARRETT</v>
      </c>
    </row>
    <row r="10" spans="1:8" s="68" customFormat="1" ht="20.100000000000001" customHeight="1"/>
    <row r="11" spans="1:8" ht="58.5" customHeight="1">
      <c r="A11" s="76" t="s">
        <v>131</v>
      </c>
      <c r="B11" s="79" t="s">
        <v>1177</v>
      </c>
      <c r="C11" s="76" t="s">
        <v>1178</v>
      </c>
      <c r="D11" s="76" t="s">
        <v>1179</v>
      </c>
      <c r="E11" s="76"/>
      <c r="F11" s="76" t="s">
        <v>1180</v>
      </c>
    </row>
    <row r="12" spans="1:8" ht="23.1" customHeight="1">
      <c r="A12" s="80"/>
      <c r="B12" s="81"/>
      <c r="C12" s="81"/>
      <c r="D12" s="82" t="s">
        <v>142</v>
      </c>
      <c r="E12" s="82"/>
      <c r="F12" s="82" t="s">
        <v>142</v>
      </c>
    </row>
    <row r="13" spans="1:8" ht="23.1" customHeight="1">
      <c r="A13" s="73"/>
      <c r="B13" s="78" t="s">
        <v>1172</v>
      </c>
      <c r="C13" s="71"/>
      <c r="D13" s="95"/>
      <c r="E13" s="95"/>
      <c r="F13" s="95"/>
    </row>
    <row r="14" spans="1:8" ht="18.95" customHeight="1">
      <c r="A14" s="70">
        <v>1</v>
      </c>
      <c r="B14" s="78" t="s">
        <v>15</v>
      </c>
      <c r="C14" s="71" t="s">
        <v>1185</v>
      </c>
      <c r="D14" s="86">
        <f>'SCH B-2'!G27</f>
        <v>7291034407.0916672</v>
      </c>
      <c r="E14" s="86"/>
      <c r="F14" s="86">
        <f>'SCH B-2'!G55</f>
        <v>7719113381.123044</v>
      </c>
    </row>
    <row r="15" spans="1:8" ht="18.95" customHeight="1">
      <c r="A15" s="70">
        <v>2</v>
      </c>
      <c r="B15" s="78" t="s">
        <v>1184</v>
      </c>
      <c r="C15" s="71" t="s">
        <v>1186</v>
      </c>
      <c r="D15" s="86">
        <f>SUM('SCH B-2.6'!$G13:$G18)</f>
        <v>1538145.0550993024</v>
      </c>
      <c r="E15" s="86"/>
      <c r="F15" s="86">
        <f>SUM('SCH B-2.6'!$G34:$G39)</f>
        <v>1561634.4282905909</v>
      </c>
      <c r="H15" s="93"/>
    </row>
    <row r="16" spans="1:8" ht="18.95" customHeight="1">
      <c r="A16" s="70">
        <v>3</v>
      </c>
      <c r="B16" s="78" t="s">
        <v>1181</v>
      </c>
      <c r="C16" s="71" t="s">
        <v>1187</v>
      </c>
      <c r="D16" s="131">
        <f>'SCH B-3 B'!$I116</f>
        <v>-2833816108.8014693</v>
      </c>
      <c r="E16" s="86"/>
      <c r="F16" s="131">
        <f>'SCH B-3 F'!$I116</f>
        <v>-2974075465.3504395</v>
      </c>
      <c r="H16" s="93"/>
    </row>
    <row r="17" spans="1:8" ht="18.95" customHeight="1">
      <c r="A17" s="70">
        <v>4</v>
      </c>
      <c r="B17" s="78" t="s">
        <v>1208</v>
      </c>
      <c r="C17" s="71"/>
      <c r="D17" s="86">
        <f>SUM(D14:D16)</f>
        <v>4458756443.3452969</v>
      </c>
      <c r="E17" s="86"/>
      <c r="F17" s="86">
        <f>SUM(F14:F16)</f>
        <v>4746599550.2008953</v>
      </c>
    </row>
    <row r="18" spans="1:8" ht="18.95" customHeight="1">
      <c r="A18" s="70">
        <v>5</v>
      </c>
      <c r="B18" s="78" t="s">
        <v>1182</v>
      </c>
      <c r="C18" s="71" t="s">
        <v>1189</v>
      </c>
      <c r="D18" s="131">
        <f>'SCH B-4'!J22</f>
        <v>65060093.249033287</v>
      </c>
      <c r="E18" s="86"/>
      <c r="F18" s="89">
        <f>'SCH B-4'!J47</f>
        <v>134479318.04190978</v>
      </c>
      <c r="H18" s="93"/>
    </row>
    <row r="19" spans="1:8" ht="18.95" customHeight="1">
      <c r="A19" s="70">
        <v>6</v>
      </c>
      <c r="B19" s="78" t="s">
        <v>1209</v>
      </c>
      <c r="C19" s="71"/>
      <c r="D19" s="86">
        <f>SUM(D17:D18)</f>
        <v>4523816536.5943298</v>
      </c>
      <c r="E19" s="86"/>
      <c r="F19" s="86">
        <f>SUM(F17:F18)</f>
        <v>4881078868.2428055</v>
      </c>
    </row>
    <row r="20" spans="1:8" ht="8.25" customHeight="1">
      <c r="A20" s="70"/>
      <c r="B20" s="78"/>
      <c r="C20" s="71"/>
      <c r="D20" s="86"/>
      <c r="E20" s="86"/>
      <c r="F20" s="88"/>
    </row>
    <row r="21" spans="1:8" ht="18.95" customHeight="1">
      <c r="A21" s="70">
        <v>7</v>
      </c>
      <c r="B21" s="78" t="s">
        <v>1183</v>
      </c>
      <c r="C21" s="71" t="s">
        <v>1188</v>
      </c>
      <c r="D21" s="86">
        <f ca="1">'SCH B-5'!G21</f>
        <v>52828914.766290925</v>
      </c>
      <c r="E21" s="86"/>
      <c r="F21" s="86">
        <f>'SCH B-5'!G47</f>
        <v>94636138.132647425</v>
      </c>
    </row>
    <row r="22" spans="1:8" ht="18.95" customHeight="1">
      <c r="A22" s="70">
        <v>8</v>
      </c>
      <c r="B22" s="78" t="s">
        <v>1190</v>
      </c>
      <c r="C22" s="71" t="s">
        <v>1188</v>
      </c>
      <c r="D22" s="86">
        <f>'SCH B-5'!G13+'SCH B-5'!G15+'SCH B-5'!G17+'SCH B-5'!G19</f>
        <v>124398073.22599292</v>
      </c>
      <c r="E22" s="86"/>
      <c r="F22" s="86">
        <f>SUM('SCH B-5'!G39:G45)</f>
        <v>130931331.47053622</v>
      </c>
    </row>
    <row r="23" spans="1:8" ht="18.95" customHeight="1">
      <c r="A23" s="70">
        <v>9</v>
      </c>
      <c r="B23" s="78" t="s">
        <v>1191</v>
      </c>
      <c r="C23" s="71" t="s">
        <v>1192</v>
      </c>
      <c r="D23" s="86">
        <f>-'SCH B-6'!H12</f>
        <v>-951646.55364259379</v>
      </c>
      <c r="E23" s="86"/>
      <c r="F23" s="86">
        <f>-'SCH B-6'!H34</f>
        <v>-951646.55364259344</v>
      </c>
    </row>
    <row r="24" spans="1:8" ht="18.95" customHeight="1">
      <c r="A24" s="70">
        <v>10</v>
      </c>
      <c r="B24" s="78" t="s">
        <v>1193</v>
      </c>
      <c r="C24" s="71" t="s">
        <v>1192</v>
      </c>
      <c r="D24" s="86">
        <f>-'SCH B-6'!H16</f>
        <v>-939222680.99867892</v>
      </c>
      <c r="E24" s="86"/>
      <c r="F24" s="86">
        <f>-'SCH B-6'!H38</f>
        <v>-976331381.04651523</v>
      </c>
    </row>
    <row r="25" spans="1:8" ht="18.95" customHeight="1">
      <c r="A25" s="70">
        <v>11</v>
      </c>
      <c r="B25" s="78" t="s">
        <v>1194</v>
      </c>
      <c r="C25" s="71" t="s">
        <v>1192</v>
      </c>
      <c r="D25" s="86">
        <f>-'SCH B-6'!H14</f>
        <v>-79747725.782731548</v>
      </c>
      <c r="E25" s="86"/>
      <c r="F25" s="86">
        <f>-'SCH B-6'!H36</f>
        <v>-84144326.90693669</v>
      </c>
    </row>
    <row r="26" spans="1:8" ht="18.95" customHeight="1">
      <c r="A26" s="70">
        <v>12</v>
      </c>
      <c r="B26" s="78" t="s">
        <v>1195</v>
      </c>
      <c r="C26" s="71" t="s">
        <v>1192</v>
      </c>
      <c r="D26" s="131">
        <f>-'SCH B-6'!H18</f>
        <v>0</v>
      </c>
      <c r="E26" s="86"/>
      <c r="F26" s="131">
        <f>-'SCH B-6'!H40</f>
        <v>0</v>
      </c>
    </row>
    <row r="27" spans="1:8" ht="18.95" customHeight="1">
      <c r="A27" s="70"/>
      <c r="B27" s="78"/>
      <c r="C27" s="71"/>
      <c r="D27" s="86"/>
      <c r="E27" s="86"/>
      <c r="F27" s="88"/>
    </row>
    <row r="28" spans="1:8" ht="18.95" customHeight="1" thickBot="1">
      <c r="A28" s="70">
        <v>13</v>
      </c>
      <c r="B28" s="78" t="s">
        <v>1196</v>
      </c>
      <c r="C28" s="71"/>
      <c r="D28" s="94">
        <f ca="1">SUM(D19:D26)</f>
        <v>3681121471.2515607</v>
      </c>
      <c r="E28" s="86"/>
      <c r="F28" s="94">
        <f>SUM(F19:F26)</f>
        <v>4045218983.3388948</v>
      </c>
    </row>
    <row r="29" spans="1:8" ht="18.95" customHeight="1" thickTop="1">
      <c r="A29" s="70"/>
      <c r="B29" s="78"/>
      <c r="C29" s="71"/>
      <c r="D29" s="86"/>
      <c r="E29" s="86"/>
      <c r="F29" s="88"/>
    </row>
    <row r="30" spans="1:8" ht="18.95" customHeight="1">
      <c r="A30" s="70"/>
      <c r="B30" s="78"/>
      <c r="C30" s="71"/>
      <c r="D30" s="86"/>
      <c r="E30" s="86"/>
      <c r="F30" s="88"/>
    </row>
    <row r="31" spans="1:8" ht="18.95" customHeight="1">
      <c r="A31" s="70"/>
      <c r="B31" s="78"/>
      <c r="C31" s="71"/>
      <c r="D31" s="86"/>
      <c r="E31" s="86"/>
      <c r="F31" s="86"/>
    </row>
    <row r="32" spans="1:8" ht="18.95" customHeight="1">
      <c r="A32" s="70"/>
      <c r="B32" s="78"/>
      <c r="C32" s="71"/>
      <c r="D32" s="86"/>
      <c r="E32" s="86"/>
      <c r="F32" s="88"/>
    </row>
    <row r="33" spans="1:6" ht="18.95" customHeight="1">
      <c r="A33" s="70"/>
      <c r="B33" s="78"/>
      <c r="C33" s="71"/>
      <c r="D33" s="86"/>
      <c r="E33" s="86"/>
      <c r="F33" s="88"/>
    </row>
    <row r="34" spans="1:6" ht="18.95" customHeight="1">
      <c r="A34" s="70"/>
      <c r="B34" s="78"/>
      <c r="C34" s="71"/>
      <c r="D34" s="86"/>
      <c r="E34" s="86"/>
      <c r="F34" s="88"/>
    </row>
    <row r="35" spans="1:6" ht="18.95" customHeight="1">
      <c r="A35" s="70"/>
      <c r="B35" s="78"/>
      <c r="C35" s="71"/>
      <c r="D35" s="86"/>
      <c r="E35" s="86"/>
      <c r="F35" s="88"/>
    </row>
    <row r="36" spans="1:6" ht="18.95" customHeight="1">
      <c r="A36" s="70"/>
      <c r="B36" s="78"/>
      <c r="C36" s="71"/>
      <c r="D36" s="86"/>
      <c r="E36" s="86"/>
      <c r="F36" s="88"/>
    </row>
    <row r="37" spans="1:6" ht="18.95" customHeight="1">
      <c r="A37" s="70"/>
      <c r="B37" s="78"/>
      <c r="C37" s="71"/>
      <c r="D37" s="86"/>
      <c r="E37" s="86"/>
      <c r="F37" s="88"/>
    </row>
    <row r="38" spans="1:6" ht="18.95" customHeight="1">
      <c r="A38" s="70"/>
      <c r="B38" s="78"/>
      <c r="C38" s="71"/>
      <c r="D38" s="86"/>
      <c r="E38" s="86"/>
      <c r="F38" s="88"/>
    </row>
    <row r="39" spans="1:6" ht="18.95" customHeight="1">
      <c r="A39" s="70"/>
      <c r="B39" s="78"/>
      <c r="C39" s="71"/>
      <c r="D39" s="86"/>
      <c r="E39" s="86"/>
      <c r="F39" s="88"/>
    </row>
    <row r="40" spans="1:6" ht="18.95" customHeight="1">
      <c r="A40" s="70"/>
      <c r="B40" s="78"/>
      <c r="C40" s="71"/>
      <c r="D40" s="86"/>
      <c r="E40" s="86"/>
      <c r="F40" s="88"/>
    </row>
    <row r="41" spans="1:6" ht="18.95" customHeight="1">
      <c r="A41" s="70"/>
      <c r="B41" s="78"/>
      <c r="C41" s="71"/>
      <c r="D41" s="86"/>
      <c r="E41" s="86"/>
      <c r="F41" s="88"/>
    </row>
    <row r="42" spans="1:6" ht="18.95" customHeight="1">
      <c r="A42" s="70"/>
      <c r="B42" s="78"/>
      <c r="C42" s="71"/>
      <c r="D42" s="86"/>
      <c r="E42" s="86"/>
      <c r="F42" s="88"/>
    </row>
    <row r="43" spans="1:6" ht="18.95" customHeight="1">
      <c r="A43" s="70"/>
      <c r="B43" s="78"/>
      <c r="C43" s="71"/>
      <c r="D43" s="86"/>
      <c r="E43" s="86"/>
      <c r="F43" s="88"/>
    </row>
    <row r="44" spans="1:6" ht="18.95" customHeight="1">
      <c r="A44" s="70"/>
      <c r="B44" s="78"/>
      <c r="C44" s="71"/>
      <c r="D44" s="86"/>
      <c r="E44" s="86"/>
      <c r="F44" s="88"/>
    </row>
    <row r="45" spans="1:6" ht="18.95" customHeight="1">
      <c r="A45" s="70"/>
      <c r="B45" s="78"/>
      <c r="C45" s="71"/>
      <c r="D45" s="86"/>
      <c r="E45" s="86"/>
      <c r="F45" s="88"/>
    </row>
    <row r="46" spans="1:6" ht="18.95" customHeight="1">
      <c r="A46" s="70"/>
      <c r="B46" s="78"/>
      <c r="C46" s="71"/>
      <c r="D46" s="86"/>
      <c r="E46" s="86"/>
      <c r="F46" s="88"/>
    </row>
    <row r="47" spans="1:6" ht="18.95" customHeight="1">
      <c r="A47" s="70"/>
      <c r="B47" s="78"/>
      <c r="C47" s="71"/>
      <c r="D47" s="86"/>
      <c r="E47" s="86"/>
      <c r="F47" s="88"/>
    </row>
  </sheetData>
  <mergeCells count="5">
    <mergeCell ref="A5:F5"/>
    <mergeCell ref="A1:F1"/>
    <mergeCell ref="A2:F2"/>
    <mergeCell ref="A3:F3"/>
    <mergeCell ref="A4:F4"/>
  </mergeCells>
  <pageMargins left="0.95" right="0.5" top="0.75" bottom="0.75" header="0.3" footer="0.3"/>
  <pageSetup scale="9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1"/>
  <sheetViews>
    <sheetView zoomScale="75" zoomScaleNormal="75" workbookViewId="0">
      <selection activeCell="D12" sqref="D12"/>
    </sheetView>
  </sheetViews>
  <sheetFormatPr defaultColWidth="11" defaultRowHeight="15.75"/>
  <cols>
    <col min="1" max="1" width="9" style="652"/>
    <col min="2" max="2" width="9" style="474"/>
    <col min="3" max="3" width="1.6640625" style="474" customWidth="1"/>
    <col min="4" max="4" width="59.77734375" style="474" customWidth="1"/>
    <col min="5" max="5" width="1.6640625" style="474" customWidth="1"/>
    <col min="6" max="6" width="20.21875" style="473" bestFit="1" customWidth="1"/>
    <col min="7" max="7" width="1.6640625" style="474" customWidth="1"/>
    <col min="8" max="8" width="10.10937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5.33203125" style="661" bestFit="1" customWidth="1"/>
    <col min="17" max="17" width="1.6640625" style="661" customWidth="1"/>
    <col min="18" max="18" width="13.109375" style="661" bestFit="1" customWidth="1"/>
    <col min="19" max="16384" width="11" style="472"/>
  </cols>
  <sheetData>
    <row r="1" spans="1:18">
      <c r="B1" s="781" t="s">
        <v>0</v>
      </c>
      <c r="C1" s="781"/>
      <c r="D1" s="781"/>
      <c r="E1" s="781"/>
      <c r="F1" s="781"/>
      <c r="G1" s="781"/>
      <c r="H1" s="781"/>
      <c r="I1" s="781"/>
      <c r="J1" s="781"/>
      <c r="K1" s="781"/>
      <c r="L1" s="781"/>
      <c r="M1" s="781"/>
      <c r="N1" s="781"/>
      <c r="O1" s="781"/>
      <c r="P1" s="781"/>
      <c r="Q1" s="781"/>
      <c r="R1" s="781"/>
    </row>
    <row r="2" spans="1:18">
      <c r="A2" s="273"/>
      <c r="B2" s="238"/>
      <c r="C2" s="238"/>
      <c r="D2" s="238"/>
      <c r="E2" s="238"/>
      <c r="F2" s="244"/>
      <c r="G2" s="238"/>
      <c r="H2" s="653"/>
      <c r="I2" s="653"/>
      <c r="J2" s="653"/>
      <c r="K2" s="653"/>
      <c r="L2" s="653"/>
      <c r="M2" s="653"/>
      <c r="N2" s="653"/>
      <c r="O2" s="653"/>
      <c r="P2" s="251"/>
      <c r="Q2" s="251"/>
      <c r="R2" s="251"/>
    </row>
    <row r="3" spans="1:18">
      <c r="A3" s="273"/>
      <c r="B3" s="238"/>
      <c r="C3" s="238"/>
      <c r="D3" s="238"/>
      <c r="E3" s="238"/>
      <c r="F3" s="244"/>
      <c r="G3" s="238"/>
      <c r="H3" s="653"/>
      <c r="I3" s="653"/>
      <c r="J3" s="653"/>
      <c r="K3" s="653"/>
      <c r="L3" s="653"/>
      <c r="M3" s="653"/>
      <c r="N3" s="653"/>
      <c r="O3" s="653"/>
      <c r="P3" s="251"/>
      <c r="Q3" s="251"/>
      <c r="R3" s="251"/>
    </row>
    <row r="4" spans="1:18">
      <c r="A4" s="785" t="s">
        <v>2272</v>
      </c>
      <c r="B4" s="785"/>
      <c r="C4" s="785"/>
      <c r="D4" s="785"/>
      <c r="E4" s="785"/>
      <c r="F4" s="785"/>
      <c r="G4" s="785"/>
      <c r="H4" s="785"/>
      <c r="I4" s="785"/>
      <c r="J4" s="785"/>
      <c r="K4" s="785"/>
      <c r="L4" s="785"/>
      <c r="M4" s="785"/>
      <c r="N4" s="785"/>
      <c r="O4" s="785"/>
      <c r="P4" s="785"/>
      <c r="Q4" s="785"/>
      <c r="R4" s="785"/>
    </row>
    <row r="5" spans="1:18">
      <c r="A5" s="785" t="s">
        <v>2716</v>
      </c>
      <c r="B5" s="785"/>
      <c r="C5" s="785"/>
      <c r="D5" s="785"/>
      <c r="E5" s="785"/>
      <c r="F5" s="785"/>
      <c r="G5" s="785"/>
      <c r="H5" s="785"/>
      <c r="I5" s="785"/>
      <c r="J5" s="785"/>
      <c r="K5" s="785"/>
      <c r="L5" s="785"/>
      <c r="M5" s="785"/>
      <c r="N5" s="785"/>
      <c r="O5" s="785"/>
      <c r="P5" s="785"/>
      <c r="Q5" s="785"/>
      <c r="R5" s="785"/>
    </row>
    <row r="6" spans="1:18">
      <c r="A6" s="273"/>
      <c r="B6" s="241"/>
      <c r="C6" s="242"/>
      <c r="D6" s="242"/>
      <c r="E6" s="242"/>
      <c r="F6" s="250"/>
      <c r="G6" s="242"/>
      <c r="H6" s="251"/>
      <c r="I6" s="251"/>
      <c r="J6" s="251"/>
      <c r="K6" s="251"/>
      <c r="L6" s="251"/>
      <c r="M6" s="251"/>
      <c r="N6" s="251"/>
      <c r="O6" s="251"/>
      <c r="P6" s="251"/>
      <c r="Q6" s="251"/>
      <c r="R6" s="251"/>
    </row>
    <row r="7" spans="1:18">
      <c r="A7" s="273"/>
      <c r="B7" s="241"/>
      <c r="C7" s="242"/>
      <c r="D7" s="242"/>
      <c r="E7" s="242"/>
      <c r="F7" s="250"/>
      <c r="G7" s="242"/>
      <c r="H7" s="251"/>
      <c r="I7" s="251"/>
      <c r="J7" s="251"/>
      <c r="K7" s="251"/>
      <c r="L7" s="251"/>
      <c r="M7" s="251"/>
      <c r="N7" s="251"/>
      <c r="O7" s="251"/>
      <c r="P7" s="251"/>
      <c r="Q7" s="251"/>
      <c r="R7" s="251"/>
    </row>
    <row r="8" spans="1:18">
      <c r="A8" s="273"/>
      <c r="B8" s="241"/>
      <c r="C8" s="242"/>
      <c r="D8" s="242"/>
      <c r="E8" s="242"/>
      <c r="F8" s="250"/>
      <c r="G8" s="242"/>
      <c r="H8" s="653" t="s">
        <v>1252</v>
      </c>
      <c r="I8" s="251"/>
      <c r="J8" s="653" t="s">
        <v>1253</v>
      </c>
      <c r="K8" s="653"/>
      <c r="L8" s="653" t="s">
        <v>1254</v>
      </c>
      <c r="M8" s="653"/>
      <c r="N8" s="653" t="s">
        <v>1255</v>
      </c>
      <c r="O8" s="653"/>
      <c r="P8" s="251"/>
      <c r="Q8" s="251"/>
      <c r="R8" s="251"/>
    </row>
    <row r="9" spans="1:18">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8">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8" s="475" customFormat="1">
      <c r="A11" s="782" t="s">
        <v>1265</v>
      </c>
      <c r="B11" s="782"/>
      <c r="C11" s="782"/>
      <c r="D11" s="782"/>
      <c r="E11" s="648"/>
      <c r="F11" s="245" t="s">
        <v>1266</v>
      </c>
      <c r="G11" s="648"/>
      <c r="H11" s="655" t="s">
        <v>1267</v>
      </c>
      <c r="I11" s="251"/>
      <c r="J11" s="655" t="s">
        <v>1268</v>
      </c>
      <c r="K11" s="653"/>
      <c r="L11" s="655" t="s">
        <v>1268</v>
      </c>
      <c r="M11" s="653"/>
      <c r="N11" s="655" t="s">
        <v>1268</v>
      </c>
      <c r="O11" s="655"/>
      <c r="P11" s="655" t="s">
        <v>1269</v>
      </c>
      <c r="Q11" s="655"/>
      <c r="R11" s="655" t="s">
        <v>1270</v>
      </c>
    </row>
    <row r="12" spans="1:18">
      <c r="A12" s="272"/>
      <c r="B12" s="239"/>
      <c r="C12" s="243"/>
      <c r="D12" s="246"/>
      <c r="E12" s="246"/>
      <c r="F12" s="244"/>
      <c r="G12" s="246"/>
      <c r="H12" s="653"/>
      <c r="I12" s="251"/>
      <c r="J12" s="653"/>
      <c r="K12" s="251"/>
      <c r="L12" s="653"/>
      <c r="M12" s="251"/>
      <c r="N12" s="653"/>
      <c r="O12" s="653"/>
      <c r="P12" s="251"/>
      <c r="Q12" s="251"/>
      <c r="R12" s="251"/>
    </row>
    <row r="13" spans="1:18">
      <c r="A13" s="272"/>
      <c r="B13" s="239"/>
      <c r="C13" s="249"/>
      <c r="D13" s="247" t="s">
        <v>1271</v>
      </c>
      <c r="E13" s="249"/>
      <c r="F13" s="250"/>
      <c r="G13" s="249"/>
      <c r="H13" s="251"/>
      <c r="I13" s="251"/>
      <c r="J13" s="251"/>
      <c r="K13" s="251"/>
      <c r="L13" s="251"/>
      <c r="M13" s="251"/>
      <c r="N13" s="251"/>
      <c r="O13" s="251"/>
      <c r="P13" s="251"/>
      <c r="Q13" s="251"/>
      <c r="R13" s="251"/>
    </row>
    <row r="14" spans="1:18">
      <c r="A14" s="272"/>
      <c r="B14" s="239"/>
      <c r="C14" s="249"/>
      <c r="D14" s="249"/>
      <c r="E14" s="249"/>
      <c r="F14" s="250"/>
      <c r="G14" s="249"/>
      <c r="H14" s="251"/>
      <c r="I14" s="251"/>
      <c r="J14" s="251"/>
      <c r="K14" s="251"/>
      <c r="L14" s="251"/>
      <c r="M14" s="251"/>
      <c r="N14" s="251"/>
      <c r="O14" s="251"/>
      <c r="P14" s="251"/>
      <c r="Q14" s="251"/>
      <c r="R14" s="251"/>
    </row>
    <row r="15" spans="1:18">
      <c r="A15" s="272"/>
      <c r="B15" s="239"/>
      <c r="C15" s="249"/>
      <c r="D15" s="245" t="s">
        <v>294</v>
      </c>
      <c r="E15" s="249"/>
      <c r="F15" s="250"/>
      <c r="G15" s="249"/>
      <c r="H15" s="251"/>
      <c r="I15" s="251"/>
      <c r="J15" s="251"/>
      <c r="K15" s="251"/>
      <c r="L15" s="251"/>
      <c r="M15" s="251"/>
      <c r="N15" s="251"/>
      <c r="O15" s="251"/>
      <c r="P15" s="251"/>
      <c r="Q15" s="251"/>
      <c r="R15" s="251"/>
    </row>
    <row r="16" spans="1:18">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1281</v>
      </c>
      <c r="E28" s="249"/>
      <c r="F28" s="659">
        <v>-13</v>
      </c>
      <c r="G28" s="249"/>
      <c r="H28" s="251">
        <v>1.81</v>
      </c>
      <c r="I28" s="251"/>
      <c r="J28" s="251">
        <v>1.6</v>
      </c>
      <c r="K28" s="251"/>
      <c r="L28" s="251">
        <v>0.21</v>
      </c>
      <c r="M28" s="251"/>
      <c r="N28" s="251">
        <v>0</v>
      </c>
      <c r="O28" s="251"/>
      <c r="P28" s="660" t="s">
        <v>2709</v>
      </c>
      <c r="Q28" s="251"/>
      <c r="R28" s="251">
        <v>46.504146531459178</v>
      </c>
    </row>
    <row r="29" spans="1:18">
      <c r="A29" s="272"/>
      <c r="B29" s="248"/>
      <c r="C29" s="249"/>
      <c r="D29" s="253" t="s">
        <v>1282</v>
      </c>
      <c r="E29" s="249"/>
      <c r="F29" s="659">
        <v>-13</v>
      </c>
      <c r="G29" s="249"/>
      <c r="H29" s="251">
        <v>1.21</v>
      </c>
      <c r="I29" s="251"/>
      <c r="J29" s="251">
        <v>1.0699999999999998</v>
      </c>
      <c r="K29" s="251"/>
      <c r="L29" s="251">
        <v>0.14000000000000001</v>
      </c>
      <c r="M29" s="251"/>
      <c r="N29" s="251">
        <v>0</v>
      </c>
      <c r="O29" s="251"/>
      <c r="P29" s="660" t="s">
        <v>2709</v>
      </c>
      <c r="Q29" s="251"/>
      <c r="R29" s="251">
        <v>45.332728759384523</v>
      </c>
    </row>
    <row r="30" spans="1:18">
      <c r="A30" s="272"/>
      <c r="B30" s="248"/>
      <c r="C30" s="249"/>
      <c r="D30" s="253" t="s">
        <v>1283</v>
      </c>
      <c r="E30" s="249"/>
      <c r="F30" s="659">
        <v>0</v>
      </c>
      <c r="G30" s="249"/>
      <c r="H30" s="251">
        <v>1.54</v>
      </c>
      <c r="I30" s="251"/>
      <c r="J30" s="251">
        <v>1.54</v>
      </c>
      <c r="K30" s="251"/>
      <c r="L30" s="251">
        <v>0</v>
      </c>
      <c r="M30" s="251"/>
      <c r="N30" s="251">
        <v>0</v>
      </c>
      <c r="O30" s="251"/>
      <c r="P30" s="660" t="s">
        <v>2709</v>
      </c>
      <c r="Q30" s="251"/>
      <c r="R30" s="251">
        <v>22.165532088206202</v>
      </c>
    </row>
    <row r="31" spans="1:18">
      <c r="A31" s="272"/>
      <c r="B31" s="248"/>
      <c r="C31" s="249"/>
      <c r="D31" s="253" t="s">
        <v>1289</v>
      </c>
      <c r="E31" s="249"/>
      <c r="F31" s="659">
        <v>-6</v>
      </c>
      <c r="G31" s="249"/>
      <c r="H31" s="251">
        <v>0.04</v>
      </c>
      <c r="I31" s="251"/>
      <c r="J31" s="251">
        <v>0.04</v>
      </c>
      <c r="K31" s="251"/>
      <c r="L31" s="251">
        <v>0</v>
      </c>
      <c r="M31" s="251"/>
      <c r="N31" s="251">
        <v>0</v>
      </c>
      <c r="O31" s="251"/>
      <c r="P31" s="660" t="s">
        <v>2709</v>
      </c>
      <c r="Q31" s="251"/>
      <c r="R31" s="251">
        <v>1.1696045736064793</v>
      </c>
    </row>
    <row r="32" spans="1:18">
      <c r="A32" s="272"/>
      <c r="B32" s="248"/>
      <c r="C32" s="249"/>
      <c r="D32" s="253" t="s">
        <v>1290</v>
      </c>
      <c r="E32" s="249"/>
      <c r="F32" s="659">
        <v>-6</v>
      </c>
      <c r="G32" s="249"/>
      <c r="H32" s="251">
        <v>0.63</v>
      </c>
      <c r="I32" s="251"/>
      <c r="J32" s="251">
        <v>0.59</v>
      </c>
      <c r="K32" s="251"/>
      <c r="L32" s="251">
        <v>0.04</v>
      </c>
      <c r="M32" s="251"/>
      <c r="N32" s="251">
        <v>0</v>
      </c>
      <c r="O32" s="251"/>
      <c r="P32" s="660" t="s">
        <v>2709</v>
      </c>
      <c r="Q32" s="251"/>
      <c r="R32" s="251">
        <v>1.1699517574086837</v>
      </c>
    </row>
    <row r="33" spans="1:18">
      <c r="A33" s="272"/>
      <c r="B33" s="248"/>
      <c r="C33" s="249"/>
      <c r="D33" s="253" t="s">
        <v>1291</v>
      </c>
      <c r="E33" s="249"/>
      <c r="F33" s="659">
        <v>-6</v>
      </c>
      <c r="G33" s="249"/>
      <c r="H33" s="251">
        <v>3.17</v>
      </c>
      <c r="I33" s="251"/>
      <c r="J33" s="251">
        <v>2.9899999999999998</v>
      </c>
      <c r="K33" s="251"/>
      <c r="L33" s="251">
        <v>0.18</v>
      </c>
      <c r="M33" s="251"/>
      <c r="N33" s="251">
        <v>0</v>
      </c>
      <c r="O33" s="251"/>
      <c r="P33" s="660" t="s">
        <v>2709</v>
      </c>
      <c r="Q33" s="251"/>
      <c r="R33" s="251">
        <v>17.325755079264649</v>
      </c>
    </row>
    <row r="34" spans="1:18">
      <c r="A34" s="272"/>
      <c r="B34" s="248"/>
      <c r="C34" s="249"/>
      <c r="D34" s="253" t="s">
        <v>1292</v>
      </c>
      <c r="E34" s="249"/>
      <c r="F34" s="659">
        <v>-6</v>
      </c>
      <c r="G34" s="249"/>
      <c r="H34" s="251">
        <v>4.54</v>
      </c>
      <c r="I34" s="251"/>
      <c r="J34" s="251">
        <v>4.28</v>
      </c>
      <c r="K34" s="251"/>
      <c r="L34" s="251">
        <v>0.26</v>
      </c>
      <c r="M34" s="251"/>
      <c r="N34" s="251">
        <v>0</v>
      </c>
      <c r="O34" s="251"/>
      <c r="P34" s="660" t="s">
        <v>2709</v>
      </c>
      <c r="Q34" s="251"/>
      <c r="R34" s="251">
        <v>17.380040006304025</v>
      </c>
    </row>
    <row r="35" spans="1:18">
      <c r="A35" s="272"/>
      <c r="B35" s="248"/>
      <c r="C35" s="249"/>
      <c r="D35" s="253" t="s">
        <v>1294</v>
      </c>
      <c r="E35" s="249"/>
      <c r="F35" s="659">
        <v>-8</v>
      </c>
      <c r="G35" s="249"/>
      <c r="H35" s="251">
        <v>1.1399999999999999</v>
      </c>
      <c r="I35" s="251"/>
      <c r="J35" s="251">
        <v>1.0599999999999998</v>
      </c>
      <c r="K35" s="251"/>
      <c r="L35" s="251">
        <v>0.08</v>
      </c>
      <c r="M35" s="251"/>
      <c r="N35" s="251">
        <v>0</v>
      </c>
      <c r="O35" s="251"/>
      <c r="P35" s="660" t="s">
        <v>2709</v>
      </c>
      <c r="Q35" s="251"/>
      <c r="R35" s="251">
        <v>16.310574207718858</v>
      </c>
    </row>
    <row r="36" spans="1:18">
      <c r="A36" s="272"/>
      <c r="B36" s="248"/>
      <c r="C36" s="249"/>
      <c r="D36" s="253" t="s">
        <v>1295</v>
      </c>
      <c r="E36" s="249"/>
      <c r="F36" s="659">
        <v>-8</v>
      </c>
      <c r="G36" s="249"/>
      <c r="H36" s="251">
        <v>1.68</v>
      </c>
      <c r="I36" s="251"/>
      <c r="J36" s="251">
        <v>1.56</v>
      </c>
      <c r="K36" s="251"/>
      <c r="L36" s="251">
        <v>0.12</v>
      </c>
      <c r="M36" s="251"/>
      <c r="N36" s="251">
        <v>0</v>
      </c>
      <c r="O36" s="251"/>
      <c r="P36" s="660" t="s">
        <v>2709</v>
      </c>
      <c r="Q36" s="251"/>
      <c r="R36" s="251">
        <v>16.334994040990171</v>
      </c>
    </row>
    <row r="37" spans="1:18">
      <c r="A37" s="272"/>
      <c r="B37" s="248"/>
      <c r="C37" s="249"/>
      <c r="D37" s="253" t="s">
        <v>1296</v>
      </c>
      <c r="E37" s="249"/>
      <c r="F37" s="659">
        <v>-8</v>
      </c>
      <c r="G37" s="249"/>
      <c r="H37" s="251">
        <v>1.31</v>
      </c>
      <c r="I37" s="251"/>
      <c r="J37" s="251">
        <v>1.21</v>
      </c>
      <c r="K37" s="251"/>
      <c r="L37" s="251">
        <v>0.1</v>
      </c>
      <c r="M37" s="251"/>
      <c r="N37" s="251">
        <v>0</v>
      </c>
      <c r="O37" s="251"/>
      <c r="P37" s="660" t="s">
        <v>2709</v>
      </c>
      <c r="Q37" s="251"/>
      <c r="R37" s="251">
        <v>16.194361949806595</v>
      </c>
    </row>
    <row r="38" spans="1:18">
      <c r="A38" s="272"/>
      <c r="B38" s="248"/>
      <c r="C38" s="249"/>
      <c r="D38" s="253" t="s">
        <v>1297</v>
      </c>
      <c r="E38" s="249"/>
      <c r="F38" s="659">
        <v>-8</v>
      </c>
      <c r="G38" s="249"/>
      <c r="H38" s="251">
        <v>2.15</v>
      </c>
      <c r="I38" s="251"/>
      <c r="J38" s="251">
        <v>1.99</v>
      </c>
      <c r="K38" s="251"/>
      <c r="L38" s="251">
        <v>0.16</v>
      </c>
      <c r="M38" s="251"/>
      <c r="N38" s="251">
        <v>0</v>
      </c>
      <c r="O38" s="251"/>
      <c r="P38" s="660" t="s">
        <v>2709</v>
      </c>
      <c r="Q38" s="251"/>
      <c r="R38" s="251">
        <v>19.180341797678263</v>
      </c>
    </row>
    <row r="39" spans="1:18">
      <c r="A39" s="272"/>
      <c r="B39" s="248"/>
      <c r="C39" s="249"/>
      <c r="D39" s="253" t="s">
        <v>1298</v>
      </c>
      <c r="E39" s="249"/>
      <c r="F39" s="659">
        <v>-8</v>
      </c>
      <c r="G39" s="249"/>
      <c r="H39" s="251">
        <v>3.44</v>
      </c>
      <c r="I39" s="251"/>
      <c r="J39" s="251">
        <v>3.19</v>
      </c>
      <c r="K39" s="251"/>
      <c r="L39" s="251">
        <v>0.25</v>
      </c>
      <c r="M39" s="251"/>
      <c r="N39" s="251">
        <v>0</v>
      </c>
      <c r="O39" s="251"/>
      <c r="P39" s="660" t="s">
        <v>2709</v>
      </c>
      <c r="Q39" s="251"/>
      <c r="R39" s="251">
        <v>20.231508448292683</v>
      </c>
    </row>
    <row r="40" spans="1:18">
      <c r="A40" s="272"/>
      <c r="B40" s="248"/>
      <c r="C40" s="249"/>
      <c r="D40" s="253" t="s">
        <v>1299</v>
      </c>
      <c r="E40" s="249"/>
      <c r="F40" s="659">
        <v>-8</v>
      </c>
      <c r="G40" s="249"/>
      <c r="H40" s="251">
        <v>1.1599999999999999</v>
      </c>
      <c r="I40" s="251"/>
      <c r="J40" s="251">
        <v>1.0699999999999998</v>
      </c>
      <c r="K40" s="251"/>
      <c r="L40" s="251">
        <v>0.09</v>
      </c>
      <c r="M40" s="251"/>
      <c r="N40" s="251">
        <v>0</v>
      </c>
      <c r="O40" s="251"/>
      <c r="P40" s="660" t="s">
        <v>2709</v>
      </c>
      <c r="Q40" s="251"/>
      <c r="R40" s="251">
        <v>16.2900374539979</v>
      </c>
    </row>
    <row r="41" spans="1:18">
      <c r="A41" s="272"/>
      <c r="B41" s="248"/>
      <c r="C41" s="249"/>
      <c r="D41" s="249" t="s">
        <v>1304</v>
      </c>
      <c r="E41" s="249"/>
      <c r="F41" s="250">
        <v>-8</v>
      </c>
      <c r="G41" s="249"/>
      <c r="H41" s="251">
        <v>5.31</v>
      </c>
      <c r="I41" s="251"/>
      <c r="J41" s="251">
        <v>4.92</v>
      </c>
      <c r="K41" s="251"/>
      <c r="L41" s="251">
        <v>0.39</v>
      </c>
      <c r="M41" s="251"/>
      <c r="N41" s="251">
        <v>0</v>
      </c>
      <c r="O41" s="251"/>
      <c r="P41" s="251" t="s">
        <v>2709</v>
      </c>
      <c r="Q41" s="251"/>
      <c r="R41" s="251">
        <v>20.353932584269664</v>
      </c>
    </row>
    <row r="42" spans="1:18">
      <c r="A42" s="272"/>
      <c r="B42" s="248"/>
      <c r="C42" s="249"/>
      <c r="D42" s="254"/>
      <c r="E42" s="249"/>
      <c r="F42" s="278"/>
      <c r="G42" s="249"/>
      <c r="H42" s="251"/>
      <c r="I42" s="251"/>
      <c r="J42" s="251"/>
      <c r="K42" s="251"/>
      <c r="L42" s="251"/>
      <c r="M42" s="251"/>
      <c r="N42" s="251"/>
      <c r="O42" s="251"/>
      <c r="P42" s="251"/>
      <c r="Q42" s="251"/>
      <c r="R42" s="251"/>
    </row>
    <row r="43" spans="1:18">
      <c r="A43" s="272"/>
      <c r="B43" s="248"/>
      <c r="C43" s="249"/>
      <c r="D43" s="249" t="s">
        <v>1300</v>
      </c>
      <c r="E43" s="249"/>
      <c r="F43" s="277" t="s">
        <v>2710</v>
      </c>
      <c r="G43" s="249"/>
      <c r="H43" s="251">
        <v>2.423191946265475</v>
      </c>
      <c r="I43" s="251"/>
      <c r="J43" s="251"/>
      <c r="K43" s="251"/>
      <c r="L43" s="251"/>
      <c r="M43" s="251"/>
      <c r="N43" s="251"/>
      <c r="O43" s="251"/>
      <c r="P43" s="251"/>
      <c r="Q43" s="251"/>
      <c r="R43" s="251">
        <v>24.35</v>
      </c>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90" t="s">
        <v>2711</v>
      </c>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v>311</v>
      </c>
      <c r="B60" s="478"/>
      <c r="C60" s="476"/>
      <c r="D60" s="482" t="s">
        <v>1300</v>
      </c>
      <c r="E60" s="480"/>
      <c r="F60" s="278" t="s">
        <v>2336</v>
      </c>
      <c r="G60" s="472"/>
      <c r="H60" s="251">
        <v>2</v>
      </c>
      <c r="I60" s="251"/>
      <c r="J60" s="251"/>
      <c r="K60" s="251"/>
      <c r="L60" s="251"/>
      <c r="M60" s="251"/>
      <c r="N60" s="251"/>
      <c r="P60" s="664" t="s">
        <v>2273</v>
      </c>
      <c r="R60" s="665" t="s">
        <v>2712</v>
      </c>
    </row>
    <row r="61" spans="1:18">
      <c r="A61" s="272"/>
      <c r="B61" s="248"/>
      <c r="C61" s="249"/>
      <c r="D61" s="249"/>
      <c r="E61" s="249"/>
      <c r="F61" s="250"/>
      <c r="G61" s="249"/>
      <c r="H61" s="251"/>
      <c r="I61" s="251"/>
      <c r="J61" s="251"/>
      <c r="K61" s="251"/>
      <c r="L61" s="251"/>
      <c r="M61" s="251"/>
      <c r="N61" s="251"/>
      <c r="O61" s="251"/>
      <c r="P61" s="251"/>
      <c r="Q61" s="251"/>
      <c r="R61" s="251"/>
    </row>
    <row r="62" spans="1:18">
      <c r="A62" s="272"/>
      <c r="B62" s="248">
        <v>312</v>
      </c>
      <c r="C62" s="249"/>
      <c r="D62" s="249" t="s">
        <v>1301</v>
      </c>
      <c r="E62" s="249"/>
      <c r="F62" s="250"/>
      <c r="G62" s="249"/>
      <c r="H62" s="251"/>
      <c r="I62" s="251"/>
      <c r="J62" s="251"/>
      <c r="K62" s="251"/>
      <c r="L62" s="251"/>
      <c r="M62" s="251"/>
      <c r="N62" s="251"/>
      <c r="O62" s="251"/>
      <c r="P62" s="251"/>
      <c r="Q62" s="251"/>
      <c r="R62" s="251"/>
    </row>
    <row r="63" spans="1:18">
      <c r="A63" s="272"/>
      <c r="B63" s="248"/>
      <c r="C63" s="249"/>
      <c r="D63" s="666" t="s">
        <v>1281</v>
      </c>
      <c r="E63" s="249"/>
      <c r="F63" s="659">
        <v>-13</v>
      </c>
      <c r="G63" s="249"/>
      <c r="H63" s="251">
        <v>2.17</v>
      </c>
      <c r="I63" s="251"/>
      <c r="J63" s="251">
        <v>1.92</v>
      </c>
      <c r="K63" s="251"/>
      <c r="L63" s="251">
        <v>0.31</v>
      </c>
      <c r="M63" s="251"/>
      <c r="N63" s="251">
        <v>-0.06</v>
      </c>
      <c r="O63" s="251"/>
      <c r="P63" s="660" t="s">
        <v>1312</v>
      </c>
      <c r="Q63" s="251"/>
      <c r="R63" s="667">
        <v>42.84371931144328</v>
      </c>
    </row>
    <row r="64" spans="1:18">
      <c r="A64" s="272"/>
      <c r="B64" s="248"/>
      <c r="C64" s="249"/>
      <c r="D64" s="666" t="s">
        <v>1282</v>
      </c>
      <c r="E64" s="249"/>
      <c r="F64" s="659">
        <v>-13</v>
      </c>
      <c r="G64" s="249"/>
      <c r="H64" s="251">
        <v>1.96</v>
      </c>
      <c r="I64" s="251"/>
      <c r="J64" s="251">
        <v>1.73</v>
      </c>
      <c r="K64" s="251"/>
      <c r="L64" s="251">
        <v>0.28000000000000003</v>
      </c>
      <c r="M64" s="251"/>
      <c r="N64" s="251">
        <v>-0.05</v>
      </c>
      <c r="O64" s="251"/>
      <c r="P64" s="667" t="s">
        <v>1312</v>
      </c>
      <c r="Q64" s="251"/>
      <c r="R64" s="667">
        <v>42.576565097379095</v>
      </c>
    </row>
    <row r="65" spans="1:18">
      <c r="A65" s="272"/>
      <c r="B65" s="248"/>
      <c r="C65" s="249"/>
      <c r="D65" s="666" t="s">
        <v>1289</v>
      </c>
      <c r="E65" s="249"/>
      <c r="F65" s="659">
        <v>-6</v>
      </c>
      <c r="G65" s="249"/>
      <c r="H65" s="251">
        <v>3.21</v>
      </c>
      <c r="I65" s="251"/>
      <c r="J65" s="251">
        <v>3.03</v>
      </c>
      <c r="K65" s="251"/>
      <c r="L65" s="251">
        <v>0.27</v>
      </c>
      <c r="M65" s="251"/>
      <c r="N65" s="251">
        <v>-0.09</v>
      </c>
      <c r="O65" s="251"/>
      <c r="P65" s="667" t="s">
        <v>1312</v>
      </c>
      <c r="Q65" s="251"/>
      <c r="R65" s="667">
        <v>1.1600018737663025</v>
      </c>
    </row>
    <row r="66" spans="1:18">
      <c r="A66" s="668"/>
      <c r="B66" s="249"/>
      <c r="C66" s="249"/>
      <c r="D66" s="666" t="s">
        <v>1290</v>
      </c>
      <c r="E66" s="249"/>
      <c r="F66" s="659">
        <v>-6</v>
      </c>
      <c r="G66" s="249"/>
      <c r="H66" s="251">
        <v>3.08</v>
      </c>
      <c r="I66" s="251"/>
      <c r="J66" s="251">
        <v>2.91</v>
      </c>
      <c r="K66" s="251"/>
      <c r="L66" s="251">
        <v>0.26</v>
      </c>
      <c r="M66" s="251"/>
      <c r="N66" s="251">
        <v>-0.09</v>
      </c>
      <c r="O66" s="251"/>
      <c r="P66" s="667" t="s">
        <v>1312</v>
      </c>
      <c r="Q66" s="251"/>
      <c r="R66" s="667">
        <v>1.1600004308491036</v>
      </c>
    </row>
    <row r="67" spans="1:18">
      <c r="A67" s="668"/>
      <c r="B67" s="249"/>
      <c r="C67" s="249"/>
      <c r="D67" s="666" t="s">
        <v>1291</v>
      </c>
      <c r="E67" s="249"/>
      <c r="F67" s="659">
        <v>-6</v>
      </c>
      <c r="G67" s="249"/>
      <c r="H67" s="251">
        <v>5.19</v>
      </c>
      <c r="I67" s="251"/>
      <c r="J67" s="251">
        <v>4.9000000000000004</v>
      </c>
      <c r="K67" s="251"/>
      <c r="L67" s="251">
        <v>0.44</v>
      </c>
      <c r="M67" s="251"/>
      <c r="N67" s="251">
        <v>-0.15</v>
      </c>
      <c r="O67" s="251"/>
      <c r="P67" s="667" t="s">
        <v>1312</v>
      </c>
      <c r="Q67" s="251"/>
      <c r="R67" s="667">
        <v>16.923681432433298</v>
      </c>
    </row>
    <row r="68" spans="1:18">
      <c r="A68" s="668"/>
      <c r="B68" s="249"/>
      <c r="C68" s="249"/>
      <c r="D68" s="666" t="s">
        <v>1292</v>
      </c>
      <c r="E68" s="249"/>
      <c r="F68" s="659">
        <v>-6</v>
      </c>
      <c r="G68" s="249"/>
      <c r="H68" s="251">
        <v>4.92</v>
      </c>
      <c r="I68" s="251"/>
      <c r="J68" s="251">
        <v>4.6399999999999997</v>
      </c>
      <c r="K68" s="251"/>
      <c r="L68" s="251">
        <v>0.42</v>
      </c>
      <c r="M68" s="251"/>
      <c r="N68" s="251">
        <v>-0.14000000000000001</v>
      </c>
      <c r="O68" s="251"/>
      <c r="P68" s="667" t="s">
        <v>1312</v>
      </c>
      <c r="Q68" s="251"/>
      <c r="R68" s="667">
        <v>16.982789396249931</v>
      </c>
    </row>
    <row r="69" spans="1:18">
      <c r="A69" s="668"/>
      <c r="B69" s="249"/>
      <c r="C69" s="249"/>
      <c r="D69" s="666" t="s">
        <v>1294</v>
      </c>
      <c r="E69" s="249"/>
      <c r="F69" s="659">
        <v>-8</v>
      </c>
      <c r="G69" s="249"/>
      <c r="H69" s="251">
        <v>4.16</v>
      </c>
      <c r="I69" s="251"/>
      <c r="J69" s="251">
        <v>3.8600000000000003</v>
      </c>
      <c r="K69" s="251"/>
      <c r="L69" s="251">
        <v>0.42</v>
      </c>
      <c r="M69" s="251"/>
      <c r="N69" s="251">
        <v>-0.12</v>
      </c>
      <c r="O69" s="251"/>
      <c r="P69" s="667" t="s">
        <v>1312</v>
      </c>
      <c r="Q69" s="251"/>
      <c r="R69" s="667">
        <v>16.022674994329403</v>
      </c>
    </row>
    <row r="70" spans="1:18">
      <c r="A70" s="668"/>
      <c r="B70" s="249"/>
      <c r="C70" s="249"/>
      <c r="D70" s="666" t="s">
        <v>1295</v>
      </c>
      <c r="E70" s="249"/>
      <c r="F70" s="659">
        <v>-8</v>
      </c>
      <c r="G70" s="249"/>
      <c r="H70" s="251">
        <v>4.83</v>
      </c>
      <c r="I70" s="251"/>
      <c r="J70" s="251">
        <v>4.47</v>
      </c>
      <c r="K70" s="251"/>
      <c r="L70" s="251">
        <v>0.49</v>
      </c>
      <c r="M70" s="251"/>
      <c r="N70" s="251">
        <v>-0.13</v>
      </c>
      <c r="O70" s="251"/>
      <c r="P70" s="667" t="s">
        <v>1312</v>
      </c>
      <c r="Q70" s="251"/>
      <c r="R70" s="667">
        <v>15.966106724538497</v>
      </c>
    </row>
    <row r="71" spans="1:18">
      <c r="A71" s="668"/>
      <c r="B71" s="249"/>
      <c r="C71" s="249"/>
      <c r="D71" s="666" t="s">
        <v>1296</v>
      </c>
      <c r="E71" s="249"/>
      <c r="F71" s="659">
        <v>-8</v>
      </c>
      <c r="G71" s="249"/>
      <c r="H71" s="251">
        <v>5.0999999999999996</v>
      </c>
      <c r="I71" s="251"/>
      <c r="J71" s="251">
        <v>4.72</v>
      </c>
      <c r="K71" s="251"/>
      <c r="L71" s="251">
        <v>0.52</v>
      </c>
      <c r="M71" s="251"/>
      <c r="N71" s="251">
        <v>-0.14000000000000001</v>
      </c>
      <c r="O71" s="251"/>
      <c r="P71" s="667" t="s">
        <v>1312</v>
      </c>
      <c r="Q71" s="251"/>
      <c r="R71" s="667">
        <v>15.946060511144678</v>
      </c>
    </row>
    <row r="72" spans="1:18">
      <c r="A72" s="668"/>
      <c r="B72" s="249"/>
      <c r="C72" s="249"/>
      <c r="D72" s="666" t="s">
        <v>1297</v>
      </c>
      <c r="E72" s="249"/>
      <c r="F72" s="659">
        <v>-8</v>
      </c>
      <c r="G72" s="249"/>
      <c r="H72" s="251">
        <v>3.54</v>
      </c>
      <c r="I72" s="251"/>
      <c r="J72" s="251">
        <v>3.2800000000000002</v>
      </c>
      <c r="K72" s="251"/>
      <c r="L72" s="251">
        <v>0.36</v>
      </c>
      <c r="M72" s="251"/>
      <c r="N72" s="251">
        <v>-0.1</v>
      </c>
      <c r="O72" s="251"/>
      <c r="P72" s="660" t="s">
        <v>1312</v>
      </c>
      <c r="Q72" s="251"/>
      <c r="R72" s="667">
        <v>18.644439837411241</v>
      </c>
    </row>
    <row r="73" spans="1:18">
      <c r="A73" s="668"/>
      <c r="B73" s="249"/>
      <c r="C73" s="249"/>
      <c r="D73" s="666" t="s">
        <v>1298</v>
      </c>
      <c r="E73" s="249"/>
      <c r="F73" s="659">
        <v>-8</v>
      </c>
      <c r="G73" s="249"/>
      <c r="H73" s="251">
        <v>4.3499999999999996</v>
      </c>
      <c r="I73" s="251"/>
      <c r="J73" s="251">
        <v>4.0299999999999994</v>
      </c>
      <c r="K73" s="251"/>
      <c r="L73" s="251">
        <v>0.44</v>
      </c>
      <c r="M73" s="251"/>
      <c r="N73" s="251">
        <v>-0.12</v>
      </c>
      <c r="O73" s="251"/>
      <c r="P73" s="660" t="s">
        <v>1312</v>
      </c>
      <c r="Q73" s="251"/>
      <c r="R73" s="667">
        <v>19.672953070255446</v>
      </c>
    </row>
    <row r="74" spans="1:18">
      <c r="A74" s="668"/>
      <c r="B74" s="249"/>
      <c r="C74" s="249"/>
      <c r="D74" s="666" t="s">
        <v>1299</v>
      </c>
      <c r="E74" s="249"/>
      <c r="F74" s="659">
        <v>-8</v>
      </c>
      <c r="G74" s="249"/>
      <c r="H74" s="251">
        <v>1.19</v>
      </c>
      <c r="I74" s="251"/>
      <c r="J74" s="251">
        <v>1.0999999999999999</v>
      </c>
      <c r="K74" s="251"/>
      <c r="L74" s="251">
        <v>0.12</v>
      </c>
      <c r="M74" s="251"/>
      <c r="N74" s="251">
        <v>-0.03</v>
      </c>
      <c r="O74" s="251"/>
      <c r="P74" s="660" t="s">
        <v>1312</v>
      </c>
      <c r="Q74" s="251"/>
      <c r="R74" s="667">
        <v>15.987247991465972</v>
      </c>
    </row>
    <row r="75" spans="1:18">
      <c r="A75" s="272"/>
      <c r="B75" s="248"/>
      <c r="C75" s="249"/>
      <c r="D75" s="669" t="s">
        <v>1303</v>
      </c>
      <c r="E75" s="249"/>
      <c r="F75" s="659">
        <v>-8</v>
      </c>
      <c r="G75" s="249"/>
      <c r="H75" s="251">
        <v>3.99</v>
      </c>
      <c r="I75" s="251"/>
      <c r="J75" s="251">
        <v>3.69</v>
      </c>
      <c r="K75" s="251"/>
      <c r="L75" s="251">
        <v>0.41</v>
      </c>
      <c r="M75" s="251"/>
      <c r="N75" s="251">
        <v>-0.11</v>
      </c>
      <c r="O75" s="251"/>
      <c r="P75" s="660" t="s">
        <v>1312</v>
      </c>
      <c r="Q75" s="251"/>
      <c r="R75" s="667">
        <v>18.749823728642838</v>
      </c>
    </row>
    <row r="76" spans="1:18">
      <c r="A76" s="272"/>
      <c r="B76" s="248"/>
      <c r="C76" s="249"/>
      <c r="D76" s="669" t="s">
        <v>1304</v>
      </c>
      <c r="E76" s="249"/>
      <c r="F76" s="659">
        <v>-8</v>
      </c>
      <c r="G76" s="249"/>
      <c r="H76" s="251">
        <v>3.57</v>
      </c>
      <c r="I76" s="251"/>
      <c r="J76" s="251">
        <v>3.31</v>
      </c>
      <c r="K76" s="251"/>
      <c r="L76" s="251">
        <v>0.36</v>
      </c>
      <c r="M76" s="251"/>
      <c r="N76" s="251">
        <v>-0.1</v>
      </c>
      <c r="O76" s="251"/>
      <c r="P76" s="660" t="s">
        <v>1312</v>
      </c>
      <c r="Q76" s="251"/>
      <c r="R76" s="667">
        <v>19.760679852526636</v>
      </c>
    </row>
    <row r="77" spans="1:18">
      <c r="A77" s="272"/>
      <c r="B77" s="248"/>
      <c r="C77" s="249"/>
      <c r="D77" s="249"/>
      <c r="E77" s="249"/>
      <c r="F77" s="250"/>
      <c r="G77" s="249"/>
      <c r="H77" s="251"/>
      <c r="I77" s="251"/>
      <c r="J77" s="251"/>
      <c r="K77" s="251"/>
      <c r="L77" s="251"/>
      <c r="M77" s="251"/>
      <c r="N77" s="251"/>
      <c r="O77" s="251"/>
      <c r="P77" s="251"/>
      <c r="Q77" s="251"/>
      <c r="R77" s="251"/>
    </row>
    <row r="78" spans="1:18">
      <c r="A78" s="272"/>
      <c r="B78" s="248"/>
      <c r="C78" s="249"/>
      <c r="D78" s="254" t="s">
        <v>1305</v>
      </c>
      <c r="E78" s="249"/>
      <c r="F78" s="278" t="s">
        <v>2710</v>
      </c>
      <c r="G78" s="249"/>
      <c r="H78" s="251">
        <v>3.9960416395243401</v>
      </c>
      <c r="I78" s="251"/>
      <c r="J78" s="251"/>
      <c r="K78" s="251"/>
      <c r="L78" s="251"/>
      <c r="M78" s="251"/>
      <c r="N78" s="251"/>
      <c r="O78" s="251"/>
      <c r="P78" s="667"/>
      <c r="Q78" s="251"/>
      <c r="R78" s="251">
        <v>19.649999999999999</v>
      </c>
    </row>
    <row r="79" spans="1:18">
      <c r="A79" s="272"/>
      <c r="B79" s="248"/>
      <c r="C79" s="249"/>
      <c r="D79" s="254"/>
      <c r="E79" s="249"/>
      <c r="F79" s="250"/>
      <c r="G79" s="249"/>
      <c r="H79" s="251"/>
      <c r="I79" s="251"/>
      <c r="J79" s="251"/>
      <c r="K79" s="251"/>
      <c r="L79" s="251"/>
      <c r="M79" s="251"/>
      <c r="N79" s="251"/>
      <c r="O79" s="251"/>
      <c r="P79" s="251"/>
      <c r="Q79" s="251"/>
      <c r="R79" s="251"/>
    </row>
    <row r="80" spans="1:18">
      <c r="A80" s="472"/>
      <c r="B80" s="478">
        <v>312.10000000000002</v>
      </c>
      <c r="C80" s="476"/>
      <c r="D80" s="479" t="s">
        <v>2282</v>
      </c>
      <c r="E80" s="480"/>
      <c r="F80" s="480"/>
      <c r="G80" s="472"/>
      <c r="H80" s="251"/>
      <c r="I80" s="251"/>
      <c r="J80" s="251"/>
      <c r="K80" s="251"/>
      <c r="L80" s="251"/>
      <c r="M80" s="251"/>
      <c r="N80" s="251"/>
      <c r="P80" s="662"/>
      <c r="R80" s="663"/>
    </row>
    <row r="81" spans="1:18">
      <c r="A81" s="472"/>
      <c r="B81" s="478"/>
      <c r="C81" s="476"/>
      <c r="D81" s="479" t="s">
        <v>2275</v>
      </c>
      <c r="E81" s="480"/>
      <c r="F81" s="480">
        <v>0</v>
      </c>
      <c r="G81" s="472"/>
      <c r="H81" s="251">
        <v>7.48</v>
      </c>
      <c r="I81" s="251"/>
      <c r="J81" s="251">
        <v>7.48</v>
      </c>
      <c r="K81" s="251"/>
      <c r="L81" s="251">
        <v>0</v>
      </c>
      <c r="M81" s="251"/>
      <c r="N81" s="251">
        <v>0</v>
      </c>
      <c r="P81" s="662" t="s">
        <v>2276</v>
      </c>
      <c r="R81" s="667">
        <v>6</v>
      </c>
    </row>
    <row r="82" spans="1:18">
      <c r="A82" s="472"/>
      <c r="B82" s="478"/>
      <c r="C82" s="476"/>
      <c r="D82" s="481" t="s">
        <v>2283</v>
      </c>
      <c r="E82" s="480"/>
      <c r="F82" s="480">
        <v>0</v>
      </c>
      <c r="G82" s="472"/>
      <c r="H82" s="251">
        <v>0</v>
      </c>
      <c r="I82" s="251"/>
      <c r="J82" s="251">
        <v>0</v>
      </c>
      <c r="K82" s="251"/>
      <c r="L82" s="251">
        <v>0</v>
      </c>
      <c r="M82" s="251"/>
      <c r="N82" s="251">
        <v>0</v>
      </c>
      <c r="P82" s="662" t="s">
        <v>2276</v>
      </c>
      <c r="R82" s="667">
        <v>3</v>
      </c>
    </row>
    <row r="83" spans="1:18">
      <c r="A83" s="472"/>
      <c r="B83" s="478"/>
      <c r="C83" s="476"/>
      <c r="D83" s="481" t="s">
        <v>2284</v>
      </c>
      <c r="E83" s="480"/>
      <c r="F83" s="480">
        <v>0</v>
      </c>
      <c r="G83" s="472"/>
      <c r="H83" s="251">
        <v>7.82</v>
      </c>
      <c r="I83" s="251"/>
      <c r="J83" s="251">
        <v>7.82</v>
      </c>
      <c r="K83" s="251"/>
      <c r="L83" s="251">
        <v>0</v>
      </c>
      <c r="M83" s="251"/>
      <c r="N83" s="251">
        <v>0</v>
      </c>
      <c r="P83" s="662" t="s">
        <v>2276</v>
      </c>
      <c r="R83" s="667">
        <v>3</v>
      </c>
    </row>
    <row r="84" spans="1:18">
      <c r="A84" s="472"/>
      <c r="B84" s="478"/>
      <c r="C84" s="476"/>
      <c r="D84" s="481" t="s">
        <v>2285</v>
      </c>
      <c r="E84" s="480"/>
      <c r="F84" s="480">
        <v>0</v>
      </c>
      <c r="G84" s="472"/>
      <c r="H84" s="251">
        <v>24.68</v>
      </c>
      <c r="I84" s="251"/>
      <c r="J84" s="251">
        <v>24.68</v>
      </c>
      <c r="K84" s="251"/>
      <c r="L84" s="251">
        <v>0</v>
      </c>
      <c r="M84" s="251"/>
      <c r="N84" s="251">
        <v>0</v>
      </c>
      <c r="P84" s="662" t="s">
        <v>2276</v>
      </c>
      <c r="R84" s="667">
        <v>3.0000002046451586</v>
      </c>
    </row>
    <row r="85" spans="1:18">
      <c r="A85" s="472"/>
      <c r="B85" s="478"/>
      <c r="C85" s="476"/>
      <c r="D85" s="481" t="s">
        <v>2277</v>
      </c>
      <c r="E85" s="480"/>
      <c r="F85" s="480">
        <v>0</v>
      </c>
      <c r="G85" s="472"/>
      <c r="H85" s="251">
        <v>0.23</v>
      </c>
      <c r="I85" s="251"/>
      <c r="J85" s="251">
        <v>0.23</v>
      </c>
      <c r="K85" s="251"/>
      <c r="L85" s="251">
        <v>0</v>
      </c>
      <c r="M85" s="251"/>
      <c r="N85" s="251">
        <v>0</v>
      </c>
      <c r="P85" s="662" t="s">
        <v>2276</v>
      </c>
      <c r="R85" s="667">
        <v>2.9890109890109891</v>
      </c>
    </row>
    <row r="86" spans="1:18">
      <c r="A86" s="472"/>
      <c r="B86" s="478"/>
      <c r="C86" s="476"/>
      <c r="D86" s="481" t="s">
        <v>2278</v>
      </c>
      <c r="E86" s="480"/>
      <c r="F86" s="480">
        <v>0</v>
      </c>
      <c r="G86" s="472"/>
      <c r="H86" s="251">
        <v>0.26</v>
      </c>
      <c r="I86" s="251"/>
      <c r="J86" s="251">
        <v>0.26</v>
      </c>
      <c r="K86" s="251"/>
      <c r="L86" s="251">
        <v>0</v>
      </c>
      <c r="M86" s="251"/>
      <c r="N86" s="251">
        <v>0</v>
      </c>
      <c r="P86" s="662" t="s">
        <v>2276</v>
      </c>
      <c r="R86" s="667">
        <v>5</v>
      </c>
    </row>
    <row r="87" spans="1:18" s="487" customFormat="1">
      <c r="B87" s="483"/>
      <c r="C87" s="484"/>
      <c r="D87" s="485" t="s">
        <v>2286</v>
      </c>
      <c r="E87" s="486"/>
      <c r="F87" s="486">
        <v>0</v>
      </c>
      <c r="H87" s="251">
        <v>14.06</v>
      </c>
      <c r="I87" s="251"/>
      <c r="J87" s="251">
        <v>14.06</v>
      </c>
      <c r="K87" s="251"/>
      <c r="L87" s="251">
        <v>0</v>
      </c>
      <c r="M87" s="251"/>
      <c r="N87" s="251">
        <v>0</v>
      </c>
      <c r="O87" s="670"/>
      <c r="P87" s="671" t="s">
        <v>2276</v>
      </c>
      <c r="Q87" s="670"/>
      <c r="R87" s="667">
        <v>4.0000002175966491</v>
      </c>
    </row>
    <row r="88" spans="1:18">
      <c r="A88" s="472"/>
      <c r="B88" s="478"/>
      <c r="C88" s="476"/>
      <c r="D88" s="479" t="s">
        <v>2287</v>
      </c>
      <c r="E88" s="477"/>
      <c r="F88" s="480">
        <v>0</v>
      </c>
      <c r="G88" s="472"/>
      <c r="H88" s="251">
        <v>0</v>
      </c>
      <c r="I88" s="251"/>
      <c r="J88" s="251">
        <v>0</v>
      </c>
      <c r="K88" s="251"/>
      <c r="L88" s="251">
        <v>0</v>
      </c>
      <c r="M88" s="251"/>
      <c r="N88" s="251">
        <v>0</v>
      </c>
      <c r="P88" s="661" t="s">
        <v>2276</v>
      </c>
      <c r="R88" s="667">
        <v>0</v>
      </c>
    </row>
    <row r="89" spans="1:18">
      <c r="A89" s="472"/>
      <c r="B89" s="472"/>
      <c r="C89" s="476"/>
      <c r="D89" s="481" t="s">
        <v>2288</v>
      </c>
      <c r="E89" s="477"/>
      <c r="F89" s="480">
        <v>0</v>
      </c>
      <c r="G89" s="472"/>
      <c r="H89" s="251">
        <v>0</v>
      </c>
      <c r="I89" s="251"/>
      <c r="J89" s="251">
        <v>0</v>
      </c>
      <c r="K89" s="251"/>
      <c r="L89" s="251">
        <v>0</v>
      </c>
      <c r="M89" s="251"/>
      <c r="N89" s="251">
        <v>0</v>
      </c>
      <c r="P89" s="661" t="s">
        <v>2276</v>
      </c>
      <c r="R89" s="667">
        <v>0</v>
      </c>
    </row>
    <row r="90" spans="1:18">
      <c r="A90" s="472"/>
      <c r="B90" s="478"/>
      <c r="C90" s="476"/>
      <c r="D90" s="481" t="s">
        <v>2289</v>
      </c>
      <c r="E90" s="480"/>
      <c r="F90" s="480">
        <v>0</v>
      </c>
      <c r="G90" s="472"/>
      <c r="H90" s="251">
        <v>0</v>
      </c>
      <c r="I90" s="251"/>
      <c r="J90" s="251">
        <v>0</v>
      </c>
      <c r="K90" s="251"/>
      <c r="L90" s="251">
        <v>0</v>
      </c>
      <c r="M90" s="251"/>
      <c r="N90" s="251">
        <v>0</v>
      </c>
      <c r="P90" s="661" t="s">
        <v>2276</v>
      </c>
      <c r="R90" s="667">
        <v>0</v>
      </c>
    </row>
    <row r="91" spans="1:18">
      <c r="A91" s="472"/>
      <c r="B91" s="478"/>
      <c r="C91" s="476"/>
      <c r="D91" s="482" t="s">
        <v>2290</v>
      </c>
      <c r="E91" s="480"/>
      <c r="F91" s="480">
        <v>0</v>
      </c>
      <c r="G91" s="472"/>
      <c r="H91" s="251">
        <v>0</v>
      </c>
      <c r="I91" s="251"/>
      <c r="J91" s="251">
        <v>0</v>
      </c>
      <c r="K91" s="251"/>
      <c r="L91" s="251">
        <v>0</v>
      </c>
      <c r="M91" s="251"/>
      <c r="N91" s="251">
        <v>0</v>
      </c>
      <c r="P91" s="662" t="s">
        <v>2276</v>
      </c>
      <c r="R91" s="663">
        <v>0</v>
      </c>
    </row>
    <row r="92" spans="1:18">
      <c r="A92" s="472"/>
      <c r="B92" s="478"/>
      <c r="C92" s="476"/>
      <c r="D92" s="482"/>
      <c r="E92" s="480"/>
      <c r="F92" s="480"/>
      <c r="G92" s="472"/>
      <c r="H92" s="251"/>
      <c r="I92" s="251"/>
      <c r="J92" s="251"/>
      <c r="K92" s="251"/>
      <c r="L92" s="251"/>
      <c r="M92" s="251"/>
      <c r="N92" s="251"/>
      <c r="P92" s="662"/>
      <c r="R92" s="663"/>
    </row>
    <row r="93" spans="1:18">
      <c r="A93" s="472"/>
      <c r="B93" s="478"/>
      <c r="C93" s="476"/>
      <c r="D93" s="482" t="s">
        <v>2291</v>
      </c>
      <c r="E93" s="480"/>
      <c r="F93" s="480"/>
      <c r="G93" s="472"/>
      <c r="H93" s="251">
        <v>12.876460749905341</v>
      </c>
      <c r="I93" s="251"/>
      <c r="J93" s="251"/>
      <c r="K93" s="251"/>
      <c r="L93" s="251"/>
      <c r="M93" s="251"/>
      <c r="N93" s="251"/>
      <c r="P93" s="662"/>
      <c r="R93" s="663">
        <v>3.63</v>
      </c>
    </row>
    <row r="94" spans="1:18">
      <c r="A94" s="472"/>
      <c r="B94" s="478"/>
      <c r="C94" s="476"/>
      <c r="D94" s="482"/>
      <c r="E94" s="480"/>
      <c r="F94" s="480"/>
      <c r="G94" s="472"/>
      <c r="H94" s="251"/>
      <c r="I94" s="251"/>
      <c r="J94" s="251"/>
      <c r="K94" s="251"/>
      <c r="L94" s="251"/>
      <c r="M94" s="251"/>
      <c r="N94" s="251"/>
      <c r="P94" s="662"/>
      <c r="R94" s="663"/>
    </row>
    <row r="95" spans="1:18">
      <c r="A95" s="472"/>
      <c r="B95" s="478">
        <v>312.2</v>
      </c>
      <c r="C95" s="476"/>
      <c r="D95" s="479" t="s">
        <v>2292</v>
      </c>
      <c r="E95" s="480"/>
      <c r="F95" s="480"/>
      <c r="G95" s="472"/>
      <c r="H95" s="251"/>
      <c r="I95" s="251"/>
      <c r="J95" s="251"/>
      <c r="K95" s="251"/>
      <c r="L95" s="251"/>
      <c r="M95" s="251"/>
      <c r="N95" s="251"/>
      <c r="P95" s="662"/>
      <c r="R95" s="663"/>
    </row>
    <row r="96" spans="1:18">
      <c r="A96" s="472"/>
      <c r="B96" s="478"/>
      <c r="C96" s="476"/>
      <c r="D96" s="479" t="s">
        <v>1284</v>
      </c>
      <c r="E96" s="477"/>
      <c r="F96" s="480">
        <v>-10</v>
      </c>
      <c r="G96" s="472"/>
      <c r="H96" s="251">
        <v>0</v>
      </c>
      <c r="I96" s="251"/>
      <c r="J96" s="251">
        <v>0</v>
      </c>
      <c r="K96" s="251"/>
      <c r="L96" s="251">
        <v>0</v>
      </c>
      <c r="M96" s="251"/>
      <c r="N96" s="251">
        <v>0</v>
      </c>
      <c r="P96" s="661" t="s">
        <v>2281</v>
      </c>
      <c r="R96" s="663">
        <v>0</v>
      </c>
    </row>
    <row r="97" spans="1:18">
      <c r="A97" s="472"/>
      <c r="B97" s="478"/>
      <c r="C97" s="476"/>
      <c r="D97" s="479" t="s">
        <v>1285</v>
      </c>
      <c r="E97" s="477"/>
      <c r="F97" s="480">
        <v>-10</v>
      </c>
      <c r="G97" s="472"/>
      <c r="H97" s="251">
        <v>0</v>
      </c>
      <c r="I97" s="251"/>
      <c r="J97" s="251">
        <v>0</v>
      </c>
      <c r="K97" s="251"/>
      <c r="L97" s="251">
        <v>0</v>
      </c>
      <c r="M97" s="251"/>
      <c r="N97" s="251">
        <v>0</v>
      </c>
      <c r="P97" s="661" t="s">
        <v>2281</v>
      </c>
      <c r="R97" s="663">
        <v>0</v>
      </c>
    </row>
    <row r="98" spans="1:18">
      <c r="A98" s="472"/>
      <c r="B98" s="472"/>
      <c r="C98" s="476"/>
      <c r="D98" s="481" t="s">
        <v>1286</v>
      </c>
      <c r="E98" s="477"/>
      <c r="F98" s="480">
        <v>-10</v>
      </c>
      <c r="G98" s="472"/>
      <c r="H98" s="251">
        <v>0</v>
      </c>
      <c r="I98" s="251"/>
      <c r="J98" s="251">
        <v>0</v>
      </c>
      <c r="K98" s="251"/>
      <c r="L98" s="251">
        <v>0</v>
      </c>
      <c r="M98" s="251"/>
      <c r="N98" s="251">
        <v>0</v>
      </c>
      <c r="P98" s="661" t="s">
        <v>2281</v>
      </c>
      <c r="R98" s="663">
        <v>0</v>
      </c>
    </row>
    <row r="99" spans="1:18">
      <c r="A99" s="472"/>
      <c r="B99" s="478"/>
      <c r="C99" s="476"/>
      <c r="D99" s="481" t="s">
        <v>1287</v>
      </c>
      <c r="E99" s="480"/>
      <c r="F99" s="480">
        <v>-10</v>
      </c>
      <c r="G99" s="472"/>
      <c r="H99" s="251">
        <v>0</v>
      </c>
      <c r="I99" s="251"/>
      <c r="J99" s="251">
        <v>0</v>
      </c>
      <c r="K99" s="251"/>
      <c r="L99" s="251">
        <v>0</v>
      </c>
      <c r="M99" s="251"/>
      <c r="N99" s="251">
        <v>0</v>
      </c>
      <c r="P99" s="662" t="s">
        <v>2281</v>
      </c>
      <c r="R99" s="663">
        <v>0</v>
      </c>
    </row>
    <row r="100" spans="1:18" s="487" customFormat="1">
      <c r="A100" s="472"/>
      <c r="B100" s="478"/>
      <c r="C100" s="476"/>
      <c r="D100" s="481" t="s">
        <v>1288</v>
      </c>
      <c r="E100" s="480"/>
      <c r="F100" s="480">
        <v>-10</v>
      </c>
      <c r="G100" s="472"/>
      <c r="H100" s="251">
        <v>0</v>
      </c>
      <c r="I100" s="251"/>
      <c r="J100" s="251">
        <v>0</v>
      </c>
      <c r="K100" s="251"/>
      <c r="L100" s="251">
        <v>0</v>
      </c>
      <c r="M100" s="251"/>
      <c r="N100" s="251">
        <v>0</v>
      </c>
      <c r="O100" s="661"/>
      <c r="P100" s="661" t="s">
        <v>2281</v>
      </c>
      <c r="Q100" s="661"/>
      <c r="R100" s="663">
        <v>0</v>
      </c>
    </row>
    <row r="101" spans="1:18">
      <c r="A101" s="487"/>
      <c r="B101" s="488"/>
      <c r="C101" s="484"/>
      <c r="D101" s="485" t="s">
        <v>1293</v>
      </c>
      <c r="E101" s="486"/>
      <c r="F101" s="486">
        <v>-10</v>
      </c>
      <c r="G101" s="487"/>
      <c r="H101" s="251">
        <v>0</v>
      </c>
      <c r="I101" s="251"/>
      <c r="J101" s="251">
        <v>0</v>
      </c>
      <c r="K101" s="251"/>
      <c r="L101" s="251">
        <v>0</v>
      </c>
      <c r="M101" s="251"/>
      <c r="N101" s="251">
        <v>0</v>
      </c>
      <c r="O101" s="670"/>
      <c r="P101" s="670" t="s">
        <v>2281</v>
      </c>
      <c r="Q101" s="670"/>
      <c r="R101" s="663">
        <v>0</v>
      </c>
    </row>
    <row r="102" spans="1:18">
      <c r="A102" s="472"/>
      <c r="B102" s="478"/>
      <c r="C102" s="476"/>
      <c r="D102" s="482"/>
      <c r="E102" s="480"/>
      <c r="F102" s="480"/>
      <c r="G102" s="472"/>
      <c r="H102" s="251"/>
      <c r="I102" s="251"/>
      <c r="J102" s="251"/>
      <c r="K102" s="251"/>
      <c r="L102" s="251"/>
      <c r="M102" s="251"/>
      <c r="N102" s="251"/>
      <c r="P102" s="662"/>
      <c r="R102" s="672"/>
    </row>
    <row r="103" spans="1:18">
      <c r="A103" s="472">
        <v>312</v>
      </c>
      <c r="B103" s="478"/>
      <c r="C103" s="476"/>
      <c r="D103" s="482" t="s">
        <v>1305</v>
      </c>
      <c r="E103" s="480"/>
      <c r="F103" s="278" t="s">
        <v>2336</v>
      </c>
      <c r="G103" s="472"/>
      <c r="H103" s="251">
        <v>2.83</v>
      </c>
      <c r="I103" s="251"/>
      <c r="J103" s="251"/>
      <c r="K103" s="251"/>
      <c r="L103" s="251"/>
      <c r="M103" s="251"/>
      <c r="N103" s="251"/>
      <c r="P103" s="664" t="s">
        <v>2399</v>
      </c>
      <c r="R103" s="665" t="s">
        <v>2713</v>
      </c>
    </row>
    <row r="104" spans="1:18">
      <c r="A104" s="272"/>
      <c r="B104" s="248"/>
      <c r="C104" s="249"/>
      <c r="D104" s="254"/>
      <c r="E104" s="249"/>
      <c r="F104" s="250"/>
      <c r="G104" s="249"/>
      <c r="H104" s="251"/>
      <c r="I104" s="251"/>
      <c r="J104" s="251"/>
      <c r="K104" s="251"/>
      <c r="L104" s="251"/>
      <c r="M104" s="251"/>
      <c r="N104" s="251"/>
      <c r="O104" s="251"/>
      <c r="P104" s="251"/>
      <c r="Q104" s="251"/>
      <c r="R104" s="251"/>
    </row>
    <row r="105" spans="1:18">
      <c r="A105" s="272"/>
      <c r="B105" s="248">
        <v>314</v>
      </c>
      <c r="C105" s="249"/>
      <c r="D105" s="249" t="s">
        <v>1306</v>
      </c>
      <c r="E105" s="249"/>
      <c r="F105" s="250"/>
      <c r="G105" s="249"/>
      <c r="H105" s="251"/>
      <c r="I105" s="251"/>
      <c r="J105" s="251"/>
      <c r="K105" s="251"/>
      <c r="L105" s="251"/>
      <c r="M105" s="251"/>
      <c r="N105" s="251"/>
      <c r="O105" s="251"/>
      <c r="P105" s="251"/>
      <c r="Q105" s="251"/>
      <c r="R105" s="251"/>
    </row>
    <row r="106" spans="1:18">
      <c r="A106" s="272"/>
      <c r="B106" s="248"/>
      <c r="C106" s="249"/>
      <c r="D106" s="669" t="s">
        <v>1281</v>
      </c>
      <c r="E106" s="249"/>
      <c r="F106" s="659">
        <v>-13</v>
      </c>
      <c r="G106" s="249"/>
      <c r="H106" s="251">
        <v>2.14</v>
      </c>
      <c r="I106" s="251"/>
      <c r="J106" s="251">
        <v>1.9000000000000001</v>
      </c>
      <c r="K106" s="251"/>
      <c r="L106" s="251">
        <v>0.32</v>
      </c>
      <c r="M106" s="251"/>
      <c r="N106" s="251">
        <v>-0.08</v>
      </c>
      <c r="O106" s="251"/>
      <c r="P106" s="660" t="s">
        <v>1373</v>
      </c>
      <c r="Q106" s="251"/>
      <c r="R106" s="251">
        <v>41.504250401047372</v>
      </c>
    </row>
    <row r="107" spans="1:18">
      <c r="A107" s="272"/>
      <c r="B107" s="248"/>
      <c r="C107" s="249"/>
      <c r="D107" s="669" t="s">
        <v>1289</v>
      </c>
      <c r="E107" s="249"/>
      <c r="F107" s="659">
        <v>-6</v>
      </c>
      <c r="G107" s="249"/>
      <c r="H107" s="251">
        <v>2.52</v>
      </c>
      <c r="I107" s="251"/>
      <c r="J107" s="251">
        <v>2.3800000000000003</v>
      </c>
      <c r="K107" s="251"/>
      <c r="L107" s="251">
        <v>0.24</v>
      </c>
      <c r="M107" s="251"/>
      <c r="N107" s="251">
        <v>-0.1</v>
      </c>
      <c r="O107" s="251"/>
      <c r="P107" s="660" t="s">
        <v>1373</v>
      </c>
      <c r="Q107" s="251"/>
      <c r="R107" s="251">
        <v>1.1699980140825932</v>
      </c>
    </row>
    <row r="108" spans="1:18">
      <c r="A108" s="272"/>
      <c r="B108" s="248"/>
      <c r="C108" s="249"/>
      <c r="D108" s="669" t="s">
        <v>1290</v>
      </c>
      <c r="E108" s="249"/>
      <c r="F108" s="659">
        <v>-6</v>
      </c>
      <c r="G108" s="249"/>
      <c r="H108" s="251">
        <v>1.62</v>
      </c>
      <c r="I108" s="251"/>
      <c r="J108" s="251">
        <v>1.5300000000000002</v>
      </c>
      <c r="K108" s="251"/>
      <c r="L108" s="251">
        <v>0.15</v>
      </c>
      <c r="M108" s="251"/>
      <c r="N108" s="251">
        <v>-0.06</v>
      </c>
      <c r="O108" s="251"/>
      <c r="P108" s="660" t="s">
        <v>1373</v>
      </c>
      <c r="Q108" s="251"/>
      <c r="R108" s="251">
        <v>1.16999855983006</v>
      </c>
    </row>
    <row r="109" spans="1:18">
      <c r="A109" s="272"/>
      <c r="B109" s="248"/>
      <c r="C109" s="249"/>
      <c r="D109" s="669" t="s">
        <v>1291</v>
      </c>
      <c r="E109" s="249"/>
      <c r="F109" s="659">
        <v>-6</v>
      </c>
      <c r="G109" s="249"/>
      <c r="H109" s="251">
        <v>5.29</v>
      </c>
      <c r="I109" s="251"/>
      <c r="J109" s="251">
        <v>4.99</v>
      </c>
      <c r="K109" s="251"/>
      <c r="L109" s="251">
        <v>0.5</v>
      </c>
      <c r="M109" s="251"/>
      <c r="N109" s="251">
        <v>-0.2</v>
      </c>
      <c r="O109" s="251"/>
      <c r="P109" s="660" t="s">
        <v>1373</v>
      </c>
      <c r="Q109" s="251"/>
      <c r="R109" s="251">
        <v>16.579757541235328</v>
      </c>
    </row>
    <row r="110" spans="1:18">
      <c r="A110" s="272"/>
      <c r="B110" s="248"/>
      <c r="C110" s="249"/>
      <c r="D110" s="669" t="s">
        <v>1295</v>
      </c>
      <c r="E110" s="249"/>
      <c r="F110" s="659">
        <v>-8</v>
      </c>
      <c r="G110" s="249"/>
      <c r="H110" s="251">
        <v>3.34</v>
      </c>
      <c r="I110" s="251"/>
      <c r="J110" s="251">
        <v>3.09</v>
      </c>
      <c r="K110" s="251"/>
      <c r="L110" s="251">
        <v>0.37</v>
      </c>
      <c r="M110" s="251"/>
      <c r="N110" s="251">
        <v>-0.12</v>
      </c>
      <c r="O110" s="251"/>
      <c r="P110" s="660" t="s">
        <v>1373</v>
      </c>
      <c r="Q110" s="251"/>
      <c r="R110" s="251">
        <v>15.721387018759396</v>
      </c>
    </row>
    <row r="111" spans="1:18">
      <c r="A111" s="272"/>
      <c r="B111" s="248"/>
      <c r="C111" s="249"/>
      <c r="D111" s="669" t="s">
        <v>1296</v>
      </c>
      <c r="E111" s="249"/>
      <c r="F111" s="659">
        <v>-8</v>
      </c>
      <c r="G111" s="249"/>
      <c r="H111" s="251">
        <v>2.62</v>
      </c>
      <c r="I111" s="251"/>
      <c r="J111" s="251">
        <v>2.4300000000000002</v>
      </c>
      <c r="K111" s="251"/>
      <c r="L111" s="251">
        <v>0.28999999999999998</v>
      </c>
      <c r="M111" s="251"/>
      <c r="N111" s="251">
        <v>-0.1</v>
      </c>
      <c r="O111" s="251"/>
      <c r="P111" s="660" t="s">
        <v>1373</v>
      </c>
      <c r="Q111" s="251"/>
      <c r="R111" s="251">
        <v>15.316435750465159</v>
      </c>
    </row>
    <row r="112" spans="1:18">
      <c r="A112" s="272"/>
      <c r="B112" s="248"/>
      <c r="C112" s="249"/>
      <c r="D112" s="669" t="s">
        <v>1297</v>
      </c>
      <c r="E112" s="249"/>
      <c r="F112" s="659">
        <v>-8</v>
      </c>
      <c r="G112" s="249"/>
      <c r="H112" s="251">
        <v>2.12</v>
      </c>
      <c r="I112" s="251"/>
      <c r="J112" s="251">
        <v>1.9600000000000002</v>
      </c>
      <c r="K112" s="251"/>
      <c r="L112" s="251">
        <v>0.24</v>
      </c>
      <c r="M112" s="251"/>
      <c r="N112" s="251">
        <v>-0.08</v>
      </c>
      <c r="O112" s="251"/>
      <c r="P112" s="660" t="s">
        <v>1373</v>
      </c>
      <c r="Q112" s="251"/>
      <c r="R112" s="251">
        <v>17.897442118620596</v>
      </c>
    </row>
    <row r="113" spans="1:18">
      <c r="A113" s="272"/>
      <c r="B113" s="248"/>
      <c r="C113" s="256"/>
      <c r="D113" s="669" t="s">
        <v>1298</v>
      </c>
      <c r="E113" s="239"/>
      <c r="F113" s="659">
        <v>-8</v>
      </c>
      <c r="G113" s="239"/>
      <c r="H113" s="251">
        <v>2.64</v>
      </c>
      <c r="I113" s="251"/>
      <c r="J113" s="251">
        <v>2.4500000000000002</v>
      </c>
      <c r="K113" s="251"/>
      <c r="L113" s="251">
        <v>0.28999999999999998</v>
      </c>
      <c r="M113" s="251"/>
      <c r="N113" s="251">
        <v>-0.1</v>
      </c>
      <c r="O113" s="251"/>
      <c r="P113" s="660" t="s">
        <v>1373</v>
      </c>
      <c r="Q113" s="251"/>
      <c r="R113" s="251">
        <v>18.846899429588031</v>
      </c>
    </row>
    <row r="114" spans="1:18">
      <c r="A114" s="272"/>
      <c r="B114" s="248"/>
      <c r="C114" s="249"/>
      <c r="D114" s="249"/>
      <c r="E114" s="249"/>
      <c r="F114" s="250"/>
      <c r="G114" s="249"/>
      <c r="H114" s="251"/>
      <c r="I114" s="251"/>
      <c r="J114" s="251"/>
      <c r="K114" s="251"/>
      <c r="L114" s="251"/>
      <c r="M114" s="251"/>
      <c r="N114" s="251"/>
      <c r="O114" s="251"/>
      <c r="P114" s="251"/>
      <c r="Q114" s="251"/>
      <c r="R114" s="251"/>
    </row>
    <row r="115" spans="1:18">
      <c r="A115" s="272">
        <v>314</v>
      </c>
      <c r="B115" s="248"/>
      <c r="C115" s="249"/>
      <c r="D115" s="254" t="s">
        <v>1307</v>
      </c>
      <c r="E115" s="249"/>
      <c r="F115" s="278" t="s">
        <v>2714</v>
      </c>
      <c r="G115" s="249"/>
      <c r="H115" s="251">
        <v>2.8349996636740951</v>
      </c>
      <c r="I115" s="251"/>
      <c r="J115" s="251"/>
      <c r="K115" s="251"/>
      <c r="L115" s="251"/>
      <c r="M115" s="251"/>
      <c r="N115" s="251"/>
      <c r="O115" s="251"/>
      <c r="P115" s="251"/>
      <c r="Q115" s="251"/>
      <c r="R115" s="251">
        <v>21.04</v>
      </c>
    </row>
    <row r="116" spans="1:18">
      <c r="A116" s="272"/>
      <c r="B116" s="248"/>
      <c r="C116" s="249"/>
      <c r="D116" s="254"/>
      <c r="E116" s="249"/>
      <c r="F116" s="278"/>
      <c r="G116" s="249"/>
      <c r="H116" s="251"/>
      <c r="I116" s="251"/>
      <c r="J116" s="251"/>
      <c r="K116" s="251"/>
      <c r="L116" s="251"/>
      <c r="M116" s="251"/>
      <c r="N116" s="251"/>
      <c r="O116" s="251"/>
      <c r="P116" s="251"/>
      <c r="Q116" s="251"/>
      <c r="R116" s="251"/>
    </row>
    <row r="117" spans="1:18">
      <c r="A117" s="472"/>
      <c r="B117" s="478">
        <v>314.10000000000002</v>
      </c>
      <c r="C117" s="476"/>
      <c r="D117" s="479" t="s">
        <v>2293</v>
      </c>
      <c r="E117" s="480"/>
      <c r="F117" s="480"/>
      <c r="G117" s="472"/>
      <c r="H117" s="251"/>
      <c r="I117" s="251"/>
      <c r="J117" s="251"/>
      <c r="K117" s="251"/>
      <c r="L117" s="251"/>
      <c r="M117" s="251"/>
      <c r="N117" s="251"/>
      <c r="P117" s="662"/>
      <c r="R117" s="663"/>
    </row>
    <row r="118" spans="1:18">
      <c r="A118" s="472"/>
      <c r="B118" s="478"/>
      <c r="C118" s="476"/>
      <c r="D118" s="481" t="s">
        <v>1284</v>
      </c>
      <c r="E118" s="480"/>
      <c r="F118" s="673">
        <v>0</v>
      </c>
      <c r="G118" s="674"/>
      <c r="H118" s="251">
        <v>0</v>
      </c>
      <c r="I118" s="251"/>
      <c r="J118" s="251">
        <v>0</v>
      </c>
      <c r="K118" s="251"/>
      <c r="L118" s="251">
        <v>0</v>
      </c>
      <c r="M118" s="251"/>
      <c r="N118" s="251">
        <v>0</v>
      </c>
      <c r="R118" s="663">
        <v>0</v>
      </c>
    </row>
    <row r="119" spans="1:18">
      <c r="A119" s="472"/>
      <c r="B119" s="478"/>
      <c r="C119" s="476"/>
      <c r="D119" s="481" t="s">
        <v>1285</v>
      </c>
      <c r="E119" s="480"/>
      <c r="F119" s="673">
        <v>0</v>
      </c>
      <c r="G119" s="674"/>
      <c r="H119" s="251">
        <v>0</v>
      </c>
      <c r="I119" s="251"/>
      <c r="J119" s="251">
        <v>0</v>
      </c>
      <c r="K119" s="251"/>
      <c r="L119" s="251">
        <v>0</v>
      </c>
      <c r="M119" s="251"/>
      <c r="N119" s="251">
        <v>0</v>
      </c>
      <c r="R119" s="663">
        <v>0</v>
      </c>
    </row>
    <row r="120" spans="1:18">
      <c r="A120" s="472"/>
      <c r="B120" s="478"/>
      <c r="C120" s="476"/>
      <c r="D120" s="481" t="s">
        <v>1286</v>
      </c>
      <c r="E120" s="480"/>
      <c r="F120" s="673">
        <v>0</v>
      </c>
      <c r="G120" s="674"/>
      <c r="H120" s="251">
        <v>0</v>
      </c>
      <c r="I120" s="251"/>
      <c r="J120" s="251">
        <v>0</v>
      </c>
      <c r="K120" s="251"/>
      <c r="L120" s="251">
        <v>0</v>
      </c>
      <c r="M120" s="251"/>
      <c r="N120" s="251">
        <v>0</v>
      </c>
      <c r="R120" s="663">
        <v>0</v>
      </c>
    </row>
    <row r="121" spans="1:18">
      <c r="A121" s="472"/>
      <c r="B121" s="478"/>
      <c r="C121" s="476"/>
      <c r="D121" s="481" t="s">
        <v>1287</v>
      </c>
      <c r="E121" s="480"/>
      <c r="F121" s="673">
        <v>0</v>
      </c>
      <c r="G121" s="674"/>
      <c r="H121" s="251">
        <v>0</v>
      </c>
      <c r="I121" s="251"/>
      <c r="J121" s="251">
        <v>0</v>
      </c>
      <c r="K121" s="251"/>
      <c r="L121" s="251">
        <v>0</v>
      </c>
      <c r="M121" s="251"/>
      <c r="N121" s="251">
        <v>0</v>
      </c>
      <c r="R121" s="663">
        <v>0</v>
      </c>
    </row>
    <row r="122" spans="1:18">
      <c r="A122" s="472"/>
      <c r="B122" s="478"/>
      <c r="C122" s="476"/>
      <c r="D122" s="482"/>
      <c r="E122" s="480"/>
      <c r="F122" s="673"/>
      <c r="G122" s="674"/>
      <c r="H122" s="251"/>
      <c r="I122" s="251"/>
      <c r="J122" s="251"/>
      <c r="K122" s="251"/>
      <c r="L122" s="251"/>
      <c r="M122" s="251"/>
      <c r="N122" s="251"/>
      <c r="R122" s="663"/>
    </row>
    <row r="123" spans="1:18">
      <c r="A123" s="472"/>
      <c r="B123" s="478"/>
      <c r="C123" s="476"/>
      <c r="D123" s="482" t="s">
        <v>2294</v>
      </c>
      <c r="E123" s="480"/>
      <c r="F123" s="673">
        <v>0</v>
      </c>
      <c r="G123" s="674"/>
      <c r="H123" s="251">
        <v>0</v>
      </c>
      <c r="I123" s="251"/>
      <c r="J123" s="251">
        <v>0</v>
      </c>
      <c r="K123" s="251"/>
      <c r="L123" s="251">
        <v>0</v>
      </c>
      <c r="M123" s="251"/>
      <c r="N123" s="251">
        <v>0</v>
      </c>
      <c r="R123" s="663">
        <v>0</v>
      </c>
    </row>
    <row r="124" spans="1:18">
      <c r="A124" s="272"/>
      <c r="B124" s="248"/>
      <c r="C124" s="249"/>
      <c r="D124" s="249"/>
      <c r="E124" s="249"/>
      <c r="F124" s="250"/>
      <c r="G124" s="249"/>
      <c r="H124" s="251"/>
      <c r="I124" s="251"/>
      <c r="J124" s="251"/>
      <c r="K124" s="251"/>
      <c r="L124" s="251"/>
      <c r="M124" s="251"/>
      <c r="N124" s="251"/>
      <c r="O124" s="251"/>
      <c r="P124" s="251"/>
      <c r="Q124" s="251"/>
      <c r="R124" s="251"/>
    </row>
    <row r="125" spans="1:18">
      <c r="A125" s="272"/>
      <c r="B125" s="248">
        <v>315</v>
      </c>
      <c r="C125" s="249"/>
      <c r="D125" s="249" t="s">
        <v>1308</v>
      </c>
      <c r="E125" s="249"/>
      <c r="F125" s="250"/>
      <c r="G125" s="249"/>
      <c r="H125" s="251"/>
      <c r="I125" s="251"/>
      <c r="J125" s="251"/>
      <c r="K125" s="251"/>
      <c r="L125" s="251"/>
      <c r="M125" s="251"/>
      <c r="N125" s="251"/>
      <c r="O125" s="251"/>
      <c r="P125" s="251"/>
      <c r="Q125" s="251"/>
      <c r="R125" s="251"/>
    </row>
    <row r="126" spans="1:18">
      <c r="A126" s="272"/>
      <c r="B126" s="248"/>
      <c r="C126" s="249"/>
      <c r="D126" s="666" t="s">
        <v>1281</v>
      </c>
      <c r="E126" s="249"/>
      <c r="F126" s="659">
        <v>-13</v>
      </c>
      <c r="G126" s="249"/>
      <c r="H126" s="667">
        <v>1.99</v>
      </c>
      <c r="I126" s="251"/>
      <c r="J126" s="667">
        <v>1.76</v>
      </c>
      <c r="K126" s="251"/>
      <c r="L126" s="667">
        <v>0.25</v>
      </c>
      <c r="M126" s="251"/>
      <c r="N126" s="667">
        <v>-0.02</v>
      </c>
      <c r="O126" s="251"/>
      <c r="P126" s="251" t="s">
        <v>1376</v>
      </c>
      <c r="Q126" s="251"/>
      <c r="R126" s="667">
        <v>45.870628284021585</v>
      </c>
    </row>
    <row r="127" spans="1:18">
      <c r="A127" s="272"/>
      <c r="B127" s="248"/>
      <c r="C127" s="249"/>
      <c r="D127" s="666" t="s">
        <v>1282</v>
      </c>
      <c r="E127" s="249"/>
      <c r="F127" s="659">
        <v>-13</v>
      </c>
      <c r="G127" s="249"/>
      <c r="H127" s="667">
        <v>1.42</v>
      </c>
      <c r="I127" s="251"/>
      <c r="J127" s="667">
        <v>1.25</v>
      </c>
      <c r="K127" s="251"/>
      <c r="L127" s="667">
        <v>0.18</v>
      </c>
      <c r="M127" s="251"/>
      <c r="N127" s="667">
        <v>-0.01</v>
      </c>
      <c r="O127" s="251"/>
      <c r="P127" s="251" t="s">
        <v>1376</v>
      </c>
      <c r="Q127" s="251"/>
      <c r="R127" s="667">
        <v>39.939607298690994</v>
      </c>
    </row>
    <row r="128" spans="1:18">
      <c r="A128" s="272"/>
      <c r="B128" s="248"/>
      <c r="C128" s="249"/>
      <c r="D128" s="666" t="s">
        <v>1289</v>
      </c>
      <c r="E128" s="249"/>
      <c r="F128" s="659">
        <v>-6</v>
      </c>
      <c r="G128" s="249"/>
      <c r="H128" s="667">
        <v>1.24</v>
      </c>
      <c r="I128" s="251"/>
      <c r="J128" s="667">
        <v>1.17</v>
      </c>
      <c r="K128" s="251"/>
      <c r="L128" s="667">
        <v>0.08</v>
      </c>
      <c r="M128" s="251"/>
      <c r="N128" s="667">
        <v>-0.01</v>
      </c>
      <c r="O128" s="251"/>
      <c r="P128" s="251" t="s">
        <v>1376</v>
      </c>
      <c r="Q128" s="251"/>
      <c r="R128" s="667">
        <v>1.1699808047112321</v>
      </c>
    </row>
    <row r="129" spans="1:18">
      <c r="A129" s="272"/>
      <c r="B129" s="248"/>
      <c r="C129" s="249"/>
      <c r="D129" s="666" t="s">
        <v>1290</v>
      </c>
      <c r="E129" s="249"/>
      <c r="F129" s="659">
        <v>-6</v>
      </c>
      <c r="G129" s="249"/>
      <c r="H129" s="667">
        <v>2</v>
      </c>
      <c r="I129" s="251"/>
      <c r="J129" s="667">
        <v>1.8900000000000001</v>
      </c>
      <c r="K129" s="251"/>
      <c r="L129" s="667">
        <v>0.13</v>
      </c>
      <c r="M129" s="251"/>
      <c r="N129" s="667">
        <v>-0.02</v>
      </c>
      <c r="O129" s="251"/>
      <c r="P129" s="251" t="s">
        <v>1376</v>
      </c>
      <c r="Q129" s="251"/>
      <c r="R129" s="667">
        <v>1.1700150729904399</v>
      </c>
    </row>
    <row r="130" spans="1:18">
      <c r="A130" s="272"/>
      <c r="B130" s="248"/>
      <c r="C130" s="249"/>
      <c r="D130" s="666" t="s">
        <v>1291</v>
      </c>
      <c r="E130" s="249"/>
      <c r="F130" s="659">
        <v>-6</v>
      </c>
      <c r="G130" s="249"/>
      <c r="H130" s="667">
        <v>3.74</v>
      </c>
      <c r="I130" s="251"/>
      <c r="J130" s="667">
        <v>3.5300000000000002</v>
      </c>
      <c r="K130" s="251"/>
      <c r="L130" s="667">
        <v>0.25</v>
      </c>
      <c r="M130" s="251"/>
      <c r="N130" s="667">
        <v>-0.04</v>
      </c>
      <c r="O130" s="251"/>
      <c r="P130" s="251" t="s">
        <v>1376</v>
      </c>
      <c r="Q130" s="251"/>
      <c r="R130" s="667">
        <v>17.347282008997322</v>
      </c>
    </row>
    <row r="131" spans="1:18">
      <c r="A131" s="272"/>
      <c r="B131" s="248"/>
      <c r="C131" s="249"/>
      <c r="D131" s="666" t="s">
        <v>1292</v>
      </c>
      <c r="E131" s="249"/>
      <c r="F131" s="659">
        <v>-6</v>
      </c>
      <c r="G131" s="249"/>
      <c r="H131" s="667">
        <v>4.75</v>
      </c>
      <c r="I131" s="251"/>
      <c r="J131" s="667">
        <v>4.4800000000000004</v>
      </c>
      <c r="K131" s="251"/>
      <c r="L131" s="667">
        <v>0.31</v>
      </c>
      <c r="M131" s="251"/>
      <c r="N131" s="667">
        <v>-0.04</v>
      </c>
      <c r="O131" s="251"/>
      <c r="P131" s="251" t="s">
        <v>1376</v>
      </c>
      <c r="Q131" s="251"/>
      <c r="R131" s="667">
        <v>17.480009390790421</v>
      </c>
    </row>
    <row r="132" spans="1:18">
      <c r="A132" s="272"/>
      <c r="B132" s="248"/>
      <c r="C132" s="249"/>
      <c r="D132" s="666" t="s">
        <v>1294</v>
      </c>
      <c r="E132" s="249"/>
      <c r="F132" s="659">
        <v>-8</v>
      </c>
      <c r="G132" s="249"/>
      <c r="H132" s="667">
        <v>3.69</v>
      </c>
      <c r="I132" s="251"/>
      <c r="J132" s="667">
        <v>3.4099999999999997</v>
      </c>
      <c r="K132" s="251"/>
      <c r="L132" s="667">
        <v>0.31</v>
      </c>
      <c r="M132" s="251"/>
      <c r="N132" s="667">
        <v>-0.03</v>
      </c>
      <c r="O132" s="251"/>
      <c r="P132" s="251" t="s">
        <v>1376</v>
      </c>
      <c r="Q132" s="251"/>
      <c r="R132" s="667">
        <v>16.468234507109329</v>
      </c>
    </row>
    <row r="133" spans="1:18">
      <c r="A133" s="272"/>
      <c r="B133" s="248"/>
      <c r="C133" s="249"/>
      <c r="D133" s="666" t="s">
        <v>1295</v>
      </c>
      <c r="E133" s="249"/>
      <c r="F133" s="659">
        <v>-8</v>
      </c>
      <c r="G133" s="249"/>
      <c r="H133" s="667">
        <v>2.37</v>
      </c>
      <c r="I133" s="251"/>
      <c r="J133" s="667">
        <v>2.19</v>
      </c>
      <c r="K133" s="251"/>
      <c r="L133" s="667">
        <v>0.2</v>
      </c>
      <c r="M133" s="251"/>
      <c r="N133" s="667">
        <v>-0.02</v>
      </c>
      <c r="O133" s="251"/>
      <c r="P133" s="251" t="s">
        <v>1376</v>
      </c>
      <c r="Q133" s="251"/>
      <c r="R133" s="667">
        <v>16.254777418637662</v>
      </c>
    </row>
    <row r="134" spans="1:18">
      <c r="A134" s="272"/>
      <c r="B134" s="248"/>
      <c r="C134" s="249"/>
      <c r="D134" s="666" t="s">
        <v>1296</v>
      </c>
      <c r="E134" s="249"/>
      <c r="F134" s="659">
        <v>-8</v>
      </c>
      <c r="G134" s="249"/>
      <c r="H134" s="667">
        <v>1.66</v>
      </c>
      <c r="I134" s="251"/>
      <c r="J134" s="667">
        <v>1.54</v>
      </c>
      <c r="K134" s="251"/>
      <c r="L134" s="667">
        <v>0.14000000000000001</v>
      </c>
      <c r="M134" s="251"/>
      <c r="N134" s="667">
        <v>-0.02</v>
      </c>
      <c r="O134" s="251"/>
      <c r="P134" s="251" t="s">
        <v>1376</v>
      </c>
      <c r="Q134" s="251"/>
      <c r="R134" s="667">
        <v>15.981954995530058</v>
      </c>
    </row>
    <row r="135" spans="1:18">
      <c r="A135" s="272"/>
      <c r="B135" s="248"/>
      <c r="C135" s="249"/>
      <c r="D135" s="666" t="s">
        <v>1297</v>
      </c>
      <c r="E135" s="249"/>
      <c r="F135" s="659">
        <v>-8</v>
      </c>
      <c r="G135" s="249"/>
      <c r="H135" s="667">
        <v>1.73</v>
      </c>
      <c r="I135" s="251"/>
      <c r="J135" s="667">
        <v>1.6099999999999999</v>
      </c>
      <c r="K135" s="251"/>
      <c r="L135" s="667">
        <v>0.14000000000000001</v>
      </c>
      <c r="M135" s="251"/>
      <c r="N135" s="667">
        <v>-0.02</v>
      </c>
      <c r="O135" s="251"/>
      <c r="P135" s="251" t="s">
        <v>1376</v>
      </c>
      <c r="Q135" s="251"/>
      <c r="R135" s="667">
        <v>18.816813113582807</v>
      </c>
    </row>
    <row r="136" spans="1:18">
      <c r="A136" s="272"/>
      <c r="B136" s="248"/>
      <c r="C136" s="249"/>
      <c r="D136" s="666" t="s">
        <v>1298</v>
      </c>
      <c r="E136" s="249"/>
      <c r="F136" s="659">
        <v>-8</v>
      </c>
      <c r="G136" s="249"/>
      <c r="H136" s="667">
        <v>3.56</v>
      </c>
      <c r="I136" s="251"/>
      <c r="J136" s="667">
        <v>3.29</v>
      </c>
      <c r="K136" s="251"/>
      <c r="L136" s="667">
        <v>0.3</v>
      </c>
      <c r="M136" s="251"/>
      <c r="N136" s="667">
        <v>-0.03</v>
      </c>
      <c r="O136" s="251"/>
      <c r="P136" s="251" t="s">
        <v>1376</v>
      </c>
      <c r="Q136" s="251"/>
      <c r="R136" s="667">
        <v>20.236471204617438</v>
      </c>
    </row>
    <row r="137" spans="1:18">
      <c r="A137" s="272"/>
      <c r="B137" s="248"/>
      <c r="C137" s="249"/>
      <c r="D137" s="666" t="s">
        <v>1299</v>
      </c>
      <c r="E137" s="249"/>
      <c r="F137" s="659">
        <v>-8</v>
      </c>
      <c r="G137" s="249"/>
      <c r="H137" s="667">
        <v>4.8499999999999996</v>
      </c>
      <c r="I137" s="251"/>
      <c r="J137" s="667">
        <v>4.4899999999999993</v>
      </c>
      <c r="K137" s="251"/>
      <c r="L137" s="667">
        <v>0.4</v>
      </c>
      <c r="M137" s="251"/>
      <c r="N137" s="667">
        <v>-0.04</v>
      </c>
      <c r="O137" s="251"/>
      <c r="P137" s="251" t="s">
        <v>1376</v>
      </c>
      <c r="Q137" s="251"/>
      <c r="R137" s="667">
        <v>16.480736728060673</v>
      </c>
    </row>
    <row r="138" spans="1:18">
      <c r="A138" s="272"/>
      <c r="B138" s="248"/>
      <c r="C138" s="249"/>
      <c r="D138" s="669" t="s">
        <v>1303</v>
      </c>
      <c r="E138" s="249"/>
      <c r="F138" s="659">
        <v>-8</v>
      </c>
      <c r="G138" s="249"/>
      <c r="H138" s="667">
        <v>3.66</v>
      </c>
      <c r="I138" s="251"/>
      <c r="J138" s="667">
        <v>3.38</v>
      </c>
      <c r="K138" s="251"/>
      <c r="L138" s="667">
        <v>0.31</v>
      </c>
      <c r="M138" s="251"/>
      <c r="N138" s="667">
        <v>-0.03</v>
      </c>
      <c r="O138" s="251"/>
      <c r="P138" s="251" t="s">
        <v>1376</v>
      </c>
      <c r="Q138" s="251"/>
      <c r="R138" s="667">
        <v>19.442161796825211</v>
      </c>
    </row>
    <row r="139" spans="1:18">
      <c r="A139" s="272"/>
      <c r="B139" s="248"/>
      <c r="C139" s="249"/>
      <c r="D139" s="669" t="s">
        <v>1304</v>
      </c>
      <c r="E139" s="249"/>
      <c r="F139" s="659">
        <v>-8</v>
      </c>
      <c r="G139" s="249"/>
      <c r="H139" s="667">
        <v>4.1500000000000004</v>
      </c>
      <c r="I139" s="251"/>
      <c r="J139" s="667">
        <v>3.8400000000000003</v>
      </c>
      <c r="K139" s="251"/>
      <c r="L139" s="667">
        <v>0.35</v>
      </c>
      <c r="M139" s="251"/>
      <c r="N139" s="667">
        <v>-0.04</v>
      </c>
      <c r="O139" s="251"/>
      <c r="P139" s="251" t="s">
        <v>1376</v>
      </c>
      <c r="Q139" s="251"/>
      <c r="R139" s="667">
        <v>20.469995597521262</v>
      </c>
    </row>
    <row r="140" spans="1:18">
      <c r="A140" s="272"/>
      <c r="B140" s="248"/>
      <c r="C140" s="249"/>
      <c r="D140" s="669"/>
      <c r="E140" s="249"/>
      <c r="F140" s="676"/>
      <c r="G140" s="249"/>
      <c r="H140" s="667"/>
      <c r="I140" s="251"/>
      <c r="J140" s="667"/>
      <c r="K140" s="251"/>
      <c r="L140" s="667"/>
      <c r="M140" s="251"/>
      <c r="N140" s="667"/>
      <c r="O140" s="251"/>
      <c r="P140" s="251"/>
      <c r="Q140" s="251"/>
      <c r="R140" s="251"/>
    </row>
    <row r="141" spans="1:18">
      <c r="A141" s="272">
        <v>315</v>
      </c>
      <c r="B141" s="248"/>
      <c r="C141" s="249"/>
      <c r="D141" s="482" t="s">
        <v>1310</v>
      </c>
      <c r="E141" s="249"/>
      <c r="F141" s="278" t="s">
        <v>2714</v>
      </c>
      <c r="G141" s="249"/>
      <c r="H141" s="251">
        <v>2.998988710100535</v>
      </c>
      <c r="I141" s="251"/>
      <c r="J141" s="251"/>
      <c r="K141" s="251"/>
      <c r="L141" s="251"/>
      <c r="M141" s="251"/>
      <c r="N141" s="251"/>
      <c r="O141" s="251"/>
      <c r="P141" s="251" t="str">
        <f>P139</f>
        <v>70-R4</v>
      </c>
      <c r="Q141" s="251"/>
      <c r="R141" s="251">
        <v>21.73</v>
      </c>
    </row>
    <row r="142" spans="1:18">
      <c r="A142" s="272"/>
      <c r="B142" s="248"/>
      <c r="C142" s="249"/>
      <c r="D142" s="254"/>
      <c r="E142" s="249"/>
      <c r="F142" s="278"/>
      <c r="G142" s="249"/>
      <c r="H142" s="251"/>
      <c r="I142" s="251"/>
      <c r="J142" s="251"/>
      <c r="K142" s="251"/>
      <c r="L142" s="251"/>
      <c r="M142" s="251"/>
      <c r="N142" s="251"/>
      <c r="O142" s="251"/>
      <c r="P142" s="251"/>
      <c r="Q142" s="251"/>
      <c r="R142" s="251"/>
    </row>
    <row r="143" spans="1:18">
      <c r="A143" s="472"/>
      <c r="B143" s="478"/>
      <c r="C143" s="476"/>
      <c r="D143" s="482"/>
      <c r="E143" s="480"/>
      <c r="F143" s="480"/>
      <c r="G143" s="472"/>
      <c r="P143" s="662"/>
      <c r="R143" s="663"/>
    </row>
    <row r="144" spans="1:18">
      <c r="A144" s="472"/>
      <c r="B144" s="478">
        <v>315.10000000000002</v>
      </c>
      <c r="C144" s="476"/>
      <c r="D144" s="479" t="s">
        <v>2296</v>
      </c>
      <c r="E144" s="480"/>
      <c r="F144" s="480"/>
      <c r="G144" s="472"/>
      <c r="P144" s="662"/>
      <c r="R144" s="663"/>
    </row>
    <row r="145" spans="1:18">
      <c r="A145" s="472"/>
      <c r="B145" s="478"/>
      <c r="C145" s="476"/>
      <c r="D145" s="479" t="s">
        <v>1284</v>
      </c>
      <c r="E145" s="477"/>
      <c r="F145" s="473">
        <v>-10</v>
      </c>
      <c r="G145" s="472"/>
      <c r="H145" s="661">
        <v>0</v>
      </c>
      <c r="J145" s="661">
        <v>0</v>
      </c>
      <c r="L145" s="661">
        <v>0</v>
      </c>
      <c r="N145" s="661">
        <v>0</v>
      </c>
      <c r="P145" s="661" t="s">
        <v>2295</v>
      </c>
      <c r="R145" s="677">
        <v>0</v>
      </c>
    </row>
    <row r="146" spans="1:18">
      <c r="A146" s="472"/>
      <c r="B146" s="478"/>
      <c r="C146" s="476"/>
      <c r="D146" s="481" t="s">
        <v>1286</v>
      </c>
      <c r="E146" s="477"/>
      <c r="F146" s="473">
        <v>-10</v>
      </c>
      <c r="G146" s="472"/>
      <c r="H146" s="661">
        <v>0</v>
      </c>
      <c r="J146" s="661">
        <v>0</v>
      </c>
      <c r="L146" s="661">
        <v>0</v>
      </c>
      <c r="N146" s="661">
        <v>0</v>
      </c>
      <c r="P146" s="661" t="s">
        <v>2295</v>
      </c>
      <c r="R146" s="677">
        <v>0</v>
      </c>
    </row>
    <row r="147" spans="1:18">
      <c r="A147" s="472"/>
      <c r="B147" s="478"/>
      <c r="C147" s="476"/>
      <c r="D147" s="481" t="s">
        <v>1287</v>
      </c>
      <c r="E147" s="480"/>
      <c r="F147" s="480">
        <v>-10</v>
      </c>
      <c r="G147" s="472"/>
      <c r="H147" s="661">
        <v>0</v>
      </c>
      <c r="J147" s="661">
        <v>0</v>
      </c>
      <c r="L147" s="661">
        <v>0</v>
      </c>
      <c r="N147" s="661">
        <v>0</v>
      </c>
      <c r="P147" s="662" t="s">
        <v>2295</v>
      </c>
      <c r="R147" s="677">
        <v>0</v>
      </c>
    </row>
    <row r="148" spans="1:18">
      <c r="A148" s="472"/>
      <c r="B148" s="478"/>
      <c r="C148" s="476"/>
      <c r="D148" s="482"/>
      <c r="E148" s="480"/>
      <c r="F148" s="480"/>
      <c r="G148" s="472"/>
      <c r="P148" s="662"/>
      <c r="R148" s="677"/>
    </row>
    <row r="149" spans="1:18">
      <c r="A149" s="472"/>
      <c r="B149" s="478"/>
      <c r="C149" s="476"/>
      <c r="D149" s="482" t="s">
        <v>2297</v>
      </c>
      <c r="E149" s="480"/>
      <c r="F149" s="490" t="s">
        <v>2336</v>
      </c>
      <c r="G149" s="472"/>
      <c r="H149" s="661">
        <v>0</v>
      </c>
      <c r="J149" s="661">
        <v>0</v>
      </c>
      <c r="L149" s="661">
        <v>0</v>
      </c>
      <c r="N149" s="661">
        <v>0</v>
      </c>
      <c r="P149" s="662"/>
      <c r="R149" s="677">
        <v>0</v>
      </c>
    </row>
    <row r="150" spans="1:18">
      <c r="A150" s="272"/>
      <c r="B150" s="248"/>
      <c r="C150" s="249"/>
      <c r="D150" s="249"/>
      <c r="E150" s="249"/>
      <c r="F150" s="250"/>
      <c r="G150" s="249"/>
      <c r="H150" s="251"/>
      <c r="I150" s="251"/>
      <c r="J150" s="251"/>
      <c r="K150" s="251"/>
      <c r="L150" s="251"/>
      <c r="M150" s="251"/>
      <c r="N150" s="251"/>
      <c r="O150" s="251"/>
      <c r="P150" s="251"/>
      <c r="Q150" s="251"/>
      <c r="R150" s="251"/>
    </row>
    <row r="151" spans="1:18">
      <c r="A151" s="272"/>
      <c r="B151" s="248">
        <v>316</v>
      </c>
      <c r="C151" s="249" t="s">
        <v>160</v>
      </c>
      <c r="D151" s="249" t="s">
        <v>2298</v>
      </c>
      <c r="E151" s="249"/>
      <c r="F151" s="250"/>
      <c r="G151" s="249"/>
      <c r="H151" s="251"/>
      <c r="I151" s="251"/>
      <c r="J151" s="251"/>
      <c r="K151" s="251"/>
      <c r="L151" s="251"/>
      <c r="M151" s="251"/>
      <c r="N151" s="251"/>
      <c r="O151" s="251"/>
      <c r="P151" s="251"/>
      <c r="Q151" s="251"/>
      <c r="R151" s="251"/>
    </row>
    <row r="152" spans="1:18">
      <c r="A152" s="272"/>
      <c r="B152" s="248"/>
      <c r="C152" s="249"/>
      <c r="D152" s="253" t="s">
        <v>1281</v>
      </c>
      <c r="E152" s="249"/>
      <c r="F152" s="250">
        <v>-13</v>
      </c>
      <c r="G152" s="249"/>
      <c r="H152" s="667">
        <v>2.2599999999999998</v>
      </c>
      <c r="I152" s="251"/>
      <c r="J152" s="667">
        <v>1.9999999999999998</v>
      </c>
      <c r="K152" s="251"/>
      <c r="L152" s="667">
        <v>0.28000000000000003</v>
      </c>
      <c r="M152" s="251"/>
      <c r="N152" s="667">
        <v>-0.02</v>
      </c>
      <c r="O152" s="251"/>
      <c r="P152" s="660" t="s">
        <v>2299</v>
      </c>
      <c r="Q152" s="251"/>
      <c r="R152" s="251">
        <v>43.661738646144499</v>
      </c>
    </row>
    <row r="153" spans="1:18">
      <c r="A153" s="272"/>
      <c r="B153" s="248"/>
      <c r="C153" s="249"/>
      <c r="D153" s="249" t="s">
        <v>1283</v>
      </c>
      <c r="E153" s="249"/>
      <c r="F153" s="250">
        <v>0</v>
      </c>
      <c r="G153" s="249"/>
      <c r="H153" s="667">
        <v>3.46</v>
      </c>
      <c r="I153" s="251"/>
      <c r="J153" s="667">
        <v>3.46</v>
      </c>
      <c r="K153" s="251"/>
      <c r="L153" s="667">
        <v>0.03</v>
      </c>
      <c r="M153" s="251"/>
      <c r="N153" s="667">
        <v>-0.03</v>
      </c>
      <c r="O153" s="251"/>
      <c r="P153" s="660" t="s">
        <v>2299</v>
      </c>
      <c r="Q153" s="251"/>
      <c r="R153" s="251">
        <v>21.573189160409342</v>
      </c>
    </row>
    <row r="154" spans="1:18">
      <c r="A154" s="272"/>
      <c r="B154" s="248"/>
      <c r="C154" s="249"/>
      <c r="D154" s="253" t="s">
        <v>1289</v>
      </c>
      <c r="E154" s="249"/>
      <c r="F154" s="250">
        <v>-6</v>
      </c>
      <c r="G154" s="249"/>
      <c r="H154" s="667">
        <v>1.52</v>
      </c>
      <c r="I154" s="251"/>
      <c r="J154" s="667">
        <v>1.43</v>
      </c>
      <c r="K154" s="251"/>
      <c r="L154" s="667">
        <v>0.1</v>
      </c>
      <c r="M154" s="251"/>
      <c r="N154" s="667">
        <v>-0.01</v>
      </c>
      <c r="O154" s="251"/>
      <c r="P154" s="660" t="s">
        <v>2299</v>
      </c>
      <c r="Q154" s="251"/>
      <c r="R154" s="251">
        <v>1.1600067442252571</v>
      </c>
    </row>
    <row r="155" spans="1:18">
      <c r="A155" s="272"/>
      <c r="B155" s="248"/>
      <c r="C155" s="249"/>
      <c r="D155" s="253" t="s">
        <v>1290</v>
      </c>
      <c r="E155" s="249"/>
      <c r="F155" s="250">
        <v>-6</v>
      </c>
      <c r="G155" s="249"/>
      <c r="H155" s="667">
        <v>0.06</v>
      </c>
      <c r="I155" s="251"/>
      <c r="J155" s="667">
        <v>0.06</v>
      </c>
      <c r="K155" s="251"/>
      <c r="L155" s="667">
        <v>0</v>
      </c>
      <c r="M155" s="251"/>
      <c r="N155" s="667">
        <v>0</v>
      </c>
      <c r="O155" s="251"/>
      <c r="P155" s="660" t="s">
        <v>2299</v>
      </c>
      <c r="Q155" s="251"/>
      <c r="R155" s="251">
        <v>1.1594202898550725</v>
      </c>
    </row>
    <row r="156" spans="1:18">
      <c r="A156" s="272"/>
      <c r="B156" s="248"/>
      <c r="C156" s="249"/>
      <c r="D156" s="253" t="s">
        <v>1291</v>
      </c>
      <c r="E156" s="249"/>
      <c r="F156" s="250">
        <v>-6</v>
      </c>
      <c r="G156" s="249"/>
      <c r="H156" s="667">
        <v>3.36</v>
      </c>
      <c r="I156" s="251"/>
      <c r="J156" s="667">
        <v>3.1699999999999995</v>
      </c>
      <c r="K156" s="251"/>
      <c r="L156" s="667">
        <v>0.22</v>
      </c>
      <c r="M156" s="251"/>
      <c r="N156" s="667">
        <v>-0.03</v>
      </c>
      <c r="O156" s="251"/>
      <c r="P156" s="660" t="s">
        <v>2299</v>
      </c>
      <c r="Q156" s="251"/>
      <c r="R156" s="251">
        <v>16.879993937696049</v>
      </c>
    </row>
    <row r="157" spans="1:18">
      <c r="A157" s="272"/>
      <c r="B157" s="248"/>
      <c r="C157" s="249"/>
      <c r="D157" s="253" t="s">
        <v>1294</v>
      </c>
      <c r="E157" s="249"/>
      <c r="F157" s="250">
        <v>-8</v>
      </c>
      <c r="G157" s="249"/>
      <c r="H157" s="667">
        <v>0.9</v>
      </c>
      <c r="I157" s="251"/>
      <c r="J157" s="667">
        <v>0.83000000000000007</v>
      </c>
      <c r="K157" s="251"/>
      <c r="L157" s="667">
        <v>0.08</v>
      </c>
      <c r="M157" s="251"/>
      <c r="N157" s="667">
        <v>-0.01</v>
      </c>
      <c r="O157" s="251"/>
      <c r="P157" s="660" t="s">
        <v>2299</v>
      </c>
      <c r="Q157" s="251"/>
      <c r="R157" s="251">
        <v>15.907761400276371</v>
      </c>
    </row>
    <row r="158" spans="1:18">
      <c r="A158" s="274"/>
      <c r="B158" s="255"/>
      <c r="C158" s="249"/>
      <c r="D158" s="253" t="s">
        <v>1295</v>
      </c>
      <c r="E158" s="249"/>
      <c r="F158" s="250">
        <v>-8</v>
      </c>
      <c r="G158" s="249"/>
      <c r="H158" s="667">
        <v>1.06</v>
      </c>
      <c r="I158" s="251"/>
      <c r="J158" s="667">
        <v>0.98000000000000009</v>
      </c>
      <c r="K158" s="251"/>
      <c r="L158" s="667">
        <v>0.09</v>
      </c>
      <c r="M158" s="251"/>
      <c r="N158" s="667">
        <v>-0.01</v>
      </c>
      <c r="O158" s="251"/>
      <c r="P158" s="660" t="s">
        <v>2299</v>
      </c>
      <c r="Q158" s="251"/>
      <c r="R158" s="251">
        <v>15.828094604279718</v>
      </c>
    </row>
    <row r="159" spans="1:18">
      <c r="A159" s="272"/>
      <c r="B159" s="248"/>
      <c r="C159" s="249"/>
      <c r="D159" s="253" t="s">
        <v>1296</v>
      </c>
      <c r="E159" s="249"/>
      <c r="F159" s="250">
        <v>-8</v>
      </c>
      <c r="G159" s="249"/>
      <c r="H159" s="667">
        <v>0.89</v>
      </c>
      <c r="I159" s="251"/>
      <c r="J159" s="667">
        <v>0.83000000000000007</v>
      </c>
      <c r="K159" s="251"/>
      <c r="L159" s="667">
        <v>7.0000000000000007E-2</v>
      </c>
      <c r="M159" s="251"/>
      <c r="N159" s="667">
        <v>-0.01</v>
      </c>
      <c r="O159" s="251"/>
      <c r="P159" s="660" t="s">
        <v>2299</v>
      </c>
      <c r="Q159" s="251"/>
      <c r="R159" s="251">
        <v>15.645154312085376</v>
      </c>
    </row>
    <row r="160" spans="1:18">
      <c r="A160" s="668"/>
      <c r="B160" s="249"/>
      <c r="C160" s="249"/>
      <c r="D160" s="253" t="s">
        <v>1297</v>
      </c>
      <c r="E160" s="249"/>
      <c r="F160" s="250">
        <v>-8</v>
      </c>
      <c r="G160" s="249"/>
      <c r="H160" s="667">
        <v>2.17</v>
      </c>
      <c r="I160" s="251"/>
      <c r="J160" s="667">
        <v>2.0099999999999998</v>
      </c>
      <c r="K160" s="251"/>
      <c r="L160" s="667">
        <v>0.18</v>
      </c>
      <c r="M160" s="251"/>
      <c r="N160" s="667">
        <v>-0.02</v>
      </c>
      <c r="O160" s="251"/>
      <c r="P160" s="660" t="s">
        <v>2299</v>
      </c>
      <c r="Q160" s="251"/>
      <c r="R160" s="251">
        <v>18.544435667593959</v>
      </c>
    </row>
    <row r="161" spans="1:18">
      <c r="A161" s="272"/>
      <c r="B161" s="248"/>
      <c r="C161" s="249"/>
      <c r="D161" s="253" t="s">
        <v>1298</v>
      </c>
      <c r="E161" s="249"/>
      <c r="F161" s="250">
        <v>-8</v>
      </c>
      <c r="G161" s="249"/>
      <c r="H161" s="667">
        <v>3.53</v>
      </c>
      <c r="I161" s="251"/>
      <c r="J161" s="667">
        <v>3.2699999999999996</v>
      </c>
      <c r="K161" s="251"/>
      <c r="L161" s="667">
        <v>0.28999999999999998</v>
      </c>
      <c r="M161" s="251"/>
      <c r="N161" s="667">
        <v>-0.03</v>
      </c>
      <c r="O161" s="251"/>
      <c r="P161" s="660" t="s">
        <v>2299</v>
      </c>
      <c r="Q161" s="251"/>
      <c r="R161" s="251">
        <v>19.641892580225253</v>
      </c>
    </row>
    <row r="162" spans="1:18">
      <c r="A162" s="272"/>
      <c r="B162" s="248"/>
      <c r="C162" s="249"/>
      <c r="D162" s="253"/>
      <c r="E162" s="249"/>
      <c r="F162" s="250"/>
      <c r="G162" s="249"/>
      <c r="H162" s="667"/>
      <c r="I162" s="251"/>
      <c r="J162" s="667"/>
      <c r="K162" s="251"/>
      <c r="L162" s="667"/>
      <c r="M162" s="251"/>
      <c r="N162" s="667"/>
      <c r="O162" s="251"/>
      <c r="P162" s="660"/>
      <c r="Q162" s="251"/>
      <c r="R162" s="251"/>
    </row>
    <row r="163" spans="1:18">
      <c r="A163" s="272">
        <v>316</v>
      </c>
      <c r="B163" s="248"/>
      <c r="C163" s="249"/>
      <c r="D163" s="253" t="s">
        <v>2300</v>
      </c>
      <c r="E163" s="249"/>
      <c r="F163" s="278" t="s">
        <v>2714</v>
      </c>
      <c r="G163" s="249"/>
      <c r="H163" s="251">
        <v>2.750505327092676</v>
      </c>
      <c r="I163" s="251"/>
      <c r="J163" s="251"/>
      <c r="K163" s="251"/>
      <c r="L163" s="251"/>
      <c r="M163" s="251"/>
      <c r="N163" s="251"/>
      <c r="O163" s="251"/>
      <c r="P163" s="251" t="str">
        <f>P161</f>
        <v>75-R1.5</v>
      </c>
      <c r="Q163" s="251"/>
      <c r="R163" s="251">
        <v>22.74</v>
      </c>
    </row>
    <row r="164" spans="1:18">
      <c r="A164" s="272"/>
      <c r="B164" s="248"/>
      <c r="C164" s="249"/>
      <c r="D164" s="254"/>
      <c r="E164" s="249"/>
      <c r="F164" s="278"/>
      <c r="G164" s="249"/>
      <c r="H164" s="251"/>
      <c r="I164" s="251"/>
      <c r="J164" s="251"/>
      <c r="K164" s="251"/>
      <c r="L164" s="251"/>
      <c r="M164" s="251"/>
      <c r="N164" s="251"/>
      <c r="O164" s="251"/>
      <c r="P164" s="251"/>
      <c r="Q164" s="251"/>
      <c r="R164" s="251"/>
    </row>
    <row r="165" spans="1:18">
      <c r="A165" s="272"/>
      <c r="B165" s="248"/>
      <c r="C165" s="249"/>
      <c r="D165" s="254"/>
      <c r="E165" s="249"/>
      <c r="F165" s="278"/>
      <c r="G165" s="249"/>
      <c r="H165" s="251"/>
      <c r="I165" s="251"/>
      <c r="J165" s="251"/>
      <c r="K165" s="251"/>
      <c r="L165" s="251"/>
      <c r="M165" s="251"/>
      <c r="N165" s="251"/>
      <c r="O165" s="251"/>
      <c r="P165" s="251"/>
      <c r="Q165" s="251"/>
      <c r="R165" s="251"/>
    </row>
    <row r="166" spans="1:18">
      <c r="A166" s="472"/>
      <c r="B166" s="478">
        <v>316.10000000000002</v>
      </c>
      <c r="C166" s="476"/>
      <c r="D166" s="479" t="s">
        <v>2301</v>
      </c>
      <c r="E166" s="480"/>
      <c r="F166" s="480"/>
      <c r="G166" s="472"/>
      <c r="P166" s="662"/>
      <c r="R166" s="663"/>
    </row>
    <row r="167" spans="1:18">
      <c r="A167" s="472"/>
      <c r="B167" s="478"/>
      <c r="C167" s="476"/>
      <c r="D167" s="479" t="s">
        <v>1284</v>
      </c>
      <c r="E167" s="480"/>
      <c r="F167" s="250">
        <v>-3</v>
      </c>
      <c r="G167" s="249"/>
      <c r="H167" s="661">
        <v>0</v>
      </c>
      <c r="J167" s="661">
        <v>0</v>
      </c>
      <c r="L167" s="661">
        <v>0</v>
      </c>
      <c r="N167" s="661">
        <v>0</v>
      </c>
      <c r="O167" s="251"/>
      <c r="P167" s="660" t="s">
        <v>2299</v>
      </c>
      <c r="Q167" s="251"/>
      <c r="R167" s="677">
        <v>0</v>
      </c>
    </row>
    <row r="168" spans="1:18">
      <c r="A168" s="472"/>
      <c r="B168" s="478"/>
      <c r="C168" s="476"/>
      <c r="D168" s="479" t="s">
        <v>1285</v>
      </c>
      <c r="E168" s="480"/>
      <c r="F168" s="250">
        <v>-3</v>
      </c>
      <c r="G168" s="249"/>
      <c r="H168" s="661">
        <v>0</v>
      </c>
      <c r="J168" s="661">
        <v>0</v>
      </c>
      <c r="L168" s="661">
        <v>0</v>
      </c>
      <c r="N168" s="661">
        <v>0</v>
      </c>
      <c r="O168" s="251"/>
      <c r="P168" s="660" t="s">
        <v>2299</v>
      </c>
      <c r="Q168" s="251"/>
      <c r="R168" s="677">
        <v>0</v>
      </c>
    </row>
    <row r="169" spans="1:18">
      <c r="A169" s="472"/>
      <c r="B169" s="478"/>
      <c r="C169" s="476"/>
      <c r="D169" s="481" t="s">
        <v>1287</v>
      </c>
      <c r="E169" s="480"/>
      <c r="F169" s="250">
        <v>-2</v>
      </c>
      <c r="G169" s="249"/>
      <c r="H169" s="661">
        <v>0</v>
      </c>
      <c r="J169" s="661">
        <v>0</v>
      </c>
      <c r="L169" s="661">
        <v>0</v>
      </c>
      <c r="N169" s="661">
        <v>0</v>
      </c>
      <c r="O169" s="251"/>
      <c r="P169" s="660" t="s">
        <v>2299</v>
      </c>
      <c r="Q169" s="251"/>
      <c r="R169" s="677">
        <v>0</v>
      </c>
    </row>
    <row r="170" spans="1:18">
      <c r="A170" s="472"/>
      <c r="B170" s="478"/>
      <c r="C170" s="476"/>
      <c r="D170" s="481" t="s">
        <v>1288</v>
      </c>
      <c r="E170" s="480"/>
      <c r="F170" s="250">
        <v>-2</v>
      </c>
      <c r="G170" s="249"/>
      <c r="H170" s="661">
        <v>0</v>
      </c>
      <c r="J170" s="661">
        <v>0</v>
      </c>
      <c r="L170" s="661">
        <v>0</v>
      </c>
      <c r="N170" s="661">
        <v>0</v>
      </c>
      <c r="O170" s="251"/>
      <c r="P170" s="660" t="s">
        <v>2299</v>
      </c>
      <c r="Q170" s="251"/>
      <c r="R170" s="677">
        <v>0</v>
      </c>
    </row>
    <row r="171" spans="1:18">
      <c r="A171" s="472"/>
      <c r="B171" s="478"/>
      <c r="C171" s="476"/>
      <c r="D171" s="482"/>
      <c r="E171" s="480"/>
      <c r="F171" s="480"/>
      <c r="G171" s="472"/>
      <c r="P171" s="662"/>
      <c r="R171" s="677"/>
    </row>
    <row r="172" spans="1:18">
      <c r="A172" s="472"/>
      <c r="B172" s="478"/>
      <c r="C172" s="476"/>
      <c r="D172" s="482" t="s">
        <v>2302</v>
      </c>
      <c r="E172" s="480"/>
      <c r="F172" s="490" t="s">
        <v>2715</v>
      </c>
      <c r="G172" s="472"/>
      <c r="H172" s="677">
        <v>0</v>
      </c>
      <c r="P172" s="662"/>
      <c r="R172" s="677">
        <v>0</v>
      </c>
    </row>
    <row r="173" spans="1:18">
      <c r="A173" s="272"/>
      <c r="B173" s="248"/>
      <c r="C173" s="249"/>
      <c r="D173" s="254"/>
      <c r="E173" s="249"/>
      <c r="F173" s="250"/>
      <c r="G173" s="249"/>
      <c r="H173" s="251"/>
      <c r="I173" s="251"/>
      <c r="J173" s="251"/>
      <c r="K173" s="251"/>
      <c r="L173" s="251"/>
      <c r="M173" s="251"/>
      <c r="N173" s="251"/>
      <c r="O173" s="251"/>
      <c r="P173" s="251"/>
      <c r="Q173" s="251"/>
      <c r="R173" s="251"/>
    </row>
    <row r="174" spans="1:18">
      <c r="A174" s="272"/>
      <c r="B174" s="248"/>
      <c r="C174" s="249"/>
      <c r="D174" s="247" t="s">
        <v>1313</v>
      </c>
      <c r="E174" s="249"/>
      <c r="F174" s="250"/>
      <c r="G174" s="249"/>
      <c r="H174" s="251">
        <v>2.25</v>
      </c>
      <c r="I174" s="251"/>
      <c r="J174" s="251"/>
      <c r="K174" s="251"/>
      <c r="L174" s="251"/>
      <c r="M174" s="251"/>
      <c r="N174" s="251"/>
      <c r="O174" s="251"/>
      <c r="P174" s="251"/>
      <c r="Q174" s="251"/>
      <c r="R174" s="251"/>
    </row>
    <row r="175" spans="1:18">
      <c r="A175" s="272"/>
      <c r="B175" s="248"/>
      <c r="C175" s="249"/>
      <c r="D175" s="247"/>
      <c r="E175" s="249"/>
      <c r="F175" s="250"/>
      <c r="G175" s="249"/>
      <c r="H175" s="251"/>
      <c r="I175" s="251"/>
      <c r="J175" s="251"/>
      <c r="K175" s="251"/>
      <c r="L175" s="251"/>
      <c r="M175" s="251"/>
      <c r="N175" s="251"/>
      <c r="O175" s="251"/>
      <c r="P175" s="251"/>
      <c r="Q175" s="251"/>
      <c r="R175" s="251"/>
    </row>
    <row r="176" spans="1:18">
      <c r="A176" s="272"/>
      <c r="B176" s="248"/>
      <c r="C176" s="249"/>
      <c r="D176" s="245" t="s">
        <v>316</v>
      </c>
      <c r="E176" s="249"/>
      <c r="F176" s="250"/>
      <c r="G176" s="249"/>
      <c r="H176" s="251"/>
      <c r="I176" s="251"/>
      <c r="J176" s="251"/>
      <c r="K176" s="251"/>
      <c r="L176" s="251"/>
      <c r="M176" s="251"/>
      <c r="N176" s="251"/>
      <c r="O176" s="251"/>
      <c r="P176" s="251"/>
      <c r="Q176" s="251"/>
      <c r="R176" s="251"/>
    </row>
    <row r="177" spans="1:18">
      <c r="A177" s="272"/>
      <c r="B177" s="248"/>
      <c r="C177" s="249"/>
      <c r="D177" s="257"/>
      <c r="E177" s="249"/>
      <c r="F177" s="250"/>
      <c r="G177" s="249"/>
      <c r="H177" s="251"/>
      <c r="I177" s="251"/>
      <c r="J177" s="251"/>
      <c r="K177" s="251"/>
      <c r="L177" s="251"/>
      <c r="M177" s="251"/>
      <c r="N177" s="251"/>
      <c r="O177" s="251"/>
      <c r="P177" s="251"/>
      <c r="Q177" s="251"/>
      <c r="R177" s="251"/>
    </row>
    <row r="178" spans="1:18">
      <c r="A178" s="272"/>
      <c r="B178" s="248">
        <v>330.1</v>
      </c>
      <c r="C178" s="249"/>
      <c r="D178" s="257" t="s">
        <v>1314</v>
      </c>
      <c r="E178" s="249"/>
      <c r="F178" s="250"/>
      <c r="G178" s="249"/>
      <c r="H178" s="251"/>
      <c r="I178" s="251"/>
      <c r="J178" s="251"/>
      <c r="K178" s="251"/>
      <c r="L178" s="251"/>
      <c r="M178" s="251"/>
      <c r="N178" s="251"/>
      <c r="O178" s="251"/>
      <c r="P178" s="251"/>
      <c r="Q178" s="251"/>
      <c r="R178" s="251"/>
    </row>
    <row r="179" spans="1:18">
      <c r="A179" s="272">
        <v>330</v>
      </c>
      <c r="B179" s="248"/>
      <c r="C179" s="249"/>
      <c r="D179" s="257" t="s">
        <v>1315</v>
      </c>
      <c r="E179" s="249"/>
      <c r="F179" s="678">
        <v>0</v>
      </c>
      <c r="G179" s="249"/>
      <c r="H179" s="251">
        <v>0</v>
      </c>
      <c r="I179" s="251"/>
      <c r="J179" s="251">
        <v>0</v>
      </c>
      <c r="K179" s="251"/>
      <c r="L179" s="251">
        <v>0</v>
      </c>
      <c r="M179" s="251"/>
      <c r="N179" s="251">
        <v>0</v>
      </c>
      <c r="O179" s="251"/>
      <c r="P179" s="656" t="s">
        <v>1316</v>
      </c>
      <c r="Q179" s="656"/>
      <c r="R179" s="657">
        <v>0</v>
      </c>
    </row>
    <row r="180" spans="1:18">
      <c r="A180" s="272"/>
      <c r="B180" s="248"/>
      <c r="C180" s="249"/>
      <c r="D180" s="257"/>
      <c r="E180" s="249"/>
      <c r="F180" s="678"/>
      <c r="G180" s="249"/>
      <c r="H180" s="251"/>
      <c r="I180" s="251"/>
      <c r="J180" s="251"/>
      <c r="K180" s="251"/>
      <c r="L180" s="251"/>
      <c r="M180" s="251"/>
      <c r="N180" s="251"/>
      <c r="O180" s="251"/>
      <c r="P180" s="656"/>
      <c r="Q180" s="656"/>
      <c r="R180" s="657"/>
    </row>
    <row r="181" spans="1:18">
      <c r="A181" s="272"/>
      <c r="B181" s="248"/>
      <c r="C181" s="249"/>
      <c r="D181" s="259" t="s">
        <v>1317</v>
      </c>
      <c r="E181" s="249"/>
      <c r="F181" s="678"/>
      <c r="G181" s="249"/>
      <c r="H181" s="251">
        <v>0</v>
      </c>
      <c r="I181" s="251"/>
      <c r="J181" s="251"/>
      <c r="K181" s="251"/>
      <c r="L181" s="251"/>
      <c r="M181" s="251"/>
      <c r="N181" s="251"/>
      <c r="O181" s="251"/>
      <c r="P181" s="656"/>
      <c r="Q181" s="656"/>
      <c r="R181" s="657">
        <v>0</v>
      </c>
    </row>
    <row r="182" spans="1:18">
      <c r="A182" s="272"/>
      <c r="B182" s="248"/>
      <c r="C182" s="249"/>
      <c r="D182" s="257"/>
      <c r="E182" s="249"/>
      <c r="F182" s="678"/>
      <c r="G182" s="249"/>
      <c r="H182" s="251"/>
      <c r="I182" s="251"/>
      <c r="J182" s="251"/>
      <c r="K182" s="251"/>
      <c r="L182" s="251"/>
      <c r="M182" s="251"/>
      <c r="N182" s="251"/>
      <c r="O182" s="251"/>
      <c r="P182" s="656"/>
      <c r="Q182" s="656"/>
      <c r="R182" s="657"/>
    </row>
    <row r="183" spans="1:18">
      <c r="A183" s="272"/>
      <c r="B183" s="248">
        <v>331</v>
      </c>
      <c r="C183" s="249"/>
      <c r="D183" s="257" t="s">
        <v>1318</v>
      </c>
      <c r="E183" s="249"/>
      <c r="F183" s="678"/>
      <c r="G183" s="249"/>
      <c r="H183" s="251"/>
      <c r="I183" s="251"/>
      <c r="J183" s="251"/>
      <c r="K183" s="251"/>
      <c r="L183" s="251"/>
      <c r="M183" s="251"/>
      <c r="N183" s="251"/>
      <c r="O183" s="251"/>
      <c r="P183" s="656"/>
      <c r="Q183" s="656"/>
      <c r="R183" s="657"/>
    </row>
    <row r="184" spans="1:18">
      <c r="A184" s="272">
        <v>331</v>
      </c>
      <c r="B184" s="248"/>
      <c r="C184" s="249"/>
      <c r="D184" s="257" t="s">
        <v>1319</v>
      </c>
      <c r="E184" s="249"/>
      <c r="F184" s="678">
        <v>-3</v>
      </c>
      <c r="G184" s="249"/>
      <c r="H184" s="251">
        <v>2.48</v>
      </c>
      <c r="I184" s="251"/>
      <c r="J184" s="251">
        <v>2.41</v>
      </c>
      <c r="K184" s="251"/>
      <c r="L184" s="251">
        <v>7.0000000000000007E-2</v>
      </c>
      <c r="M184" s="251"/>
      <c r="N184" s="251">
        <v>0</v>
      </c>
      <c r="O184" s="251"/>
      <c r="P184" s="656" t="s">
        <v>1320</v>
      </c>
      <c r="Q184" s="656"/>
      <c r="R184" s="657">
        <v>24.7</v>
      </c>
    </row>
    <row r="185" spans="1:18">
      <c r="A185" s="272"/>
      <c r="B185" s="248"/>
      <c r="C185" s="249"/>
      <c r="D185" s="257"/>
      <c r="E185" s="249"/>
      <c r="F185" s="678"/>
      <c r="G185" s="249"/>
      <c r="H185" s="251"/>
      <c r="I185" s="251"/>
      <c r="J185" s="251"/>
      <c r="K185" s="251"/>
      <c r="L185" s="251"/>
      <c r="M185" s="251"/>
      <c r="N185" s="251"/>
      <c r="O185" s="251"/>
      <c r="P185" s="656"/>
      <c r="Q185" s="656"/>
      <c r="R185" s="657"/>
    </row>
    <row r="186" spans="1:18">
      <c r="A186" s="272"/>
      <c r="B186" s="248"/>
      <c r="C186" s="249"/>
      <c r="D186" s="259" t="s">
        <v>1321</v>
      </c>
      <c r="E186" s="249"/>
      <c r="F186" s="678"/>
      <c r="G186" s="249"/>
      <c r="H186" s="251">
        <v>2.48</v>
      </c>
      <c r="I186" s="251"/>
      <c r="J186" s="251"/>
      <c r="K186" s="251"/>
      <c r="L186" s="251"/>
      <c r="M186" s="251"/>
      <c r="N186" s="251"/>
      <c r="O186" s="251"/>
      <c r="P186" s="656"/>
      <c r="Q186" s="656"/>
      <c r="R186" s="657">
        <v>24.7</v>
      </c>
    </row>
    <row r="187" spans="1:18">
      <c r="A187" s="272"/>
      <c r="B187" s="248"/>
      <c r="C187" s="249"/>
      <c r="D187" s="257"/>
      <c r="E187" s="249"/>
      <c r="F187" s="678"/>
      <c r="G187" s="249"/>
      <c r="H187" s="251"/>
      <c r="I187" s="251"/>
      <c r="J187" s="251"/>
      <c r="K187" s="251"/>
      <c r="L187" s="251"/>
      <c r="M187" s="251"/>
      <c r="N187" s="251"/>
      <c r="O187" s="251"/>
      <c r="P187" s="656"/>
      <c r="Q187" s="656"/>
      <c r="R187" s="657"/>
    </row>
    <row r="188" spans="1:18">
      <c r="A188" s="272"/>
      <c r="B188" s="248">
        <v>332</v>
      </c>
      <c r="C188" s="249"/>
      <c r="D188" s="257" t="s">
        <v>1322</v>
      </c>
      <c r="E188" s="249"/>
      <c r="F188" s="679"/>
      <c r="G188" s="249"/>
      <c r="H188" s="251"/>
      <c r="I188" s="251"/>
      <c r="J188" s="251"/>
      <c r="K188" s="251"/>
      <c r="L188" s="251"/>
      <c r="M188" s="251"/>
      <c r="N188" s="251"/>
      <c r="O188" s="251"/>
      <c r="P188" s="657"/>
      <c r="Q188" s="657"/>
      <c r="R188" s="657"/>
    </row>
    <row r="189" spans="1:18">
      <c r="A189" s="272">
        <v>332</v>
      </c>
      <c r="B189" s="248"/>
      <c r="C189" s="249"/>
      <c r="D189" s="257" t="s">
        <v>1319</v>
      </c>
      <c r="E189" s="249"/>
      <c r="F189" s="678">
        <v>-3</v>
      </c>
      <c r="G189" s="249"/>
      <c r="H189" s="251">
        <v>2.61</v>
      </c>
      <c r="I189" s="251"/>
      <c r="J189" s="251">
        <v>2.5299999999999998</v>
      </c>
      <c r="K189" s="251"/>
      <c r="L189" s="251">
        <v>0.08</v>
      </c>
      <c r="M189" s="251"/>
      <c r="N189" s="251">
        <v>0</v>
      </c>
      <c r="O189" s="251"/>
      <c r="P189" s="656" t="s">
        <v>2303</v>
      </c>
      <c r="Q189" s="656"/>
      <c r="R189" s="657">
        <v>25.1</v>
      </c>
    </row>
    <row r="190" spans="1:18">
      <c r="A190" s="272"/>
      <c r="B190" s="248"/>
      <c r="C190" s="249"/>
      <c r="D190" s="257"/>
      <c r="E190" s="249"/>
      <c r="F190" s="678"/>
      <c r="G190" s="249"/>
      <c r="H190" s="251"/>
      <c r="I190" s="251"/>
      <c r="J190" s="251"/>
      <c r="K190" s="251"/>
      <c r="L190" s="251"/>
      <c r="M190" s="251"/>
      <c r="N190" s="251"/>
      <c r="O190" s="251"/>
      <c r="P190" s="656"/>
      <c r="Q190" s="656"/>
      <c r="R190" s="657"/>
    </row>
    <row r="191" spans="1:18">
      <c r="A191" s="272"/>
      <c r="B191" s="248"/>
      <c r="C191" s="249"/>
      <c r="D191" s="259" t="s">
        <v>1323</v>
      </c>
      <c r="E191" s="249"/>
      <c r="F191" s="678"/>
      <c r="G191" s="249"/>
      <c r="H191" s="251">
        <v>2.61</v>
      </c>
      <c r="I191" s="251"/>
      <c r="J191" s="251"/>
      <c r="K191" s="251"/>
      <c r="L191" s="251"/>
      <c r="M191" s="251"/>
      <c r="N191" s="251"/>
      <c r="O191" s="251"/>
      <c r="P191" s="656"/>
      <c r="Q191" s="656"/>
      <c r="R191" s="657">
        <v>25.1</v>
      </c>
    </row>
    <row r="192" spans="1:18">
      <c r="A192" s="272"/>
      <c r="B192" s="248"/>
      <c r="C192" s="249"/>
      <c r="D192" s="257"/>
      <c r="E192" s="249"/>
      <c r="F192" s="678"/>
      <c r="G192" s="249"/>
      <c r="H192" s="251"/>
      <c r="I192" s="251"/>
      <c r="J192" s="251"/>
      <c r="K192" s="251"/>
      <c r="L192" s="251"/>
      <c r="M192" s="251"/>
      <c r="N192" s="251"/>
      <c r="O192" s="251"/>
      <c r="P192" s="656"/>
      <c r="Q192" s="656"/>
      <c r="R192" s="657"/>
    </row>
    <row r="193" spans="1:18">
      <c r="A193" s="272"/>
      <c r="B193" s="248">
        <v>333</v>
      </c>
      <c r="C193" s="249"/>
      <c r="D193" s="257" t="s">
        <v>1324</v>
      </c>
      <c r="E193" s="249"/>
      <c r="F193" s="678"/>
      <c r="G193" s="249"/>
      <c r="H193" s="251"/>
      <c r="I193" s="251"/>
      <c r="J193" s="251"/>
      <c r="K193" s="251"/>
      <c r="L193" s="251"/>
      <c r="M193" s="251"/>
      <c r="N193" s="251"/>
      <c r="O193" s="251"/>
      <c r="P193" s="656"/>
      <c r="Q193" s="656"/>
      <c r="R193" s="657"/>
    </row>
    <row r="194" spans="1:18">
      <c r="A194" s="272">
        <v>333</v>
      </c>
      <c r="B194" s="248"/>
      <c r="C194" s="249"/>
      <c r="D194" s="257" t="s">
        <v>1325</v>
      </c>
      <c r="E194" s="249"/>
      <c r="F194" s="678">
        <v>-3</v>
      </c>
      <c r="G194" s="249"/>
      <c r="H194" s="251">
        <v>3.8600000000000003</v>
      </c>
      <c r="I194" s="251"/>
      <c r="J194" s="251">
        <v>3.75</v>
      </c>
      <c r="K194" s="251"/>
      <c r="L194" s="251">
        <v>0.15</v>
      </c>
      <c r="M194" s="251"/>
      <c r="N194" s="251">
        <v>-0.04</v>
      </c>
      <c r="O194" s="251"/>
      <c r="P194" s="656" t="s">
        <v>1326</v>
      </c>
      <c r="Q194" s="656"/>
      <c r="R194" s="657">
        <v>25.2</v>
      </c>
    </row>
    <row r="195" spans="1:18">
      <c r="A195" s="272"/>
      <c r="B195" s="248"/>
      <c r="C195" s="249"/>
      <c r="D195" s="257"/>
      <c r="E195" s="249"/>
      <c r="F195" s="678"/>
      <c r="G195" s="249"/>
      <c r="H195" s="251"/>
      <c r="I195" s="251"/>
      <c r="J195" s="251"/>
      <c r="K195" s="251"/>
      <c r="L195" s="251"/>
      <c r="M195" s="251"/>
      <c r="N195" s="251"/>
      <c r="O195" s="251"/>
      <c r="P195" s="656"/>
      <c r="Q195" s="656"/>
      <c r="R195" s="657"/>
    </row>
    <row r="196" spans="1:18">
      <c r="A196" s="272"/>
      <c r="B196" s="248"/>
      <c r="C196" s="249"/>
      <c r="D196" s="259" t="s">
        <v>1327</v>
      </c>
      <c r="E196" s="249"/>
      <c r="F196" s="678"/>
      <c r="G196" s="249"/>
      <c r="H196" s="251">
        <v>3.8600000000000003</v>
      </c>
      <c r="I196" s="251"/>
      <c r="J196" s="251"/>
      <c r="K196" s="251"/>
      <c r="L196" s="251"/>
      <c r="M196" s="251"/>
      <c r="N196" s="251"/>
      <c r="O196" s="251"/>
      <c r="P196" s="656"/>
      <c r="Q196" s="656"/>
      <c r="R196" s="657">
        <v>25.2</v>
      </c>
    </row>
    <row r="197" spans="1:18">
      <c r="A197" s="272"/>
      <c r="B197" s="248"/>
      <c r="C197" s="249"/>
      <c r="D197" s="257"/>
      <c r="E197" s="249"/>
      <c r="F197" s="678"/>
      <c r="G197" s="249"/>
      <c r="H197" s="251"/>
      <c r="I197" s="251"/>
      <c r="J197" s="251"/>
      <c r="K197" s="251"/>
      <c r="L197" s="251"/>
      <c r="M197" s="251"/>
      <c r="N197" s="251"/>
      <c r="O197" s="251"/>
      <c r="P197" s="656"/>
      <c r="Q197" s="656"/>
      <c r="R197" s="657"/>
    </row>
    <row r="198" spans="1:18">
      <c r="A198" s="272"/>
      <c r="B198" s="248">
        <v>334</v>
      </c>
      <c r="C198" s="249"/>
      <c r="D198" s="257" t="s">
        <v>1328</v>
      </c>
      <c r="E198" s="249"/>
      <c r="F198" s="678"/>
      <c r="G198" s="249"/>
      <c r="H198" s="251"/>
      <c r="I198" s="251"/>
      <c r="J198" s="251"/>
      <c r="K198" s="251"/>
      <c r="L198" s="251"/>
      <c r="M198" s="251"/>
      <c r="N198" s="251"/>
      <c r="O198" s="251"/>
      <c r="P198" s="656"/>
      <c r="Q198" s="656"/>
      <c r="R198" s="657"/>
    </row>
    <row r="199" spans="1:18">
      <c r="A199" s="272">
        <v>334</v>
      </c>
      <c r="B199" s="248"/>
      <c r="C199" s="249"/>
      <c r="D199" s="257" t="s">
        <v>1325</v>
      </c>
      <c r="E199" s="249"/>
      <c r="F199" s="678">
        <v>-3</v>
      </c>
      <c r="G199" s="249"/>
      <c r="H199" s="251">
        <v>3.8099999999999996</v>
      </c>
      <c r="I199" s="251"/>
      <c r="J199" s="251">
        <v>3.7</v>
      </c>
      <c r="K199" s="251"/>
      <c r="L199" s="251">
        <v>0.11</v>
      </c>
      <c r="M199" s="251"/>
      <c r="N199" s="251">
        <v>0</v>
      </c>
      <c r="O199" s="251"/>
      <c r="P199" s="656" t="s">
        <v>1329</v>
      </c>
      <c r="Q199" s="656"/>
      <c r="R199" s="657">
        <v>22.7</v>
      </c>
    </row>
    <row r="200" spans="1:18">
      <c r="A200" s="272"/>
      <c r="B200" s="248"/>
      <c r="C200" s="249"/>
      <c r="D200" s="257"/>
      <c r="E200" s="249"/>
      <c r="F200" s="678"/>
      <c r="G200" s="249"/>
      <c r="H200" s="251"/>
      <c r="I200" s="251"/>
      <c r="J200" s="251"/>
      <c r="K200" s="251"/>
      <c r="L200" s="251"/>
      <c r="M200" s="251"/>
      <c r="N200" s="251"/>
      <c r="O200" s="251"/>
      <c r="P200" s="656"/>
      <c r="Q200" s="656"/>
      <c r="R200" s="657"/>
    </row>
    <row r="201" spans="1:18">
      <c r="A201" s="272"/>
      <c r="B201" s="248"/>
      <c r="C201" s="249"/>
      <c r="D201" s="259" t="s">
        <v>1330</v>
      </c>
      <c r="E201" s="249"/>
      <c r="F201" s="678"/>
      <c r="G201" s="249"/>
      <c r="H201" s="251">
        <v>3.8099999999999996</v>
      </c>
      <c r="I201" s="251"/>
      <c r="J201" s="251"/>
      <c r="K201" s="251"/>
      <c r="L201" s="251"/>
      <c r="M201" s="251"/>
      <c r="N201" s="251"/>
      <c r="O201" s="251"/>
      <c r="P201" s="656"/>
      <c r="Q201" s="656"/>
      <c r="R201" s="657">
        <v>22.7</v>
      </c>
    </row>
    <row r="202" spans="1:18">
      <c r="A202" s="272"/>
      <c r="B202" s="248"/>
      <c r="C202" s="249"/>
      <c r="D202" s="257"/>
      <c r="E202" s="249"/>
      <c r="F202" s="678"/>
      <c r="G202" s="249"/>
      <c r="H202" s="251"/>
      <c r="I202" s="251"/>
      <c r="J202" s="251"/>
      <c r="K202" s="251"/>
      <c r="L202" s="251"/>
      <c r="M202" s="251"/>
      <c r="N202" s="251"/>
      <c r="O202" s="251"/>
      <c r="P202" s="656"/>
      <c r="Q202" s="656"/>
      <c r="R202" s="657"/>
    </row>
    <row r="203" spans="1:18">
      <c r="A203" s="272"/>
      <c r="B203" s="248">
        <v>335</v>
      </c>
      <c r="C203" s="249"/>
      <c r="D203" s="257" t="s">
        <v>1331</v>
      </c>
      <c r="E203" s="249"/>
      <c r="F203" s="678"/>
      <c r="G203" s="249"/>
      <c r="H203" s="251"/>
      <c r="I203" s="251"/>
      <c r="J203" s="251"/>
      <c r="K203" s="251"/>
      <c r="L203" s="251"/>
      <c r="M203" s="251"/>
      <c r="N203" s="251"/>
      <c r="O203" s="251"/>
      <c r="P203" s="656"/>
      <c r="Q203" s="656"/>
      <c r="R203" s="657"/>
    </row>
    <row r="204" spans="1:18">
      <c r="A204" s="272">
        <v>335</v>
      </c>
      <c r="B204" s="248"/>
      <c r="C204" s="249"/>
      <c r="D204" s="257" t="s">
        <v>1325</v>
      </c>
      <c r="E204" s="249"/>
      <c r="F204" s="678">
        <v>-3</v>
      </c>
      <c r="G204" s="249"/>
      <c r="H204" s="251">
        <v>3.7599999999999993</v>
      </c>
      <c r="I204" s="251"/>
      <c r="J204" s="251">
        <v>3.65</v>
      </c>
      <c r="K204" s="251"/>
      <c r="L204" s="251">
        <v>0.11</v>
      </c>
      <c r="M204" s="251"/>
      <c r="N204" s="251">
        <v>0</v>
      </c>
      <c r="O204" s="251"/>
      <c r="P204" s="656" t="s">
        <v>2304</v>
      </c>
      <c r="Q204" s="656"/>
      <c r="R204" s="657">
        <v>17.600000000000001</v>
      </c>
    </row>
    <row r="205" spans="1:18">
      <c r="A205" s="272"/>
      <c r="B205" s="248"/>
      <c r="C205" s="249"/>
      <c r="D205" s="257"/>
      <c r="E205" s="249"/>
      <c r="F205" s="678"/>
      <c r="G205" s="249"/>
      <c r="H205" s="251"/>
      <c r="I205" s="251"/>
      <c r="J205" s="251"/>
      <c r="K205" s="251"/>
      <c r="L205" s="251"/>
      <c r="M205" s="251"/>
      <c r="N205" s="251"/>
      <c r="O205" s="251"/>
      <c r="P205" s="656"/>
      <c r="Q205" s="656"/>
      <c r="R205" s="657"/>
    </row>
    <row r="206" spans="1:18" s="479" customFormat="1">
      <c r="A206" s="272"/>
      <c r="B206" s="248"/>
      <c r="C206" s="249"/>
      <c r="D206" s="259" t="s">
        <v>1332</v>
      </c>
      <c r="E206" s="249"/>
      <c r="F206" s="678"/>
      <c r="G206" s="249"/>
      <c r="H206" s="251">
        <v>3.7599999999999993</v>
      </c>
      <c r="I206" s="251"/>
      <c r="J206" s="251"/>
      <c r="K206" s="251"/>
      <c r="L206" s="251"/>
      <c r="M206" s="251"/>
      <c r="N206" s="251"/>
      <c r="O206" s="251"/>
      <c r="P206" s="656"/>
      <c r="Q206" s="656"/>
      <c r="R206" s="657">
        <v>17.600000000000001</v>
      </c>
    </row>
    <row r="207" spans="1:18">
      <c r="A207" s="272"/>
      <c r="B207" s="248"/>
      <c r="C207" s="249"/>
      <c r="D207" s="257"/>
      <c r="E207" s="249"/>
      <c r="F207" s="678"/>
      <c r="G207" s="249"/>
      <c r="H207" s="251"/>
      <c r="I207" s="251"/>
      <c r="J207" s="251"/>
      <c r="K207" s="251"/>
      <c r="L207" s="251"/>
      <c r="M207" s="251"/>
      <c r="N207" s="251"/>
      <c r="O207" s="251"/>
      <c r="P207" s="656"/>
      <c r="Q207" s="656"/>
      <c r="R207" s="657"/>
    </row>
    <row r="208" spans="1:18">
      <c r="A208" s="272"/>
      <c r="B208" s="248">
        <v>336</v>
      </c>
      <c r="C208" s="249"/>
      <c r="D208" s="257" t="s">
        <v>1333</v>
      </c>
      <c r="E208" s="249"/>
      <c r="F208" s="678"/>
      <c r="G208" s="249"/>
      <c r="H208" s="251"/>
      <c r="I208" s="251"/>
      <c r="J208" s="251"/>
      <c r="K208" s="251"/>
      <c r="L208" s="251"/>
      <c r="M208" s="251"/>
      <c r="N208" s="251"/>
      <c r="O208" s="251"/>
      <c r="P208" s="656"/>
      <c r="Q208" s="656"/>
      <c r="R208" s="657"/>
    </row>
    <row r="209" spans="1:18">
      <c r="A209" s="272">
        <v>336</v>
      </c>
      <c r="B209" s="248"/>
      <c r="C209" s="249"/>
      <c r="D209" s="257" t="s">
        <v>1319</v>
      </c>
      <c r="E209" s="249"/>
      <c r="F209" s="678">
        <v>-3</v>
      </c>
      <c r="G209" s="249"/>
      <c r="H209" s="251">
        <v>3.3300000000000005</v>
      </c>
      <c r="I209" s="251"/>
      <c r="J209" s="251">
        <v>3.23</v>
      </c>
      <c r="K209" s="251"/>
      <c r="L209" s="251">
        <v>0.1</v>
      </c>
      <c r="M209" s="251"/>
      <c r="N209" s="251">
        <v>0</v>
      </c>
      <c r="O209" s="251"/>
      <c r="P209" s="656" t="s">
        <v>2305</v>
      </c>
      <c r="Q209" s="656"/>
      <c r="R209" s="657">
        <v>21.9</v>
      </c>
    </row>
    <row r="210" spans="1:18" s="489" customFormat="1">
      <c r="A210" s="272"/>
      <c r="B210" s="248"/>
      <c r="C210" s="249"/>
      <c r="D210" s="257"/>
      <c r="E210" s="249"/>
      <c r="F210" s="250"/>
      <c r="G210" s="249"/>
      <c r="H210" s="251"/>
      <c r="I210" s="251"/>
      <c r="J210" s="251"/>
      <c r="K210" s="251"/>
      <c r="L210" s="251"/>
      <c r="M210" s="251"/>
      <c r="N210" s="251"/>
      <c r="O210" s="251"/>
      <c r="P210" s="251"/>
      <c r="Q210" s="251"/>
      <c r="R210" s="251"/>
    </row>
    <row r="211" spans="1:18">
      <c r="A211" s="272"/>
      <c r="B211" s="248"/>
      <c r="C211" s="249"/>
      <c r="D211" s="259" t="s">
        <v>1334</v>
      </c>
      <c r="E211" s="249"/>
      <c r="F211" s="250"/>
      <c r="G211" s="249"/>
      <c r="H211" s="251">
        <v>3.33</v>
      </c>
      <c r="I211" s="251"/>
      <c r="J211" s="251"/>
      <c r="K211" s="251"/>
      <c r="L211" s="251"/>
      <c r="M211" s="251"/>
      <c r="N211" s="251"/>
      <c r="O211" s="251"/>
      <c r="P211" s="251"/>
      <c r="Q211" s="251"/>
      <c r="R211" s="251">
        <v>21.9</v>
      </c>
    </row>
    <row r="212" spans="1:18">
      <c r="A212" s="272"/>
      <c r="B212" s="248"/>
      <c r="C212" s="249"/>
      <c r="D212" s="257"/>
      <c r="E212" s="249"/>
      <c r="F212" s="250"/>
      <c r="G212" s="249"/>
      <c r="H212" s="251"/>
      <c r="I212" s="251"/>
      <c r="J212" s="251"/>
      <c r="K212" s="251"/>
      <c r="L212" s="251"/>
      <c r="M212" s="251"/>
      <c r="N212" s="251"/>
      <c r="O212" s="251"/>
      <c r="P212" s="251"/>
      <c r="Q212" s="251"/>
      <c r="R212" s="251"/>
    </row>
    <row r="213" spans="1:18">
      <c r="A213" s="275"/>
      <c r="B213" s="260"/>
      <c r="C213" s="243"/>
      <c r="D213" s="247" t="s">
        <v>1335</v>
      </c>
      <c r="E213" s="243"/>
      <c r="F213" s="250"/>
      <c r="G213" s="243"/>
      <c r="H213" s="251">
        <v>3.05</v>
      </c>
      <c r="I213" s="251"/>
      <c r="J213" s="251"/>
      <c r="K213" s="251"/>
      <c r="L213" s="251"/>
      <c r="M213" s="251"/>
      <c r="N213" s="251"/>
      <c r="O213" s="251"/>
      <c r="P213" s="653"/>
      <c r="Q213" s="653"/>
      <c r="R213" s="251"/>
    </row>
    <row r="214" spans="1:18" s="487" customFormat="1">
      <c r="A214" s="272"/>
      <c r="B214" s="248"/>
      <c r="C214" s="249"/>
      <c r="D214" s="257"/>
      <c r="E214" s="249"/>
      <c r="F214" s="250"/>
      <c r="G214" s="249"/>
      <c r="H214" s="251"/>
      <c r="I214" s="251"/>
      <c r="J214" s="251"/>
      <c r="K214" s="251"/>
      <c r="L214" s="251"/>
      <c r="M214" s="251"/>
      <c r="N214" s="251"/>
      <c r="O214" s="251"/>
      <c r="P214" s="251"/>
      <c r="Q214" s="251"/>
      <c r="R214" s="251"/>
    </row>
    <row r="215" spans="1:18" s="487" customFormat="1">
      <c r="A215" s="272"/>
      <c r="B215" s="248"/>
      <c r="C215" s="249"/>
      <c r="D215" s="262"/>
      <c r="E215" s="249"/>
      <c r="F215" s="250"/>
      <c r="G215" s="249"/>
      <c r="H215" s="251"/>
      <c r="I215" s="251"/>
      <c r="J215" s="251"/>
      <c r="K215" s="251"/>
      <c r="L215" s="251"/>
      <c r="M215" s="251"/>
      <c r="N215" s="251"/>
      <c r="O215" s="251"/>
      <c r="P215" s="251"/>
      <c r="Q215" s="251"/>
      <c r="R215" s="251"/>
    </row>
    <row r="216" spans="1:18" s="487" customFormat="1">
      <c r="A216" s="272"/>
      <c r="B216" s="248"/>
      <c r="C216" s="239"/>
      <c r="D216" s="244" t="s">
        <v>326</v>
      </c>
      <c r="E216" s="239"/>
      <c r="F216" s="250"/>
      <c r="G216" s="239"/>
      <c r="H216" s="251"/>
      <c r="I216" s="251"/>
      <c r="J216" s="251"/>
      <c r="K216" s="251"/>
      <c r="L216" s="251"/>
      <c r="M216" s="251"/>
      <c r="N216" s="251"/>
      <c r="O216" s="251"/>
      <c r="P216" s="251"/>
      <c r="Q216" s="251"/>
      <c r="R216" s="251"/>
    </row>
    <row r="217" spans="1:18" s="487" customFormat="1">
      <c r="A217" s="272"/>
      <c r="B217" s="248"/>
      <c r="C217" s="249"/>
      <c r="D217" s="263"/>
      <c r="E217" s="249"/>
      <c r="F217" s="250"/>
      <c r="G217" s="249"/>
      <c r="H217" s="251"/>
      <c r="I217" s="251"/>
      <c r="J217" s="251"/>
      <c r="K217" s="251"/>
      <c r="L217" s="251"/>
      <c r="M217" s="251"/>
      <c r="N217" s="251"/>
      <c r="O217" s="251"/>
      <c r="P217" s="251"/>
      <c r="Q217" s="251"/>
      <c r="R217" s="251"/>
    </row>
    <row r="218" spans="1:18" s="487" customFormat="1">
      <c r="A218" s="276"/>
      <c r="B218" s="264">
        <v>340.1</v>
      </c>
      <c r="C218" s="265"/>
      <c r="D218" s="266" t="s">
        <v>1314</v>
      </c>
      <c r="E218" s="265"/>
      <c r="F218" s="250"/>
      <c r="G218" s="265"/>
      <c r="H218" s="251"/>
      <c r="I218" s="251"/>
      <c r="J218" s="251"/>
      <c r="K218" s="251"/>
      <c r="L218" s="251"/>
      <c r="M218" s="251"/>
      <c r="N218" s="251"/>
      <c r="O218" s="251"/>
      <c r="P218" s="680"/>
      <c r="Q218" s="680"/>
      <c r="R218" s="251"/>
    </row>
    <row r="219" spans="1:18">
      <c r="A219" s="276">
        <v>340</v>
      </c>
      <c r="B219" s="264"/>
      <c r="C219" s="265"/>
      <c r="D219" s="266" t="s">
        <v>1336</v>
      </c>
      <c r="E219" s="265"/>
      <c r="F219" s="250">
        <v>0</v>
      </c>
      <c r="G219" s="265"/>
      <c r="H219" s="251">
        <v>2.19</v>
      </c>
      <c r="I219" s="251"/>
      <c r="J219" s="251">
        <v>2.19</v>
      </c>
      <c r="K219" s="251"/>
      <c r="L219" s="251">
        <v>0</v>
      </c>
      <c r="M219" s="251"/>
      <c r="N219" s="251">
        <v>0</v>
      </c>
      <c r="O219" s="251"/>
      <c r="P219" s="680" t="s">
        <v>1277</v>
      </c>
      <c r="Q219" s="680"/>
      <c r="R219" s="251">
        <v>178.7</v>
      </c>
    </row>
    <row r="220" spans="1:18">
      <c r="A220" s="276"/>
      <c r="B220" s="264"/>
      <c r="C220" s="265"/>
      <c r="D220" s="266"/>
      <c r="E220" s="265"/>
      <c r="F220" s="250"/>
      <c r="G220" s="265"/>
      <c r="H220" s="251"/>
      <c r="I220" s="251"/>
      <c r="J220" s="251"/>
      <c r="K220" s="251"/>
      <c r="L220" s="251"/>
      <c r="M220" s="251"/>
      <c r="N220" s="251"/>
      <c r="O220" s="251"/>
      <c r="P220" s="680"/>
      <c r="Q220" s="680"/>
      <c r="R220" s="251"/>
    </row>
    <row r="221" spans="1:18">
      <c r="A221" s="276"/>
      <c r="B221" s="264"/>
      <c r="C221" s="265"/>
      <c r="D221" s="268" t="s">
        <v>1337</v>
      </c>
      <c r="E221" s="265"/>
      <c r="F221" s="250"/>
      <c r="G221" s="265"/>
      <c r="H221" s="251">
        <v>2.19</v>
      </c>
      <c r="I221" s="251"/>
      <c r="J221" s="251"/>
      <c r="K221" s="251"/>
      <c r="L221" s="251"/>
      <c r="M221" s="251"/>
      <c r="N221" s="251"/>
      <c r="O221" s="251"/>
      <c r="P221" s="680"/>
      <c r="Q221" s="680"/>
      <c r="R221" s="251">
        <v>178.7</v>
      </c>
    </row>
    <row r="222" spans="1:18">
      <c r="A222" s="276"/>
      <c r="B222" s="264"/>
      <c r="C222" s="265"/>
      <c r="D222" s="266"/>
      <c r="E222" s="265"/>
      <c r="F222" s="250"/>
      <c r="G222" s="265"/>
      <c r="H222" s="251"/>
      <c r="I222" s="251"/>
      <c r="J222" s="251"/>
      <c r="K222" s="251"/>
      <c r="L222" s="251"/>
      <c r="M222" s="251"/>
      <c r="N222" s="251"/>
      <c r="O222" s="251"/>
      <c r="P222" s="680"/>
      <c r="Q222" s="680"/>
      <c r="R222" s="251"/>
    </row>
    <row r="223" spans="1:18">
      <c r="A223" s="272"/>
      <c r="B223" s="248">
        <v>341</v>
      </c>
      <c r="C223" s="249"/>
      <c r="D223" s="253" t="s">
        <v>1318</v>
      </c>
      <c r="E223" s="249"/>
      <c r="F223" s="250"/>
      <c r="G223" s="249"/>
      <c r="H223" s="251"/>
      <c r="I223" s="251"/>
      <c r="J223" s="251"/>
      <c r="K223" s="251"/>
      <c r="L223" s="251"/>
      <c r="M223" s="251"/>
      <c r="N223" s="251"/>
      <c r="O223" s="251"/>
      <c r="P223" s="251"/>
      <c r="Q223" s="251"/>
      <c r="R223" s="251"/>
    </row>
    <row r="224" spans="1:18">
      <c r="A224" s="272"/>
      <c r="B224" s="248"/>
      <c r="C224" s="249"/>
      <c r="D224" s="269" t="s">
        <v>1349</v>
      </c>
      <c r="E224" s="249"/>
      <c r="F224" s="678">
        <v>-7</v>
      </c>
      <c r="G224" s="249"/>
      <c r="H224" s="657">
        <v>2.92</v>
      </c>
      <c r="I224" s="251"/>
      <c r="J224" s="657">
        <v>2.73</v>
      </c>
      <c r="K224" s="251"/>
      <c r="L224" s="657">
        <v>0.19</v>
      </c>
      <c r="M224" s="251"/>
      <c r="N224" s="251">
        <v>0</v>
      </c>
      <c r="O224" s="251"/>
      <c r="P224" s="656" t="s">
        <v>2307</v>
      </c>
      <c r="Q224" s="251"/>
      <c r="R224" s="657">
        <v>14.6</v>
      </c>
    </row>
    <row r="225" spans="1:18">
      <c r="A225" s="272"/>
      <c r="B225" s="248"/>
      <c r="C225" s="249"/>
      <c r="D225" s="269" t="s">
        <v>1350</v>
      </c>
      <c r="E225" s="249"/>
      <c r="F225" s="678">
        <v>-7</v>
      </c>
      <c r="G225" s="249"/>
      <c r="H225" s="657">
        <v>4.3199999999999994</v>
      </c>
      <c r="I225" s="251"/>
      <c r="J225" s="657">
        <v>4.04</v>
      </c>
      <c r="K225" s="251"/>
      <c r="L225" s="657">
        <v>0.27999999999999997</v>
      </c>
      <c r="M225" s="251"/>
      <c r="N225" s="251">
        <v>0</v>
      </c>
      <c r="O225" s="251"/>
      <c r="P225" s="656" t="s">
        <v>2307</v>
      </c>
      <c r="Q225" s="251"/>
      <c r="R225" s="657">
        <v>10.199999999999999</v>
      </c>
    </row>
    <row r="226" spans="1:18">
      <c r="A226" s="272"/>
      <c r="B226" s="248"/>
      <c r="C226" s="249"/>
      <c r="D226" s="269" t="s">
        <v>1344</v>
      </c>
      <c r="E226" s="249"/>
      <c r="F226" s="678">
        <v>-7</v>
      </c>
      <c r="G226" s="249"/>
      <c r="H226" s="657">
        <v>3.94</v>
      </c>
      <c r="I226" s="251"/>
      <c r="J226" s="657">
        <v>3.6799999999999997</v>
      </c>
      <c r="K226" s="251"/>
      <c r="L226" s="657">
        <v>0.26</v>
      </c>
      <c r="M226" s="251"/>
      <c r="N226" s="251">
        <v>0</v>
      </c>
      <c r="O226" s="251"/>
      <c r="P226" s="656" t="s">
        <v>2307</v>
      </c>
      <c r="Q226" s="251"/>
      <c r="R226" s="657">
        <v>14.9</v>
      </c>
    </row>
    <row r="227" spans="1:18">
      <c r="A227" s="272"/>
      <c r="B227" s="248"/>
      <c r="C227" s="249"/>
      <c r="D227" s="269" t="s">
        <v>1345</v>
      </c>
      <c r="E227" s="249"/>
      <c r="F227" s="678">
        <v>-7</v>
      </c>
      <c r="G227" s="249"/>
      <c r="H227" s="657">
        <v>4.34</v>
      </c>
      <c r="I227" s="251"/>
      <c r="J227" s="657">
        <v>4.0599999999999996</v>
      </c>
      <c r="K227" s="251"/>
      <c r="L227" s="657">
        <v>0.27999999999999997</v>
      </c>
      <c r="M227" s="251"/>
      <c r="N227" s="251">
        <v>0</v>
      </c>
      <c r="O227" s="251"/>
      <c r="P227" s="656" t="s">
        <v>2307</v>
      </c>
      <c r="Q227" s="251"/>
      <c r="R227" s="657">
        <v>13</v>
      </c>
    </row>
    <row r="228" spans="1:18">
      <c r="A228" s="272"/>
      <c r="B228" s="248"/>
      <c r="C228" s="249"/>
      <c r="D228" s="269" t="s">
        <v>1346</v>
      </c>
      <c r="E228" s="249"/>
      <c r="F228" s="678">
        <v>-7</v>
      </c>
      <c r="G228" s="249"/>
      <c r="H228" s="657">
        <v>4.33</v>
      </c>
      <c r="I228" s="251"/>
      <c r="J228" s="657">
        <v>4.05</v>
      </c>
      <c r="K228" s="251"/>
      <c r="L228" s="657">
        <v>0.27999999999999997</v>
      </c>
      <c r="M228" s="251"/>
      <c r="N228" s="251">
        <v>0</v>
      </c>
      <c r="O228" s="251"/>
      <c r="P228" s="656" t="s">
        <v>2307</v>
      </c>
      <c r="Q228" s="251"/>
      <c r="R228" s="657">
        <v>13</v>
      </c>
    </row>
    <row r="229" spans="1:18">
      <c r="A229" s="272"/>
      <c r="B229" s="248"/>
      <c r="C229" s="249"/>
      <c r="D229" s="269" t="s">
        <v>1347</v>
      </c>
      <c r="E229" s="249"/>
      <c r="F229" s="678">
        <v>-7</v>
      </c>
      <c r="G229" s="249"/>
      <c r="H229" s="657">
        <v>3.9699999999999998</v>
      </c>
      <c r="I229" s="251"/>
      <c r="J229" s="657">
        <v>3.71</v>
      </c>
      <c r="K229" s="251"/>
      <c r="L229" s="657">
        <v>0.26</v>
      </c>
      <c r="M229" s="251"/>
      <c r="N229" s="251">
        <v>0</v>
      </c>
      <c r="O229" s="251"/>
      <c r="P229" s="656" t="s">
        <v>2307</v>
      </c>
      <c r="Q229" s="251"/>
      <c r="R229" s="657">
        <v>9.1999999999999993</v>
      </c>
    </row>
    <row r="230" spans="1:18">
      <c r="A230" s="272"/>
      <c r="B230" s="248"/>
      <c r="C230" s="249"/>
      <c r="D230" s="269" t="s">
        <v>1348</v>
      </c>
      <c r="E230" s="249"/>
      <c r="F230" s="678">
        <v>-7</v>
      </c>
      <c r="G230" s="249"/>
      <c r="H230" s="657">
        <v>2.76</v>
      </c>
      <c r="I230" s="251"/>
      <c r="J230" s="657">
        <v>2.58</v>
      </c>
      <c r="K230" s="251"/>
      <c r="L230" s="657">
        <v>0.18</v>
      </c>
      <c r="M230" s="251"/>
      <c r="N230" s="251">
        <v>0</v>
      </c>
      <c r="O230" s="251"/>
      <c r="P230" s="656" t="s">
        <v>2307</v>
      </c>
      <c r="Q230" s="251"/>
      <c r="R230" s="657">
        <v>14.6</v>
      </c>
    </row>
    <row r="231" spans="1:18">
      <c r="A231" s="272"/>
      <c r="B231" s="248"/>
      <c r="C231" s="249"/>
      <c r="D231" s="269" t="s">
        <v>2694</v>
      </c>
      <c r="E231" s="249"/>
      <c r="F231" s="678">
        <v>-5</v>
      </c>
      <c r="G231" s="249"/>
      <c r="H231" s="657">
        <v>4.24</v>
      </c>
      <c r="I231" s="251"/>
      <c r="J231" s="657">
        <v>4.04</v>
      </c>
      <c r="K231" s="251"/>
      <c r="L231" s="657">
        <v>0.2</v>
      </c>
      <c r="M231" s="251"/>
      <c r="N231" s="251">
        <v>0</v>
      </c>
      <c r="O231" s="251"/>
      <c r="P231" s="656" t="s">
        <v>2695</v>
      </c>
      <c r="Q231" s="251"/>
      <c r="R231" s="657">
        <v>40</v>
      </c>
    </row>
    <row r="232" spans="1:18">
      <c r="A232" s="272"/>
      <c r="B232" s="248"/>
      <c r="C232" s="249"/>
      <c r="D232" s="269" t="s">
        <v>1351</v>
      </c>
      <c r="E232" s="249"/>
      <c r="F232" s="678">
        <v>-10</v>
      </c>
      <c r="G232" s="249"/>
      <c r="H232" s="657">
        <v>19.170000000000002</v>
      </c>
      <c r="I232" s="251"/>
      <c r="J232" s="657">
        <v>17.43</v>
      </c>
      <c r="K232" s="251"/>
      <c r="L232" s="657">
        <v>1.7399999999999998</v>
      </c>
      <c r="M232" s="251"/>
      <c r="N232" s="251">
        <v>0</v>
      </c>
      <c r="O232" s="251"/>
      <c r="P232" s="656" t="s">
        <v>2307</v>
      </c>
      <c r="Q232" s="251"/>
      <c r="R232" s="657">
        <v>4.5</v>
      </c>
    </row>
    <row r="233" spans="1:18">
      <c r="A233" s="272"/>
      <c r="B233" s="248"/>
      <c r="C233" s="249"/>
      <c r="D233" s="269" t="s">
        <v>1352</v>
      </c>
      <c r="E233" s="249"/>
      <c r="F233" s="678">
        <v>-6</v>
      </c>
      <c r="G233" s="249"/>
      <c r="H233" s="657">
        <v>4.16</v>
      </c>
      <c r="I233" s="251"/>
      <c r="J233" s="657">
        <v>3.92</v>
      </c>
      <c r="K233" s="251"/>
      <c r="L233" s="657">
        <v>0.24</v>
      </c>
      <c r="M233" s="251"/>
      <c r="N233" s="251">
        <v>0</v>
      </c>
      <c r="O233" s="251"/>
      <c r="P233" s="656" t="s">
        <v>2307</v>
      </c>
      <c r="Q233" s="251"/>
      <c r="R233" s="657">
        <v>14.9</v>
      </c>
    </row>
    <row r="234" spans="1:18">
      <c r="A234" s="272"/>
      <c r="B234" s="248"/>
      <c r="C234" s="249"/>
      <c r="D234" s="269" t="s">
        <v>1343</v>
      </c>
      <c r="E234" s="249"/>
      <c r="F234" s="678">
        <v>-7</v>
      </c>
      <c r="G234" s="249"/>
      <c r="H234" s="657">
        <v>3.7900000000000005</v>
      </c>
      <c r="I234" s="251"/>
      <c r="J234" s="657">
        <v>3.54</v>
      </c>
      <c r="K234" s="251"/>
      <c r="L234" s="657">
        <v>0.25</v>
      </c>
      <c r="M234" s="251"/>
      <c r="N234" s="251">
        <v>0</v>
      </c>
      <c r="O234" s="251"/>
      <c r="P234" s="656" t="s">
        <v>2307</v>
      </c>
      <c r="Q234" s="251"/>
      <c r="R234" s="657">
        <v>17.7</v>
      </c>
    </row>
    <row r="235" spans="1:18">
      <c r="A235" s="272"/>
      <c r="B235" s="248"/>
      <c r="C235" s="249"/>
      <c r="D235" s="269" t="s">
        <v>1338</v>
      </c>
      <c r="E235" s="249"/>
      <c r="F235" s="678">
        <v>-7</v>
      </c>
      <c r="G235" s="249"/>
      <c r="H235" s="657">
        <v>3.8700000000000006</v>
      </c>
      <c r="I235" s="251"/>
      <c r="J235" s="657">
        <v>3.62</v>
      </c>
      <c r="K235" s="251"/>
      <c r="L235" s="657">
        <v>0.25</v>
      </c>
      <c r="M235" s="251"/>
      <c r="N235" s="251">
        <v>0</v>
      </c>
      <c r="O235" s="251"/>
      <c r="P235" s="656" t="s">
        <v>2307</v>
      </c>
      <c r="Q235" s="251"/>
      <c r="R235" s="657">
        <v>15.8</v>
      </c>
    </row>
    <row r="236" spans="1:18">
      <c r="A236" s="272"/>
      <c r="B236" s="248"/>
      <c r="C236" s="249"/>
      <c r="D236" s="269" t="s">
        <v>1339</v>
      </c>
      <c r="E236" s="249"/>
      <c r="F236" s="678">
        <v>-7</v>
      </c>
      <c r="G236" s="249"/>
      <c r="H236" s="657">
        <v>3.8600000000000003</v>
      </c>
      <c r="I236" s="251"/>
      <c r="J236" s="657">
        <v>3.61</v>
      </c>
      <c r="K236" s="251"/>
      <c r="L236" s="657">
        <v>0.25</v>
      </c>
      <c r="M236" s="251"/>
      <c r="N236" s="251">
        <v>0</v>
      </c>
      <c r="O236" s="251"/>
      <c r="P236" s="656" t="s">
        <v>2307</v>
      </c>
      <c r="Q236" s="251"/>
      <c r="R236" s="657">
        <v>15.8</v>
      </c>
    </row>
    <row r="237" spans="1:18">
      <c r="A237" s="272"/>
      <c r="B237" s="248"/>
      <c r="C237" s="249"/>
      <c r="D237" s="269" t="s">
        <v>1340</v>
      </c>
      <c r="E237" s="249"/>
      <c r="F237" s="678">
        <v>-7</v>
      </c>
      <c r="G237" s="249"/>
      <c r="H237" s="657">
        <v>3.7800000000000002</v>
      </c>
      <c r="I237" s="251"/>
      <c r="J237" s="657">
        <v>3.53</v>
      </c>
      <c r="K237" s="251"/>
      <c r="L237" s="657">
        <v>0.25</v>
      </c>
      <c r="M237" s="251"/>
      <c r="N237" s="251">
        <v>0</v>
      </c>
      <c r="O237" s="251"/>
      <c r="P237" s="656" t="s">
        <v>2307</v>
      </c>
      <c r="Q237" s="251"/>
      <c r="R237" s="657">
        <v>17.7</v>
      </c>
    </row>
    <row r="238" spans="1:18">
      <c r="A238" s="272"/>
      <c r="B238" s="248"/>
      <c r="C238" s="249"/>
      <c r="D238" s="269" t="s">
        <v>1341</v>
      </c>
      <c r="E238" s="249"/>
      <c r="F238" s="678">
        <v>-7</v>
      </c>
      <c r="G238" s="249"/>
      <c r="H238" s="657">
        <v>3.7800000000000002</v>
      </c>
      <c r="I238" s="251"/>
      <c r="J238" s="657">
        <v>3.53</v>
      </c>
      <c r="K238" s="251"/>
      <c r="L238" s="657">
        <v>0.25</v>
      </c>
      <c r="M238" s="251"/>
      <c r="N238" s="251">
        <v>0</v>
      </c>
      <c r="O238" s="251"/>
      <c r="P238" s="656" t="s">
        <v>2307</v>
      </c>
      <c r="Q238" s="251"/>
      <c r="R238" s="657">
        <v>17.7</v>
      </c>
    </row>
    <row r="239" spans="1:18">
      <c r="A239" s="272"/>
      <c r="B239" s="248"/>
      <c r="C239" s="249"/>
      <c r="D239" s="269" t="s">
        <v>1342</v>
      </c>
      <c r="E239" s="249"/>
      <c r="F239" s="678">
        <v>-7</v>
      </c>
      <c r="G239" s="249"/>
      <c r="H239" s="657">
        <v>3.7900000000000005</v>
      </c>
      <c r="I239" s="251"/>
      <c r="J239" s="657">
        <v>3.54</v>
      </c>
      <c r="K239" s="251"/>
      <c r="L239" s="657">
        <v>0.25</v>
      </c>
      <c r="M239" s="251"/>
      <c r="N239" s="251">
        <v>0</v>
      </c>
      <c r="O239" s="251"/>
      <c r="P239" s="656" t="s">
        <v>2307</v>
      </c>
      <c r="Q239" s="251"/>
      <c r="R239" s="657">
        <v>17.7</v>
      </c>
    </row>
    <row r="240" spans="1:18">
      <c r="A240" s="272"/>
      <c r="B240" s="248"/>
      <c r="C240" s="249"/>
      <c r="D240" s="269" t="s">
        <v>2306</v>
      </c>
      <c r="E240" s="249"/>
      <c r="F240" s="678">
        <v>-12</v>
      </c>
      <c r="G240" s="249"/>
      <c r="H240" s="657">
        <v>3.0300000000000002</v>
      </c>
      <c r="I240" s="251"/>
      <c r="J240" s="657">
        <v>2.71</v>
      </c>
      <c r="K240" s="251"/>
      <c r="L240" s="657">
        <v>0.32</v>
      </c>
      <c r="M240" s="251"/>
      <c r="N240" s="251">
        <v>0</v>
      </c>
      <c r="O240" s="251"/>
      <c r="P240" s="656" t="s">
        <v>2307</v>
      </c>
      <c r="Q240" s="251"/>
      <c r="R240" s="657">
        <v>35.6</v>
      </c>
    </row>
    <row r="241" spans="1:18">
      <c r="A241" s="272"/>
      <c r="B241" s="248"/>
      <c r="C241" s="249"/>
      <c r="D241" s="253"/>
      <c r="E241" s="249"/>
      <c r="F241" s="250"/>
      <c r="G241" s="249"/>
      <c r="H241" s="251"/>
      <c r="I241" s="251"/>
      <c r="J241" s="251"/>
      <c r="K241" s="251"/>
      <c r="L241" s="251"/>
      <c r="M241" s="251"/>
      <c r="N241" s="251"/>
      <c r="O241" s="251"/>
      <c r="P241" s="251"/>
      <c r="Q241" s="251"/>
      <c r="R241" s="251"/>
    </row>
    <row r="242" spans="1:18">
      <c r="A242" s="272">
        <v>341</v>
      </c>
      <c r="B242" s="248"/>
      <c r="C242" s="249"/>
      <c r="D242" s="254" t="s">
        <v>1353</v>
      </c>
      <c r="E242" s="249"/>
      <c r="F242" s="278" t="s">
        <v>2696</v>
      </c>
      <c r="G242" s="249"/>
      <c r="H242" s="251">
        <v>3.38</v>
      </c>
      <c r="I242" s="251"/>
      <c r="J242" s="251"/>
      <c r="K242" s="251"/>
      <c r="L242" s="251"/>
      <c r="M242" s="251"/>
      <c r="N242" s="251"/>
      <c r="O242" s="251"/>
      <c r="P242" s="251" t="s">
        <v>2307</v>
      </c>
      <c r="Q242" s="251"/>
      <c r="R242" s="251">
        <v>25.9</v>
      </c>
    </row>
    <row r="243" spans="1:18">
      <c r="A243" s="272"/>
      <c r="B243" s="248"/>
      <c r="C243" s="249"/>
      <c r="D243" s="253"/>
      <c r="E243" s="249"/>
      <c r="F243" s="250"/>
      <c r="G243" s="249"/>
      <c r="H243" s="251"/>
      <c r="I243" s="251"/>
      <c r="J243" s="251"/>
      <c r="K243" s="251"/>
      <c r="L243" s="251"/>
      <c r="M243" s="251"/>
      <c r="N243" s="251"/>
      <c r="O243" s="251"/>
      <c r="P243" s="251"/>
      <c r="Q243" s="251"/>
      <c r="R243" s="251"/>
    </row>
    <row r="244" spans="1:18">
      <c r="A244" s="272"/>
      <c r="B244" s="248">
        <v>342</v>
      </c>
      <c r="C244" s="249"/>
      <c r="D244" s="249" t="s">
        <v>1354</v>
      </c>
      <c r="E244" s="249"/>
      <c r="F244" s="250"/>
      <c r="G244" s="249"/>
      <c r="H244" s="251"/>
      <c r="I244" s="251"/>
      <c r="J244" s="251"/>
      <c r="K244" s="251"/>
      <c r="L244" s="251"/>
      <c r="M244" s="251"/>
      <c r="N244" s="251"/>
      <c r="O244" s="251"/>
      <c r="P244" s="251"/>
      <c r="Q244" s="251"/>
      <c r="R244" s="251"/>
    </row>
    <row r="245" spans="1:18">
      <c r="A245" s="272"/>
      <c r="B245" s="248"/>
      <c r="C245" s="249"/>
      <c r="D245" s="269" t="s">
        <v>1349</v>
      </c>
      <c r="E245" s="249"/>
      <c r="F245" s="678">
        <v>-7</v>
      </c>
      <c r="G245" s="249"/>
      <c r="H245" s="657">
        <v>5.43</v>
      </c>
      <c r="I245" s="251"/>
      <c r="J245" s="657">
        <v>5.07</v>
      </c>
      <c r="K245" s="251"/>
      <c r="L245" s="657">
        <v>0.36</v>
      </c>
      <c r="M245" s="251"/>
      <c r="N245" s="251">
        <v>0</v>
      </c>
      <c r="O245" s="251"/>
      <c r="P245" s="251" t="s">
        <v>1355</v>
      </c>
      <c r="Q245" s="251"/>
      <c r="R245" s="657">
        <v>15.1</v>
      </c>
    </row>
    <row r="246" spans="1:18">
      <c r="A246" s="272"/>
      <c r="B246" s="248"/>
      <c r="C246" s="249"/>
      <c r="D246" s="269" t="s">
        <v>1350</v>
      </c>
      <c r="E246" s="249"/>
      <c r="F246" s="678">
        <v>-7</v>
      </c>
      <c r="G246" s="249"/>
      <c r="H246" s="657">
        <v>7.39</v>
      </c>
      <c r="I246" s="251"/>
      <c r="J246" s="657">
        <v>6.9099999999999993</v>
      </c>
      <c r="K246" s="251"/>
      <c r="L246" s="657">
        <v>0.48</v>
      </c>
      <c r="M246" s="251"/>
      <c r="N246" s="251">
        <v>0</v>
      </c>
      <c r="O246" s="251"/>
      <c r="P246" s="251" t="s">
        <v>1355</v>
      </c>
      <c r="Q246" s="251"/>
      <c r="R246" s="657">
        <v>10.3</v>
      </c>
    </row>
    <row r="247" spans="1:18">
      <c r="A247" s="272"/>
      <c r="B247" s="248"/>
      <c r="C247" s="249"/>
      <c r="D247" s="253" t="s">
        <v>1344</v>
      </c>
      <c r="E247" s="249"/>
      <c r="F247" s="678">
        <v>-7</v>
      </c>
      <c r="G247" s="249"/>
      <c r="H247" s="657">
        <v>5</v>
      </c>
      <c r="I247" s="251"/>
      <c r="J247" s="657">
        <v>4.67</v>
      </c>
      <c r="K247" s="251"/>
      <c r="L247" s="657">
        <v>0.33</v>
      </c>
      <c r="M247" s="251"/>
      <c r="N247" s="251">
        <v>0</v>
      </c>
      <c r="O247" s="251"/>
      <c r="P247" s="251" t="s">
        <v>1355</v>
      </c>
      <c r="Q247" s="251"/>
      <c r="R247" s="657">
        <v>14.8</v>
      </c>
    </row>
    <row r="248" spans="1:18">
      <c r="A248" s="272"/>
      <c r="B248" s="248"/>
      <c r="C248" s="249"/>
      <c r="D248" s="269" t="s">
        <v>1345</v>
      </c>
      <c r="E248" s="249"/>
      <c r="F248" s="678">
        <v>-7</v>
      </c>
      <c r="G248" s="249"/>
      <c r="H248" s="657">
        <v>6.9599999999999991</v>
      </c>
      <c r="I248" s="251"/>
      <c r="J248" s="657">
        <v>6.5</v>
      </c>
      <c r="K248" s="251"/>
      <c r="L248" s="657">
        <v>0.45999999999999996</v>
      </c>
      <c r="M248" s="251"/>
      <c r="N248" s="251">
        <v>0</v>
      </c>
      <c r="O248" s="251"/>
      <c r="P248" s="251" t="s">
        <v>1355</v>
      </c>
      <c r="Q248" s="251"/>
      <c r="R248" s="657">
        <v>13.2</v>
      </c>
    </row>
    <row r="249" spans="1:18">
      <c r="A249" s="272"/>
      <c r="B249" s="248"/>
      <c r="C249" s="249"/>
      <c r="D249" s="269" t="s">
        <v>1346</v>
      </c>
      <c r="E249" s="249"/>
      <c r="F249" s="678">
        <v>-7</v>
      </c>
      <c r="G249" s="249"/>
      <c r="H249" s="657">
        <v>6.9899999999999993</v>
      </c>
      <c r="I249" s="251"/>
      <c r="J249" s="657">
        <v>6.5299999999999994</v>
      </c>
      <c r="K249" s="251"/>
      <c r="L249" s="657">
        <v>0.45999999999999996</v>
      </c>
      <c r="M249" s="251"/>
      <c r="N249" s="251">
        <v>0</v>
      </c>
      <c r="O249" s="251"/>
      <c r="P249" s="251" t="s">
        <v>1355</v>
      </c>
      <c r="Q249" s="251"/>
      <c r="R249" s="657">
        <v>13.2</v>
      </c>
    </row>
    <row r="250" spans="1:18">
      <c r="A250" s="272"/>
      <c r="B250" s="248"/>
      <c r="C250" s="249"/>
      <c r="D250" s="269" t="s">
        <v>1347</v>
      </c>
      <c r="E250" s="249"/>
      <c r="F250" s="678">
        <v>-7</v>
      </c>
      <c r="G250" s="249"/>
      <c r="H250" s="657">
        <v>6.5299999999999994</v>
      </c>
      <c r="I250" s="251"/>
      <c r="J250" s="657">
        <v>6.1</v>
      </c>
      <c r="K250" s="251"/>
      <c r="L250" s="657">
        <v>0.43</v>
      </c>
      <c r="M250" s="251"/>
      <c r="N250" s="251">
        <v>0</v>
      </c>
      <c r="O250" s="251"/>
      <c r="P250" s="251" t="s">
        <v>1355</v>
      </c>
      <c r="Q250" s="251"/>
      <c r="R250" s="657">
        <v>9.4</v>
      </c>
    </row>
    <row r="251" spans="1:18">
      <c r="A251" s="272"/>
      <c r="B251" s="248"/>
      <c r="C251" s="249"/>
      <c r="D251" s="269" t="s">
        <v>1348</v>
      </c>
      <c r="E251" s="249"/>
      <c r="F251" s="678">
        <v>-7</v>
      </c>
      <c r="G251" s="249"/>
      <c r="H251" s="657">
        <v>4.6500000000000004</v>
      </c>
      <c r="I251" s="251"/>
      <c r="J251" s="657">
        <v>4.3499999999999996</v>
      </c>
      <c r="K251" s="251"/>
      <c r="L251" s="657">
        <v>0.3</v>
      </c>
      <c r="M251" s="251"/>
      <c r="N251" s="251">
        <v>0</v>
      </c>
      <c r="O251" s="251"/>
      <c r="P251" s="251" t="s">
        <v>1355</v>
      </c>
      <c r="Q251" s="251"/>
      <c r="R251" s="657">
        <v>14.8</v>
      </c>
    </row>
    <row r="252" spans="1:18">
      <c r="A252" s="272"/>
      <c r="B252" s="248"/>
      <c r="C252" s="249"/>
      <c r="D252" s="269" t="s">
        <v>1336</v>
      </c>
      <c r="E252" s="249"/>
      <c r="F252" s="678">
        <v>-7</v>
      </c>
      <c r="G252" s="249"/>
      <c r="H252" s="657">
        <v>3.0300000000000002</v>
      </c>
      <c r="I252" s="251"/>
      <c r="J252" s="657">
        <v>2.83</v>
      </c>
      <c r="K252" s="251"/>
      <c r="L252" s="657">
        <v>0.2</v>
      </c>
      <c r="M252" s="251"/>
      <c r="N252" s="251">
        <v>0</v>
      </c>
      <c r="O252" s="251"/>
      <c r="P252" s="251" t="s">
        <v>1355</v>
      </c>
      <c r="Q252" s="251"/>
      <c r="R252" s="657">
        <v>14.2</v>
      </c>
    </row>
    <row r="253" spans="1:18">
      <c r="A253" s="272"/>
      <c r="B253" s="248"/>
      <c r="C253" s="249"/>
      <c r="D253" s="269" t="s">
        <v>1351</v>
      </c>
      <c r="E253" s="249"/>
      <c r="F253" s="678">
        <v>-10</v>
      </c>
      <c r="G253" s="249"/>
      <c r="H253" s="657">
        <v>15.740000000000002</v>
      </c>
      <c r="I253" s="251"/>
      <c r="J253" s="657">
        <v>14.31</v>
      </c>
      <c r="K253" s="251"/>
      <c r="L253" s="657">
        <v>1.43</v>
      </c>
      <c r="M253" s="251"/>
      <c r="N253" s="251">
        <v>0</v>
      </c>
      <c r="O253" s="251"/>
      <c r="P253" s="251" t="s">
        <v>1355</v>
      </c>
      <c r="Q253" s="251"/>
      <c r="R253" s="657">
        <v>4.4000000000000004</v>
      </c>
    </row>
    <row r="254" spans="1:18">
      <c r="A254" s="272"/>
      <c r="B254" s="248"/>
      <c r="C254" s="249"/>
      <c r="D254" s="269" t="s">
        <v>1352</v>
      </c>
      <c r="E254" s="249"/>
      <c r="F254" s="678">
        <v>-6</v>
      </c>
      <c r="G254" s="249"/>
      <c r="H254" s="657">
        <v>3.8900000000000006</v>
      </c>
      <c r="I254" s="251"/>
      <c r="J254" s="657">
        <v>3.6700000000000004</v>
      </c>
      <c r="K254" s="251"/>
      <c r="L254" s="657">
        <v>0.22</v>
      </c>
      <c r="M254" s="251"/>
      <c r="N254" s="251">
        <v>0</v>
      </c>
      <c r="O254" s="251"/>
      <c r="P254" s="251" t="s">
        <v>1355</v>
      </c>
      <c r="Q254" s="251"/>
      <c r="R254" s="657">
        <v>14.7</v>
      </c>
    </row>
    <row r="255" spans="1:18">
      <c r="A255" s="272"/>
      <c r="B255" s="248"/>
      <c r="C255" s="249"/>
      <c r="D255" s="269" t="s">
        <v>1343</v>
      </c>
      <c r="E255" s="249"/>
      <c r="F255" s="678">
        <v>-7</v>
      </c>
      <c r="G255" s="249"/>
      <c r="H255" s="657">
        <v>3.85</v>
      </c>
      <c r="I255" s="251"/>
      <c r="J255" s="657">
        <v>3.5999999999999996</v>
      </c>
      <c r="K255" s="251"/>
      <c r="L255" s="657">
        <v>0.25</v>
      </c>
      <c r="M255" s="251"/>
      <c r="N255" s="251">
        <v>0</v>
      </c>
      <c r="O255" s="251"/>
      <c r="P255" s="251" t="s">
        <v>1355</v>
      </c>
      <c r="Q255" s="251"/>
      <c r="R255" s="657">
        <v>17.5</v>
      </c>
    </row>
    <row r="256" spans="1:18">
      <c r="A256" s="272"/>
      <c r="B256" s="248"/>
      <c r="C256" s="249"/>
      <c r="D256" s="269" t="s">
        <v>1338</v>
      </c>
      <c r="E256" s="249"/>
      <c r="F256" s="678">
        <v>-7</v>
      </c>
      <c r="G256" s="249"/>
      <c r="H256" s="657">
        <v>3.9</v>
      </c>
      <c r="I256" s="251"/>
      <c r="J256" s="657">
        <v>3.64</v>
      </c>
      <c r="K256" s="251"/>
      <c r="L256" s="657">
        <v>0.26</v>
      </c>
      <c r="M256" s="251"/>
      <c r="N256" s="251">
        <v>0</v>
      </c>
      <c r="O256" s="251"/>
      <c r="P256" s="251" t="s">
        <v>1355</v>
      </c>
      <c r="Q256" s="251"/>
      <c r="R256" s="657">
        <v>15.6</v>
      </c>
    </row>
    <row r="257" spans="1:18">
      <c r="A257" s="272"/>
      <c r="B257" s="248"/>
      <c r="C257" s="249"/>
      <c r="D257" s="269" t="s">
        <v>1339</v>
      </c>
      <c r="E257" s="249"/>
      <c r="F257" s="678">
        <v>-7</v>
      </c>
      <c r="G257" s="249"/>
      <c r="H257" s="657">
        <v>3.9</v>
      </c>
      <c r="I257" s="251"/>
      <c r="J257" s="657">
        <v>3.64</v>
      </c>
      <c r="K257" s="251"/>
      <c r="L257" s="657">
        <v>0.26</v>
      </c>
      <c r="M257" s="251"/>
      <c r="N257" s="251">
        <v>0</v>
      </c>
      <c r="O257" s="251"/>
      <c r="P257" s="251" t="s">
        <v>1355</v>
      </c>
      <c r="Q257" s="251"/>
      <c r="R257" s="657">
        <v>15.6</v>
      </c>
    </row>
    <row r="258" spans="1:18">
      <c r="A258" s="272"/>
      <c r="B258" s="248"/>
      <c r="C258" s="249"/>
      <c r="D258" s="269" t="s">
        <v>1340</v>
      </c>
      <c r="E258" s="249"/>
      <c r="F258" s="678">
        <v>-7</v>
      </c>
      <c r="G258" s="249"/>
      <c r="H258" s="657">
        <v>3.8200000000000003</v>
      </c>
      <c r="I258" s="251"/>
      <c r="J258" s="657">
        <v>3.5700000000000003</v>
      </c>
      <c r="K258" s="251"/>
      <c r="L258" s="657">
        <v>0.25</v>
      </c>
      <c r="M258" s="251"/>
      <c r="N258" s="251">
        <v>0</v>
      </c>
      <c r="O258" s="251"/>
      <c r="P258" s="251" t="s">
        <v>1355</v>
      </c>
      <c r="Q258" s="251"/>
      <c r="R258" s="657">
        <v>17.5</v>
      </c>
    </row>
    <row r="259" spans="1:18">
      <c r="A259" s="272"/>
      <c r="B259" s="248"/>
      <c r="C259" s="249"/>
      <c r="D259" s="269" t="s">
        <v>1341</v>
      </c>
      <c r="E259" s="249"/>
      <c r="F259" s="678">
        <v>-7</v>
      </c>
      <c r="G259" s="249"/>
      <c r="H259" s="657">
        <v>3.8200000000000003</v>
      </c>
      <c r="I259" s="251"/>
      <c r="J259" s="657">
        <v>3.5700000000000003</v>
      </c>
      <c r="K259" s="251"/>
      <c r="L259" s="657">
        <v>0.25</v>
      </c>
      <c r="M259" s="251"/>
      <c r="N259" s="251">
        <v>0</v>
      </c>
      <c r="O259" s="251"/>
      <c r="P259" s="251" t="s">
        <v>1355</v>
      </c>
      <c r="Q259" s="251"/>
      <c r="R259" s="657">
        <v>17.5</v>
      </c>
    </row>
    <row r="260" spans="1:18">
      <c r="A260" s="272"/>
      <c r="B260" s="248"/>
      <c r="C260" s="249"/>
      <c r="D260" s="269" t="s">
        <v>1342</v>
      </c>
      <c r="E260" s="249"/>
      <c r="F260" s="678">
        <v>-7</v>
      </c>
      <c r="G260" s="249"/>
      <c r="H260" s="657">
        <v>3.83</v>
      </c>
      <c r="I260" s="251"/>
      <c r="J260" s="657">
        <v>3.58</v>
      </c>
      <c r="K260" s="251"/>
      <c r="L260" s="657">
        <v>0.25</v>
      </c>
      <c r="M260" s="251"/>
      <c r="N260" s="251">
        <v>0</v>
      </c>
      <c r="O260" s="251"/>
      <c r="P260" s="251" t="s">
        <v>1355</v>
      </c>
      <c r="Q260" s="251"/>
      <c r="R260" s="657">
        <v>17.5</v>
      </c>
    </row>
    <row r="261" spans="1:18">
      <c r="A261" s="272"/>
      <c r="B261" s="248"/>
      <c r="C261" s="249"/>
      <c r="D261" s="269" t="s">
        <v>1356</v>
      </c>
      <c r="E261" s="249"/>
      <c r="F261" s="678">
        <v>-7</v>
      </c>
      <c r="G261" s="249"/>
      <c r="H261" s="657">
        <v>3.53</v>
      </c>
      <c r="I261" s="251"/>
      <c r="J261" s="657">
        <v>3.3000000000000003</v>
      </c>
      <c r="K261" s="251"/>
      <c r="L261" s="657">
        <v>0.22999999999999998</v>
      </c>
      <c r="M261" s="251"/>
      <c r="N261" s="251">
        <v>0</v>
      </c>
      <c r="O261" s="251"/>
      <c r="P261" s="251" t="s">
        <v>1355</v>
      </c>
      <c r="Q261" s="251"/>
      <c r="R261" s="657">
        <v>17.399999999999999</v>
      </c>
    </row>
    <row r="262" spans="1:18">
      <c r="A262" s="272"/>
      <c r="B262" s="248"/>
      <c r="C262" s="249"/>
      <c r="D262" s="266" t="s">
        <v>2306</v>
      </c>
      <c r="E262" s="249"/>
      <c r="F262" s="678">
        <v>-12</v>
      </c>
      <c r="G262" s="249"/>
      <c r="H262" s="657">
        <v>3.1</v>
      </c>
      <c r="I262" s="251"/>
      <c r="J262" s="657">
        <v>2.77</v>
      </c>
      <c r="K262" s="251"/>
      <c r="L262" s="657">
        <v>0.33</v>
      </c>
      <c r="M262" s="251"/>
      <c r="N262" s="251">
        <v>0</v>
      </c>
      <c r="O262" s="251"/>
      <c r="P262" s="251" t="s">
        <v>1355</v>
      </c>
      <c r="Q262" s="251"/>
      <c r="R262" s="657">
        <v>35.6</v>
      </c>
    </row>
    <row r="263" spans="1:18">
      <c r="A263" s="272"/>
      <c r="B263" s="248"/>
      <c r="C263" s="249"/>
      <c r="D263" s="269" t="s">
        <v>2308</v>
      </c>
      <c r="E263" s="249"/>
      <c r="F263" s="678">
        <v>-12</v>
      </c>
      <c r="G263" s="249"/>
      <c r="H263" s="657">
        <v>3.1</v>
      </c>
      <c r="I263" s="251"/>
      <c r="J263" s="657">
        <v>2.77</v>
      </c>
      <c r="K263" s="251"/>
      <c r="L263" s="657">
        <v>0.33</v>
      </c>
      <c r="M263" s="251"/>
      <c r="N263" s="251">
        <v>0</v>
      </c>
      <c r="O263" s="251"/>
      <c r="P263" s="251" t="s">
        <v>1355</v>
      </c>
      <c r="Q263" s="251"/>
      <c r="R263" s="657">
        <v>35.6</v>
      </c>
    </row>
    <row r="264" spans="1:18">
      <c r="A264" s="272"/>
      <c r="B264" s="248"/>
      <c r="C264" s="249"/>
      <c r="D264" s="269" t="s">
        <v>2697</v>
      </c>
      <c r="E264" s="249"/>
      <c r="F264" s="678">
        <v>-12</v>
      </c>
      <c r="G264" s="249"/>
      <c r="H264" s="657">
        <v>3.1</v>
      </c>
      <c r="I264" s="251"/>
      <c r="J264" s="657">
        <v>2.77</v>
      </c>
      <c r="K264" s="251"/>
      <c r="L264" s="657">
        <v>0.33</v>
      </c>
      <c r="M264" s="251"/>
      <c r="N264" s="251">
        <v>0</v>
      </c>
      <c r="O264" s="251"/>
      <c r="P264" s="251" t="s">
        <v>1355</v>
      </c>
      <c r="Q264" s="251"/>
      <c r="R264" s="657">
        <v>14.7</v>
      </c>
    </row>
    <row r="265" spans="1:18">
      <c r="A265" s="272"/>
      <c r="B265" s="248"/>
      <c r="C265" s="249"/>
      <c r="D265" s="249"/>
      <c r="E265" s="249"/>
      <c r="F265" s="250"/>
      <c r="G265" s="249"/>
      <c r="H265" s="251"/>
      <c r="I265" s="251"/>
      <c r="J265" s="251"/>
      <c r="K265" s="251"/>
      <c r="L265" s="251"/>
      <c r="M265" s="251"/>
      <c r="N265" s="251"/>
      <c r="O265" s="251"/>
      <c r="P265" s="251"/>
      <c r="Q265" s="251"/>
      <c r="R265" s="251"/>
    </row>
    <row r="266" spans="1:18">
      <c r="A266" s="272">
        <v>342</v>
      </c>
      <c r="B266" s="248"/>
      <c r="C266" s="249"/>
      <c r="D266" s="254" t="s">
        <v>1357</v>
      </c>
      <c r="E266" s="249"/>
      <c r="F266" s="278" t="s">
        <v>2334</v>
      </c>
      <c r="G266" s="249"/>
      <c r="H266" s="251">
        <v>3.27</v>
      </c>
      <c r="I266" s="251"/>
      <c r="J266" s="251"/>
      <c r="K266" s="251"/>
      <c r="L266" s="251"/>
      <c r="M266" s="251"/>
      <c r="N266" s="251"/>
      <c r="O266" s="251"/>
      <c r="P266" s="251" t="s">
        <v>1355</v>
      </c>
      <c r="Q266" s="251"/>
      <c r="R266" s="251">
        <v>31.3</v>
      </c>
    </row>
    <row r="267" spans="1:18">
      <c r="A267" s="272"/>
      <c r="B267" s="248"/>
      <c r="C267" s="249"/>
      <c r="D267" s="249"/>
      <c r="E267" s="249"/>
      <c r="F267" s="250"/>
      <c r="G267" s="249"/>
      <c r="H267" s="251"/>
      <c r="I267" s="251"/>
      <c r="J267" s="251"/>
      <c r="K267" s="251"/>
      <c r="L267" s="251"/>
      <c r="M267" s="251"/>
      <c r="N267" s="251"/>
      <c r="O267" s="251"/>
      <c r="P267" s="251"/>
      <c r="Q267" s="251"/>
      <c r="R267" s="251"/>
    </row>
    <row r="268" spans="1:18">
      <c r="A268" s="272"/>
      <c r="B268" s="248">
        <v>343</v>
      </c>
      <c r="C268" s="249"/>
      <c r="D268" s="249" t="s">
        <v>1358</v>
      </c>
      <c r="E268" s="249"/>
      <c r="F268" s="250"/>
      <c r="G268" s="249"/>
      <c r="H268" s="251"/>
      <c r="I268" s="251"/>
      <c r="J268" s="251"/>
      <c r="K268" s="251"/>
      <c r="L268" s="251"/>
      <c r="M268" s="251"/>
      <c r="N268" s="251"/>
      <c r="O268" s="251"/>
      <c r="P268" s="251"/>
      <c r="Q268" s="251"/>
      <c r="R268" s="251"/>
    </row>
    <row r="269" spans="1:18">
      <c r="A269" s="272"/>
      <c r="B269" s="248"/>
      <c r="C269" s="249"/>
      <c r="D269" s="269" t="s">
        <v>1349</v>
      </c>
      <c r="E269" s="249"/>
      <c r="F269" s="678">
        <v>-7</v>
      </c>
      <c r="G269" s="249"/>
      <c r="H269" s="251">
        <v>4.9399999999999995</v>
      </c>
      <c r="I269" s="251"/>
      <c r="J269" s="251">
        <v>4.62</v>
      </c>
      <c r="K269" s="251"/>
      <c r="L269" s="251">
        <v>0.37</v>
      </c>
      <c r="M269" s="251"/>
      <c r="N269" s="251">
        <v>-0.05</v>
      </c>
      <c r="O269" s="251"/>
      <c r="P269" s="656" t="s">
        <v>1359</v>
      </c>
      <c r="Q269" s="251"/>
      <c r="R269" s="657">
        <v>13.8</v>
      </c>
    </row>
    <row r="270" spans="1:18">
      <c r="A270" s="272"/>
      <c r="B270" s="248"/>
      <c r="C270" s="249"/>
      <c r="D270" s="269" t="s">
        <v>1350</v>
      </c>
      <c r="E270" s="249"/>
      <c r="F270" s="678">
        <v>-7</v>
      </c>
      <c r="G270" s="249"/>
      <c r="H270" s="251">
        <v>4.82</v>
      </c>
      <c r="I270" s="251"/>
      <c r="J270" s="251">
        <v>4.51</v>
      </c>
      <c r="K270" s="251"/>
      <c r="L270" s="251">
        <v>0.36</v>
      </c>
      <c r="M270" s="251"/>
      <c r="N270" s="251">
        <v>-0.05</v>
      </c>
      <c r="O270" s="251"/>
      <c r="P270" s="656" t="s">
        <v>1359</v>
      </c>
      <c r="Q270" s="251"/>
      <c r="R270" s="657">
        <v>9.6</v>
      </c>
    </row>
    <row r="271" spans="1:18">
      <c r="A271" s="272"/>
      <c r="B271" s="248"/>
      <c r="C271" s="249"/>
      <c r="D271" s="269" t="s">
        <v>1344</v>
      </c>
      <c r="E271" s="249"/>
      <c r="F271" s="678">
        <v>-7</v>
      </c>
      <c r="G271" s="249"/>
      <c r="H271" s="251">
        <v>4.41</v>
      </c>
      <c r="I271" s="251"/>
      <c r="J271" s="251">
        <v>4.12</v>
      </c>
      <c r="K271" s="251"/>
      <c r="L271" s="251">
        <v>0.33</v>
      </c>
      <c r="M271" s="251"/>
      <c r="N271" s="251">
        <v>-0.04</v>
      </c>
      <c r="O271" s="251"/>
      <c r="P271" s="656" t="s">
        <v>1359</v>
      </c>
      <c r="Q271" s="251"/>
      <c r="R271" s="657">
        <v>13.8</v>
      </c>
    </row>
    <row r="272" spans="1:18">
      <c r="A272" s="272"/>
      <c r="B272" s="248"/>
      <c r="C272" s="249"/>
      <c r="D272" s="269" t="s">
        <v>1345</v>
      </c>
      <c r="E272" s="249"/>
      <c r="F272" s="678">
        <v>-7</v>
      </c>
      <c r="G272" s="249"/>
      <c r="H272" s="251">
        <v>5.42</v>
      </c>
      <c r="I272" s="251"/>
      <c r="J272" s="251">
        <v>5.0599999999999996</v>
      </c>
      <c r="K272" s="251"/>
      <c r="L272" s="251">
        <v>0.41000000000000003</v>
      </c>
      <c r="M272" s="251"/>
      <c r="N272" s="251">
        <v>-0.05</v>
      </c>
      <c r="O272" s="251"/>
      <c r="P272" s="656" t="s">
        <v>1359</v>
      </c>
      <c r="Q272" s="251"/>
      <c r="R272" s="657">
        <v>12.2</v>
      </c>
    </row>
    <row r="273" spans="1:18">
      <c r="A273" s="272"/>
      <c r="B273" s="248"/>
      <c r="C273" s="249"/>
      <c r="D273" s="269" t="s">
        <v>1346</v>
      </c>
      <c r="E273" s="249"/>
      <c r="F273" s="678">
        <v>-7</v>
      </c>
      <c r="G273" s="249"/>
      <c r="H273" s="251">
        <v>5.28</v>
      </c>
      <c r="I273" s="251"/>
      <c r="J273" s="251">
        <v>4.9399999999999995</v>
      </c>
      <c r="K273" s="251"/>
      <c r="L273" s="251">
        <v>0.38999999999999996</v>
      </c>
      <c r="M273" s="251"/>
      <c r="N273" s="251">
        <v>-0.05</v>
      </c>
      <c r="O273" s="251"/>
      <c r="P273" s="656" t="s">
        <v>1359</v>
      </c>
      <c r="Q273" s="251"/>
      <c r="R273" s="657">
        <v>12.2</v>
      </c>
    </row>
    <row r="274" spans="1:18">
      <c r="A274" s="272"/>
      <c r="B274" s="248"/>
      <c r="C274" s="249"/>
      <c r="D274" s="269" t="s">
        <v>1347</v>
      </c>
      <c r="E274" s="249"/>
      <c r="F274" s="678">
        <v>-7</v>
      </c>
      <c r="G274" s="249"/>
      <c r="H274" s="251">
        <v>5.81</v>
      </c>
      <c r="I274" s="251"/>
      <c r="J274" s="251">
        <v>5.43</v>
      </c>
      <c r="K274" s="251"/>
      <c r="L274" s="251">
        <v>0.43</v>
      </c>
      <c r="M274" s="251"/>
      <c r="N274" s="251">
        <v>-0.05</v>
      </c>
      <c r="O274" s="251"/>
      <c r="P274" s="656" t="s">
        <v>1359</v>
      </c>
      <c r="Q274" s="251"/>
      <c r="R274" s="657">
        <v>8.8000000000000007</v>
      </c>
    </row>
    <row r="275" spans="1:18">
      <c r="A275" s="272"/>
      <c r="B275" s="248"/>
      <c r="C275" s="249"/>
      <c r="D275" s="269" t="s">
        <v>1348</v>
      </c>
      <c r="E275" s="249"/>
      <c r="F275" s="678">
        <v>-7</v>
      </c>
      <c r="G275" s="249"/>
      <c r="H275" s="251">
        <v>4.74</v>
      </c>
      <c r="I275" s="251"/>
      <c r="J275" s="251">
        <v>4.43</v>
      </c>
      <c r="K275" s="251"/>
      <c r="L275" s="251">
        <v>0.35000000000000003</v>
      </c>
      <c r="M275" s="251"/>
      <c r="N275" s="251">
        <v>-0.04</v>
      </c>
      <c r="O275" s="251"/>
      <c r="P275" s="656" t="s">
        <v>1359</v>
      </c>
      <c r="Q275" s="251"/>
      <c r="R275" s="657">
        <v>13.6</v>
      </c>
    </row>
    <row r="276" spans="1:18">
      <c r="A276" s="272"/>
      <c r="B276" s="248"/>
      <c r="C276" s="249"/>
      <c r="D276" s="269" t="s">
        <v>1352</v>
      </c>
      <c r="E276" s="249"/>
      <c r="F276" s="678">
        <v>-6</v>
      </c>
      <c r="G276" s="249"/>
      <c r="H276" s="251">
        <v>5.53</v>
      </c>
      <c r="I276" s="251"/>
      <c r="J276" s="251">
        <v>5.21</v>
      </c>
      <c r="K276" s="251"/>
      <c r="L276" s="251">
        <v>0.37</v>
      </c>
      <c r="M276" s="251"/>
      <c r="N276" s="251">
        <v>-0.05</v>
      </c>
      <c r="O276" s="251"/>
      <c r="P276" s="656" t="s">
        <v>1359</v>
      </c>
      <c r="Q276" s="251"/>
      <c r="R276" s="657">
        <v>13.9</v>
      </c>
    </row>
    <row r="277" spans="1:18">
      <c r="A277" s="274"/>
      <c r="B277" s="255"/>
      <c r="C277" s="249"/>
      <c r="D277" s="269" t="s">
        <v>1343</v>
      </c>
      <c r="E277" s="249"/>
      <c r="F277" s="678">
        <v>-7</v>
      </c>
      <c r="G277" s="249"/>
      <c r="H277" s="251">
        <v>4.49</v>
      </c>
      <c r="I277" s="251"/>
      <c r="J277" s="251">
        <v>4.1900000000000004</v>
      </c>
      <c r="K277" s="251"/>
      <c r="L277" s="251">
        <v>0.33999999999999997</v>
      </c>
      <c r="M277" s="251"/>
      <c r="N277" s="251">
        <v>-0.04</v>
      </c>
      <c r="O277" s="251"/>
      <c r="P277" s="656" t="s">
        <v>1359</v>
      </c>
      <c r="Q277" s="251"/>
      <c r="R277" s="657">
        <v>16.399999999999999</v>
      </c>
    </row>
    <row r="278" spans="1:18">
      <c r="A278" s="272"/>
      <c r="B278" s="248"/>
      <c r="C278" s="249"/>
      <c r="D278" s="269" t="s">
        <v>1338</v>
      </c>
      <c r="E278" s="249"/>
      <c r="F278" s="678">
        <v>-7</v>
      </c>
      <c r="G278" s="249"/>
      <c r="H278" s="251">
        <v>4.58</v>
      </c>
      <c r="I278" s="251"/>
      <c r="J278" s="251">
        <v>4.2799999999999994</v>
      </c>
      <c r="K278" s="251"/>
      <c r="L278" s="251">
        <v>0.33999999999999997</v>
      </c>
      <c r="M278" s="251"/>
      <c r="N278" s="251">
        <v>-0.04</v>
      </c>
      <c r="O278" s="251"/>
      <c r="P278" s="656" t="s">
        <v>1359</v>
      </c>
      <c r="Q278" s="251"/>
      <c r="R278" s="657">
        <v>14.7</v>
      </c>
    </row>
    <row r="279" spans="1:18">
      <c r="A279" s="272"/>
      <c r="B279" s="248"/>
      <c r="C279" s="249"/>
      <c r="D279" s="269" t="s">
        <v>1339</v>
      </c>
      <c r="E279" s="249"/>
      <c r="F279" s="678">
        <v>-7</v>
      </c>
      <c r="G279" s="249"/>
      <c r="H279" s="251">
        <v>4.5000000000000009</v>
      </c>
      <c r="I279" s="251"/>
      <c r="J279" s="251">
        <v>4.2</v>
      </c>
      <c r="K279" s="251"/>
      <c r="L279" s="251">
        <v>0.33999999999999997</v>
      </c>
      <c r="M279" s="251"/>
      <c r="N279" s="251">
        <v>-0.04</v>
      </c>
      <c r="O279" s="251"/>
      <c r="P279" s="656" t="s">
        <v>1359</v>
      </c>
      <c r="Q279" s="251"/>
      <c r="R279" s="657">
        <v>14.6</v>
      </c>
    </row>
    <row r="280" spans="1:18">
      <c r="A280" s="272"/>
      <c r="B280" s="248"/>
      <c r="C280" s="249"/>
      <c r="D280" s="269" t="s">
        <v>1340</v>
      </c>
      <c r="E280" s="249"/>
      <c r="F280" s="678">
        <v>-7</v>
      </c>
      <c r="G280" s="249"/>
      <c r="H280" s="251">
        <v>4.5200000000000005</v>
      </c>
      <c r="I280" s="251"/>
      <c r="J280" s="251">
        <v>4.22</v>
      </c>
      <c r="K280" s="251"/>
      <c r="L280" s="251">
        <v>0.33999999999999997</v>
      </c>
      <c r="M280" s="251"/>
      <c r="N280" s="251">
        <v>-0.04</v>
      </c>
      <c r="O280" s="251"/>
      <c r="P280" s="656" t="s">
        <v>1359</v>
      </c>
      <c r="Q280" s="251"/>
      <c r="R280" s="657">
        <v>16.399999999999999</v>
      </c>
    </row>
    <row r="281" spans="1:18">
      <c r="A281" s="272"/>
      <c r="B281" s="248"/>
      <c r="C281" s="249"/>
      <c r="D281" s="269" t="s">
        <v>1341</v>
      </c>
      <c r="E281" s="249"/>
      <c r="F281" s="678">
        <v>-7</v>
      </c>
      <c r="G281" s="249"/>
      <c r="H281" s="251">
        <v>4.57</v>
      </c>
      <c r="I281" s="251"/>
      <c r="J281" s="251">
        <v>4.2700000000000005</v>
      </c>
      <c r="K281" s="251"/>
      <c r="L281" s="251">
        <v>0.33999999999999997</v>
      </c>
      <c r="M281" s="251"/>
      <c r="N281" s="251">
        <v>-0.04</v>
      </c>
      <c r="O281" s="251"/>
      <c r="P281" s="656" t="s">
        <v>1359</v>
      </c>
      <c r="Q281" s="251"/>
      <c r="R281" s="657">
        <v>16.399999999999999</v>
      </c>
    </row>
    <row r="282" spans="1:18">
      <c r="A282" s="272"/>
      <c r="B282" s="248"/>
      <c r="C282" s="249"/>
      <c r="D282" s="269" t="s">
        <v>1342</v>
      </c>
      <c r="E282" s="249"/>
      <c r="F282" s="678">
        <v>-7</v>
      </c>
      <c r="G282" s="249"/>
      <c r="H282" s="251">
        <v>4.4799999999999995</v>
      </c>
      <c r="I282" s="251"/>
      <c r="J282" s="251">
        <v>4.1900000000000004</v>
      </c>
      <c r="K282" s="251"/>
      <c r="L282" s="251">
        <v>0.33</v>
      </c>
      <c r="M282" s="251"/>
      <c r="N282" s="251">
        <v>-0.04</v>
      </c>
      <c r="O282" s="251"/>
      <c r="P282" s="656" t="s">
        <v>1359</v>
      </c>
      <c r="Q282" s="251"/>
      <c r="R282" s="657">
        <v>16.3</v>
      </c>
    </row>
    <row r="283" spans="1:18">
      <c r="A283" s="272"/>
      <c r="B283" s="248"/>
      <c r="C283" s="249"/>
      <c r="D283" s="269" t="s">
        <v>2306</v>
      </c>
      <c r="E283" s="249"/>
      <c r="F283" s="678">
        <v>-12</v>
      </c>
      <c r="G283" s="249"/>
      <c r="H283" s="251">
        <v>3.5699999999999994</v>
      </c>
      <c r="I283" s="251"/>
      <c r="J283" s="251">
        <v>3.19</v>
      </c>
      <c r="K283" s="251"/>
      <c r="L283" s="251">
        <v>0.41000000000000003</v>
      </c>
      <c r="M283" s="251"/>
      <c r="N283" s="251">
        <v>-0.03</v>
      </c>
      <c r="O283" s="251"/>
      <c r="P283" s="656" t="s">
        <v>1359</v>
      </c>
      <c r="Q283" s="251"/>
      <c r="R283" s="657">
        <v>30.9</v>
      </c>
    </row>
    <row r="284" spans="1:18">
      <c r="A284" s="272"/>
      <c r="B284" s="248"/>
      <c r="C284" s="249"/>
      <c r="D284" s="249"/>
      <c r="E284" s="249"/>
      <c r="F284" s="250"/>
      <c r="G284" s="249"/>
      <c r="H284" s="251"/>
      <c r="I284" s="251"/>
      <c r="J284" s="251"/>
      <c r="K284" s="251"/>
      <c r="L284" s="251"/>
      <c r="M284" s="251"/>
      <c r="N284" s="251"/>
      <c r="O284" s="251"/>
      <c r="P284" s="251"/>
      <c r="Q284" s="251"/>
      <c r="R284" s="251"/>
    </row>
    <row r="285" spans="1:18">
      <c r="A285" s="272">
        <v>343</v>
      </c>
      <c r="B285" s="248"/>
      <c r="C285" s="249"/>
      <c r="D285" s="254" t="s">
        <v>1360</v>
      </c>
      <c r="E285" s="249"/>
      <c r="F285" s="278" t="s">
        <v>2335</v>
      </c>
      <c r="G285" s="249"/>
      <c r="H285" s="251">
        <v>4.63</v>
      </c>
      <c r="I285" s="251"/>
      <c r="J285" s="251"/>
      <c r="K285" s="251"/>
      <c r="L285" s="251"/>
      <c r="M285" s="251"/>
      <c r="N285" s="251"/>
      <c r="O285" s="251"/>
      <c r="P285" s="251" t="s">
        <v>1359</v>
      </c>
      <c r="Q285" s="251"/>
      <c r="R285" s="251">
        <v>16</v>
      </c>
    </row>
    <row r="286" spans="1:18">
      <c r="A286" s="272"/>
      <c r="B286" s="248"/>
      <c r="C286" s="249"/>
      <c r="D286" s="249"/>
      <c r="E286" s="249"/>
      <c r="F286" s="250"/>
      <c r="G286" s="249"/>
      <c r="H286" s="251"/>
      <c r="I286" s="251"/>
      <c r="J286" s="251"/>
      <c r="K286" s="251"/>
      <c r="L286" s="251"/>
      <c r="M286" s="251"/>
      <c r="N286" s="251"/>
      <c r="O286" s="251"/>
      <c r="P286" s="251"/>
      <c r="Q286" s="251"/>
      <c r="R286" s="251"/>
    </row>
    <row r="287" spans="1:18">
      <c r="A287" s="272"/>
      <c r="B287" s="248">
        <v>344</v>
      </c>
      <c r="C287" s="249"/>
      <c r="D287" s="249" t="s">
        <v>1361</v>
      </c>
      <c r="E287" s="249"/>
      <c r="F287" s="250"/>
      <c r="G287" s="249"/>
      <c r="H287" s="251"/>
      <c r="I287" s="251"/>
      <c r="J287" s="251"/>
      <c r="K287" s="251"/>
      <c r="L287" s="251"/>
      <c r="M287" s="251"/>
      <c r="N287" s="251"/>
      <c r="O287" s="251"/>
      <c r="P287" s="251"/>
      <c r="Q287" s="251"/>
      <c r="R287" s="251"/>
    </row>
    <row r="288" spans="1:18">
      <c r="A288" s="272"/>
      <c r="B288" s="248"/>
      <c r="C288" s="249"/>
      <c r="D288" s="681" t="s">
        <v>1349</v>
      </c>
      <c r="E288" s="249"/>
      <c r="F288" s="678">
        <v>-7</v>
      </c>
      <c r="G288" s="249"/>
      <c r="H288" s="657">
        <v>2.94</v>
      </c>
      <c r="I288" s="251"/>
      <c r="J288" s="657">
        <v>2.74</v>
      </c>
      <c r="K288" s="251"/>
      <c r="L288" s="657">
        <v>0.25</v>
      </c>
      <c r="M288" s="251"/>
      <c r="N288" s="657">
        <v>-0.05</v>
      </c>
      <c r="O288" s="251"/>
      <c r="P288" s="656" t="s">
        <v>2309</v>
      </c>
      <c r="Q288" s="251"/>
      <c r="R288" s="657">
        <v>14.9</v>
      </c>
    </row>
    <row r="289" spans="1:18">
      <c r="A289" s="272"/>
      <c r="B289" s="248"/>
      <c r="C289" s="249"/>
      <c r="D289" s="681" t="s">
        <v>1350</v>
      </c>
      <c r="E289" s="249"/>
      <c r="F289" s="678">
        <v>-7</v>
      </c>
      <c r="G289" s="249"/>
      <c r="H289" s="657">
        <v>5.55</v>
      </c>
      <c r="I289" s="251"/>
      <c r="J289" s="657">
        <v>5.18</v>
      </c>
      <c r="K289" s="251"/>
      <c r="L289" s="657">
        <v>0.47000000000000003</v>
      </c>
      <c r="M289" s="251"/>
      <c r="N289" s="657">
        <v>-0.1</v>
      </c>
      <c r="O289" s="251"/>
      <c r="P289" s="656" t="s">
        <v>2309</v>
      </c>
      <c r="Q289" s="251"/>
      <c r="R289" s="657">
        <v>10.4</v>
      </c>
    </row>
    <row r="290" spans="1:18">
      <c r="A290" s="272"/>
      <c r="B290" s="248"/>
      <c r="C290" s="249"/>
      <c r="D290" s="681" t="s">
        <v>1344</v>
      </c>
      <c r="E290" s="249"/>
      <c r="F290" s="678">
        <v>-7</v>
      </c>
      <c r="G290" s="249"/>
      <c r="H290" s="657">
        <v>3.9799999999999995</v>
      </c>
      <c r="I290" s="251"/>
      <c r="J290" s="657">
        <v>3.7199999999999998</v>
      </c>
      <c r="K290" s="251"/>
      <c r="L290" s="657">
        <v>0.33</v>
      </c>
      <c r="M290" s="251"/>
      <c r="N290" s="657">
        <v>-6.9999999999999993E-2</v>
      </c>
      <c r="O290" s="251"/>
      <c r="P290" s="656" t="s">
        <v>2309</v>
      </c>
      <c r="Q290" s="251"/>
      <c r="R290" s="657">
        <v>15.2</v>
      </c>
    </row>
    <row r="291" spans="1:18">
      <c r="A291" s="272"/>
      <c r="B291" s="248"/>
      <c r="C291" s="249"/>
      <c r="D291" s="681" t="s">
        <v>1345</v>
      </c>
      <c r="E291" s="249"/>
      <c r="F291" s="678">
        <v>-7</v>
      </c>
      <c r="G291" s="249"/>
      <c r="H291" s="657">
        <v>4.0199999999999996</v>
      </c>
      <c r="I291" s="251"/>
      <c r="J291" s="657">
        <v>3.7600000000000002</v>
      </c>
      <c r="K291" s="251"/>
      <c r="L291" s="657">
        <v>0.33999999999999997</v>
      </c>
      <c r="M291" s="251"/>
      <c r="N291" s="657">
        <v>-0.08</v>
      </c>
      <c r="O291" s="251"/>
      <c r="P291" s="656" t="s">
        <v>2309</v>
      </c>
      <c r="Q291" s="251"/>
      <c r="R291" s="657">
        <v>13.3</v>
      </c>
    </row>
    <row r="292" spans="1:18">
      <c r="A292" s="272"/>
      <c r="B292" s="248"/>
      <c r="C292" s="249"/>
      <c r="D292" s="681" t="s">
        <v>1346</v>
      </c>
      <c r="E292" s="249"/>
      <c r="F292" s="678">
        <v>-7</v>
      </c>
      <c r="G292" s="249"/>
      <c r="H292" s="657">
        <v>4.0799999999999992</v>
      </c>
      <c r="I292" s="251"/>
      <c r="J292" s="657">
        <v>3.82</v>
      </c>
      <c r="K292" s="251"/>
      <c r="L292" s="657">
        <v>0.33999999999999997</v>
      </c>
      <c r="M292" s="251"/>
      <c r="N292" s="657">
        <v>-0.08</v>
      </c>
      <c r="O292" s="251"/>
      <c r="P292" s="656" t="s">
        <v>2309</v>
      </c>
      <c r="Q292" s="251"/>
      <c r="R292" s="657">
        <v>13.3</v>
      </c>
    </row>
    <row r="293" spans="1:18">
      <c r="A293" s="272"/>
      <c r="B293" s="248"/>
      <c r="C293" s="249"/>
      <c r="D293" s="681" t="s">
        <v>1347</v>
      </c>
      <c r="E293" s="249"/>
      <c r="F293" s="678">
        <v>-7</v>
      </c>
      <c r="G293" s="249"/>
      <c r="H293" s="657">
        <v>4.04</v>
      </c>
      <c r="I293" s="251"/>
      <c r="J293" s="657">
        <v>3.7800000000000002</v>
      </c>
      <c r="K293" s="251"/>
      <c r="L293" s="657">
        <v>0.33999999999999997</v>
      </c>
      <c r="M293" s="251"/>
      <c r="N293" s="657">
        <v>-0.08</v>
      </c>
      <c r="O293" s="251"/>
      <c r="P293" s="656" t="s">
        <v>2309</v>
      </c>
      <c r="Q293" s="251"/>
      <c r="R293" s="657">
        <v>9.3000000000000007</v>
      </c>
    </row>
    <row r="294" spans="1:18">
      <c r="A294" s="272"/>
      <c r="B294" s="248"/>
      <c r="C294" s="249"/>
      <c r="D294" s="681" t="s">
        <v>1348</v>
      </c>
      <c r="E294" s="249"/>
      <c r="F294" s="678">
        <v>-7</v>
      </c>
      <c r="G294" s="249"/>
      <c r="H294" s="657">
        <v>2.77</v>
      </c>
      <c r="I294" s="251"/>
      <c r="J294" s="657">
        <v>2.59</v>
      </c>
      <c r="K294" s="251"/>
      <c r="L294" s="657">
        <v>0.22999999999999998</v>
      </c>
      <c r="M294" s="251"/>
      <c r="N294" s="657">
        <v>-0.05</v>
      </c>
      <c r="O294" s="251"/>
      <c r="P294" s="656" t="s">
        <v>2309</v>
      </c>
      <c r="Q294" s="251"/>
      <c r="R294" s="657">
        <v>14.8</v>
      </c>
    </row>
    <row r="295" spans="1:18">
      <c r="A295" s="272"/>
      <c r="B295" s="248"/>
      <c r="C295" s="249"/>
      <c r="D295" s="682" t="s">
        <v>2694</v>
      </c>
      <c r="E295" s="249"/>
      <c r="F295" s="678">
        <v>-5</v>
      </c>
      <c r="G295" s="249"/>
      <c r="H295" s="657">
        <v>4.6100000000000003</v>
      </c>
      <c r="I295" s="251"/>
      <c r="J295" s="657">
        <v>4.3900000000000006</v>
      </c>
      <c r="K295" s="251"/>
      <c r="L295" s="657">
        <v>0.26</v>
      </c>
      <c r="M295" s="251"/>
      <c r="N295" s="657">
        <v>-0.04</v>
      </c>
      <c r="O295" s="251"/>
      <c r="P295" s="656" t="s">
        <v>2698</v>
      </c>
      <c r="Q295" s="251"/>
      <c r="R295" s="657">
        <v>30</v>
      </c>
    </row>
    <row r="296" spans="1:18">
      <c r="A296" s="272"/>
      <c r="B296" s="248"/>
      <c r="C296" s="249"/>
      <c r="D296" s="681" t="s">
        <v>1351</v>
      </c>
      <c r="E296" s="249"/>
      <c r="F296" s="678">
        <v>-10</v>
      </c>
      <c r="G296" s="249"/>
      <c r="H296" s="657">
        <v>5.37</v>
      </c>
      <c r="I296" s="251"/>
      <c r="J296" s="657">
        <v>4.88</v>
      </c>
      <c r="K296" s="251"/>
      <c r="L296" s="657">
        <v>0.59</v>
      </c>
      <c r="M296" s="251"/>
      <c r="N296" s="657">
        <v>-0.1</v>
      </c>
      <c r="O296" s="251"/>
      <c r="P296" s="656" t="s">
        <v>2309</v>
      </c>
      <c r="Q296" s="251"/>
      <c r="R296" s="657">
        <v>4.2</v>
      </c>
    </row>
    <row r="297" spans="1:18">
      <c r="A297" s="272"/>
      <c r="B297" s="248"/>
      <c r="C297" s="249"/>
      <c r="D297" s="681" t="s">
        <v>1352</v>
      </c>
      <c r="E297" s="249"/>
      <c r="F297" s="678">
        <v>-6</v>
      </c>
      <c r="G297" s="249"/>
      <c r="H297" s="657">
        <v>4.21</v>
      </c>
      <c r="I297" s="251"/>
      <c r="J297" s="657">
        <v>3.9699999999999998</v>
      </c>
      <c r="K297" s="251"/>
      <c r="L297" s="657">
        <v>0.32</v>
      </c>
      <c r="M297" s="251"/>
      <c r="N297" s="657">
        <v>-0.08</v>
      </c>
      <c r="O297" s="251"/>
      <c r="P297" s="656" t="s">
        <v>2309</v>
      </c>
      <c r="Q297" s="251"/>
      <c r="R297" s="657">
        <v>15.3</v>
      </c>
    </row>
    <row r="298" spans="1:18">
      <c r="A298" s="272"/>
      <c r="B298" s="248"/>
      <c r="C298" s="249"/>
      <c r="D298" s="681" t="s">
        <v>1343</v>
      </c>
      <c r="E298" s="249"/>
      <c r="F298" s="678">
        <v>-7</v>
      </c>
      <c r="G298" s="249"/>
      <c r="H298" s="657">
        <v>3.7600000000000002</v>
      </c>
      <c r="I298" s="251"/>
      <c r="J298" s="657">
        <v>3.51</v>
      </c>
      <c r="K298" s="251"/>
      <c r="L298" s="657">
        <v>0.32</v>
      </c>
      <c r="M298" s="251"/>
      <c r="N298" s="657">
        <v>-6.9999999999999993E-2</v>
      </c>
      <c r="O298" s="251"/>
      <c r="P298" s="656" t="s">
        <v>2309</v>
      </c>
      <c r="Q298" s="251"/>
      <c r="R298" s="657">
        <v>18.2</v>
      </c>
    </row>
    <row r="299" spans="1:18">
      <c r="A299" s="272"/>
      <c r="B299" s="248"/>
      <c r="C299" s="249"/>
      <c r="D299" s="681" t="s">
        <v>1338</v>
      </c>
      <c r="E299" s="249"/>
      <c r="F299" s="678">
        <v>-7</v>
      </c>
      <c r="G299" s="249"/>
      <c r="H299" s="657">
        <v>3.85</v>
      </c>
      <c r="I299" s="251"/>
      <c r="J299" s="657">
        <v>3.5999999999999996</v>
      </c>
      <c r="K299" s="251"/>
      <c r="L299" s="657">
        <v>0.32</v>
      </c>
      <c r="M299" s="251"/>
      <c r="N299" s="657">
        <v>-6.9999999999999993E-2</v>
      </c>
      <c r="O299" s="251"/>
      <c r="P299" s="656" t="s">
        <v>2309</v>
      </c>
      <c r="Q299" s="251"/>
      <c r="R299" s="657">
        <v>16.2</v>
      </c>
    </row>
    <row r="300" spans="1:18">
      <c r="A300" s="272"/>
      <c r="B300" s="248"/>
      <c r="C300" s="249"/>
      <c r="D300" s="681" t="s">
        <v>1339</v>
      </c>
      <c r="E300" s="249"/>
      <c r="F300" s="678">
        <v>-7</v>
      </c>
      <c r="G300" s="249"/>
      <c r="H300" s="657">
        <v>3.85</v>
      </c>
      <c r="I300" s="251"/>
      <c r="J300" s="657">
        <v>3.5999999999999996</v>
      </c>
      <c r="K300" s="251"/>
      <c r="L300" s="657">
        <v>0.32</v>
      </c>
      <c r="M300" s="251"/>
      <c r="N300" s="657">
        <v>-6.9999999999999993E-2</v>
      </c>
      <c r="O300" s="251"/>
      <c r="P300" s="656" t="s">
        <v>2309</v>
      </c>
      <c r="Q300" s="251"/>
      <c r="R300" s="657">
        <v>16.2</v>
      </c>
    </row>
    <row r="301" spans="1:18">
      <c r="A301" s="272"/>
      <c r="B301" s="248"/>
      <c r="C301" s="249"/>
      <c r="D301" s="681" t="s">
        <v>1340</v>
      </c>
      <c r="E301" s="249"/>
      <c r="F301" s="678">
        <v>-7</v>
      </c>
      <c r="G301" s="249"/>
      <c r="H301" s="657">
        <v>3.7500000000000004</v>
      </c>
      <c r="I301" s="251"/>
      <c r="J301" s="657">
        <v>3.5000000000000004</v>
      </c>
      <c r="K301" s="251"/>
      <c r="L301" s="657">
        <v>0.32</v>
      </c>
      <c r="M301" s="251"/>
      <c r="N301" s="657">
        <v>-6.9999999999999993E-2</v>
      </c>
      <c r="O301" s="251"/>
      <c r="P301" s="656" t="s">
        <v>2309</v>
      </c>
      <c r="Q301" s="251"/>
      <c r="R301" s="657">
        <v>18.2</v>
      </c>
    </row>
    <row r="302" spans="1:18">
      <c r="A302" s="272"/>
      <c r="B302" s="248"/>
      <c r="C302" s="239"/>
      <c r="D302" s="681" t="s">
        <v>1341</v>
      </c>
      <c r="E302" s="239"/>
      <c r="F302" s="678">
        <v>-7</v>
      </c>
      <c r="G302" s="239"/>
      <c r="H302" s="657">
        <v>3.7500000000000004</v>
      </c>
      <c r="I302" s="251"/>
      <c r="J302" s="657">
        <v>3.5000000000000004</v>
      </c>
      <c r="K302" s="251"/>
      <c r="L302" s="657">
        <v>0.32</v>
      </c>
      <c r="M302" s="251"/>
      <c r="N302" s="657">
        <v>-6.9999999999999993E-2</v>
      </c>
      <c r="O302" s="251"/>
      <c r="P302" s="656" t="s">
        <v>2309</v>
      </c>
      <c r="Q302" s="251"/>
      <c r="R302" s="657">
        <v>18.2</v>
      </c>
    </row>
    <row r="303" spans="1:18">
      <c r="A303" s="272"/>
      <c r="B303" s="248"/>
      <c r="C303" s="249"/>
      <c r="D303" s="681" t="s">
        <v>1342</v>
      </c>
      <c r="E303" s="249"/>
      <c r="F303" s="678">
        <v>-7</v>
      </c>
      <c r="G303" s="249"/>
      <c r="H303" s="657">
        <v>3.7600000000000002</v>
      </c>
      <c r="I303" s="251"/>
      <c r="J303" s="657">
        <v>3.51</v>
      </c>
      <c r="K303" s="251"/>
      <c r="L303" s="657">
        <v>0.32</v>
      </c>
      <c r="M303" s="251"/>
      <c r="N303" s="657">
        <v>-6.9999999999999993E-2</v>
      </c>
      <c r="O303" s="251"/>
      <c r="P303" s="656" t="s">
        <v>2309</v>
      </c>
      <c r="Q303" s="251"/>
      <c r="R303" s="657">
        <v>18.2</v>
      </c>
    </row>
    <row r="304" spans="1:18">
      <c r="A304" s="272"/>
      <c r="B304" s="248"/>
      <c r="C304" s="249"/>
      <c r="D304" s="683" t="s">
        <v>2306</v>
      </c>
      <c r="E304" s="249"/>
      <c r="F304" s="678">
        <v>-12</v>
      </c>
      <c r="G304" s="249"/>
      <c r="H304" s="657">
        <v>2.8899999999999997</v>
      </c>
      <c r="I304" s="251"/>
      <c r="J304" s="657">
        <v>2.58</v>
      </c>
      <c r="K304" s="251"/>
      <c r="L304" s="657">
        <v>0.36</v>
      </c>
      <c r="M304" s="251"/>
      <c r="N304" s="657">
        <v>-0.05</v>
      </c>
      <c r="O304" s="251"/>
      <c r="P304" s="656" t="s">
        <v>2309</v>
      </c>
      <c r="Q304" s="251"/>
      <c r="R304" s="657">
        <v>38.200000000000003</v>
      </c>
    </row>
    <row r="305" spans="1:18">
      <c r="A305" s="272"/>
      <c r="B305" s="248"/>
      <c r="C305" s="249"/>
      <c r="D305" s="249"/>
      <c r="E305" s="249"/>
      <c r="F305" s="250"/>
      <c r="G305" s="249"/>
      <c r="H305" s="251"/>
      <c r="I305" s="251"/>
      <c r="J305" s="251"/>
      <c r="K305" s="251"/>
      <c r="L305" s="251"/>
      <c r="M305" s="251"/>
      <c r="N305" s="251"/>
      <c r="O305" s="251"/>
      <c r="P305" s="251"/>
      <c r="Q305" s="251"/>
      <c r="R305" s="251"/>
    </row>
    <row r="306" spans="1:18">
      <c r="A306" s="272">
        <v>344</v>
      </c>
      <c r="B306" s="248"/>
      <c r="C306" s="249"/>
      <c r="D306" s="254" t="s">
        <v>1362</v>
      </c>
      <c r="E306" s="249"/>
      <c r="F306" s="278" t="s">
        <v>2696</v>
      </c>
      <c r="G306" s="249"/>
      <c r="H306" s="251">
        <v>3.26</v>
      </c>
      <c r="I306" s="251"/>
      <c r="J306" s="251"/>
      <c r="K306" s="251"/>
      <c r="L306" s="251"/>
      <c r="M306" s="251"/>
      <c r="N306" s="251"/>
      <c r="O306" s="251"/>
      <c r="P306" s="251" t="s">
        <v>2309</v>
      </c>
      <c r="Q306" s="251"/>
      <c r="R306" s="251">
        <v>28</v>
      </c>
    </row>
    <row r="307" spans="1:18">
      <c r="A307" s="272"/>
      <c r="B307" s="248"/>
      <c r="C307" s="249"/>
      <c r="D307" s="249"/>
      <c r="E307" s="249"/>
      <c r="F307" s="250"/>
      <c r="G307" s="249"/>
      <c r="H307" s="251"/>
      <c r="I307" s="251"/>
      <c r="J307" s="251"/>
      <c r="K307" s="251"/>
      <c r="L307" s="251"/>
      <c r="M307" s="251"/>
      <c r="N307" s="251"/>
      <c r="O307" s="251"/>
      <c r="P307" s="251"/>
      <c r="Q307" s="251"/>
      <c r="R307" s="251"/>
    </row>
    <row r="308" spans="1:18">
      <c r="A308" s="272"/>
      <c r="B308" s="248">
        <v>345</v>
      </c>
      <c r="C308" s="249"/>
      <c r="D308" s="249" t="s">
        <v>1363</v>
      </c>
      <c r="E308" s="249"/>
      <c r="F308" s="250"/>
      <c r="G308" s="249"/>
      <c r="H308" s="251"/>
      <c r="I308" s="251"/>
      <c r="J308" s="251"/>
      <c r="K308" s="251"/>
      <c r="L308" s="251"/>
      <c r="M308" s="251"/>
      <c r="N308" s="251"/>
      <c r="O308" s="251"/>
      <c r="P308" s="251"/>
      <c r="Q308" s="251"/>
      <c r="R308" s="251"/>
    </row>
    <row r="309" spans="1:18">
      <c r="A309" s="272"/>
      <c r="B309" s="248"/>
      <c r="C309" s="249"/>
      <c r="D309" s="681" t="s">
        <v>1349</v>
      </c>
      <c r="E309" s="249"/>
      <c r="F309" s="678">
        <v>-7</v>
      </c>
      <c r="G309" s="249"/>
      <c r="H309" s="657">
        <v>3.7700000000000005</v>
      </c>
      <c r="I309" s="251"/>
      <c r="J309" s="657">
        <v>3.52</v>
      </c>
      <c r="K309" s="251"/>
      <c r="L309" s="657">
        <v>0.25</v>
      </c>
      <c r="M309" s="251"/>
      <c r="N309" s="251">
        <v>0</v>
      </c>
      <c r="O309" s="251"/>
      <c r="P309" s="656" t="s">
        <v>2310</v>
      </c>
      <c r="Q309" s="251"/>
      <c r="R309" s="657">
        <v>14.8</v>
      </c>
    </row>
    <row r="310" spans="1:18">
      <c r="A310" s="272"/>
      <c r="B310" s="248"/>
      <c r="C310" s="249"/>
      <c r="D310" s="681" t="s">
        <v>1350</v>
      </c>
      <c r="E310" s="249"/>
      <c r="F310" s="678">
        <v>-7</v>
      </c>
      <c r="G310" s="249"/>
      <c r="H310" s="657">
        <v>4.92</v>
      </c>
      <c r="I310" s="251"/>
      <c r="J310" s="657">
        <v>4.5999999999999996</v>
      </c>
      <c r="K310" s="251"/>
      <c r="L310" s="657">
        <v>0.32</v>
      </c>
      <c r="M310" s="251"/>
      <c r="N310" s="251">
        <v>0</v>
      </c>
      <c r="O310" s="251"/>
      <c r="P310" s="656" t="s">
        <v>2310</v>
      </c>
      <c r="Q310" s="251"/>
      <c r="R310" s="657">
        <v>10.3</v>
      </c>
    </row>
    <row r="311" spans="1:18">
      <c r="A311" s="272"/>
      <c r="B311" s="248"/>
      <c r="C311" s="249"/>
      <c r="D311" s="681" t="s">
        <v>1344</v>
      </c>
      <c r="E311" s="249"/>
      <c r="F311" s="678">
        <v>-7</v>
      </c>
      <c r="G311" s="249"/>
      <c r="H311" s="657">
        <v>4.2299999999999995</v>
      </c>
      <c r="I311" s="251"/>
      <c r="J311" s="657">
        <v>3.95</v>
      </c>
      <c r="K311" s="251"/>
      <c r="L311" s="657">
        <v>0.27999999999999997</v>
      </c>
      <c r="M311" s="251"/>
      <c r="N311" s="251">
        <v>0</v>
      </c>
      <c r="O311" s="251"/>
      <c r="P311" s="656" t="s">
        <v>2310</v>
      </c>
      <c r="Q311" s="251"/>
      <c r="R311" s="657">
        <v>15</v>
      </c>
    </row>
    <row r="312" spans="1:18">
      <c r="A312" s="272"/>
      <c r="B312" s="248"/>
      <c r="C312" s="249"/>
      <c r="D312" s="681" t="s">
        <v>1345</v>
      </c>
      <c r="E312" s="249"/>
      <c r="F312" s="678">
        <v>-7</v>
      </c>
      <c r="G312" s="249"/>
      <c r="H312" s="657">
        <v>4.4400000000000004</v>
      </c>
      <c r="I312" s="251"/>
      <c r="J312" s="657">
        <v>4.1500000000000004</v>
      </c>
      <c r="K312" s="251"/>
      <c r="L312" s="657">
        <v>0.28999999999999998</v>
      </c>
      <c r="M312" s="251"/>
      <c r="N312" s="251">
        <v>0</v>
      </c>
      <c r="O312" s="251"/>
      <c r="P312" s="656" t="s">
        <v>2310</v>
      </c>
      <c r="Q312" s="251"/>
      <c r="R312" s="657">
        <v>13.1</v>
      </c>
    </row>
    <row r="313" spans="1:18">
      <c r="A313" s="272"/>
      <c r="B313" s="248"/>
      <c r="C313" s="249"/>
      <c r="D313" s="681" t="s">
        <v>1346</v>
      </c>
      <c r="E313" s="249"/>
      <c r="F313" s="678">
        <v>-7</v>
      </c>
      <c r="G313" s="249"/>
      <c r="H313" s="657">
        <v>4.45</v>
      </c>
      <c r="I313" s="251"/>
      <c r="J313" s="657">
        <v>4.16</v>
      </c>
      <c r="K313" s="251"/>
      <c r="L313" s="657">
        <v>0.28999999999999998</v>
      </c>
      <c r="M313" s="251"/>
      <c r="N313" s="251">
        <v>0</v>
      </c>
      <c r="O313" s="251"/>
      <c r="P313" s="656" t="s">
        <v>2310</v>
      </c>
      <c r="Q313" s="251"/>
      <c r="R313" s="657">
        <v>13.1</v>
      </c>
    </row>
    <row r="314" spans="1:18">
      <c r="A314" s="272"/>
      <c r="B314" s="248"/>
      <c r="C314" s="249"/>
      <c r="D314" s="681" t="s">
        <v>1347</v>
      </c>
      <c r="E314" s="249"/>
      <c r="F314" s="678">
        <v>-7</v>
      </c>
      <c r="G314" s="249"/>
      <c r="H314" s="657">
        <v>5.84</v>
      </c>
      <c r="I314" s="251"/>
      <c r="J314" s="657">
        <v>5.46</v>
      </c>
      <c r="K314" s="251"/>
      <c r="L314" s="657">
        <v>0.38</v>
      </c>
      <c r="M314" s="251"/>
      <c r="N314" s="251">
        <v>0</v>
      </c>
      <c r="O314" s="251"/>
      <c r="P314" s="656" t="s">
        <v>2310</v>
      </c>
      <c r="Q314" s="251"/>
      <c r="R314" s="657">
        <v>9.3000000000000007</v>
      </c>
    </row>
    <row r="315" spans="1:18">
      <c r="A315" s="272"/>
      <c r="B315" s="248"/>
      <c r="C315" s="249"/>
      <c r="D315" s="681" t="s">
        <v>1348</v>
      </c>
      <c r="E315" s="249"/>
      <c r="F315" s="678">
        <v>-7</v>
      </c>
      <c r="G315" s="249"/>
      <c r="H315" s="657">
        <v>3.64</v>
      </c>
      <c r="I315" s="251"/>
      <c r="J315" s="657">
        <v>3.4000000000000004</v>
      </c>
      <c r="K315" s="251"/>
      <c r="L315" s="657">
        <v>0.24</v>
      </c>
      <c r="M315" s="251"/>
      <c r="N315" s="251">
        <v>0</v>
      </c>
      <c r="O315" s="251"/>
      <c r="P315" s="656" t="s">
        <v>2310</v>
      </c>
      <c r="Q315" s="251"/>
      <c r="R315" s="657">
        <v>14.8</v>
      </c>
    </row>
    <row r="316" spans="1:18">
      <c r="A316" s="272"/>
      <c r="B316" s="248"/>
      <c r="C316" s="249"/>
      <c r="D316" s="682" t="s">
        <v>2694</v>
      </c>
      <c r="E316" s="249"/>
      <c r="F316" s="678">
        <v>-5</v>
      </c>
      <c r="G316" s="249"/>
      <c r="H316" s="657">
        <v>4.3600000000000003</v>
      </c>
      <c r="I316" s="251"/>
      <c r="J316" s="657">
        <v>4.1500000000000004</v>
      </c>
      <c r="K316" s="251"/>
      <c r="L316" s="657">
        <v>0.21</v>
      </c>
      <c r="M316" s="251"/>
      <c r="N316" s="251">
        <v>0</v>
      </c>
      <c r="O316" s="251"/>
      <c r="P316" s="656" t="s">
        <v>1355</v>
      </c>
      <c r="Q316" s="251"/>
      <c r="R316" s="657">
        <v>45</v>
      </c>
    </row>
    <row r="317" spans="1:18">
      <c r="A317" s="272"/>
      <c r="B317" s="248"/>
      <c r="C317" s="249"/>
      <c r="D317" s="681" t="s">
        <v>1351</v>
      </c>
      <c r="E317" s="249"/>
      <c r="F317" s="678">
        <v>-10</v>
      </c>
      <c r="G317" s="249"/>
      <c r="H317" s="657">
        <v>22.160000000000004</v>
      </c>
      <c r="I317" s="251"/>
      <c r="J317" s="657">
        <v>20.150000000000002</v>
      </c>
      <c r="K317" s="251"/>
      <c r="L317" s="657">
        <v>2.0099999999999998</v>
      </c>
      <c r="M317" s="251"/>
      <c r="N317" s="251">
        <v>0</v>
      </c>
      <c r="O317" s="251"/>
      <c r="P317" s="656" t="s">
        <v>2310</v>
      </c>
      <c r="Q317" s="251"/>
      <c r="R317" s="657">
        <v>4.4000000000000004</v>
      </c>
    </row>
    <row r="318" spans="1:18">
      <c r="A318" s="272"/>
      <c r="B318" s="248"/>
      <c r="C318" s="249"/>
      <c r="D318" s="681" t="s">
        <v>1352</v>
      </c>
      <c r="E318" s="249"/>
      <c r="F318" s="678">
        <v>-6</v>
      </c>
      <c r="G318" s="249"/>
      <c r="H318" s="657">
        <v>4.01</v>
      </c>
      <c r="I318" s="251"/>
      <c r="J318" s="657">
        <v>3.7800000000000002</v>
      </c>
      <c r="K318" s="251"/>
      <c r="L318" s="657">
        <v>0.22999999999999998</v>
      </c>
      <c r="M318" s="251"/>
      <c r="N318" s="251">
        <v>0</v>
      </c>
      <c r="O318" s="251"/>
      <c r="P318" s="656" t="s">
        <v>2310</v>
      </c>
      <c r="Q318" s="251"/>
      <c r="R318" s="657">
        <v>15</v>
      </c>
    </row>
    <row r="319" spans="1:18">
      <c r="A319" s="272"/>
      <c r="B319" s="248"/>
      <c r="C319" s="249"/>
      <c r="D319" s="681" t="s">
        <v>1343</v>
      </c>
      <c r="E319" s="249"/>
      <c r="F319" s="678">
        <v>-7</v>
      </c>
      <c r="G319" s="249"/>
      <c r="H319" s="657">
        <v>4.04</v>
      </c>
      <c r="I319" s="251"/>
      <c r="J319" s="657">
        <v>3.7800000000000002</v>
      </c>
      <c r="K319" s="251"/>
      <c r="L319" s="657">
        <v>0.26</v>
      </c>
      <c r="M319" s="251"/>
      <c r="N319" s="251">
        <v>0</v>
      </c>
      <c r="O319" s="251"/>
      <c r="P319" s="656" t="s">
        <v>2310</v>
      </c>
      <c r="Q319" s="251"/>
      <c r="R319" s="657">
        <v>17.899999999999999</v>
      </c>
    </row>
    <row r="320" spans="1:18">
      <c r="A320" s="272"/>
      <c r="B320" s="248"/>
      <c r="C320" s="249"/>
      <c r="D320" s="681" t="s">
        <v>1338</v>
      </c>
      <c r="E320" s="249"/>
      <c r="F320" s="678">
        <v>-7</v>
      </c>
      <c r="G320" s="249"/>
      <c r="H320" s="657">
        <v>4.1800000000000006</v>
      </c>
      <c r="I320" s="251"/>
      <c r="J320" s="657">
        <v>3.91</v>
      </c>
      <c r="K320" s="251"/>
      <c r="L320" s="657">
        <v>0.27</v>
      </c>
      <c r="M320" s="251"/>
      <c r="N320" s="251">
        <v>0</v>
      </c>
      <c r="O320" s="251"/>
      <c r="P320" s="656" t="s">
        <v>2310</v>
      </c>
      <c r="Q320" s="251"/>
      <c r="R320" s="657">
        <v>16.100000000000001</v>
      </c>
    </row>
    <row r="321" spans="1:18">
      <c r="A321" s="272"/>
      <c r="B321" s="248"/>
      <c r="C321" s="249"/>
      <c r="D321" s="681" t="s">
        <v>1339</v>
      </c>
      <c r="E321" s="249"/>
      <c r="F321" s="678">
        <v>-7</v>
      </c>
      <c r="G321" s="249"/>
      <c r="H321" s="657">
        <v>4.25</v>
      </c>
      <c r="I321" s="251"/>
      <c r="J321" s="657">
        <v>3.9699999999999998</v>
      </c>
      <c r="K321" s="251"/>
      <c r="L321" s="657">
        <v>0.27999999999999997</v>
      </c>
      <c r="M321" s="251"/>
      <c r="N321" s="251">
        <v>0</v>
      </c>
      <c r="O321" s="251"/>
      <c r="P321" s="656" t="s">
        <v>2310</v>
      </c>
      <c r="Q321" s="251"/>
      <c r="R321" s="657">
        <v>16</v>
      </c>
    </row>
    <row r="322" spans="1:18">
      <c r="A322" s="272"/>
      <c r="B322" s="248"/>
      <c r="C322" s="249"/>
      <c r="D322" s="681" t="s">
        <v>1340</v>
      </c>
      <c r="E322" s="249"/>
      <c r="F322" s="678">
        <v>-7</v>
      </c>
      <c r="G322" s="249"/>
      <c r="H322" s="657">
        <v>4.1300000000000008</v>
      </c>
      <c r="I322" s="251"/>
      <c r="J322" s="657">
        <v>3.8600000000000003</v>
      </c>
      <c r="K322" s="251"/>
      <c r="L322" s="657">
        <v>0.27</v>
      </c>
      <c r="M322" s="251"/>
      <c r="N322" s="251">
        <v>0</v>
      </c>
      <c r="O322" s="251"/>
      <c r="P322" s="656" t="s">
        <v>2310</v>
      </c>
      <c r="Q322" s="251"/>
      <c r="R322" s="657">
        <v>18</v>
      </c>
    </row>
    <row r="323" spans="1:18">
      <c r="A323" s="272"/>
      <c r="B323" s="248"/>
      <c r="C323" s="249"/>
      <c r="D323" s="681" t="s">
        <v>1341</v>
      </c>
      <c r="E323" s="249"/>
      <c r="F323" s="678">
        <v>-7</v>
      </c>
      <c r="G323" s="249"/>
      <c r="H323" s="657">
        <v>3.7900000000000005</v>
      </c>
      <c r="I323" s="251"/>
      <c r="J323" s="657">
        <v>3.54</v>
      </c>
      <c r="K323" s="251"/>
      <c r="L323" s="657">
        <v>0.25</v>
      </c>
      <c r="M323" s="251"/>
      <c r="N323" s="251">
        <v>0</v>
      </c>
      <c r="O323" s="251"/>
      <c r="P323" s="656" t="s">
        <v>2310</v>
      </c>
      <c r="Q323" s="251"/>
      <c r="R323" s="657">
        <v>17.899999999999999</v>
      </c>
    </row>
    <row r="324" spans="1:18">
      <c r="A324" s="272"/>
      <c r="B324" s="248"/>
      <c r="C324" s="249"/>
      <c r="D324" s="681" t="s">
        <v>1342</v>
      </c>
      <c r="E324" s="249"/>
      <c r="F324" s="678">
        <v>-7</v>
      </c>
      <c r="G324" s="249"/>
      <c r="H324" s="657">
        <v>3.9099999999999997</v>
      </c>
      <c r="I324" s="251"/>
      <c r="J324" s="657">
        <v>3.65</v>
      </c>
      <c r="K324" s="251"/>
      <c r="L324" s="657">
        <v>0.26</v>
      </c>
      <c r="M324" s="251"/>
      <c r="N324" s="251">
        <v>0</v>
      </c>
      <c r="O324" s="251"/>
      <c r="P324" s="656" t="s">
        <v>2310</v>
      </c>
      <c r="Q324" s="251"/>
      <c r="R324" s="657">
        <v>18</v>
      </c>
    </row>
    <row r="325" spans="1:18">
      <c r="A325" s="272"/>
      <c r="B325" s="248"/>
      <c r="C325" s="249"/>
      <c r="D325" s="683" t="s">
        <v>2306</v>
      </c>
      <c r="E325" s="249"/>
      <c r="F325" s="678">
        <v>-12</v>
      </c>
      <c r="G325" s="249"/>
      <c r="H325" s="657">
        <v>2.96</v>
      </c>
      <c r="I325" s="251"/>
      <c r="J325" s="657">
        <v>2.64</v>
      </c>
      <c r="K325" s="251"/>
      <c r="L325" s="657">
        <v>0.32</v>
      </c>
      <c r="M325" s="251"/>
      <c r="N325" s="251">
        <v>0</v>
      </c>
      <c r="O325" s="251"/>
      <c r="P325" s="656" t="s">
        <v>2310</v>
      </c>
      <c r="Q325" s="251"/>
      <c r="R325" s="657">
        <v>37.299999999999997</v>
      </c>
    </row>
    <row r="326" spans="1:18">
      <c r="A326" s="272"/>
      <c r="B326" s="248"/>
      <c r="C326" s="249"/>
      <c r="D326" s="249"/>
      <c r="E326" s="249"/>
      <c r="F326" s="250"/>
      <c r="G326" s="249"/>
      <c r="H326" s="251"/>
      <c r="I326" s="251"/>
      <c r="J326" s="251"/>
      <c r="K326" s="251"/>
      <c r="L326" s="251"/>
      <c r="M326" s="251"/>
      <c r="N326" s="251"/>
      <c r="O326" s="251"/>
      <c r="P326" s="251"/>
      <c r="Q326" s="251"/>
      <c r="R326" s="251"/>
    </row>
    <row r="327" spans="1:18">
      <c r="A327" s="272">
        <v>345</v>
      </c>
      <c r="B327" s="248"/>
      <c r="C327" s="249"/>
      <c r="D327" s="254" t="s">
        <v>1364</v>
      </c>
      <c r="E327" s="249"/>
      <c r="F327" s="278" t="s">
        <v>2696</v>
      </c>
      <c r="G327" s="249"/>
      <c r="H327" s="251">
        <v>3.96</v>
      </c>
      <c r="I327" s="251"/>
      <c r="J327" s="251"/>
      <c r="K327" s="251"/>
      <c r="L327" s="251"/>
      <c r="M327" s="251"/>
      <c r="N327" s="251"/>
      <c r="O327" s="251"/>
      <c r="P327" s="251" t="s">
        <v>2310</v>
      </c>
      <c r="Q327" s="251"/>
      <c r="R327" s="251">
        <v>20.399999999999999</v>
      </c>
    </row>
    <row r="328" spans="1:18">
      <c r="A328" s="272"/>
      <c r="B328" s="248"/>
      <c r="C328" s="249"/>
      <c r="D328" s="249"/>
      <c r="E328" s="249"/>
      <c r="F328" s="250"/>
      <c r="G328" s="249"/>
      <c r="H328" s="251"/>
      <c r="I328" s="251"/>
      <c r="J328" s="251"/>
      <c r="K328" s="251"/>
      <c r="L328" s="251"/>
      <c r="M328" s="251"/>
      <c r="N328" s="251"/>
      <c r="O328" s="251"/>
      <c r="P328" s="251"/>
      <c r="Q328" s="251"/>
      <c r="R328" s="251"/>
    </row>
    <row r="329" spans="1:18">
      <c r="A329" s="272"/>
      <c r="B329" s="248">
        <v>346</v>
      </c>
      <c r="C329" s="249"/>
      <c r="D329" s="249" t="s">
        <v>1365</v>
      </c>
      <c r="E329" s="249"/>
      <c r="F329" s="250"/>
      <c r="G329" s="249"/>
      <c r="H329" s="251"/>
      <c r="I329" s="251"/>
      <c r="J329" s="251"/>
      <c r="K329" s="251"/>
      <c r="L329" s="251"/>
      <c r="M329" s="251"/>
      <c r="N329" s="251"/>
      <c r="O329" s="251"/>
      <c r="P329" s="251"/>
      <c r="Q329" s="251"/>
      <c r="R329" s="251"/>
    </row>
    <row r="330" spans="1:18">
      <c r="A330" s="272"/>
      <c r="B330" s="248"/>
      <c r="C330" s="249"/>
      <c r="D330" s="681" t="s">
        <v>1349</v>
      </c>
      <c r="E330" s="249"/>
      <c r="F330" s="678">
        <v>-7</v>
      </c>
      <c r="G330" s="249"/>
      <c r="H330" s="657">
        <v>3.26</v>
      </c>
      <c r="I330" s="251"/>
      <c r="J330" s="657">
        <v>3.05</v>
      </c>
      <c r="K330" s="251"/>
      <c r="L330" s="657">
        <v>0.21</v>
      </c>
      <c r="M330" s="251"/>
      <c r="N330" s="251">
        <v>0</v>
      </c>
      <c r="O330" s="251"/>
      <c r="P330" s="656" t="s">
        <v>2311</v>
      </c>
      <c r="Q330" s="251"/>
      <c r="R330" s="657">
        <v>13.8</v>
      </c>
    </row>
    <row r="331" spans="1:18">
      <c r="A331" s="272"/>
      <c r="B331" s="248"/>
      <c r="C331" s="249"/>
      <c r="D331" s="681" t="s">
        <v>1350</v>
      </c>
      <c r="E331" s="249"/>
      <c r="F331" s="678">
        <v>-7</v>
      </c>
      <c r="G331" s="249"/>
      <c r="H331" s="657">
        <v>5.2200000000000006</v>
      </c>
      <c r="I331" s="251"/>
      <c r="J331" s="657">
        <v>4.88</v>
      </c>
      <c r="K331" s="251"/>
      <c r="L331" s="657">
        <v>0.33999999999999997</v>
      </c>
      <c r="M331" s="251"/>
      <c r="N331" s="251">
        <v>0</v>
      </c>
      <c r="O331" s="251"/>
      <c r="P331" s="656" t="s">
        <v>2311</v>
      </c>
      <c r="Q331" s="251"/>
      <c r="R331" s="657">
        <v>10</v>
      </c>
    </row>
    <row r="332" spans="1:18">
      <c r="A332" s="272"/>
      <c r="B332" s="248"/>
      <c r="C332" s="249"/>
      <c r="D332" s="681" t="s">
        <v>1344</v>
      </c>
      <c r="E332" s="249"/>
      <c r="F332" s="678">
        <v>-7</v>
      </c>
      <c r="G332" s="249"/>
      <c r="H332" s="657">
        <v>4.01</v>
      </c>
      <c r="I332" s="251"/>
      <c r="J332" s="657">
        <v>3.75</v>
      </c>
      <c r="K332" s="251"/>
      <c r="L332" s="657">
        <v>0.26</v>
      </c>
      <c r="M332" s="251"/>
      <c r="N332" s="251">
        <v>0</v>
      </c>
      <c r="O332" s="251"/>
      <c r="P332" s="656" t="s">
        <v>2311</v>
      </c>
      <c r="Q332" s="251"/>
      <c r="R332" s="657">
        <v>14.2</v>
      </c>
    </row>
    <row r="333" spans="1:18">
      <c r="A333" s="272"/>
      <c r="B333" s="248"/>
      <c r="C333" s="249"/>
      <c r="D333" s="681" t="s">
        <v>1345</v>
      </c>
      <c r="E333" s="249"/>
      <c r="F333" s="678">
        <v>-7</v>
      </c>
      <c r="G333" s="249"/>
      <c r="H333" s="657">
        <v>6.22</v>
      </c>
      <c r="I333" s="251"/>
      <c r="J333" s="657">
        <v>5.81</v>
      </c>
      <c r="K333" s="251"/>
      <c r="L333" s="657">
        <v>0.41000000000000003</v>
      </c>
      <c r="M333" s="251"/>
      <c r="N333" s="251">
        <v>0</v>
      </c>
      <c r="O333" s="251"/>
      <c r="P333" s="656" t="s">
        <v>2311</v>
      </c>
      <c r="Q333" s="251"/>
      <c r="R333" s="657">
        <v>13</v>
      </c>
    </row>
    <row r="334" spans="1:18">
      <c r="A334" s="272"/>
      <c r="B334" s="248"/>
      <c r="C334" s="249"/>
      <c r="D334" s="681" t="s">
        <v>1346</v>
      </c>
      <c r="E334" s="249"/>
      <c r="F334" s="678">
        <v>-7</v>
      </c>
      <c r="G334" s="249"/>
      <c r="H334" s="657">
        <v>6.2399999999999993</v>
      </c>
      <c r="I334" s="251"/>
      <c r="J334" s="657">
        <v>5.83</v>
      </c>
      <c r="K334" s="251"/>
      <c r="L334" s="657">
        <v>0.41000000000000003</v>
      </c>
      <c r="M334" s="251"/>
      <c r="N334" s="251">
        <v>0</v>
      </c>
      <c r="O334" s="251"/>
      <c r="P334" s="656" t="s">
        <v>2311</v>
      </c>
      <c r="Q334" s="251"/>
      <c r="R334" s="657">
        <v>13</v>
      </c>
    </row>
    <row r="335" spans="1:18">
      <c r="A335" s="272"/>
      <c r="B335" s="248"/>
      <c r="C335" s="249"/>
      <c r="D335" s="681" t="s">
        <v>1347</v>
      </c>
      <c r="E335" s="249"/>
      <c r="F335" s="678">
        <v>-7</v>
      </c>
      <c r="G335" s="249"/>
      <c r="H335" s="657">
        <v>4.9799999999999995</v>
      </c>
      <c r="I335" s="251"/>
      <c r="J335" s="657">
        <v>4.6500000000000004</v>
      </c>
      <c r="K335" s="251"/>
      <c r="L335" s="657">
        <v>0.33</v>
      </c>
      <c r="M335" s="251"/>
      <c r="N335" s="251">
        <v>0</v>
      </c>
      <c r="O335" s="251"/>
      <c r="P335" s="656" t="s">
        <v>2311</v>
      </c>
      <c r="Q335" s="251"/>
      <c r="R335" s="657">
        <v>9</v>
      </c>
    </row>
    <row r="336" spans="1:18">
      <c r="A336" s="272"/>
      <c r="B336" s="248"/>
      <c r="C336" s="249"/>
      <c r="D336" s="681" t="s">
        <v>1348</v>
      </c>
      <c r="E336" s="249"/>
      <c r="F336" s="678">
        <v>-7</v>
      </c>
      <c r="G336" s="249"/>
      <c r="H336" s="657">
        <v>3.3099999999999996</v>
      </c>
      <c r="I336" s="251"/>
      <c r="J336" s="657">
        <v>3.09</v>
      </c>
      <c r="K336" s="251"/>
      <c r="L336" s="657">
        <v>0.22</v>
      </c>
      <c r="M336" s="251"/>
      <c r="N336" s="251">
        <v>0</v>
      </c>
      <c r="O336" s="251"/>
      <c r="P336" s="656" t="s">
        <v>2311</v>
      </c>
      <c r="Q336" s="251"/>
      <c r="R336" s="657">
        <v>13.9</v>
      </c>
    </row>
    <row r="337" spans="1:18">
      <c r="A337" s="272"/>
      <c r="B337" s="248"/>
      <c r="C337" s="249"/>
      <c r="D337" s="682" t="s">
        <v>2694</v>
      </c>
      <c r="E337" s="249"/>
      <c r="F337" s="678">
        <v>0</v>
      </c>
      <c r="G337" s="249"/>
      <c r="H337" s="657">
        <v>4.25</v>
      </c>
      <c r="I337" s="251"/>
      <c r="J337" s="657">
        <v>4.25</v>
      </c>
      <c r="K337" s="251"/>
      <c r="L337" s="657">
        <v>0</v>
      </c>
      <c r="M337" s="251"/>
      <c r="N337" s="251">
        <v>0</v>
      </c>
      <c r="O337" s="251"/>
      <c r="P337" s="656" t="s">
        <v>2699</v>
      </c>
      <c r="Q337" s="251"/>
      <c r="R337" s="657">
        <v>32</v>
      </c>
    </row>
    <row r="338" spans="1:18">
      <c r="A338" s="274"/>
      <c r="B338" s="255"/>
      <c r="C338" s="249"/>
      <c r="D338" s="681" t="s">
        <v>1351</v>
      </c>
      <c r="E338" s="249"/>
      <c r="F338" s="678">
        <v>-10</v>
      </c>
      <c r="G338" s="249"/>
      <c r="H338" s="657">
        <v>17.75</v>
      </c>
      <c r="I338" s="251"/>
      <c r="J338" s="657">
        <v>16.14</v>
      </c>
      <c r="K338" s="251"/>
      <c r="L338" s="657">
        <v>1.6099999999999999</v>
      </c>
      <c r="M338" s="251"/>
      <c r="N338" s="251">
        <v>0</v>
      </c>
      <c r="O338" s="251"/>
      <c r="P338" s="656" t="s">
        <v>2311</v>
      </c>
      <c r="Q338" s="251"/>
      <c r="R338" s="657">
        <v>4.3</v>
      </c>
    </row>
    <row r="339" spans="1:18">
      <c r="A339" s="272"/>
      <c r="B339" s="248"/>
      <c r="C339" s="249"/>
      <c r="D339" s="681" t="s">
        <v>1352</v>
      </c>
      <c r="E339" s="249"/>
      <c r="F339" s="678">
        <v>-6</v>
      </c>
      <c r="G339" s="249"/>
      <c r="H339" s="657">
        <v>3.93</v>
      </c>
      <c r="I339" s="251"/>
      <c r="J339" s="657">
        <v>3.71</v>
      </c>
      <c r="K339" s="251"/>
      <c r="L339" s="657">
        <v>0.22</v>
      </c>
      <c r="M339" s="251"/>
      <c r="N339" s="251">
        <v>0</v>
      </c>
      <c r="O339" s="251"/>
      <c r="P339" s="656" t="s">
        <v>2311</v>
      </c>
      <c r="Q339" s="251"/>
      <c r="R339" s="657">
        <v>14.2</v>
      </c>
    </row>
    <row r="340" spans="1:18">
      <c r="A340" s="272"/>
      <c r="B340" s="248"/>
      <c r="C340" s="249"/>
      <c r="D340" s="681" t="s">
        <v>1343</v>
      </c>
      <c r="E340" s="249"/>
      <c r="F340" s="678">
        <v>-7</v>
      </c>
      <c r="G340" s="249"/>
      <c r="H340" s="657">
        <v>4.6100000000000003</v>
      </c>
      <c r="I340" s="251"/>
      <c r="J340" s="657">
        <v>4.3099999999999996</v>
      </c>
      <c r="K340" s="251"/>
      <c r="L340" s="657">
        <v>0.3</v>
      </c>
      <c r="M340" s="251"/>
      <c r="N340" s="251">
        <v>0</v>
      </c>
      <c r="O340" s="251"/>
      <c r="P340" s="656" t="s">
        <v>2311</v>
      </c>
      <c r="Q340" s="251"/>
      <c r="R340" s="657">
        <v>17.399999999999999</v>
      </c>
    </row>
    <row r="341" spans="1:18">
      <c r="A341" s="272"/>
      <c r="B341" s="248"/>
      <c r="C341" s="249"/>
      <c r="D341" s="681" t="s">
        <v>1338</v>
      </c>
      <c r="E341" s="249"/>
      <c r="F341" s="678">
        <v>-7</v>
      </c>
      <c r="G341" s="249"/>
      <c r="H341" s="657">
        <v>4.04</v>
      </c>
      <c r="I341" s="251"/>
      <c r="J341" s="657">
        <v>3.7800000000000002</v>
      </c>
      <c r="K341" s="251"/>
      <c r="L341" s="657">
        <v>0.26</v>
      </c>
      <c r="M341" s="251"/>
      <c r="N341" s="251">
        <v>0</v>
      </c>
      <c r="O341" s="251"/>
      <c r="P341" s="656" t="s">
        <v>2311</v>
      </c>
      <c r="Q341" s="251"/>
      <c r="R341" s="657">
        <v>15.5</v>
      </c>
    </row>
    <row r="342" spans="1:18">
      <c r="A342" s="272"/>
      <c r="B342" s="248"/>
      <c r="C342" s="249"/>
      <c r="D342" s="681" t="s">
        <v>1340</v>
      </c>
      <c r="E342" s="249"/>
      <c r="F342" s="678">
        <v>-7</v>
      </c>
      <c r="G342" s="249"/>
      <c r="H342" s="657">
        <v>3.8900000000000006</v>
      </c>
      <c r="I342" s="251"/>
      <c r="J342" s="657">
        <v>3.64</v>
      </c>
      <c r="K342" s="251"/>
      <c r="L342" s="657">
        <v>0.25</v>
      </c>
      <c r="M342" s="251"/>
      <c r="N342" s="251">
        <v>0</v>
      </c>
      <c r="O342" s="251"/>
      <c r="P342" s="656" t="s">
        <v>2311</v>
      </c>
      <c r="Q342" s="251"/>
      <c r="R342" s="657">
        <v>16.899999999999999</v>
      </c>
    </row>
    <row r="343" spans="1:18">
      <c r="A343" s="272"/>
      <c r="B343" s="248"/>
      <c r="C343" s="249"/>
      <c r="D343" s="681" t="s">
        <v>1341</v>
      </c>
      <c r="E343" s="249"/>
      <c r="F343" s="678">
        <v>-7</v>
      </c>
      <c r="G343" s="249"/>
      <c r="H343" s="657">
        <v>3.8900000000000006</v>
      </c>
      <c r="I343" s="251"/>
      <c r="J343" s="657">
        <v>3.64</v>
      </c>
      <c r="K343" s="251"/>
      <c r="L343" s="657">
        <v>0.25</v>
      </c>
      <c r="M343" s="251"/>
      <c r="N343" s="251">
        <v>0</v>
      </c>
      <c r="O343" s="251"/>
      <c r="P343" s="656" t="s">
        <v>2311</v>
      </c>
      <c r="Q343" s="251"/>
      <c r="R343" s="657">
        <v>16.899999999999999</v>
      </c>
    </row>
    <row r="344" spans="1:18">
      <c r="A344" s="272"/>
      <c r="B344" s="248"/>
      <c r="C344" s="249"/>
      <c r="D344" s="681" t="s">
        <v>1342</v>
      </c>
      <c r="E344" s="249"/>
      <c r="F344" s="678">
        <v>-7</v>
      </c>
      <c r="G344" s="249"/>
      <c r="H344" s="657">
        <v>3.9099999999999997</v>
      </c>
      <c r="I344" s="251"/>
      <c r="J344" s="657">
        <v>3.65</v>
      </c>
      <c r="K344" s="251"/>
      <c r="L344" s="657">
        <v>0.26</v>
      </c>
      <c r="M344" s="251"/>
      <c r="N344" s="251">
        <v>0</v>
      </c>
      <c r="O344" s="251"/>
      <c r="P344" s="656" t="s">
        <v>2311</v>
      </c>
      <c r="Q344" s="251"/>
      <c r="R344" s="657">
        <v>16.899999999999999</v>
      </c>
    </row>
    <row r="345" spans="1:18">
      <c r="A345" s="272"/>
      <c r="B345" s="248"/>
      <c r="C345" s="249"/>
      <c r="D345" s="683" t="s">
        <v>2306</v>
      </c>
      <c r="E345" s="249"/>
      <c r="F345" s="678">
        <v>-12</v>
      </c>
      <c r="G345" s="249"/>
      <c r="H345" s="657">
        <v>3.32</v>
      </c>
      <c r="I345" s="251"/>
      <c r="J345" s="657">
        <v>2.96</v>
      </c>
      <c r="K345" s="251"/>
      <c r="L345" s="657">
        <v>0.36</v>
      </c>
      <c r="M345" s="251"/>
      <c r="N345" s="251">
        <v>0</v>
      </c>
      <c r="O345" s="251"/>
      <c r="P345" s="656" t="s">
        <v>2311</v>
      </c>
      <c r="Q345" s="251"/>
      <c r="R345" s="657">
        <v>33.6</v>
      </c>
    </row>
    <row r="346" spans="1:18">
      <c r="A346" s="272"/>
      <c r="B346" s="248"/>
      <c r="C346" s="249"/>
      <c r="D346" s="249"/>
      <c r="E346" s="249"/>
      <c r="F346" s="250"/>
      <c r="G346" s="249"/>
      <c r="H346" s="251"/>
      <c r="I346" s="251"/>
      <c r="J346" s="251"/>
      <c r="K346" s="251"/>
      <c r="L346" s="251"/>
      <c r="M346" s="251"/>
      <c r="N346" s="251"/>
      <c r="O346" s="251"/>
      <c r="P346" s="251"/>
      <c r="Q346" s="251"/>
      <c r="R346" s="251"/>
    </row>
    <row r="347" spans="1:18">
      <c r="A347" s="272">
        <v>346</v>
      </c>
      <c r="B347" s="248"/>
      <c r="C347" s="249"/>
      <c r="D347" s="254" t="s">
        <v>1366</v>
      </c>
      <c r="E347" s="249"/>
      <c r="F347" s="278" t="s">
        <v>2334</v>
      </c>
      <c r="G347" s="249"/>
      <c r="H347" s="251">
        <v>4.3600000000000003</v>
      </c>
      <c r="I347" s="251"/>
      <c r="J347" s="251"/>
      <c r="K347" s="251"/>
      <c r="L347" s="251"/>
      <c r="M347" s="251"/>
      <c r="N347" s="251"/>
      <c r="O347" s="251"/>
      <c r="P347" s="251" t="s">
        <v>2311</v>
      </c>
      <c r="Q347" s="251"/>
      <c r="R347" s="251">
        <v>12.6</v>
      </c>
    </row>
    <row r="348" spans="1:18">
      <c r="A348" s="272"/>
      <c r="B348" s="248"/>
      <c r="C348" s="249"/>
      <c r="D348" s="249"/>
      <c r="E348" s="249"/>
      <c r="F348" s="250"/>
      <c r="G348" s="249"/>
      <c r="H348" s="251"/>
      <c r="I348" s="251"/>
      <c r="J348" s="251"/>
      <c r="K348" s="251"/>
      <c r="L348" s="251"/>
      <c r="M348" s="251"/>
      <c r="N348" s="251"/>
      <c r="O348" s="251"/>
      <c r="P348" s="251"/>
      <c r="Q348" s="251"/>
      <c r="R348" s="251"/>
    </row>
    <row r="349" spans="1:18">
      <c r="A349" s="272"/>
      <c r="B349" s="248"/>
      <c r="C349" s="249"/>
      <c r="D349" s="270" t="s">
        <v>1367</v>
      </c>
      <c r="E349" s="249"/>
      <c r="F349" s="250"/>
      <c r="G349" s="243"/>
      <c r="H349" s="251">
        <v>4</v>
      </c>
      <c r="I349" s="251"/>
      <c r="J349" s="251"/>
      <c r="K349" s="251"/>
      <c r="L349" s="251"/>
      <c r="M349" s="251"/>
      <c r="N349" s="251"/>
      <c r="O349" s="251"/>
      <c r="P349" s="251"/>
      <c r="Q349" s="251"/>
      <c r="R349" s="251"/>
    </row>
    <row r="350" spans="1:18">
      <c r="A350" s="272"/>
      <c r="B350" s="248"/>
      <c r="C350" s="249"/>
      <c r="D350" s="270"/>
      <c r="E350" s="249"/>
      <c r="F350" s="250"/>
      <c r="G350" s="243"/>
      <c r="H350" s="251"/>
      <c r="I350" s="251"/>
      <c r="J350" s="251"/>
      <c r="K350" s="251"/>
      <c r="L350" s="251"/>
      <c r="M350" s="251"/>
      <c r="N350" s="251"/>
      <c r="O350" s="251"/>
      <c r="P350" s="251"/>
      <c r="Q350" s="251"/>
      <c r="R350" s="251"/>
    </row>
    <row r="351" spans="1:18">
      <c r="A351" s="272"/>
      <c r="B351" s="248"/>
      <c r="C351" s="249"/>
      <c r="D351" s="249"/>
      <c r="E351" s="249"/>
      <c r="F351" s="250"/>
      <c r="G351" s="249"/>
      <c r="H351" s="251"/>
      <c r="I351" s="251"/>
      <c r="J351" s="251"/>
      <c r="K351" s="251"/>
      <c r="L351" s="251"/>
      <c r="M351" s="251"/>
      <c r="N351" s="251"/>
      <c r="O351" s="251"/>
      <c r="P351" s="251"/>
      <c r="Q351" s="251"/>
      <c r="R351" s="251"/>
    </row>
    <row r="352" spans="1:18">
      <c r="A352" s="272"/>
      <c r="B352" s="248"/>
      <c r="C352" s="249"/>
      <c r="D352" s="244" t="s">
        <v>1368</v>
      </c>
      <c r="E352" s="249"/>
      <c r="F352" s="250"/>
      <c r="G352" s="249"/>
      <c r="H352" s="251"/>
      <c r="I352" s="251"/>
      <c r="J352" s="251"/>
      <c r="K352" s="251"/>
      <c r="L352" s="251"/>
      <c r="M352" s="251"/>
      <c r="N352" s="251"/>
      <c r="O352" s="251"/>
      <c r="P352" s="251"/>
      <c r="Q352" s="251"/>
      <c r="R352" s="251"/>
    </row>
    <row r="353" spans="1:18">
      <c r="A353" s="272"/>
      <c r="B353" s="248"/>
      <c r="C353" s="249"/>
      <c r="D353" s="252"/>
      <c r="E353" s="249"/>
      <c r="F353" s="250"/>
      <c r="G353" s="249"/>
      <c r="H353" s="251"/>
      <c r="I353" s="251"/>
      <c r="J353" s="251"/>
      <c r="K353" s="251"/>
      <c r="L353" s="251"/>
      <c r="M353" s="251"/>
      <c r="N353" s="251"/>
      <c r="O353" s="251"/>
      <c r="P353" s="251"/>
      <c r="Q353" s="251"/>
      <c r="R353" s="251"/>
    </row>
    <row r="354" spans="1:18">
      <c r="A354" s="272">
        <v>350</v>
      </c>
      <c r="B354" s="248">
        <v>350.1</v>
      </c>
      <c r="C354" s="249"/>
      <c r="D354" s="249" t="s">
        <v>1369</v>
      </c>
      <c r="E354" s="249"/>
      <c r="F354" s="250">
        <v>0</v>
      </c>
      <c r="G354" s="249"/>
      <c r="H354" s="251">
        <v>0.86</v>
      </c>
      <c r="I354" s="251"/>
      <c r="J354" s="251">
        <v>0.86</v>
      </c>
      <c r="K354" s="251"/>
      <c r="L354" s="251">
        <v>0</v>
      </c>
      <c r="M354" s="251"/>
      <c r="N354" s="251">
        <v>0</v>
      </c>
      <c r="O354" s="251"/>
      <c r="P354" s="656" t="s">
        <v>2295</v>
      </c>
      <c r="Q354" s="251"/>
      <c r="R354" s="251">
        <v>48.9</v>
      </c>
    </row>
    <row r="355" spans="1:18">
      <c r="A355" s="272"/>
      <c r="B355" s="248">
        <v>352.1</v>
      </c>
      <c r="C355" s="249"/>
      <c r="D355" s="249" t="s">
        <v>1370</v>
      </c>
      <c r="E355" s="249"/>
      <c r="F355" s="250">
        <v>-25</v>
      </c>
      <c r="G355" s="249"/>
      <c r="H355" s="251">
        <v>1.66</v>
      </c>
      <c r="I355" s="251"/>
      <c r="J355" s="251">
        <v>1.3299999999999998</v>
      </c>
      <c r="K355" s="251"/>
      <c r="L355" s="251">
        <v>0.33</v>
      </c>
      <c r="M355" s="251"/>
      <c r="N355" s="251">
        <v>0</v>
      </c>
      <c r="O355" s="251"/>
      <c r="P355" s="656" t="s">
        <v>2295</v>
      </c>
      <c r="Q355" s="251"/>
      <c r="R355" s="251">
        <v>59.5</v>
      </c>
    </row>
    <row r="356" spans="1:18">
      <c r="A356" s="272"/>
      <c r="B356" s="248">
        <v>352.2</v>
      </c>
      <c r="C356" s="249"/>
      <c r="D356" s="249" t="s">
        <v>1371</v>
      </c>
      <c r="E356" s="249"/>
      <c r="F356" s="250">
        <v>-25</v>
      </c>
      <c r="G356" s="249"/>
      <c r="H356" s="251">
        <v>1.66</v>
      </c>
      <c r="I356" s="251"/>
      <c r="J356" s="251">
        <v>1.3299999999999998</v>
      </c>
      <c r="K356" s="251"/>
      <c r="L356" s="251">
        <v>0.33</v>
      </c>
      <c r="M356" s="251"/>
      <c r="N356" s="251">
        <v>0</v>
      </c>
      <c r="O356" s="251"/>
      <c r="P356" s="656" t="s">
        <v>1384</v>
      </c>
      <c r="Q356" s="251"/>
      <c r="R356" s="251">
        <v>47.9</v>
      </c>
    </row>
    <row r="357" spans="1:18">
      <c r="A357" s="272"/>
      <c r="B357" s="248">
        <v>353.1</v>
      </c>
      <c r="C357" s="249"/>
      <c r="D357" s="249" t="s">
        <v>1372</v>
      </c>
      <c r="E357" s="249"/>
      <c r="F357" s="250">
        <v>-10</v>
      </c>
      <c r="G357" s="249"/>
      <c r="H357" s="251">
        <v>1.9</v>
      </c>
      <c r="I357" s="251"/>
      <c r="J357" s="251">
        <v>1.6500000000000001</v>
      </c>
      <c r="K357" s="251"/>
      <c r="L357" s="251">
        <v>0.3</v>
      </c>
      <c r="M357" s="251"/>
      <c r="N357" s="251">
        <v>-0.05</v>
      </c>
      <c r="O357" s="251"/>
      <c r="P357" s="656" t="s">
        <v>1373</v>
      </c>
      <c r="Q357" s="251"/>
      <c r="R357" s="251">
        <v>46</v>
      </c>
    </row>
    <row r="358" spans="1:18">
      <c r="A358" s="272"/>
      <c r="B358" s="248">
        <v>353.2</v>
      </c>
      <c r="C358" s="249"/>
      <c r="D358" s="249" t="s">
        <v>1374</v>
      </c>
      <c r="E358" s="249"/>
      <c r="F358" s="250">
        <v>-10</v>
      </c>
      <c r="G358" s="249"/>
      <c r="H358" s="658">
        <v>0</v>
      </c>
      <c r="I358" s="251"/>
      <c r="J358" s="251">
        <v>0</v>
      </c>
      <c r="K358" s="251"/>
      <c r="L358" s="251">
        <v>0</v>
      </c>
      <c r="M358" s="251"/>
      <c r="N358" s="251">
        <v>0</v>
      </c>
      <c r="O358" s="251"/>
      <c r="P358" s="656" t="s">
        <v>2312</v>
      </c>
      <c r="Q358" s="251"/>
      <c r="R358" s="251">
        <v>0</v>
      </c>
    </row>
    <row r="359" spans="1:18">
      <c r="A359" s="272">
        <v>354</v>
      </c>
      <c r="B359" s="248"/>
      <c r="C359" s="249"/>
      <c r="D359" s="249" t="s">
        <v>1375</v>
      </c>
      <c r="E359" s="249"/>
      <c r="F359" s="250">
        <v>-25</v>
      </c>
      <c r="G359" s="249"/>
      <c r="H359" s="251">
        <v>1.6900000000000002</v>
      </c>
      <c r="I359" s="251"/>
      <c r="J359" s="251">
        <v>1.21</v>
      </c>
      <c r="K359" s="251"/>
      <c r="L359" s="251">
        <v>0.54</v>
      </c>
      <c r="M359" s="251"/>
      <c r="N359" s="251">
        <v>-0.06</v>
      </c>
      <c r="O359" s="251"/>
      <c r="P359" s="656" t="s">
        <v>1376</v>
      </c>
      <c r="Q359" s="251"/>
      <c r="R359" s="251">
        <v>44.8</v>
      </c>
    </row>
    <row r="360" spans="1:18">
      <c r="A360" s="272">
        <v>355</v>
      </c>
      <c r="B360" s="248"/>
      <c r="C360" s="249"/>
      <c r="D360" s="249" t="s">
        <v>1377</v>
      </c>
      <c r="E360" s="249"/>
      <c r="F360" s="250">
        <v>-55</v>
      </c>
      <c r="G360" s="249"/>
      <c r="H360" s="251">
        <v>2.93</v>
      </c>
      <c r="I360" s="251"/>
      <c r="J360" s="251">
        <v>1.68</v>
      </c>
      <c r="K360" s="251"/>
      <c r="L360" s="251">
        <v>1.4200000000000002</v>
      </c>
      <c r="M360" s="251"/>
      <c r="N360" s="251">
        <v>-0.16999999999999998</v>
      </c>
      <c r="O360" s="251"/>
      <c r="P360" s="656" t="s">
        <v>2313</v>
      </c>
      <c r="Q360" s="251"/>
      <c r="R360" s="251">
        <v>48.8</v>
      </c>
    </row>
    <row r="361" spans="1:18">
      <c r="A361" s="272">
        <v>356</v>
      </c>
      <c r="B361" s="248"/>
      <c r="C361" s="249"/>
      <c r="D361" s="249" t="s">
        <v>1378</v>
      </c>
      <c r="E361" s="249"/>
      <c r="F361" s="250">
        <v>-50</v>
      </c>
      <c r="G361" s="249"/>
      <c r="H361" s="251">
        <v>2.54</v>
      </c>
      <c r="I361" s="251"/>
      <c r="J361" s="251">
        <v>1.46</v>
      </c>
      <c r="K361" s="251"/>
      <c r="L361" s="251">
        <v>1.23</v>
      </c>
      <c r="M361" s="251"/>
      <c r="N361" s="251">
        <v>-0.15</v>
      </c>
      <c r="O361" s="251"/>
      <c r="P361" s="656" t="s">
        <v>2314</v>
      </c>
      <c r="Q361" s="251"/>
      <c r="R361" s="251">
        <v>43.8</v>
      </c>
    </row>
    <row r="362" spans="1:18">
      <c r="A362" s="272">
        <v>357</v>
      </c>
      <c r="B362" s="248"/>
      <c r="C362" s="249"/>
      <c r="D362" s="249" t="s">
        <v>1379</v>
      </c>
      <c r="E362" s="249"/>
      <c r="F362" s="250">
        <v>0</v>
      </c>
      <c r="G362" s="249"/>
      <c r="H362" s="251">
        <v>1.7000000000000002</v>
      </c>
      <c r="I362" s="251"/>
      <c r="J362" s="251">
        <v>1.7000000000000002</v>
      </c>
      <c r="K362" s="251"/>
      <c r="L362" s="251">
        <v>0</v>
      </c>
      <c r="M362" s="251"/>
      <c r="N362" s="251">
        <v>0</v>
      </c>
      <c r="O362" s="251"/>
      <c r="P362" s="656" t="s">
        <v>1391</v>
      </c>
      <c r="Q362" s="251"/>
      <c r="R362" s="251">
        <v>28.7</v>
      </c>
    </row>
    <row r="363" spans="1:18">
      <c r="A363" s="272">
        <v>358</v>
      </c>
      <c r="B363" s="248"/>
      <c r="C363" s="249"/>
      <c r="D363" s="253" t="s">
        <v>1380</v>
      </c>
      <c r="E363" s="249"/>
      <c r="F363" s="250">
        <v>0</v>
      </c>
      <c r="G363" s="249"/>
      <c r="H363" s="251">
        <v>0.74</v>
      </c>
      <c r="I363" s="251"/>
      <c r="J363" s="251">
        <v>0.74</v>
      </c>
      <c r="K363" s="251"/>
      <c r="L363" s="251">
        <v>0</v>
      </c>
      <c r="M363" s="251"/>
      <c r="N363" s="251">
        <v>0</v>
      </c>
      <c r="O363" s="251"/>
      <c r="P363" s="656" t="s">
        <v>2315</v>
      </c>
      <c r="Q363" s="251"/>
      <c r="R363" s="251">
        <v>23.6</v>
      </c>
    </row>
    <row r="364" spans="1:18">
      <c r="A364" s="272"/>
      <c r="B364" s="248"/>
      <c r="C364" s="249"/>
      <c r="D364" s="249"/>
      <c r="E364" s="249"/>
      <c r="F364" s="250"/>
      <c r="G364" s="249"/>
      <c r="H364" s="251"/>
      <c r="I364" s="251"/>
      <c r="J364" s="251"/>
      <c r="K364" s="251"/>
      <c r="L364" s="251"/>
      <c r="M364" s="251"/>
      <c r="N364" s="251"/>
      <c r="O364" s="251"/>
      <c r="P364" s="251"/>
      <c r="Q364" s="251"/>
      <c r="R364" s="251"/>
    </row>
    <row r="365" spans="1:18">
      <c r="A365" s="272"/>
      <c r="B365" s="248"/>
      <c r="C365" s="249"/>
      <c r="D365" s="247" t="s">
        <v>1381</v>
      </c>
      <c r="E365" s="249"/>
      <c r="F365" s="250"/>
      <c r="G365" s="243"/>
      <c r="H365" s="251">
        <v>2.25</v>
      </c>
      <c r="I365" s="251"/>
      <c r="J365" s="684"/>
      <c r="K365" s="251"/>
      <c r="L365" s="251"/>
      <c r="M365" s="251"/>
      <c r="N365" s="251"/>
      <c r="O365" s="251"/>
      <c r="P365" s="251"/>
      <c r="Q365" s="251"/>
      <c r="R365" s="251"/>
    </row>
    <row r="366" spans="1:18">
      <c r="A366" s="272"/>
      <c r="B366" s="248"/>
      <c r="C366" s="249"/>
      <c r="D366" s="247"/>
      <c r="E366" s="249"/>
      <c r="F366" s="250"/>
      <c r="G366" s="243"/>
      <c r="H366" s="251"/>
      <c r="I366" s="251"/>
      <c r="J366" s="251"/>
      <c r="K366" s="251"/>
      <c r="L366" s="251"/>
      <c r="M366" s="251"/>
      <c r="N366" s="251"/>
      <c r="O366" s="251"/>
      <c r="P366" s="251"/>
      <c r="Q366" s="251"/>
      <c r="R366" s="251"/>
    </row>
    <row r="367" spans="1:18">
      <c r="A367" s="685"/>
      <c r="B367" s="295">
        <v>352.1</v>
      </c>
      <c r="C367" s="294"/>
      <c r="D367" s="294" t="s">
        <v>1370</v>
      </c>
      <c r="E367" s="294"/>
      <c r="F367" s="250">
        <v>-25</v>
      </c>
      <c r="G367" s="294"/>
      <c r="H367" s="686">
        <v>1.66</v>
      </c>
      <c r="I367" s="686"/>
      <c r="J367" s="686">
        <v>1.3299999999999998</v>
      </c>
      <c r="K367" s="686"/>
      <c r="L367" s="686">
        <v>0.33</v>
      </c>
      <c r="M367" s="686"/>
      <c r="N367" s="686">
        <v>0</v>
      </c>
      <c r="O367" s="686"/>
      <c r="P367" s="686" t="s">
        <v>2295</v>
      </c>
      <c r="Q367" s="686"/>
      <c r="R367" s="686">
        <v>59.5</v>
      </c>
    </row>
    <row r="368" spans="1:18">
      <c r="A368" s="685"/>
      <c r="B368" s="295">
        <v>352.2</v>
      </c>
      <c r="C368" s="294"/>
      <c r="D368" s="294" t="s">
        <v>1371</v>
      </c>
      <c r="E368" s="294"/>
      <c r="F368" s="250">
        <v>-25</v>
      </c>
      <c r="G368" s="294"/>
      <c r="H368" s="687">
        <v>1.66</v>
      </c>
      <c r="I368" s="686"/>
      <c r="J368" s="686">
        <v>1.3299999999999998</v>
      </c>
      <c r="K368" s="686"/>
      <c r="L368" s="686">
        <v>0.33</v>
      </c>
      <c r="M368" s="686"/>
      <c r="N368" s="686">
        <v>0</v>
      </c>
      <c r="O368" s="686"/>
      <c r="P368" s="686" t="s">
        <v>1384</v>
      </c>
      <c r="Q368" s="686"/>
      <c r="R368" s="686">
        <v>47.9</v>
      </c>
    </row>
    <row r="369" spans="1:18">
      <c r="A369" s="272">
        <v>352</v>
      </c>
      <c r="B369" s="295"/>
      <c r="C369" s="294"/>
      <c r="D369" s="294"/>
      <c r="E369" s="294"/>
      <c r="F369" s="688">
        <v>-0.25</v>
      </c>
      <c r="G369" s="294"/>
      <c r="H369" s="686">
        <v>1.66</v>
      </c>
      <c r="I369" s="686"/>
      <c r="J369" s="689"/>
      <c r="K369" s="689"/>
      <c r="L369" s="689"/>
      <c r="M369" s="689"/>
      <c r="N369" s="689"/>
      <c r="O369" s="689"/>
      <c r="P369" s="690" t="s">
        <v>2700</v>
      </c>
      <c r="Q369" s="689"/>
      <c r="R369" s="690" t="s">
        <v>2343</v>
      </c>
    </row>
    <row r="370" spans="1:18">
      <c r="A370" s="272"/>
      <c r="B370" s="295"/>
      <c r="C370" s="294"/>
      <c r="D370" s="294"/>
      <c r="E370" s="294"/>
      <c r="F370" s="250"/>
      <c r="G370" s="294"/>
      <c r="H370" s="686"/>
      <c r="I370" s="686"/>
      <c r="J370" s="686"/>
      <c r="K370" s="686"/>
      <c r="L370" s="686"/>
      <c r="M370" s="686"/>
      <c r="N370" s="686"/>
      <c r="O370" s="686"/>
      <c r="P370" s="686"/>
      <c r="Q370" s="686"/>
      <c r="R370" s="686"/>
    </row>
    <row r="371" spans="1:18">
      <c r="A371" s="272"/>
      <c r="B371" s="295">
        <v>353.1</v>
      </c>
      <c r="C371" s="294"/>
      <c r="D371" s="294" t="s">
        <v>1372</v>
      </c>
      <c r="E371" s="294"/>
      <c r="F371" s="250">
        <v>-10</v>
      </c>
      <c r="G371" s="294"/>
      <c r="H371" s="686">
        <v>1.9</v>
      </c>
      <c r="I371" s="686"/>
      <c r="J371" s="686">
        <v>1.6500000000000001</v>
      </c>
      <c r="K371" s="686"/>
      <c r="L371" s="686">
        <v>0.3</v>
      </c>
      <c r="M371" s="686"/>
      <c r="N371" s="686">
        <v>-0.05</v>
      </c>
      <c r="O371" s="686"/>
      <c r="P371" s="686" t="s">
        <v>1373</v>
      </c>
      <c r="Q371" s="686"/>
      <c r="R371" s="686">
        <v>46</v>
      </c>
    </row>
    <row r="372" spans="1:18">
      <c r="A372" s="272"/>
      <c r="B372" s="295">
        <v>353.2</v>
      </c>
      <c r="C372" s="294"/>
      <c r="D372" s="294" t="s">
        <v>1374</v>
      </c>
      <c r="E372" s="294"/>
      <c r="F372" s="250">
        <v>-10</v>
      </c>
      <c r="G372" s="294"/>
      <c r="H372" s="686">
        <v>0</v>
      </c>
      <c r="I372" s="686"/>
      <c r="J372" s="686">
        <v>0</v>
      </c>
      <c r="K372" s="686"/>
      <c r="L372" s="686">
        <v>0</v>
      </c>
      <c r="M372" s="686"/>
      <c r="N372" s="686">
        <v>0</v>
      </c>
      <c r="O372" s="686"/>
      <c r="P372" s="686" t="s">
        <v>2312</v>
      </c>
      <c r="Q372" s="686"/>
      <c r="R372" s="686">
        <v>0</v>
      </c>
    </row>
    <row r="373" spans="1:18">
      <c r="A373" s="272">
        <v>353</v>
      </c>
      <c r="B373" s="295"/>
      <c r="C373" s="294"/>
      <c r="D373" s="298"/>
      <c r="E373" s="294"/>
      <c r="F373" s="688">
        <v>-0.1</v>
      </c>
      <c r="G373" s="299"/>
      <c r="H373" s="689">
        <v>1.67</v>
      </c>
      <c r="I373" s="686"/>
      <c r="J373" s="689"/>
      <c r="K373" s="689"/>
      <c r="L373" s="689"/>
      <c r="M373" s="689"/>
      <c r="N373" s="689"/>
      <c r="O373" s="689"/>
      <c r="P373" s="690" t="s">
        <v>2701</v>
      </c>
      <c r="Q373" s="689"/>
      <c r="R373" s="689">
        <v>46</v>
      </c>
    </row>
    <row r="374" spans="1:18">
      <c r="A374" s="272"/>
      <c r="B374" s="295"/>
      <c r="C374" s="294"/>
      <c r="D374" s="294"/>
      <c r="E374" s="294"/>
      <c r="F374" s="296"/>
      <c r="G374" s="294"/>
      <c r="H374" s="686"/>
      <c r="I374" s="686"/>
      <c r="J374" s="686"/>
      <c r="K374" s="686"/>
      <c r="L374" s="686"/>
      <c r="M374" s="686"/>
      <c r="N374" s="686"/>
      <c r="O374" s="686"/>
      <c r="P374" s="686"/>
      <c r="Q374" s="686"/>
      <c r="R374" s="686"/>
    </row>
    <row r="375" spans="1:18">
      <c r="A375" s="272"/>
      <c r="B375" s="248"/>
      <c r="C375" s="249"/>
      <c r="D375" s="249"/>
      <c r="E375" s="249"/>
      <c r="F375" s="250"/>
      <c r="G375" s="249"/>
      <c r="H375" s="251"/>
      <c r="I375" s="251"/>
      <c r="J375" s="251"/>
      <c r="K375" s="251"/>
      <c r="L375" s="251"/>
      <c r="M375" s="251"/>
      <c r="N375" s="251"/>
      <c r="O375" s="251"/>
      <c r="P375" s="251"/>
      <c r="Q375" s="251"/>
      <c r="R375" s="251"/>
    </row>
    <row r="376" spans="1:18">
      <c r="A376" s="272"/>
      <c r="B376" s="248"/>
      <c r="C376" s="239"/>
      <c r="D376" s="244" t="s">
        <v>1382</v>
      </c>
      <c r="E376" s="239"/>
      <c r="F376" s="250"/>
      <c r="G376" s="239"/>
      <c r="H376" s="251"/>
      <c r="I376" s="251"/>
      <c r="J376" s="251"/>
      <c r="K376" s="251"/>
      <c r="L376" s="251"/>
      <c r="M376" s="251"/>
      <c r="N376" s="251"/>
      <c r="O376" s="251"/>
      <c r="P376" s="251"/>
      <c r="Q376" s="251"/>
      <c r="R376" s="251"/>
    </row>
    <row r="377" spans="1:18">
      <c r="A377" s="272"/>
      <c r="B377" s="248"/>
      <c r="C377" s="249"/>
      <c r="D377" s="252"/>
      <c r="E377" s="249"/>
      <c r="F377" s="250"/>
      <c r="G377" s="249"/>
      <c r="H377" s="251"/>
      <c r="I377" s="251"/>
      <c r="J377" s="251"/>
      <c r="K377" s="251"/>
      <c r="L377" s="251"/>
      <c r="M377" s="251"/>
      <c r="N377" s="251"/>
      <c r="O377" s="251"/>
      <c r="P377" s="251"/>
      <c r="Q377" s="251"/>
      <c r="R377" s="686"/>
    </row>
    <row r="378" spans="1:18">
      <c r="A378" s="272">
        <v>360</v>
      </c>
      <c r="B378" s="248">
        <v>360.1</v>
      </c>
      <c r="C378" s="249"/>
      <c r="D378" s="691" t="s">
        <v>1383</v>
      </c>
      <c r="E378" s="249"/>
      <c r="F378" s="678">
        <v>0</v>
      </c>
      <c r="G378" s="249"/>
      <c r="H378" s="657">
        <v>0.64</v>
      </c>
      <c r="I378" s="251"/>
      <c r="J378" s="251">
        <v>0.64</v>
      </c>
      <c r="K378" s="251"/>
      <c r="L378" s="251">
        <v>0</v>
      </c>
      <c r="M378" s="251"/>
      <c r="N378" s="251">
        <v>0</v>
      </c>
      <c r="O378" s="251"/>
      <c r="P378" s="251" t="s">
        <v>1376</v>
      </c>
      <c r="Q378" s="251"/>
      <c r="R378" s="686">
        <v>51.4</v>
      </c>
    </row>
    <row r="379" spans="1:18">
      <c r="A379" s="272">
        <v>361</v>
      </c>
      <c r="B379" s="248"/>
      <c r="C379" s="249"/>
      <c r="D379" s="692" t="s">
        <v>1385</v>
      </c>
      <c r="E379" s="249"/>
      <c r="F379" s="678">
        <v>-25</v>
      </c>
      <c r="G379" s="249"/>
      <c r="H379" s="657">
        <v>2.15</v>
      </c>
      <c r="I379" s="251"/>
      <c r="J379" s="251">
        <v>1.72</v>
      </c>
      <c r="K379" s="251"/>
      <c r="L379" s="251">
        <v>0.43</v>
      </c>
      <c r="M379" s="251"/>
      <c r="N379" s="251">
        <v>0</v>
      </c>
      <c r="O379" s="251"/>
      <c r="P379" s="251" t="s">
        <v>1302</v>
      </c>
      <c r="Q379" s="251"/>
      <c r="R379" s="686">
        <v>48.4</v>
      </c>
    </row>
    <row r="380" spans="1:18">
      <c r="A380" s="272">
        <v>362</v>
      </c>
      <c r="B380" s="248"/>
      <c r="C380" s="249"/>
      <c r="D380" s="693" t="s">
        <v>1386</v>
      </c>
      <c r="E380" s="249"/>
      <c r="F380" s="678">
        <v>-20</v>
      </c>
      <c r="G380" s="249"/>
      <c r="H380" s="657">
        <v>2.29</v>
      </c>
      <c r="I380" s="251"/>
      <c r="J380" s="251">
        <v>1.91</v>
      </c>
      <c r="K380" s="251"/>
      <c r="L380" s="251">
        <v>0.45999999999999996</v>
      </c>
      <c r="M380" s="251"/>
      <c r="N380" s="251">
        <v>-0.08</v>
      </c>
      <c r="O380" s="251"/>
      <c r="P380" s="251" t="s">
        <v>1387</v>
      </c>
      <c r="Q380" s="251"/>
      <c r="R380" s="686">
        <v>40.299999999999997</v>
      </c>
    </row>
    <row r="381" spans="1:18">
      <c r="A381" s="272">
        <v>364</v>
      </c>
      <c r="B381" s="248"/>
      <c r="C381" s="249"/>
      <c r="D381" s="693" t="s">
        <v>1388</v>
      </c>
      <c r="E381" s="249"/>
      <c r="F381" s="678">
        <v>-50</v>
      </c>
      <c r="G381" s="249"/>
      <c r="H381" s="657">
        <v>2.67</v>
      </c>
      <c r="I381" s="251"/>
      <c r="J381" s="251">
        <v>1.78</v>
      </c>
      <c r="K381" s="251"/>
      <c r="L381" s="251">
        <v>1.0699999999999998</v>
      </c>
      <c r="M381" s="251"/>
      <c r="N381" s="251">
        <v>-0.18</v>
      </c>
      <c r="O381" s="251"/>
      <c r="P381" s="251" t="s">
        <v>2316</v>
      </c>
      <c r="Q381" s="251"/>
      <c r="R381" s="686">
        <v>40.1</v>
      </c>
    </row>
    <row r="382" spans="1:18">
      <c r="A382" s="272">
        <v>365</v>
      </c>
      <c r="B382" s="248"/>
      <c r="C382" s="249"/>
      <c r="D382" s="692" t="s">
        <v>1389</v>
      </c>
      <c r="E382" s="249"/>
      <c r="F382" s="678">
        <v>-30</v>
      </c>
      <c r="G382" s="249"/>
      <c r="H382" s="657">
        <v>2.4699999999999998</v>
      </c>
      <c r="I382" s="251"/>
      <c r="J382" s="251">
        <v>1.9</v>
      </c>
      <c r="K382" s="251"/>
      <c r="L382" s="251">
        <v>0.70000000000000007</v>
      </c>
      <c r="M382" s="251"/>
      <c r="N382" s="251">
        <v>-0.13</v>
      </c>
      <c r="O382" s="251"/>
      <c r="P382" s="251" t="s">
        <v>2317</v>
      </c>
      <c r="Q382" s="251"/>
      <c r="R382" s="686">
        <v>38.299999999999997</v>
      </c>
    </row>
    <row r="383" spans="1:18">
      <c r="A383" s="272">
        <v>366</v>
      </c>
      <c r="B383" s="248"/>
      <c r="C383" s="249"/>
      <c r="D383" s="691" t="s">
        <v>1390</v>
      </c>
      <c r="E383" s="249"/>
      <c r="F383" s="678">
        <v>0</v>
      </c>
      <c r="G383" s="249"/>
      <c r="H383" s="657">
        <v>2.3199999999999998</v>
      </c>
      <c r="I383" s="251"/>
      <c r="J383" s="251">
        <v>2.3199999999999998</v>
      </c>
      <c r="K383" s="251"/>
      <c r="L383" s="251">
        <v>0</v>
      </c>
      <c r="M383" s="251"/>
      <c r="N383" s="251">
        <v>0</v>
      </c>
      <c r="O383" s="251"/>
      <c r="P383" s="251" t="s">
        <v>1391</v>
      </c>
      <c r="Q383" s="251"/>
      <c r="R383" s="686">
        <v>25.6</v>
      </c>
    </row>
    <row r="384" spans="1:18">
      <c r="A384" s="272">
        <v>367</v>
      </c>
      <c r="B384" s="272"/>
      <c r="C384" s="249"/>
      <c r="D384" s="692" t="s">
        <v>1392</v>
      </c>
      <c r="E384" s="249"/>
      <c r="F384" s="678">
        <v>-20</v>
      </c>
      <c r="G384" s="249"/>
      <c r="H384" s="657">
        <v>2.4299999999999997</v>
      </c>
      <c r="I384" s="251"/>
      <c r="J384" s="251">
        <v>2.02</v>
      </c>
      <c r="K384" s="251"/>
      <c r="L384" s="251">
        <v>0.51</v>
      </c>
      <c r="M384" s="251"/>
      <c r="N384" s="251">
        <v>-0.1</v>
      </c>
      <c r="O384" s="251"/>
      <c r="P384" s="251" t="s">
        <v>2318</v>
      </c>
      <c r="Q384" s="251"/>
      <c r="R384" s="686">
        <v>40.200000000000003</v>
      </c>
    </row>
    <row r="385" spans="1:18">
      <c r="A385" s="272">
        <v>368</v>
      </c>
      <c r="B385" s="248"/>
      <c r="C385" s="249"/>
      <c r="D385" s="692" t="s">
        <v>1393</v>
      </c>
      <c r="E385" s="249"/>
      <c r="F385" s="678">
        <v>-5</v>
      </c>
      <c r="G385" s="249"/>
      <c r="H385" s="657">
        <v>1.79</v>
      </c>
      <c r="I385" s="251"/>
      <c r="J385" s="251">
        <v>1.7000000000000002</v>
      </c>
      <c r="K385" s="251"/>
      <c r="L385" s="251">
        <v>0.13999999999999999</v>
      </c>
      <c r="M385" s="251"/>
      <c r="N385" s="251">
        <v>-0.05</v>
      </c>
      <c r="O385" s="251"/>
      <c r="P385" s="251" t="s">
        <v>2319</v>
      </c>
      <c r="Q385" s="251"/>
      <c r="R385" s="686">
        <v>33</v>
      </c>
    </row>
    <row r="386" spans="1:18">
      <c r="A386" s="272">
        <v>369</v>
      </c>
      <c r="B386" s="248"/>
      <c r="C386" s="249"/>
      <c r="D386" s="692" t="s">
        <v>1394</v>
      </c>
      <c r="E386" s="249"/>
      <c r="F386" s="678">
        <v>-25</v>
      </c>
      <c r="G386" s="249"/>
      <c r="H386" s="657">
        <v>1.63</v>
      </c>
      <c r="I386" s="251"/>
      <c r="J386" s="251">
        <v>1.3</v>
      </c>
      <c r="K386" s="251"/>
      <c r="L386" s="251">
        <v>0.33</v>
      </c>
      <c r="M386" s="251"/>
      <c r="N386" s="251">
        <v>0</v>
      </c>
      <c r="O386" s="251"/>
      <c r="P386" s="251" t="s">
        <v>2320</v>
      </c>
      <c r="Q386" s="251"/>
      <c r="R386" s="686">
        <v>36.6</v>
      </c>
    </row>
    <row r="387" spans="1:18">
      <c r="A387" s="272"/>
      <c r="B387" s="248">
        <v>370</v>
      </c>
      <c r="C387" s="249"/>
      <c r="D387" s="694" t="s">
        <v>2702</v>
      </c>
      <c r="E387" s="249"/>
      <c r="F387" s="678">
        <v>0</v>
      </c>
      <c r="G387" s="249"/>
      <c r="H387" s="657">
        <v>4.29</v>
      </c>
      <c r="I387" s="251"/>
      <c r="J387" s="251">
        <v>4.29</v>
      </c>
      <c r="K387" s="251"/>
      <c r="L387" s="251">
        <v>0</v>
      </c>
      <c r="M387" s="251"/>
      <c r="N387" s="251">
        <v>0</v>
      </c>
      <c r="O387" s="251"/>
      <c r="P387" s="251" t="s">
        <v>2325</v>
      </c>
      <c r="Q387" s="251"/>
      <c r="R387" s="686">
        <v>14.7</v>
      </c>
    </row>
    <row r="388" spans="1:18">
      <c r="B388" s="248">
        <v>370.01</v>
      </c>
      <c r="C388" s="249"/>
      <c r="D388" s="692" t="s">
        <v>2321</v>
      </c>
      <c r="E388" s="249"/>
      <c r="F388" s="678">
        <v>0</v>
      </c>
      <c r="G388" s="249"/>
      <c r="H388" s="657">
        <v>6.8500000000000005</v>
      </c>
      <c r="I388" s="251"/>
      <c r="J388" s="251">
        <v>6.8500000000000005</v>
      </c>
      <c r="K388" s="251"/>
      <c r="L388" s="251">
        <v>0</v>
      </c>
      <c r="M388" s="251"/>
      <c r="N388" s="251">
        <v>0</v>
      </c>
      <c r="O388" s="251"/>
      <c r="P388" s="251" t="s">
        <v>2322</v>
      </c>
      <c r="Q388" s="251"/>
      <c r="R388" s="686">
        <v>14.5</v>
      </c>
    </row>
    <row r="389" spans="1:18">
      <c r="B389" s="248">
        <v>370.2</v>
      </c>
      <c r="C389" s="249"/>
      <c r="D389" s="692" t="s">
        <v>1395</v>
      </c>
      <c r="E389" s="249"/>
      <c r="F389" s="678">
        <v>0</v>
      </c>
      <c r="G389" s="249"/>
      <c r="H389" s="657">
        <v>3.51</v>
      </c>
      <c r="I389" s="251"/>
      <c r="J389" s="251">
        <v>3.51</v>
      </c>
      <c r="K389" s="251"/>
      <c r="L389" s="251">
        <v>0</v>
      </c>
      <c r="M389" s="251"/>
      <c r="N389" s="251">
        <v>0</v>
      </c>
      <c r="O389" s="251"/>
      <c r="P389" s="251" t="s">
        <v>2325</v>
      </c>
      <c r="Q389" s="251"/>
      <c r="R389" s="686">
        <v>4.3</v>
      </c>
    </row>
    <row r="390" spans="1:18">
      <c r="A390" s="272">
        <v>371</v>
      </c>
      <c r="B390" s="248"/>
      <c r="C390" s="249"/>
      <c r="D390" s="692" t="s">
        <v>1396</v>
      </c>
      <c r="E390" s="249"/>
      <c r="F390" s="678">
        <v>-10</v>
      </c>
      <c r="G390" s="249"/>
      <c r="H390" s="657">
        <v>0.52999999999999992</v>
      </c>
      <c r="I390" s="251"/>
      <c r="J390" s="251">
        <v>0.48</v>
      </c>
      <c r="K390" s="251"/>
      <c r="L390" s="251">
        <v>0.06</v>
      </c>
      <c r="M390" s="251"/>
      <c r="N390" s="251">
        <v>-0.01</v>
      </c>
      <c r="O390" s="251"/>
      <c r="P390" s="251" t="s">
        <v>2323</v>
      </c>
      <c r="Q390" s="251"/>
      <c r="R390" s="686">
        <v>19.3</v>
      </c>
    </row>
    <row r="391" spans="1:18">
      <c r="A391" s="272">
        <v>373</v>
      </c>
      <c r="B391" s="248"/>
      <c r="C391" s="249"/>
      <c r="D391" s="692" t="s">
        <v>1397</v>
      </c>
      <c r="E391" s="249"/>
      <c r="F391" s="678">
        <v>-10</v>
      </c>
      <c r="G391" s="249"/>
      <c r="H391" s="657">
        <v>4.0000000000000009</v>
      </c>
      <c r="I391" s="251"/>
      <c r="J391" s="251">
        <v>3.64</v>
      </c>
      <c r="K391" s="251"/>
      <c r="L391" s="251">
        <v>0.47000000000000003</v>
      </c>
      <c r="M391" s="251"/>
      <c r="N391" s="251">
        <v>-0.11</v>
      </c>
      <c r="O391" s="251"/>
      <c r="P391" s="251" t="s">
        <v>2324</v>
      </c>
      <c r="Q391" s="251"/>
      <c r="R391" s="686">
        <v>22.1</v>
      </c>
    </row>
    <row r="392" spans="1:18">
      <c r="A392" s="272"/>
      <c r="B392" s="248"/>
      <c r="C392" s="249"/>
      <c r="D392" s="249"/>
      <c r="E392" s="249"/>
      <c r="F392" s="250"/>
      <c r="G392" s="249"/>
      <c r="H392" s="251"/>
      <c r="I392" s="251"/>
      <c r="J392" s="251"/>
      <c r="K392" s="251"/>
      <c r="L392" s="251"/>
      <c r="M392" s="251"/>
      <c r="N392" s="251"/>
      <c r="O392" s="251"/>
      <c r="P392" s="251"/>
      <c r="Q392" s="251"/>
      <c r="R392" s="657"/>
    </row>
    <row r="393" spans="1:18">
      <c r="A393" s="272"/>
      <c r="B393" s="248">
        <v>370</v>
      </c>
      <c r="C393" s="249"/>
      <c r="D393" s="694" t="s">
        <v>2702</v>
      </c>
      <c r="E393" s="249"/>
      <c r="F393" s="678">
        <v>0</v>
      </c>
      <c r="G393" s="249"/>
      <c r="H393" s="657">
        <v>4.29</v>
      </c>
      <c r="I393" s="251"/>
      <c r="J393" s="251">
        <v>4.29</v>
      </c>
      <c r="K393" s="251"/>
      <c r="L393" s="251">
        <v>0</v>
      </c>
      <c r="M393" s="251"/>
      <c r="N393" s="251">
        <v>0</v>
      </c>
      <c r="O393" s="251"/>
      <c r="P393" s="251" t="s">
        <v>2325</v>
      </c>
      <c r="Q393" s="251"/>
      <c r="R393" s="686">
        <v>14.7</v>
      </c>
    </row>
    <row r="394" spans="1:18">
      <c r="A394" s="272"/>
      <c r="B394" s="248">
        <v>370.01</v>
      </c>
      <c r="C394" s="249"/>
      <c r="D394" s="692" t="s">
        <v>2321</v>
      </c>
      <c r="E394" s="249"/>
      <c r="F394" s="678">
        <v>0</v>
      </c>
      <c r="G394" s="249"/>
      <c r="H394" s="657">
        <v>6.8500000000000005</v>
      </c>
      <c r="I394" s="251"/>
      <c r="J394" s="251">
        <v>6.8500000000000005</v>
      </c>
      <c r="K394" s="251"/>
      <c r="L394" s="251">
        <v>0</v>
      </c>
      <c r="M394" s="251"/>
      <c r="N394" s="251">
        <v>0</v>
      </c>
      <c r="O394" s="251"/>
      <c r="P394" s="251" t="s">
        <v>2322</v>
      </c>
      <c r="Q394" s="251"/>
      <c r="R394" s="686">
        <v>14.5</v>
      </c>
    </row>
    <row r="395" spans="1:18">
      <c r="A395" s="272"/>
      <c r="B395" s="248">
        <v>370.2</v>
      </c>
      <c r="C395" s="249"/>
      <c r="D395" s="692" t="s">
        <v>1395</v>
      </c>
      <c r="E395" s="249"/>
      <c r="F395" s="678">
        <v>0</v>
      </c>
      <c r="G395" s="249"/>
      <c r="H395" s="657">
        <v>3.51</v>
      </c>
      <c r="I395" s="251"/>
      <c r="J395" s="251">
        <v>3.51</v>
      </c>
      <c r="K395" s="251"/>
      <c r="L395" s="251">
        <v>0</v>
      </c>
      <c r="M395" s="251"/>
      <c r="N395" s="251">
        <v>0</v>
      </c>
      <c r="O395" s="251"/>
      <c r="P395" s="251" t="s">
        <v>2325</v>
      </c>
      <c r="Q395" s="251"/>
      <c r="R395" s="686">
        <v>4.3</v>
      </c>
    </row>
    <row r="396" spans="1:18">
      <c r="A396" s="272">
        <v>370</v>
      </c>
      <c r="B396" s="248"/>
      <c r="C396" s="249"/>
      <c r="D396" s="249"/>
      <c r="E396" s="249"/>
      <c r="F396" s="250">
        <v>0</v>
      </c>
      <c r="G396" s="249"/>
      <c r="H396" s="695">
        <v>3.65</v>
      </c>
      <c r="I396" s="695"/>
      <c r="J396" s="695"/>
      <c r="K396" s="695"/>
      <c r="L396" s="695"/>
      <c r="M396" s="695"/>
      <c r="N396" s="695"/>
      <c r="O396" s="695"/>
      <c r="P396" s="695" t="s">
        <v>2337</v>
      </c>
      <c r="Q396" s="695"/>
      <c r="R396" s="696" t="s">
        <v>2342</v>
      </c>
    </row>
    <row r="397" spans="1:18">
      <c r="A397" s="272"/>
      <c r="B397" s="248"/>
      <c r="C397" s="249"/>
      <c r="D397" s="249"/>
      <c r="E397" s="249"/>
      <c r="F397" s="250"/>
      <c r="G397" s="249"/>
      <c r="H397" s="680"/>
      <c r="I397" s="680"/>
      <c r="J397" s="680"/>
      <c r="K397" s="680"/>
      <c r="L397" s="680"/>
      <c r="M397" s="680"/>
      <c r="N397" s="680"/>
      <c r="O397" s="680"/>
      <c r="P397" s="680"/>
      <c r="Q397" s="680"/>
      <c r="R397" s="667"/>
    </row>
    <row r="398" spans="1:18">
      <c r="A398" s="272"/>
      <c r="B398" s="248"/>
      <c r="C398" s="249"/>
      <c r="D398" s="249"/>
      <c r="E398" s="249"/>
      <c r="F398" s="250"/>
      <c r="G398" s="249"/>
      <c r="H398" s="251"/>
      <c r="I398" s="251"/>
      <c r="J398" s="251"/>
      <c r="K398" s="251"/>
      <c r="L398" s="251"/>
      <c r="M398" s="251"/>
      <c r="N398" s="251"/>
      <c r="O398" s="251"/>
      <c r="P398" s="251"/>
      <c r="Q398" s="251"/>
      <c r="R398" s="657"/>
    </row>
    <row r="399" spans="1:18">
      <c r="A399" s="272"/>
      <c r="B399" s="248"/>
      <c r="C399" s="249"/>
      <c r="D399" s="247" t="s">
        <v>1398</v>
      </c>
      <c r="E399" s="249"/>
      <c r="F399" s="250"/>
      <c r="G399" s="243"/>
      <c r="H399" s="251">
        <v>2.4300000000000002</v>
      </c>
      <c r="I399" s="251"/>
      <c r="J399" s="251"/>
      <c r="K399" s="251"/>
      <c r="L399" s="251"/>
      <c r="M399" s="251"/>
      <c r="N399" s="251"/>
      <c r="O399" s="251"/>
      <c r="P399" s="251"/>
      <c r="Q399" s="251"/>
      <c r="R399" s="251"/>
    </row>
    <row r="400" spans="1:18">
      <c r="A400" s="272"/>
      <c r="B400" s="248"/>
      <c r="C400" s="249"/>
      <c r="D400" s="247"/>
      <c r="E400" s="249"/>
      <c r="F400" s="250"/>
      <c r="G400" s="243"/>
      <c r="H400" s="251"/>
      <c r="I400" s="251"/>
      <c r="J400" s="251"/>
      <c r="K400" s="251"/>
      <c r="L400" s="251"/>
      <c r="M400" s="251"/>
      <c r="N400" s="251"/>
      <c r="O400" s="251"/>
      <c r="P400" s="251"/>
      <c r="Q400" s="251"/>
      <c r="R400" s="251"/>
    </row>
    <row r="401" spans="1:18">
      <c r="A401" s="272"/>
      <c r="B401" s="248"/>
      <c r="C401" s="249"/>
      <c r="D401" s="249"/>
      <c r="E401" s="249"/>
      <c r="F401" s="250"/>
      <c r="G401" s="249"/>
      <c r="H401" s="251"/>
      <c r="I401" s="251"/>
      <c r="J401" s="251"/>
      <c r="K401" s="251"/>
      <c r="L401" s="251"/>
      <c r="M401" s="251"/>
      <c r="N401" s="251"/>
      <c r="O401" s="251"/>
      <c r="P401" s="251"/>
      <c r="Q401" s="251"/>
      <c r="R401" s="251"/>
    </row>
    <row r="402" spans="1:18">
      <c r="A402" s="272"/>
      <c r="B402" s="248"/>
      <c r="C402" s="249"/>
      <c r="D402" s="244" t="s">
        <v>1399</v>
      </c>
      <c r="E402" s="249"/>
      <c r="F402" s="250"/>
      <c r="G402" s="249"/>
      <c r="H402" s="251"/>
      <c r="I402" s="251"/>
      <c r="J402" s="251"/>
      <c r="K402" s="251"/>
      <c r="L402" s="251"/>
      <c r="M402" s="251"/>
      <c r="N402" s="251"/>
      <c r="O402" s="251"/>
      <c r="P402" s="251"/>
      <c r="Q402" s="251"/>
      <c r="R402" s="251"/>
    </row>
    <row r="403" spans="1:18">
      <c r="A403" s="272"/>
      <c r="B403" s="248"/>
      <c r="C403" s="249"/>
      <c r="D403" s="252"/>
      <c r="E403" s="249"/>
      <c r="F403" s="250"/>
      <c r="G403" s="249"/>
      <c r="H403" s="251"/>
      <c r="I403" s="251"/>
      <c r="J403" s="251"/>
      <c r="K403" s="251"/>
      <c r="L403" s="251"/>
      <c r="M403" s="251"/>
      <c r="N403" s="251"/>
      <c r="O403" s="251"/>
      <c r="P403" s="251"/>
      <c r="Q403" s="251"/>
      <c r="R403" s="251"/>
    </row>
    <row r="404" spans="1:18">
      <c r="A404" s="272"/>
      <c r="B404" s="248">
        <v>390.1</v>
      </c>
      <c r="C404" s="249"/>
      <c r="D404" s="257" t="s">
        <v>1400</v>
      </c>
      <c r="E404" s="249"/>
      <c r="F404" s="250">
        <v>-15</v>
      </c>
      <c r="G404" s="249"/>
      <c r="H404" s="251">
        <v>2.4300000000000002</v>
      </c>
      <c r="I404" s="251"/>
      <c r="J404" s="251">
        <v>2.11</v>
      </c>
      <c r="K404" s="251"/>
      <c r="L404" s="251">
        <v>0.32</v>
      </c>
      <c r="M404" s="251"/>
      <c r="N404" s="251">
        <v>0</v>
      </c>
      <c r="O404" s="251"/>
      <c r="P404" s="251" t="s">
        <v>2326</v>
      </c>
      <c r="Q404" s="251"/>
      <c r="R404" s="657">
        <v>39.200000000000003</v>
      </c>
    </row>
    <row r="405" spans="1:18">
      <c r="A405" s="272"/>
      <c r="B405" s="248">
        <v>390.2</v>
      </c>
      <c r="C405" s="249"/>
      <c r="D405" s="257" t="s">
        <v>1401</v>
      </c>
      <c r="E405" s="249"/>
      <c r="F405" s="250">
        <v>-10</v>
      </c>
      <c r="G405" s="249"/>
      <c r="H405" s="251">
        <v>1.43</v>
      </c>
      <c r="I405" s="251"/>
      <c r="J405" s="251">
        <v>1.3</v>
      </c>
      <c r="K405" s="251"/>
      <c r="L405" s="251">
        <v>0.13</v>
      </c>
      <c r="M405" s="251"/>
      <c r="N405" s="251">
        <v>0</v>
      </c>
      <c r="O405" s="251"/>
      <c r="P405" s="251" t="s">
        <v>2327</v>
      </c>
      <c r="Q405" s="251"/>
      <c r="R405" s="657">
        <v>18</v>
      </c>
    </row>
    <row r="406" spans="1:18">
      <c r="A406" s="272"/>
      <c r="B406" s="248">
        <v>391.1</v>
      </c>
      <c r="C406" s="249"/>
      <c r="D406" s="257" t="s">
        <v>1402</v>
      </c>
      <c r="E406" s="249"/>
      <c r="F406" s="250">
        <v>0</v>
      </c>
      <c r="G406" s="249"/>
      <c r="H406" s="251">
        <v>4.3600000000000003</v>
      </c>
      <c r="I406" s="251"/>
      <c r="J406" s="251">
        <v>4.3600000000000003</v>
      </c>
      <c r="K406" s="251"/>
      <c r="L406" s="251">
        <v>0</v>
      </c>
      <c r="M406" s="251"/>
      <c r="N406" s="251">
        <v>0</v>
      </c>
      <c r="O406" s="251"/>
      <c r="P406" s="251" t="s">
        <v>1273</v>
      </c>
      <c r="Q406" s="251"/>
      <c r="R406" s="657">
        <v>9.9</v>
      </c>
    </row>
    <row r="407" spans="1:18">
      <c r="A407" s="272"/>
      <c r="B407" s="248">
        <v>391.2</v>
      </c>
      <c r="C407" s="249"/>
      <c r="D407" s="257" t="s">
        <v>1403</v>
      </c>
      <c r="E407" s="249"/>
      <c r="F407" s="250">
        <v>0</v>
      </c>
      <c r="G407" s="249"/>
      <c r="H407" s="251">
        <v>11.690000000000001</v>
      </c>
      <c r="I407" s="251"/>
      <c r="J407" s="251">
        <v>11.690000000000001</v>
      </c>
      <c r="K407" s="251"/>
      <c r="L407" s="251">
        <v>0</v>
      </c>
      <c r="M407" s="251"/>
      <c r="N407" s="251">
        <v>0</v>
      </c>
      <c r="O407" s="251"/>
      <c r="P407" s="251" t="s">
        <v>1275</v>
      </c>
      <c r="Q407" s="251"/>
      <c r="R407" s="657">
        <v>4</v>
      </c>
    </row>
    <row r="408" spans="1:18">
      <c r="A408" s="272"/>
      <c r="B408" s="248">
        <v>391.31</v>
      </c>
      <c r="C408" s="249"/>
      <c r="D408" s="257" t="s">
        <v>1404</v>
      </c>
      <c r="E408" s="249"/>
      <c r="F408" s="250">
        <v>0</v>
      </c>
      <c r="G408" s="249"/>
      <c r="H408" s="251">
        <v>25.019999999999996</v>
      </c>
      <c r="I408" s="251"/>
      <c r="J408" s="251">
        <v>25.019999999999996</v>
      </c>
      <c r="K408" s="251"/>
      <c r="L408" s="251">
        <v>0</v>
      </c>
      <c r="M408" s="251"/>
      <c r="N408" s="251">
        <v>0</v>
      </c>
      <c r="O408" s="251"/>
      <c r="P408" s="251" t="s">
        <v>1405</v>
      </c>
      <c r="Q408" s="251"/>
      <c r="R408" s="657">
        <v>2.2000000000000002</v>
      </c>
    </row>
    <row r="409" spans="1:18">
      <c r="A409" s="272"/>
      <c r="B409" s="248">
        <v>392</v>
      </c>
      <c r="C409" s="249"/>
      <c r="D409" s="249" t="s">
        <v>1406</v>
      </c>
      <c r="E409" s="249"/>
      <c r="F409" s="250">
        <v>0</v>
      </c>
      <c r="G409" s="249"/>
      <c r="H409" s="251">
        <v>1.97</v>
      </c>
      <c r="I409" s="251"/>
      <c r="J409" s="251">
        <v>1.97</v>
      </c>
      <c r="K409" s="251"/>
      <c r="L409" s="251">
        <v>0</v>
      </c>
      <c r="M409" s="251"/>
      <c r="N409" s="251">
        <v>0</v>
      </c>
      <c r="O409" s="251"/>
      <c r="P409" s="251" t="s">
        <v>2328</v>
      </c>
      <c r="Q409" s="251"/>
      <c r="R409" s="657">
        <v>10.8</v>
      </c>
    </row>
    <row r="410" spans="1:18">
      <c r="A410" s="272"/>
      <c r="B410" s="248">
        <v>392.1</v>
      </c>
      <c r="C410" s="249"/>
      <c r="D410" s="249" t="s">
        <v>1407</v>
      </c>
      <c r="E410" s="249"/>
      <c r="F410" s="250">
        <v>0</v>
      </c>
      <c r="G410" s="249"/>
      <c r="H410" s="251">
        <v>3.19</v>
      </c>
      <c r="I410" s="251"/>
      <c r="J410" s="251">
        <v>3.19</v>
      </c>
      <c r="K410" s="251"/>
      <c r="L410" s="251">
        <v>0</v>
      </c>
      <c r="M410" s="251"/>
      <c r="N410" s="251">
        <v>0</v>
      </c>
      <c r="O410" s="251"/>
      <c r="P410" s="251" t="s">
        <v>2329</v>
      </c>
      <c r="Q410" s="251"/>
      <c r="R410" s="657">
        <v>13.9</v>
      </c>
    </row>
    <row r="411" spans="1:18">
      <c r="A411" s="272">
        <v>393</v>
      </c>
      <c r="B411" s="248">
        <v>393</v>
      </c>
      <c r="C411" s="249"/>
      <c r="D411" s="253" t="s">
        <v>1408</v>
      </c>
      <c r="E411" s="249"/>
      <c r="F411" s="250">
        <v>0</v>
      </c>
      <c r="G411" s="249"/>
      <c r="H411" s="251">
        <v>4.3999999999999995</v>
      </c>
      <c r="I411" s="251"/>
      <c r="J411" s="251">
        <v>4.3999999999999995</v>
      </c>
      <c r="K411" s="251"/>
      <c r="L411" s="251">
        <v>0</v>
      </c>
      <c r="M411" s="251"/>
      <c r="N411" s="251">
        <v>0</v>
      </c>
      <c r="O411" s="251"/>
      <c r="P411" s="251" t="s">
        <v>1409</v>
      </c>
      <c r="Q411" s="251"/>
      <c r="R411" s="657">
        <v>18</v>
      </c>
    </row>
    <row r="412" spans="1:18">
      <c r="A412" s="272">
        <v>394</v>
      </c>
      <c r="B412" s="248">
        <v>394</v>
      </c>
      <c r="C412" s="249"/>
      <c r="D412" s="257" t="s">
        <v>1410</v>
      </c>
      <c r="E412" s="249"/>
      <c r="F412" s="250">
        <v>0</v>
      </c>
      <c r="G412" s="249"/>
      <c r="H412" s="251">
        <v>4.0199999999999996</v>
      </c>
      <c r="I412" s="251"/>
      <c r="J412" s="251">
        <v>4.0199999999999996</v>
      </c>
      <c r="K412" s="251"/>
      <c r="L412" s="251">
        <v>0</v>
      </c>
      <c r="M412" s="251"/>
      <c r="N412" s="251">
        <v>0</v>
      </c>
      <c r="O412" s="251"/>
      <c r="P412" s="251" t="s">
        <v>1409</v>
      </c>
      <c r="Q412" s="251"/>
      <c r="R412" s="657">
        <v>17.5</v>
      </c>
    </row>
    <row r="413" spans="1:18">
      <c r="A413" s="272">
        <v>396</v>
      </c>
      <c r="B413" s="248">
        <v>396.3</v>
      </c>
      <c r="C413" s="249"/>
      <c r="D413" s="257" t="s">
        <v>1411</v>
      </c>
      <c r="E413" s="249"/>
      <c r="F413" s="250">
        <v>0</v>
      </c>
      <c r="G413" s="249"/>
      <c r="H413" s="251">
        <v>5.65</v>
      </c>
      <c r="I413" s="251"/>
      <c r="J413" s="251">
        <v>5.65</v>
      </c>
      <c r="K413" s="251"/>
      <c r="L413" s="251">
        <v>0</v>
      </c>
      <c r="M413" s="251"/>
      <c r="N413" s="251">
        <v>0</v>
      </c>
      <c r="O413" s="251"/>
      <c r="P413" s="251" t="s">
        <v>2330</v>
      </c>
      <c r="Q413" s="251"/>
      <c r="R413" s="657">
        <v>12</v>
      </c>
    </row>
    <row r="414" spans="1:18">
      <c r="A414" s="272"/>
      <c r="B414" s="248">
        <v>397</v>
      </c>
      <c r="C414" s="249"/>
      <c r="D414" s="253" t="s">
        <v>2703</v>
      </c>
      <c r="E414" s="249"/>
      <c r="F414" s="250">
        <v>0</v>
      </c>
      <c r="G414" s="249"/>
      <c r="H414" s="251">
        <v>4.9000000000000004</v>
      </c>
      <c r="I414" s="251"/>
      <c r="J414" s="251">
        <v>4.9000000000000004</v>
      </c>
      <c r="K414" s="251"/>
      <c r="L414" s="251">
        <v>0</v>
      </c>
      <c r="M414" s="251"/>
      <c r="N414" s="251">
        <v>0</v>
      </c>
      <c r="O414" s="251"/>
      <c r="P414" s="251" t="s">
        <v>2331</v>
      </c>
      <c r="Q414" s="251"/>
      <c r="R414" s="657">
        <v>13.4</v>
      </c>
    </row>
    <row r="415" spans="1:18">
      <c r="A415" s="272"/>
      <c r="B415" s="248">
        <v>397.1</v>
      </c>
      <c r="C415" s="249"/>
      <c r="D415" s="253" t="s">
        <v>2704</v>
      </c>
      <c r="E415" s="249"/>
      <c r="F415" s="250">
        <v>0</v>
      </c>
      <c r="G415" s="249"/>
      <c r="H415" s="251">
        <v>10.84</v>
      </c>
      <c r="I415" s="251"/>
      <c r="J415" s="251">
        <v>10.84</v>
      </c>
      <c r="K415" s="251"/>
      <c r="L415" s="251">
        <v>0</v>
      </c>
      <c r="M415" s="251"/>
      <c r="N415" s="251">
        <v>0</v>
      </c>
      <c r="O415" s="251"/>
      <c r="P415" s="251" t="s">
        <v>1412</v>
      </c>
      <c r="Q415" s="251"/>
      <c r="R415" s="657">
        <v>5.6</v>
      </c>
    </row>
    <row r="416" spans="1:18">
      <c r="A416" s="272"/>
      <c r="B416" s="248">
        <v>397.2</v>
      </c>
      <c r="C416" s="249"/>
      <c r="D416" s="249" t="s">
        <v>2332</v>
      </c>
      <c r="E416" s="249"/>
      <c r="F416" s="250">
        <v>0</v>
      </c>
      <c r="G416" s="249"/>
      <c r="H416" s="251">
        <v>14.08</v>
      </c>
      <c r="I416" s="251"/>
      <c r="J416" s="251">
        <v>14.08</v>
      </c>
      <c r="K416" s="251"/>
      <c r="L416" s="251">
        <v>0</v>
      </c>
      <c r="M416" s="251"/>
      <c r="N416" s="251">
        <v>0</v>
      </c>
      <c r="O416" s="251"/>
      <c r="P416" s="251" t="s">
        <v>1412</v>
      </c>
      <c r="Q416" s="251"/>
      <c r="R416" s="251">
        <v>6.5</v>
      </c>
    </row>
    <row r="417" spans="1:18">
      <c r="A417" s="272"/>
      <c r="B417" s="248"/>
      <c r="C417" s="249"/>
      <c r="D417" s="249"/>
      <c r="E417" s="249"/>
      <c r="F417" s="250"/>
      <c r="G417" s="249"/>
      <c r="H417" s="251"/>
      <c r="I417" s="251"/>
      <c r="J417" s="251"/>
      <c r="K417" s="251"/>
      <c r="L417" s="251"/>
      <c r="M417" s="251"/>
      <c r="N417" s="251"/>
      <c r="O417" s="251"/>
      <c r="P417" s="251"/>
      <c r="Q417" s="251"/>
      <c r="R417" s="251"/>
    </row>
    <row r="418" spans="1:18">
      <c r="A418" s="272"/>
      <c r="B418" s="239"/>
      <c r="C418" s="249"/>
      <c r="D418" s="247" t="s">
        <v>1413</v>
      </c>
      <c r="E418" s="249"/>
      <c r="F418" s="250"/>
      <c r="G418" s="249"/>
      <c r="H418" s="251">
        <v>6.84</v>
      </c>
      <c r="I418" s="251"/>
      <c r="J418" s="653"/>
      <c r="K418" s="251"/>
      <c r="L418" s="653"/>
      <c r="M418" s="251"/>
      <c r="N418" s="653"/>
      <c r="O418" s="653"/>
      <c r="P418" s="251"/>
      <c r="Q418" s="251"/>
      <c r="R418" s="251"/>
    </row>
    <row r="419" spans="1:18">
      <c r="A419" s="272"/>
      <c r="B419" s="239"/>
      <c r="C419" s="249"/>
      <c r="D419" s="243"/>
      <c r="E419" s="249"/>
      <c r="F419" s="250"/>
      <c r="G419" s="249"/>
      <c r="H419" s="251"/>
      <c r="I419" s="251"/>
      <c r="J419" s="653"/>
      <c r="K419" s="251"/>
      <c r="L419" s="653"/>
      <c r="M419" s="251"/>
      <c r="N419" s="653"/>
      <c r="O419" s="653"/>
      <c r="P419" s="251"/>
      <c r="Q419" s="251"/>
      <c r="R419" s="251"/>
    </row>
    <row r="420" spans="1:18">
      <c r="A420" s="272"/>
      <c r="B420" s="239"/>
      <c r="C420" s="249"/>
      <c r="D420" s="247" t="s">
        <v>1414</v>
      </c>
      <c r="E420" s="249"/>
      <c r="F420" s="250"/>
      <c r="G420" s="249"/>
      <c r="H420" s="251">
        <v>2.97</v>
      </c>
      <c r="I420" s="251"/>
      <c r="J420" s="653"/>
      <c r="K420" s="251"/>
      <c r="L420" s="653"/>
      <c r="M420" s="251"/>
      <c r="N420" s="653"/>
      <c r="O420" s="653"/>
      <c r="P420" s="251"/>
      <c r="Q420" s="251"/>
      <c r="R420" s="251"/>
    </row>
    <row r="421" spans="1:18">
      <c r="A421" s="272"/>
      <c r="B421" s="239"/>
      <c r="C421" s="249"/>
      <c r="D421" s="247"/>
      <c r="E421" s="249"/>
      <c r="F421" s="250"/>
      <c r="G421" s="249"/>
      <c r="H421" s="251"/>
      <c r="I421" s="251"/>
      <c r="J421" s="653"/>
      <c r="K421" s="251"/>
      <c r="L421" s="653"/>
      <c r="M421" s="251"/>
      <c r="N421" s="653"/>
      <c r="O421" s="653"/>
      <c r="P421" s="251"/>
      <c r="Q421" s="251"/>
      <c r="R421" s="251"/>
    </row>
    <row r="422" spans="1:18">
      <c r="A422" s="272"/>
      <c r="B422" s="248">
        <v>390.1</v>
      </c>
      <c r="C422" s="249"/>
      <c r="D422" s="257" t="s">
        <v>1400</v>
      </c>
      <c r="E422" s="249"/>
      <c r="F422" s="250">
        <v>-10</v>
      </c>
      <c r="G422" s="249"/>
      <c r="H422" s="251">
        <v>2.4300000000000002</v>
      </c>
      <c r="I422" s="251"/>
      <c r="J422" s="251">
        <v>2.11</v>
      </c>
      <c r="K422" s="251"/>
      <c r="L422" s="251">
        <v>0.32</v>
      </c>
      <c r="M422" s="251"/>
      <c r="N422" s="251">
        <v>0</v>
      </c>
      <c r="O422" s="251"/>
      <c r="P422" s="251" t="s">
        <v>2326</v>
      </c>
      <c r="Q422" s="251"/>
      <c r="R422" s="251">
        <v>39.200000000000003</v>
      </c>
    </row>
    <row r="423" spans="1:18">
      <c r="A423" s="272"/>
      <c r="B423" s="248">
        <v>390.2</v>
      </c>
      <c r="C423" s="249"/>
      <c r="D423" s="257" t="s">
        <v>1401</v>
      </c>
      <c r="E423" s="249"/>
      <c r="F423" s="250">
        <v>-10</v>
      </c>
      <c r="G423" s="249"/>
      <c r="H423" s="251">
        <v>1.43</v>
      </c>
      <c r="I423" s="251"/>
      <c r="J423" s="251">
        <v>1.3</v>
      </c>
      <c r="K423" s="251"/>
      <c r="L423" s="251">
        <v>0.13</v>
      </c>
      <c r="M423" s="251"/>
      <c r="N423" s="251">
        <v>0</v>
      </c>
      <c r="O423" s="251"/>
      <c r="P423" s="251" t="s">
        <v>2327</v>
      </c>
      <c r="Q423" s="251"/>
      <c r="R423" s="251">
        <v>18</v>
      </c>
    </row>
    <row r="424" spans="1:18">
      <c r="A424" s="272">
        <v>390</v>
      </c>
      <c r="B424" s="239"/>
      <c r="C424" s="249"/>
      <c r="D424" s="247"/>
      <c r="E424" s="249"/>
      <c r="F424" s="688">
        <v>-0.1</v>
      </c>
      <c r="G424" s="249"/>
      <c r="H424" s="695">
        <v>2.42</v>
      </c>
      <c r="I424" s="695"/>
      <c r="J424" s="697"/>
      <c r="K424" s="695"/>
      <c r="L424" s="697"/>
      <c r="M424" s="695"/>
      <c r="N424" s="697"/>
      <c r="O424" s="697"/>
      <c r="P424" s="695" t="s">
        <v>2705</v>
      </c>
      <c r="Q424" s="695"/>
      <c r="R424" s="698" t="s">
        <v>2706</v>
      </c>
    </row>
    <row r="425" spans="1:18">
      <c r="A425" s="272"/>
      <c r="B425" s="239"/>
      <c r="C425" s="249"/>
      <c r="D425" s="247"/>
      <c r="E425" s="249"/>
      <c r="F425" s="250"/>
      <c r="G425" s="249"/>
      <c r="H425" s="251"/>
      <c r="I425" s="251"/>
      <c r="J425" s="653"/>
      <c r="K425" s="251"/>
      <c r="L425" s="653"/>
      <c r="M425" s="251"/>
      <c r="N425" s="653"/>
      <c r="O425" s="653"/>
      <c r="P425" s="251"/>
      <c r="Q425" s="251"/>
      <c r="R425" s="251"/>
    </row>
    <row r="426" spans="1:18">
      <c r="A426" s="272"/>
      <c r="B426" s="248">
        <v>391.1</v>
      </c>
      <c r="C426" s="249"/>
      <c r="D426" s="257" t="s">
        <v>1402</v>
      </c>
      <c r="E426" s="249"/>
      <c r="F426" s="250">
        <v>0</v>
      </c>
      <c r="G426" s="249"/>
      <c r="H426" s="251">
        <v>4.3600000000000003</v>
      </c>
      <c r="I426" s="251"/>
      <c r="J426" s="251">
        <v>4.3600000000000003</v>
      </c>
      <c r="K426" s="251"/>
      <c r="L426" s="251">
        <v>0</v>
      </c>
      <c r="M426" s="251"/>
      <c r="N426" s="251">
        <v>0</v>
      </c>
      <c r="O426" s="251"/>
      <c r="P426" s="251" t="s">
        <v>1273</v>
      </c>
      <c r="Q426" s="251"/>
      <c r="R426" s="251">
        <v>9.9</v>
      </c>
    </row>
    <row r="427" spans="1:18">
      <c r="A427" s="272"/>
      <c r="B427" s="248">
        <v>391.2</v>
      </c>
      <c r="C427" s="249"/>
      <c r="D427" s="257" t="s">
        <v>1403</v>
      </c>
      <c r="E427" s="249"/>
      <c r="F427" s="250">
        <v>0</v>
      </c>
      <c r="G427" s="249"/>
      <c r="H427" s="251">
        <v>11.690000000000001</v>
      </c>
      <c r="I427" s="251"/>
      <c r="J427" s="251">
        <v>11.690000000000001</v>
      </c>
      <c r="K427" s="251"/>
      <c r="L427" s="251">
        <v>0</v>
      </c>
      <c r="M427" s="251"/>
      <c r="N427" s="251">
        <v>0</v>
      </c>
      <c r="O427" s="251"/>
      <c r="P427" s="251" t="s">
        <v>1275</v>
      </c>
      <c r="Q427" s="251"/>
      <c r="R427" s="251">
        <v>4</v>
      </c>
    </row>
    <row r="428" spans="1:18">
      <c r="A428" s="272"/>
      <c r="B428" s="248">
        <v>391.31</v>
      </c>
      <c r="C428" s="249"/>
      <c r="D428" s="257" t="s">
        <v>1404</v>
      </c>
      <c r="E428" s="249"/>
      <c r="F428" s="250">
        <v>0</v>
      </c>
      <c r="G428" s="249"/>
      <c r="H428" s="251">
        <v>25.019999999999996</v>
      </c>
      <c r="I428" s="251"/>
      <c r="J428" s="251">
        <v>25.019999999999996</v>
      </c>
      <c r="K428" s="251"/>
      <c r="L428" s="251">
        <v>0</v>
      </c>
      <c r="M428" s="251"/>
      <c r="N428" s="251">
        <v>0</v>
      </c>
      <c r="O428" s="251"/>
      <c r="P428" s="251" t="s">
        <v>1405</v>
      </c>
      <c r="Q428" s="251"/>
      <c r="R428" s="251">
        <v>2.2000000000000002</v>
      </c>
    </row>
    <row r="429" spans="1:18">
      <c r="A429" s="272">
        <v>391</v>
      </c>
      <c r="B429" s="248"/>
      <c r="C429" s="249"/>
      <c r="D429" s="257"/>
      <c r="E429" s="249"/>
      <c r="F429" s="250">
        <v>0</v>
      </c>
      <c r="G429" s="249"/>
      <c r="H429" s="695">
        <v>12.29</v>
      </c>
      <c r="I429" s="695"/>
      <c r="J429" s="697"/>
      <c r="K429" s="695"/>
      <c r="L429" s="697"/>
      <c r="M429" s="695"/>
      <c r="N429" s="697"/>
      <c r="O429" s="697"/>
      <c r="P429" s="695" t="s">
        <v>1837</v>
      </c>
      <c r="Q429" s="695"/>
      <c r="R429" s="698" t="s">
        <v>2339</v>
      </c>
    </row>
    <row r="430" spans="1:18">
      <c r="A430" s="272"/>
      <c r="B430" s="248"/>
      <c r="C430" s="249"/>
      <c r="D430" s="257"/>
      <c r="E430" s="249"/>
      <c r="F430" s="250"/>
      <c r="G430" s="249"/>
      <c r="H430" s="251"/>
      <c r="I430" s="251"/>
      <c r="J430" s="251"/>
      <c r="K430" s="251"/>
      <c r="L430" s="251"/>
      <c r="M430" s="251"/>
      <c r="N430" s="251"/>
      <c r="O430" s="251"/>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392</v>
      </c>
      <c r="C432" s="249"/>
      <c r="D432" s="249" t="s">
        <v>1406</v>
      </c>
      <c r="E432" s="249"/>
      <c r="F432" s="250">
        <v>0</v>
      </c>
      <c r="G432" s="249"/>
      <c r="H432" s="251">
        <v>1.97</v>
      </c>
      <c r="I432" s="251"/>
      <c r="J432" s="251">
        <v>1.97</v>
      </c>
      <c r="K432" s="251"/>
      <c r="L432" s="251">
        <v>0</v>
      </c>
      <c r="M432" s="251"/>
      <c r="N432" s="251">
        <v>0</v>
      </c>
      <c r="O432" s="251"/>
      <c r="P432" s="251" t="s">
        <v>2328</v>
      </c>
      <c r="Q432" s="251"/>
      <c r="R432" s="251">
        <v>10.8</v>
      </c>
    </row>
    <row r="433" spans="1:18">
      <c r="A433" s="272"/>
      <c r="B433" s="248">
        <v>392.1</v>
      </c>
      <c r="C433" s="249"/>
      <c r="D433" s="249" t="s">
        <v>1407</v>
      </c>
      <c r="E433" s="249"/>
      <c r="F433" s="250">
        <v>0</v>
      </c>
      <c r="G433" s="249"/>
      <c r="H433" s="251">
        <v>3.19</v>
      </c>
      <c r="I433" s="251"/>
      <c r="J433" s="251">
        <v>3.19</v>
      </c>
      <c r="K433" s="251"/>
      <c r="L433" s="251">
        <v>0</v>
      </c>
      <c r="M433" s="251"/>
      <c r="N433" s="251">
        <v>0</v>
      </c>
      <c r="O433" s="251"/>
      <c r="P433" s="251" t="s">
        <v>2329</v>
      </c>
      <c r="Q433" s="251"/>
      <c r="R433" s="251">
        <v>13.9</v>
      </c>
    </row>
    <row r="434" spans="1:18">
      <c r="A434" s="272">
        <v>392</v>
      </c>
      <c r="B434" s="248"/>
      <c r="C434" s="249"/>
      <c r="D434" s="249"/>
      <c r="E434" s="249"/>
      <c r="F434" s="250">
        <v>0</v>
      </c>
      <c r="G434" s="249"/>
      <c r="H434" s="695">
        <v>2.95</v>
      </c>
      <c r="I434" s="695"/>
      <c r="J434" s="697"/>
      <c r="K434" s="695"/>
      <c r="L434" s="697"/>
      <c r="M434" s="695"/>
      <c r="N434" s="697"/>
      <c r="O434" s="697"/>
      <c r="P434" s="695" t="s">
        <v>2707</v>
      </c>
      <c r="Q434" s="695"/>
      <c r="R434" s="698" t="s">
        <v>2340</v>
      </c>
    </row>
    <row r="435" spans="1:18">
      <c r="A435" s="272"/>
      <c r="B435" s="248"/>
      <c r="C435" s="249"/>
      <c r="D435" s="249"/>
      <c r="E435" s="249"/>
      <c r="F435" s="250"/>
      <c r="G435" s="249"/>
      <c r="H435" s="684"/>
      <c r="I435" s="251"/>
      <c r="J435" s="251"/>
      <c r="K435" s="251"/>
      <c r="L435" s="251"/>
      <c r="M435" s="251"/>
      <c r="N435" s="251"/>
      <c r="O435" s="251"/>
      <c r="P435" s="251"/>
      <c r="Q435" s="251"/>
      <c r="R435" s="251"/>
    </row>
    <row r="436" spans="1:18">
      <c r="A436" s="272"/>
      <c r="B436" s="248"/>
      <c r="C436" s="249"/>
      <c r="D436" s="249"/>
      <c r="E436" s="249"/>
      <c r="F436" s="250"/>
      <c r="G436" s="249"/>
      <c r="H436" s="251"/>
      <c r="I436" s="251"/>
      <c r="J436" s="251"/>
      <c r="K436" s="251"/>
      <c r="L436" s="251"/>
      <c r="M436" s="251"/>
      <c r="N436" s="251"/>
      <c r="O436" s="251"/>
      <c r="P436" s="251"/>
      <c r="Q436" s="251"/>
      <c r="R436" s="251"/>
    </row>
    <row r="437" spans="1:18">
      <c r="A437" s="272"/>
      <c r="B437" s="248">
        <v>397</v>
      </c>
      <c r="C437" s="249"/>
      <c r="D437" s="253" t="s">
        <v>2703</v>
      </c>
      <c r="E437" s="249"/>
      <c r="F437" s="250">
        <v>0</v>
      </c>
      <c r="G437" s="249"/>
      <c r="H437" s="251">
        <v>4.9000000000000004</v>
      </c>
      <c r="I437" s="251"/>
      <c r="J437" s="251">
        <v>4.9000000000000004</v>
      </c>
      <c r="K437" s="251"/>
      <c r="L437" s="251">
        <v>0</v>
      </c>
      <c r="M437" s="251"/>
      <c r="N437" s="251">
        <v>0</v>
      </c>
      <c r="O437" s="251"/>
      <c r="P437" s="251" t="s">
        <v>2331</v>
      </c>
      <c r="Q437" s="251"/>
      <c r="R437" s="251">
        <v>13.4</v>
      </c>
    </row>
    <row r="438" spans="1:18">
      <c r="A438" s="272"/>
      <c r="B438" s="248">
        <v>397.1</v>
      </c>
      <c r="C438" s="249"/>
      <c r="D438" s="253" t="s">
        <v>2704</v>
      </c>
      <c r="E438" s="249"/>
      <c r="F438" s="250">
        <v>0</v>
      </c>
      <c r="G438" s="249"/>
      <c r="H438" s="251">
        <v>10.84</v>
      </c>
      <c r="I438" s="251"/>
      <c r="J438" s="251">
        <v>10.84</v>
      </c>
      <c r="K438" s="251"/>
      <c r="L438" s="251">
        <v>0</v>
      </c>
      <c r="M438" s="251"/>
      <c r="N438" s="251">
        <v>0</v>
      </c>
      <c r="O438" s="251"/>
      <c r="P438" s="251" t="s">
        <v>1412</v>
      </c>
      <c r="Q438" s="251"/>
      <c r="R438" s="251">
        <v>5.6</v>
      </c>
    </row>
    <row r="439" spans="1:18">
      <c r="A439" s="272"/>
      <c r="B439" s="248">
        <v>397.2</v>
      </c>
      <c r="C439" s="249"/>
      <c r="D439" s="249" t="s">
        <v>2332</v>
      </c>
      <c r="E439" s="249"/>
      <c r="F439" s="250">
        <v>0</v>
      </c>
      <c r="G439" s="249"/>
      <c r="H439" s="251">
        <v>14.08</v>
      </c>
      <c r="I439" s="251"/>
      <c r="J439" s="251">
        <v>14.08</v>
      </c>
      <c r="K439" s="251"/>
      <c r="L439" s="251">
        <v>0</v>
      </c>
      <c r="M439" s="251"/>
      <c r="N439" s="251">
        <v>0</v>
      </c>
      <c r="O439" s="251"/>
      <c r="P439" s="251" t="s">
        <v>1412</v>
      </c>
      <c r="Q439" s="251"/>
      <c r="R439" s="251">
        <v>6.5</v>
      </c>
    </row>
    <row r="440" spans="1:18">
      <c r="A440" s="272">
        <v>397</v>
      </c>
      <c r="B440" s="248"/>
      <c r="C440" s="249"/>
      <c r="D440" s="249"/>
      <c r="E440" s="249"/>
      <c r="F440" s="250">
        <v>0</v>
      </c>
      <c r="G440" s="249"/>
      <c r="H440" s="695">
        <v>8.24</v>
      </c>
      <c r="I440" s="695"/>
      <c r="J440" s="697"/>
      <c r="K440" s="695"/>
      <c r="L440" s="697"/>
      <c r="M440" s="695"/>
      <c r="N440" s="697"/>
      <c r="O440" s="697"/>
      <c r="P440" s="695" t="s">
        <v>2338</v>
      </c>
      <c r="Q440" s="695"/>
      <c r="R440" s="698" t="s">
        <v>2341</v>
      </c>
    </row>
    <row r="441" spans="1:18">
      <c r="F441" s="250"/>
    </row>
    <row r="442" spans="1:18">
      <c r="F442" s="250"/>
    </row>
    <row r="443" spans="1:18">
      <c r="F443" s="250"/>
    </row>
    <row r="444" spans="1:18">
      <c r="F444" s="250"/>
    </row>
    <row r="445" spans="1:18">
      <c r="A445" s="474"/>
      <c r="F445" s="250"/>
    </row>
    <row r="446" spans="1:18">
      <c r="A446" s="474"/>
      <c r="F446" s="250"/>
    </row>
    <row r="447" spans="1:18">
      <c r="A447" s="474"/>
      <c r="F447" s="250"/>
    </row>
    <row r="448" spans="1:18">
      <c r="A448" s="474"/>
      <c r="F448" s="250"/>
    </row>
    <row r="449" spans="1:6">
      <c r="A449" s="474"/>
      <c r="F449" s="250"/>
    </row>
    <row r="450" spans="1:6">
      <c r="A450" s="474"/>
      <c r="F450" s="250"/>
    </row>
    <row r="451" spans="1:6">
      <c r="A451" s="474"/>
      <c r="F451" s="250"/>
    </row>
  </sheetData>
  <mergeCells count="4">
    <mergeCell ref="B1:R1"/>
    <mergeCell ref="A11:D11"/>
    <mergeCell ref="A4:R4"/>
    <mergeCell ref="A5:R5"/>
  </mergeCells>
  <printOptions horizontalCentered="1"/>
  <pageMargins left="0.2" right="0.25" top="0.5" bottom="0.75" header="0.3" footer="0.3"/>
  <pageSetup scale="58" fitToHeight="12" orientation="landscape" r:id="rId1"/>
  <rowBreaks count="8" manualBreakCount="8">
    <brk id="103" max="16383" man="1"/>
    <brk id="147" max="16383" man="1"/>
    <brk id="172" max="16383" man="1"/>
    <brk id="210" max="16383" man="1"/>
    <brk id="238" max="16383" man="1"/>
    <brk id="280" max="16383" man="1"/>
    <brk id="320" max="16383" man="1"/>
    <brk id="3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58"/>
  <sheetViews>
    <sheetView zoomScaleNormal="100" workbookViewId="0">
      <selection sqref="A1:G1"/>
    </sheetView>
  </sheetViews>
  <sheetFormatPr defaultColWidth="9" defaultRowHeight="12.75"/>
  <cols>
    <col min="1" max="1" width="6" style="69" customWidth="1"/>
    <col min="2" max="2" width="38.33203125" style="69" customWidth="1"/>
    <col min="3" max="3" width="15.77734375" style="69" customWidth="1"/>
    <col min="4" max="4" width="13.6640625" style="69" customWidth="1"/>
    <col min="5" max="7" width="15.77734375" style="69" customWidth="1"/>
    <col min="8" max="8" width="1.6640625" style="69" customWidth="1"/>
    <col min="9" max="16384" width="9" style="69"/>
  </cols>
  <sheetData>
    <row r="1" spans="1:7" s="68" customFormat="1" ht="20.100000000000001" customHeight="1">
      <c r="A1" s="767" t="str">
        <f>'Rate Case Constants'!C9</f>
        <v>KENTUCKY UTILITIES COMPANY</v>
      </c>
      <c r="B1" s="767"/>
      <c r="C1" s="767"/>
      <c r="D1" s="767"/>
      <c r="E1" s="767"/>
      <c r="F1" s="767"/>
      <c r="G1" s="767"/>
    </row>
    <row r="2" spans="1:7" s="68" customFormat="1" ht="20.100000000000001" customHeight="1">
      <c r="A2" s="767" t="str">
        <f>'Rate Case Constants'!C10</f>
        <v>CASE NO. 2018-00294</v>
      </c>
      <c r="B2" s="767"/>
      <c r="C2" s="767"/>
      <c r="D2" s="767"/>
      <c r="E2" s="767"/>
      <c r="F2" s="767"/>
      <c r="G2" s="767"/>
    </row>
    <row r="3" spans="1:7" s="68" customFormat="1" ht="20.100000000000001" customHeight="1">
      <c r="A3" s="767" t="s">
        <v>1164</v>
      </c>
      <c r="B3" s="767"/>
      <c r="C3" s="767"/>
      <c r="D3" s="767"/>
      <c r="E3" s="767"/>
      <c r="F3" s="767"/>
      <c r="G3" s="767"/>
    </row>
    <row r="4" spans="1:7" s="68" customFormat="1" ht="20.100000000000001" customHeight="1">
      <c r="A4" s="767" t="str">
        <f>'Rate Case Constants'!C12</f>
        <v>AS OF DECEMBER 31, 2018</v>
      </c>
      <c r="B4" s="767"/>
      <c r="C4" s="767"/>
      <c r="D4" s="767"/>
      <c r="E4" s="767"/>
      <c r="F4" s="767"/>
      <c r="G4" s="767"/>
    </row>
    <row r="5" spans="1:7" s="68" customFormat="1" ht="20.100000000000001" customHeight="1">
      <c r="A5" s="84"/>
      <c r="B5" s="84"/>
      <c r="C5" s="84"/>
      <c r="D5" s="84"/>
      <c r="E5" s="84"/>
      <c r="F5" s="84"/>
      <c r="G5" s="84"/>
    </row>
    <row r="6" spans="1:7" s="68" customFormat="1" ht="20.100000000000001" customHeight="1">
      <c r="A6" s="67" t="s">
        <v>133</v>
      </c>
      <c r="F6" s="74"/>
      <c r="G6" s="74" t="s">
        <v>1163</v>
      </c>
    </row>
    <row r="7" spans="1:7" s="68" customFormat="1" ht="20.100000000000001" customHeight="1">
      <c r="A7" s="68" t="str">
        <f>'Rate Case Constants'!C29</f>
        <v>TYPE OF FILING: __X__ ORIGINAL  _____ UPDATED  _____ REVISED</v>
      </c>
      <c r="F7" s="74"/>
      <c r="G7" s="74" t="s">
        <v>177</v>
      </c>
    </row>
    <row r="8" spans="1:7" s="68" customFormat="1" ht="20.100000000000001" customHeight="1">
      <c r="A8" s="67" t="s">
        <v>1198</v>
      </c>
      <c r="E8" s="67"/>
      <c r="F8" s="75"/>
      <c r="G8" s="75" t="str">
        <f>'Rate Case Constants'!C36</f>
        <v>WITNESS:   C. M. GARRETT</v>
      </c>
    </row>
    <row r="9" spans="1:7" s="68" customFormat="1" ht="20.100000000000001" customHeight="1"/>
    <row r="10" spans="1:7" ht="58.5" customHeight="1">
      <c r="A10" s="76" t="s">
        <v>131</v>
      </c>
      <c r="B10" s="79" t="s">
        <v>1165</v>
      </c>
      <c r="C10" s="76" t="s">
        <v>223</v>
      </c>
      <c r="D10" s="76" t="s">
        <v>224</v>
      </c>
      <c r="E10" s="76" t="s">
        <v>225</v>
      </c>
      <c r="F10" s="76" t="s">
        <v>226</v>
      </c>
      <c r="G10" s="76" t="s">
        <v>227</v>
      </c>
    </row>
    <row r="11" spans="1:7" ht="23.1" customHeight="1">
      <c r="A11" s="80"/>
      <c r="B11" s="81"/>
      <c r="C11" s="82" t="s">
        <v>142</v>
      </c>
      <c r="D11" s="82"/>
      <c r="E11" s="82" t="s">
        <v>142</v>
      </c>
      <c r="F11" s="82" t="s">
        <v>142</v>
      </c>
      <c r="G11" s="82" t="s">
        <v>142</v>
      </c>
    </row>
    <row r="12" spans="1:7" ht="23.1" customHeight="1">
      <c r="A12" s="73"/>
      <c r="B12" s="78" t="s">
        <v>1172</v>
      </c>
      <c r="C12" s="95"/>
      <c r="D12" s="95"/>
      <c r="E12" s="95"/>
      <c r="F12" s="95"/>
      <c r="G12" s="95"/>
    </row>
    <row r="13" spans="1:7" ht="18.95" customHeight="1">
      <c r="A13" s="70">
        <v>1</v>
      </c>
      <c r="B13" s="78" t="s">
        <v>294</v>
      </c>
      <c r="C13" s="86">
        <f>'SCH B-2.1 B'!D16</f>
        <v>131849259.96000001</v>
      </c>
      <c r="D13" s="130">
        <f>E13/C13</f>
        <v>0.89025626770837418</v>
      </c>
      <c r="E13" s="86">
        <f>'SCH B-2.1 B'!F16</f>
        <v>117379630.07210079</v>
      </c>
      <c r="F13" s="86">
        <f>'SCH B-2.1 B'!G16</f>
        <v>0</v>
      </c>
      <c r="G13" s="88">
        <f t="shared" ref="G13" si="0">SUM(E13:F13)</f>
        <v>117379630.07210079</v>
      </c>
    </row>
    <row r="14" spans="1:7" ht="18.95" customHeight="1">
      <c r="A14" s="70"/>
      <c r="B14" s="78"/>
      <c r="C14" s="86"/>
      <c r="D14" s="130"/>
      <c r="E14" s="86"/>
      <c r="F14" s="86"/>
      <c r="G14" s="86"/>
    </row>
    <row r="15" spans="1:7" ht="18.95" customHeight="1">
      <c r="A15" s="70">
        <v>2</v>
      </c>
      <c r="B15" s="78" t="s">
        <v>1166</v>
      </c>
      <c r="C15" s="86">
        <f>'SCH B-2.1 B'!D27</f>
        <v>5326219720.1899796</v>
      </c>
      <c r="D15" s="130">
        <f>E15/C15</f>
        <v>0.8699266518271338</v>
      </c>
      <c r="E15" s="86">
        <f>'SCH B-2.1 B'!F27</f>
        <v>4633420488.0805225</v>
      </c>
      <c r="F15" s="86">
        <f>'SCH B-2.1 B'!G27</f>
        <v>-1403973208.2112014</v>
      </c>
      <c r="G15" s="88">
        <f t="shared" ref="G15" si="1">SUM(E15:F15)</f>
        <v>3229447279.8693209</v>
      </c>
    </row>
    <row r="16" spans="1:7" ht="18.95" customHeight="1">
      <c r="A16" s="70"/>
      <c r="B16" s="78"/>
      <c r="C16" s="86"/>
      <c r="D16" s="86"/>
      <c r="E16" s="86"/>
      <c r="F16" s="86"/>
      <c r="G16" s="86"/>
    </row>
    <row r="17" spans="1:7" ht="18.95" customHeight="1">
      <c r="A17" s="70">
        <v>3</v>
      </c>
      <c r="B17" s="78" t="s">
        <v>1168</v>
      </c>
      <c r="C17" s="86">
        <f>'SCH B-2.1 B'!D38</f>
        <v>43789404.730000004</v>
      </c>
      <c r="D17" s="130">
        <f>E17/C17</f>
        <v>0.87460987347947672</v>
      </c>
      <c r="E17" s="86">
        <f>'SCH B-2.1 B'!F38</f>
        <v>38298645.730646901</v>
      </c>
      <c r="F17" s="86">
        <f>'SCH B-2.1 B'!G38</f>
        <v>-566185.13035253459</v>
      </c>
      <c r="G17" s="88">
        <f t="shared" ref="G17" si="2">SUM(E17:F17)</f>
        <v>37732460.600294366</v>
      </c>
    </row>
    <row r="18" spans="1:7" ht="18.95" customHeight="1">
      <c r="A18" s="70"/>
      <c r="B18" s="78"/>
      <c r="C18" s="86"/>
      <c r="D18" s="86"/>
      <c r="E18" s="86"/>
      <c r="F18" s="86"/>
      <c r="G18" s="86"/>
    </row>
    <row r="19" spans="1:7" ht="18.95" customHeight="1">
      <c r="A19" s="70">
        <v>4</v>
      </c>
      <c r="B19" s="78" t="s">
        <v>1169</v>
      </c>
      <c r="C19" s="86">
        <f>'SCH B-2.1 B'!D60</f>
        <v>1037948072.0000001</v>
      </c>
      <c r="D19" s="130">
        <f>E19/C19</f>
        <v>0.87252523790764747</v>
      </c>
      <c r="E19" s="86">
        <f>'SCH B-2.1 B'!F60</f>
        <v>905635888.45758414</v>
      </c>
      <c r="F19" s="86">
        <f>'SCH B-2.1 B'!G60</f>
        <v>-356823.48370945093</v>
      </c>
      <c r="G19" s="88">
        <f t="shared" ref="G19" si="3">SUM(E19:F19)</f>
        <v>905279064.97387469</v>
      </c>
    </row>
    <row r="20" spans="1:7" ht="18.95" customHeight="1">
      <c r="A20" s="70"/>
      <c r="B20" s="78"/>
      <c r="C20" s="86"/>
      <c r="D20" s="86"/>
      <c r="E20" s="86"/>
      <c r="F20" s="86"/>
      <c r="G20" s="86"/>
    </row>
    <row r="21" spans="1:7" ht="18.95" customHeight="1">
      <c r="A21" s="70">
        <v>5</v>
      </c>
      <c r="B21" s="78" t="s">
        <v>245</v>
      </c>
      <c r="C21" s="86">
        <f>'SCH B-2.1 B'!D72</f>
        <v>1077592103.5799999</v>
      </c>
      <c r="D21" s="130">
        <f>E21/C21</f>
        <v>0.90056535284139494</v>
      </c>
      <c r="E21" s="86">
        <f>'SCH B-2.1 B'!F72</f>
        <v>970442112.97962368</v>
      </c>
      <c r="F21" s="86">
        <f>'SCH B-2.1 B'!G72</f>
        <v>-527181.88071949384</v>
      </c>
      <c r="G21" s="88">
        <f t="shared" ref="G21" si="4">SUM(E21:F21)</f>
        <v>969914931.09890413</v>
      </c>
    </row>
    <row r="22" spans="1:7" ht="18.95" customHeight="1">
      <c r="A22" s="70"/>
      <c r="B22" s="78"/>
      <c r="C22" s="86"/>
      <c r="D22" s="86"/>
      <c r="E22" s="86"/>
      <c r="F22" s="86"/>
      <c r="G22" s="86"/>
    </row>
    <row r="23" spans="1:7" ht="18.95" customHeight="1">
      <c r="A23" s="70">
        <v>6</v>
      </c>
      <c r="B23" s="78" t="s">
        <v>1170</v>
      </c>
      <c r="C23" s="86">
        <f>'SCH B-2.1 B'!D88</f>
        <v>1949975263.5400002</v>
      </c>
      <c r="D23" s="130">
        <f>E23/C23</f>
        <v>0.94773016852277137</v>
      </c>
      <c r="E23" s="86">
        <f>'SCH B-2.1 B'!F88</f>
        <v>1848050385.1299999</v>
      </c>
      <c r="F23" s="86">
        <f>'SCH B-2.1 B'!G88</f>
        <v>-3503404.4998377054</v>
      </c>
      <c r="G23" s="88">
        <f t="shared" ref="G23" si="5">SUM(E23:F23)</f>
        <v>1844546980.6301622</v>
      </c>
    </row>
    <row r="24" spans="1:7" ht="18.95" customHeight="1">
      <c r="A24" s="70"/>
      <c r="B24" s="78"/>
      <c r="C24" s="86"/>
      <c r="D24" s="86"/>
      <c r="E24" s="86"/>
      <c r="F24" s="86"/>
      <c r="G24" s="86"/>
    </row>
    <row r="25" spans="1:7" ht="18.95" customHeight="1">
      <c r="A25" s="70">
        <v>7</v>
      </c>
      <c r="B25" s="78" t="s">
        <v>1171</v>
      </c>
      <c r="C25" s="131">
        <f>'SCH B-2.1 B'!D111</f>
        <v>214124878.21000001</v>
      </c>
      <c r="D25" s="130">
        <f>E25/C25</f>
        <v>0.90848299807617483</v>
      </c>
      <c r="E25" s="131">
        <f>'SCH B-2.1 B'!F111</f>
        <v>194528811.31891662</v>
      </c>
      <c r="F25" s="131">
        <f>'SCH B-2.1 B'!G111</f>
        <v>-7794751.4719055966</v>
      </c>
      <c r="G25" s="89">
        <f t="shared" ref="G25" si="6">SUM(E25:F25)</f>
        <v>186734059.84701103</v>
      </c>
    </row>
    <row r="26" spans="1:7" ht="18.95" customHeight="1">
      <c r="A26" s="70"/>
      <c r="B26" s="78"/>
      <c r="C26" s="86"/>
      <c r="D26" s="86"/>
      <c r="E26" s="86"/>
      <c r="F26" s="86"/>
      <c r="G26" s="86"/>
    </row>
    <row r="27" spans="1:7" ht="18.95" customHeight="1" thickBot="1">
      <c r="A27" s="70">
        <v>8</v>
      </c>
      <c r="B27" s="78" t="s">
        <v>1174</v>
      </c>
      <c r="C27" s="94">
        <f>SUM(C13:C25)</f>
        <v>9781498702.2099781</v>
      </c>
      <c r="D27" s="86"/>
      <c r="E27" s="94">
        <f t="shared" ref="E27:G27" si="7">SUM(E13:E25)</f>
        <v>8707755961.7693958</v>
      </c>
      <c r="F27" s="94">
        <f t="shared" si="7"/>
        <v>-1416721554.677726</v>
      </c>
      <c r="G27" s="94">
        <f t="shared" si="7"/>
        <v>7291034407.0916672</v>
      </c>
    </row>
    <row r="28" spans="1:7" ht="18.95" customHeight="1" thickTop="1">
      <c r="A28" s="70"/>
      <c r="B28" s="78"/>
      <c r="C28" s="86"/>
      <c r="D28" s="86"/>
      <c r="E28" s="86"/>
      <c r="F28" s="86"/>
      <c r="G28" s="86"/>
    </row>
    <row r="29" spans="1:7" s="68" customFormat="1" ht="20.100000000000001" customHeight="1">
      <c r="A29" s="767" t="str">
        <f>$A$1</f>
        <v>KENTUCKY UTILITIES COMPANY</v>
      </c>
      <c r="B29" s="767"/>
      <c r="C29" s="767"/>
      <c r="D29" s="767"/>
      <c r="E29" s="767"/>
      <c r="F29" s="767"/>
      <c r="G29" s="767"/>
    </row>
    <row r="30" spans="1:7" s="68" customFormat="1" ht="20.100000000000001" customHeight="1">
      <c r="A30" s="767" t="str">
        <f>$A$2</f>
        <v>CASE NO. 2018-00294</v>
      </c>
      <c r="B30" s="767"/>
      <c r="C30" s="767"/>
      <c r="D30" s="767"/>
      <c r="E30" s="767"/>
      <c r="F30" s="767"/>
      <c r="G30" s="767"/>
    </row>
    <row r="31" spans="1:7" s="68" customFormat="1" ht="20.100000000000001" customHeight="1">
      <c r="A31" s="767" t="str">
        <f>$A$3</f>
        <v>PLANT IN SERVICE BY MAJOR PROPERTY GROUPING</v>
      </c>
      <c r="B31" s="767"/>
      <c r="C31" s="767"/>
      <c r="D31" s="767"/>
      <c r="E31" s="767"/>
      <c r="F31" s="767"/>
      <c r="G31" s="767"/>
    </row>
    <row r="32" spans="1:7" s="68" customFormat="1" ht="20.100000000000001" customHeight="1">
      <c r="A32" s="766" t="str">
        <f>'Rate Case Constants'!C18</f>
        <v>AS OF APRIL 30, 2020</v>
      </c>
      <c r="B32" s="767"/>
      <c r="C32" s="767"/>
      <c r="D32" s="767"/>
      <c r="E32" s="767"/>
      <c r="F32" s="767"/>
      <c r="G32" s="767"/>
    </row>
    <row r="33" spans="1:7" s="68" customFormat="1" ht="20.100000000000001" customHeight="1">
      <c r="A33" s="84"/>
      <c r="B33" s="84"/>
      <c r="C33" s="84"/>
      <c r="D33" s="84"/>
      <c r="E33" s="84"/>
      <c r="F33" s="84"/>
      <c r="G33" s="84"/>
    </row>
    <row r="34" spans="1:7" s="68" customFormat="1" ht="20.100000000000001" customHeight="1">
      <c r="A34" s="67" t="s">
        <v>161</v>
      </c>
      <c r="F34" s="74"/>
      <c r="G34" s="74" t="s">
        <v>1163</v>
      </c>
    </row>
    <row r="35" spans="1:7" s="68" customFormat="1" ht="20.100000000000001" customHeight="1">
      <c r="A35" s="67" t="str">
        <f>$A$7</f>
        <v>TYPE OF FILING: __X__ ORIGINAL  _____ UPDATED  _____ REVISED</v>
      </c>
      <c r="F35" s="74"/>
      <c r="G35" s="74" t="s">
        <v>185</v>
      </c>
    </row>
    <row r="36" spans="1:7" s="68" customFormat="1" ht="20.100000000000001" customHeight="1">
      <c r="A36" s="67" t="str">
        <f>$A$8</f>
        <v>WORKPAPER REFERENCE NO(S).:</v>
      </c>
      <c r="E36" s="67"/>
      <c r="F36" s="75"/>
      <c r="G36" s="75" t="str">
        <f>$G$8</f>
        <v>WITNESS:   C. M. GARRETT</v>
      </c>
    </row>
    <row r="37" spans="1:7" s="68" customFormat="1" ht="20.100000000000001" customHeight="1"/>
    <row r="38" spans="1:7" ht="81.95" customHeight="1">
      <c r="A38" s="76" t="s">
        <v>131</v>
      </c>
      <c r="B38" s="79" t="s">
        <v>222</v>
      </c>
      <c r="C38" s="76" t="s">
        <v>1167</v>
      </c>
      <c r="D38" s="76" t="s">
        <v>224</v>
      </c>
      <c r="E38" s="76" t="s">
        <v>225</v>
      </c>
      <c r="F38" s="76" t="s">
        <v>226</v>
      </c>
      <c r="G38" s="76" t="s">
        <v>1173</v>
      </c>
    </row>
    <row r="39" spans="1:7" ht="23.1" customHeight="1">
      <c r="A39" s="80"/>
      <c r="B39" s="81"/>
      <c r="C39" s="82" t="s">
        <v>142</v>
      </c>
      <c r="D39" s="82"/>
      <c r="E39" s="82" t="s">
        <v>142</v>
      </c>
      <c r="F39" s="82" t="s">
        <v>142</v>
      </c>
      <c r="G39" s="82" t="s">
        <v>142</v>
      </c>
    </row>
    <row r="40" spans="1:7" ht="23.1" customHeight="1">
      <c r="A40" s="73"/>
      <c r="B40" s="132" t="s">
        <v>1172</v>
      </c>
      <c r="C40" s="95"/>
      <c r="D40" s="95"/>
      <c r="E40" s="95"/>
      <c r="F40" s="95"/>
      <c r="G40" s="95"/>
    </row>
    <row r="41" spans="1:7" ht="18.95" customHeight="1">
      <c r="A41" s="70">
        <v>1</v>
      </c>
      <c r="B41" s="78" t="s">
        <v>294</v>
      </c>
      <c r="C41" s="86">
        <f>'SCH B-2.1 F'!D16</f>
        <v>98003565.654615387</v>
      </c>
      <c r="D41" s="130">
        <f>E41/C41</f>
        <v>0.93503867069592839</v>
      </c>
      <c r="E41" s="86">
        <f>'SCH B-2.1 F'!F16</f>
        <v>91637123.753152713</v>
      </c>
      <c r="F41" s="86">
        <f>'SCH B-2.1 F'!G16</f>
        <v>0</v>
      </c>
      <c r="G41" s="88">
        <f t="shared" ref="G41" si="8">SUM(E41:F41)</f>
        <v>91637123.753152713</v>
      </c>
    </row>
    <row r="42" spans="1:7" ht="18.95" customHeight="1">
      <c r="A42" s="70"/>
      <c r="B42" s="78"/>
      <c r="C42" s="86"/>
      <c r="D42" s="130"/>
      <c r="E42" s="86"/>
      <c r="F42" s="86"/>
      <c r="G42" s="86"/>
    </row>
    <row r="43" spans="1:7" ht="18.95" customHeight="1">
      <c r="A43" s="70">
        <v>2</v>
      </c>
      <c r="B43" s="78" t="s">
        <v>1166</v>
      </c>
      <c r="C43" s="86">
        <f>'SCH B-2.1 F'!D27</f>
        <v>5462761443.1976833</v>
      </c>
      <c r="D43" s="130">
        <f>E43/C43</f>
        <v>0.93543588279995615</v>
      </c>
      <c r="E43" s="86">
        <f>'SCH B-2.1 F'!F27</f>
        <v>5110063073.1431875</v>
      </c>
      <c r="F43" s="86">
        <f>'SCH B-2.1 F'!G27</f>
        <v>-1691788001.6668074</v>
      </c>
      <c r="G43" s="88">
        <f t="shared" ref="G43" si="9">SUM(E43:F43)</f>
        <v>3418275071.4763803</v>
      </c>
    </row>
    <row r="44" spans="1:7" ht="18.95" customHeight="1">
      <c r="A44" s="70"/>
      <c r="B44" s="78"/>
      <c r="C44" s="86"/>
      <c r="D44" s="86"/>
      <c r="E44" s="86"/>
      <c r="F44" s="86"/>
      <c r="G44" s="86"/>
    </row>
    <row r="45" spans="1:7" ht="18.95" customHeight="1">
      <c r="A45" s="70">
        <v>3</v>
      </c>
      <c r="B45" s="78" t="s">
        <v>1168</v>
      </c>
      <c r="C45" s="86">
        <f>'SCH B-2.1 F'!D38</f>
        <v>43871798.114615381</v>
      </c>
      <c r="D45" s="130">
        <f>E45/C45</f>
        <v>0.93702754024909529</v>
      </c>
      <c r="E45" s="86">
        <f>'SCH B-2.1 F'!F38</f>
        <v>41109083.073642947</v>
      </c>
      <c r="F45" s="86">
        <f>'SCH B-2.1 F'!G38</f>
        <v>-605372.01432091487</v>
      </c>
      <c r="G45" s="88">
        <f t="shared" ref="G45" si="10">SUM(E45:F45)</f>
        <v>40503711.059322029</v>
      </c>
    </row>
    <row r="46" spans="1:7" ht="18.95" customHeight="1">
      <c r="A46" s="70"/>
      <c r="B46" s="78"/>
      <c r="C46" s="86"/>
      <c r="D46" s="86"/>
      <c r="E46" s="86"/>
      <c r="F46" s="86"/>
      <c r="G46" s="86"/>
    </row>
    <row r="47" spans="1:7" ht="18.95" customHeight="1">
      <c r="A47" s="70">
        <v>4</v>
      </c>
      <c r="B47" s="78" t="s">
        <v>1169</v>
      </c>
      <c r="C47" s="86">
        <f>'SCH B-2.1 F'!D60</f>
        <v>1069355633.2823063</v>
      </c>
      <c r="D47" s="130">
        <f>E47/C47</f>
        <v>0.93667637631422707</v>
      </c>
      <c r="E47" s="86">
        <f>'SCH B-2.1 F'!F60</f>
        <v>1001640159.5740762</v>
      </c>
      <c r="F47" s="86">
        <f>'SCH B-2.1 F'!G60</f>
        <v>-381520.00027923286</v>
      </c>
      <c r="G47" s="88">
        <f t="shared" ref="G47" si="11">SUM(E47:F47)</f>
        <v>1001258639.573797</v>
      </c>
    </row>
    <row r="48" spans="1:7" ht="18.95" customHeight="1">
      <c r="A48" s="70"/>
      <c r="B48" s="78"/>
      <c r="C48" s="86"/>
      <c r="D48" s="86"/>
      <c r="E48" s="86"/>
      <c r="F48" s="86"/>
      <c r="G48" s="86"/>
    </row>
    <row r="49" spans="1:7" ht="18.95" customHeight="1">
      <c r="A49" s="70">
        <v>5</v>
      </c>
      <c r="B49" s="78" t="s">
        <v>245</v>
      </c>
      <c r="C49" s="86">
        <f>'SCH B-2.1 F'!D72</f>
        <v>1141908577.8892298</v>
      </c>
      <c r="D49" s="130">
        <f>E49/C49</f>
        <v>0.90518917967221746</v>
      </c>
      <c r="E49" s="86">
        <f>'SCH B-2.1 F'!F72</f>
        <v>1033643288.8802203</v>
      </c>
      <c r="F49" s="86">
        <f>'SCH B-2.1 F'!G72</f>
        <v>-527181.88071949384</v>
      </c>
      <c r="G49" s="88">
        <f t="shared" ref="G49" si="12">SUM(E49:F49)</f>
        <v>1033116106.9995008</v>
      </c>
    </row>
    <row r="50" spans="1:7" ht="18.95" customHeight="1">
      <c r="A50" s="70"/>
      <c r="B50" s="78"/>
      <c r="C50" s="86"/>
      <c r="D50" s="86"/>
      <c r="E50" s="86"/>
      <c r="F50" s="86"/>
      <c r="G50" s="86"/>
    </row>
    <row r="51" spans="1:7" ht="18.95" customHeight="1">
      <c r="A51" s="70">
        <v>6</v>
      </c>
      <c r="B51" s="78" t="s">
        <v>1170</v>
      </c>
      <c r="C51" s="86">
        <f>'SCH B-2.1 F'!D88</f>
        <v>2034553849.1523063</v>
      </c>
      <c r="D51" s="130">
        <f>E51/C51</f>
        <v>0.94888382749771305</v>
      </c>
      <c r="E51" s="86">
        <f>'SCH B-2.1 F'!F88</f>
        <v>1930555243.6338451</v>
      </c>
      <c r="F51" s="86">
        <f>'SCH B-2.1 F'!G88</f>
        <v>-3502673.2005270678</v>
      </c>
      <c r="G51" s="88">
        <f t="shared" ref="G51" si="13">SUM(E51:F51)</f>
        <v>1927052570.4333181</v>
      </c>
    </row>
    <row r="52" spans="1:7" ht="18.95" customHeight="1">
      <c r="A52" s="70"/>
      <c r="B52" s="78"/>
      <c r="C52" s="86"/>
      <c r="D52" s="86"/>
      <c r="E52" s="86"/>
      <c r="F52" s="86"/>
      <c r="G52" s="86"/>
    </row>
    <row r="53" spans="1:7" ht="18.95" customHeight="1">
      <c r="A53" s="70">
        <v>7</v>
      </c>
      <c r="B53" s="78" t="s">
        <v>1171</v>
      </c>
      <c r="C53" s="131">
        <f>'SCH B-2.1 F'!D111</f>
        <v>228327259.87692291</v>
      </c>
      <c r="D53" s="130">
        <f>E53/C53</f>
        <v>0.94276900725831281</v>
      </c>
      <c r="E53" s="131">
        <f>'SCH B-2.1 F'!F111</f>
        <v>215259864.1241774</v>
      </c>
      <c r="F53" s="131">
        <f>'SCH B-2.1 F'!G111</f>
        <v>-7989706.2966035279</v>
      </c>
      <c r="G53" s="89">
        <f t="shared" ref="G53" si="14">SUM(E53:F53)</f>
        <v>207270157.82757387</v>
      </c>
    </row>
    <row r="54" spans="1:7" ht="18.95" customHeight="1">
      <c r="A54" s="70"/>
      <c r="B54" s="78"/>
      <c r="C54" s="86"/>
      <c r="D54" s="86"/>
      <c r="E54" s="86"/>
      <c r="F54" s="86"/>
      <c r="G54" s="86"/>
    </row>
    <row r="55" spans="1:7" ht="18.95" customHeight="1" thickBot="1">
      <c r="A55" s="70">
        <v>8</v>
      </c>
      <c r="B55" s="78" t="s">
        <v>1174</v>
      </c>
      <c r="C55" s="94">
        <f>SUM(C41:C53)</f>
        <v>10078782127.167679</v>
      </c>
      <c r="D55" s="86"/>
      <c r="E55" s="94">
        <f t="shared" ref="E55:G55" si="15">SUM(E41:E53)</f>
        <v>9423907836.1823025</v>
      </c>
      <c r="F55" s="94">
        <f t="shared" si="15"/>
        <v>-1704794455.0592573</v>
      </c>
      <c r="G55" s="94">
        <f t="shared" si="15"/>
        <v>7719113381.123044</v>
      </c>
    </row>
    <row r="56" spans="1:7" ht="18.95" customHeight="1" thickTop="1"/>
    <row r="57" spans="1:7" ht="18.95" customHeight="1"/>
    <row r="58" spans="1:7">
      <c r="C58" s="93"/>
      <c r="E58" s="93"/>
    </row>
  </sheetData>
  <mergeCells count="8">
    <mergeCell ref="A29:G29"/>
    <mergeCell ref="A30:G30"/>
    <mergeCell ref="A31:G31"/>
    <mergeCell ref="A32:G32"/>
    <mergeCell ref="A1:G1"/>
    <mergeCell ref="A2:G2"/>
    <mergeCell ref="A3:G3"/>
    <mergeCell ref="A4:G4"/>
  </mergeCells>
  <pageMargins left="0.95" right="0.5" top="0.75" bottom="0.75" header="0.3" footer="0.3"/>
  <pageSetup scale="74" fitToHeight="0" orientation="portrait" r:id="rId1"/>
  <rowBreaks count="1" manualBreakCount="1">
    <brk id="2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7" t="str">
        <f>'Rate Case Constants'!C9</f>
        <v>KENTUCKY UTILITIES COMPANY</v>
      </c>
      <c r="B1" s="767"/>
      <c r="C1" s="767"/>
      <c r="D1" s="767"/>
      <c r="E1" s="767"/>
      <c r="F1" s="767"/>
      <c r="G1" s="767"/>
      <c r="H1" s="767"/>
    </row>
    <row r="2" spans="1:8" s="68" customFormat="1" ht="20.100000000000001" customHeight="1">
      <c r="A2" s="767" t="str">
        <f>'Rate Case Constants'!C10</f>
        <v>CASE NO. 2018-00294</v>
      </c>
      <c r="B2" s="767"/>
      <c r="C2" s="767"/>
      <c r="D2" s="767"/>
      <c r="E2" s="767"/>
      <c r="F2" s="767"/>
      <c r="G2" s="767"/>
      <c r="H2" s="767"/>
    </row>
    <row r="3" spans="1:8" s="68" customFormat="1" ht="20.100000000000001" customHeight="1">
      <c r="A3" s="767" t="s">
        <v>221</v>
      </c>
      <c r="B3" s="767"/>
      <c r="C3" s="767"/>
      <c r="D3" s="767"/>
      <c r="E3" s="767"/>
      <c r="F3" s="767"/>
      <c r="G3" s="767"/>
      <c r="H3" s="767"/>
    </row>
    <row r="4" spans="1:8" s="68" customFormat="1" ht="20.100000000000001" customHeight="1">
      <c r="A4" s="767" t="str">
        <f>'Rate Case Constants'!C12</f>
        <v>AS OF DECEMBER 31, 2018</v>
      </c>
      <c r="B4" s="767"/>
      <c r="C4" s="767"/>
      <c r="D4" s="767"/>
      <c r="E4" s="767"/>
      <c r="F4" s="767"/>
      <c r="G4" s="767"/>
      <c r="H4" s="767"/>
    </row>
    <row r="5" spans="1:8" s="68" customFormat="1" ht="20.100000000000001" customHeight="1">
      <c r="A5" s="84"/>
      <c r="B5" s="84"/>
      <c r="C5" s="84"/>
      <c r="D5" s="84"/>
      <c r="E5" s="84"/>
      <c r="F5" s="84"/>
      <c r="G5" s="84"/>
      <c r="H5" s="84"/>
    </row>
    <row r="6" spans="1:8" s="68" customFormat="1" ht="20.100000000000001" customHeight="1">
      <c r="A6" s="67" t="s">
        <v>133</v>
      </c>
      <c r="B6" s="67"/>
      <c r="G6" s="74"/>
      <c r="H6" s="74" t="s">
        <v>228</v>
      </c>
    </row>
    <row r="7" spans="1:8" s="68" customFormat="1" ht="20.100000000000001" customHeight="1">
      <c r="A7" s="68" t="str">
        <f>'Rate Case Constants'!C29</f>
        <v>TYPE OF FILING: __X__ ORIGINAL  _____ UPDATED  _____ REVISED</v>
      </c>
      <c r="G7" s="74"/>
      <c r="H7" s="74" t="s">
        <v>173</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222</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B'!H13</f>
        <v>44455.58</v>
      </c>
      <c r="E13" s="130">
        <f>F13/D13</f>
        <v>0.89020970434593893</v>
      </c>
      <c r="F13" s="86">
        <f>SUMIFS('JURISSEP B'!$G$71:$G$225,'JURISSEP B'!$B$71:$B$225,$B13)</f>
        <v>39574.788728327236</v>
      </c>
      <c r="G13" s="86">
        <f>SUMIFS('SCH B-2.2'!$F$12:$F$28,'SCH B-2.2'!$B$12:$B$28,'SCH B-2.1 B'!$B13)</f>
        <v>0</v>
      </c>
      <c r="H13" s="86">
        <f>SUM(F13:G13)</f>
        <v>39574.788728327236</v>
      </c>
    </row>
    <row r="14" spans="1:8" ht="18.95" customHeight="1">
      <c r="A14" s="70">
        <f t="shared" ref="A14:A77" si="0">A13+1</f>
        <v>3</v>
      </c>
      <c r="B14" s="71" t="s">
        <v>1622</v>
      </c>
      <c r="C14" s="78" t="s">
        <v>1623</v>
      </c>
      <c r="D14" s="86">
        <f>'SCH B-2.3 B'!H14</f>
        <v>55918.83</v>
      </c>
      <c r="E14" s="130">
        <f t="shared" ref="E14:E15" si="1">F14/D14</f>
        <v>1</v>
      </c>
      <c r="F14" s="88">
        <f>SUMIFS('JURISSEP B'!$G$71:$G$225,'JURISSEP B'!$B$71:$B$225,$B14)</f>
        <v>55918.83</v>
      </c>
      <c r="G14" s="87">
        <f>SUMIFS('SCH B-2.2'!$F$12:$F$28,'SCH B-2.2'!$B$12:$B$28,'SCH B-2.1 B'!$B14)</f>
        <v>0</v>
      </c>
      <c r="H14" s="88">
        <f t="shared" ref="H14:H15" si="2">SUM(F14:G14)</f>
        <v>55918.83</v>
      </c>
    </row>
    <row r="15" spans="1:8" ht="18.95" customHeight="1">
      <c r="A15" s="70">
        <f t="shared" si="0"/>
        <v>4</v>
      </c>
      <c r="B15" s="71" t="s">
        <v>1624</v>
      </c>
      <c r="C15" s="78" t="s">
        <v>1625</v>
      </c>
      <c r="D15" s="89">
        <f>'SCH B-2.3 B'!H15</f>
        <v>131748885.55000001</v>
      </c>
      <c r="E15" s="130">
        <f t="shared" si="1"/>
        <v>0.89020970434593893</v>
      </c>
      <c r="F15" s="89">
        <f>SUMIFS('JURISSEP B'!$G$71:$G$225,'JURISSEP B'!$B$71:$B$225,$B15)</f>
        <v>117284136.45337246</v>
      </c>
      <c r="G15" s="89">
        <f>SUMIFS('SCH B-2.2'!$F$12:$F$28,'SCH B-2.2'!$B$12:$B$28,'SCH B-2.1 B'!$B15)</f>
        <v>0</v>
      </c>
      <c r="H15" s="89">
        <f t="shared" si="2"/>
        <v>117284136.45337246</v>
      </c>
    </row>
    <row r="16" spans="1:8" ht="18.95" customHeight="1">
      <c r="A16" s="70">
        <f t="shared" si="0"/>
        <v>5</v>
      </c>
      <c r="B16" s="70"/>
      <c r="C16" s="78" t="s">
        <v>143</v>
      </c>
      <c r="D16" s="86">
        <f>SUM(D13:D15)</f>
        <v>131849259.96000001</v>
      </c>
      <c r="E16" s="86"/>
      <c r="F16" s="86">
        <f>SUM(F13:F15)</f>
        <v>117379630.07210079</v>
      </c>
      <c r="G16" s="86">
        <f>SUM(G13:G15)</f>
        <v>0</v>
      </c>
      <c r="H16" s="86">
        <f>SUM(H13:H15)</f>
        <v>117379630.07210079</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B'!H19</f>
        <v>24447347.8899999</v>
      </c>
      <c r="E19" s="130">
        <f t="shared" ref="E19:E26" si="3">F19/D19</f>
        <v>0.87673530496058705</v>
      </c>
      <c r="F19" s="88">
        <f>SUMIFS('JURISSEP B'!$G$71:$G$225,'JURISSEP B'!$B$71:$B$225,$B19)</f>
        <v>21433853.007816628</v>
      </c>
      <c r="G19" s="88">
        <f>SUMIFS('SCH B-2.2'!$F$12:$F$28,'SCH B-2.2'!$B$12:$B$28,'SCH B-2.1 B'!$B19)</f>
        <v>-11433510.407472171</v>
      </c>
      <c r="H19" s="88">
        <f t="shared" ref="H19:H26" si="4">SUM(F19:G19)</f>
        <v>10000342.600344457</v>
      </c>
    </row>
    <row r="20" spans="1:8" ht="18" customHeight="1">
      <c r="A20" s="70">
        <f t="shared" si="0"/>
        <v>8</v>
      </c>
      <c r="B20" s="71" t="s">
        <v>1627</v>
      </c>
      <c r="C20" s="78" t="s">
        <v>148</v>
      </c>
      <c r="D20" s="88">
        <f>'SCH B-2.3 B'!H20</f>
        <v>357469338.29999995</v>
      </c>
      <c r="E20" s="130">
        <f t="shared" si="3"/>
        <v>0.86792899543601409</v>
      </c>
      <c r="F20" s="88">
        <f>SUMIFS('JURISSEP B'!$G$71:$G$225,'JURISSEP B'!$B$71:$B$225,$B20)</f>
        <v>310258003.68989563</v>
      </c>
      <c r="G20" s="88">
        <f>SUMIFS('SCH B-2.2'!$F$12:$F$28,'SCH B-2.2'!$B$12:$B$28,'SCH B-2.1 B'!$B20)</f>
        <v>-21527423.10793465</v>
      </c>
      <c r="H20" s="88">
        <f t="shared" si="4"/>
        <v>288730580.58196098</v>
      </c>
    </row>
    <row r="21" spans="1:8" ht="18.95" customHeight="1">
      <c r="A21" s="70">
        <f t="shared" si="0"/>
        <v>9</v>
      </c>
      <c r="B21" s="71" t="s">
        <v>1628</v>
      </c>
      <c r="C21" s="78" t="s">
        <v>1629</v>
      </c>
      <c r="D21" s="88">
        <f>'SCH B-2.3 B'!H21</f>
        <v>4100320139.6699796</v>
      </c>
      <c r="E21" s="130">
        <f t="shared" si="3"/>
        <v>0.87020641360608453</v>
      </c>
      <c r="F21" s="88">
        <f>SUMIFS('JURISSEP B'!$G$71:$G$225,'JURISSEP B'!$B$71:$B$225,$B21)</f>
        <v>3568124883.3790126</v>
      </c>
      <c r="G21" s="88">
        <f>SUMIFS('SCH B-2.2'!$F$12:$F$28,'SCH B-2.2'!$B$12:$B$28,'SCH B-2.1 B'!$B21)</f>
        <v>-1165778443.8322573</v>
      </c>
      <c r="H21" s="88">
        <f t="shared" si="4"/>
        <v>2402346439.5467553</v>
      </c>
    </row>
    <row r="22" spans="1:8" ht="18.95" customHeight="1">
      <c r="A22" s="70">
        <f>A20+1</f>
        <v>9</v>
      </c>
      <c r="B22" s="71">
        <v>313</v>
      </c>
      <c r="C22" s="78" t="s">
        <v>144</v>
      </c>
      <c r="D22" s="88">
        <f>'SCH B-2.3 B'!H22</f>
        <v>0</v>
      </c>
      <c r="E22" s="130"/>
      <c r="F22" s="88">
        <f>SUMIFS('JURISSEP B'!$G$71:$G$225,'JURISSEP B'!$B$71:$B$225,$B22)</f>
        <v>0</v>
      </c>
      <c r="G22" s="88">
        <f>SUMIFS('SCH B-2.2'!$F$12:$F$28,'SCH B-2.2'!$B$12:$B$28,'SCH B-2.1 B'!$B22)</f>
        <v>0</v>
      </c>
      <c r="H22" s="88">
        <f t="shared" si="4"/>
        <v>0</v>
      </c>
    </row>
    <row r="23" spans="1:8" ht="18.95" customHeight="1">
      <c r="A23" s="70">
        <f>A21+1</f>
        <v>10</v>
      </c>
      <c r="B23" s="71" t="s">
        <v>1630</v>
      </c>
      <c r="C23" s="78" t="s">
        <v>1631</v>
      </c>
      <c r="D23" s="88">
        <f>'SCH B-2.3 B'!H23</f>
        <v>354730547.36000001</v>
      </c>
      <c r="E23" s="130">
        <f t="shared" si="3"/>
        <v>0.86672291870013818</v>
      </c>
      <c r="F23" s="88">
        <f>SUMIFS('JURISSEP B'!$G$71:$G$225,'JURISSEP B'!$B$71:$B$225,$B23)</f>
        <v>307453095.3599568</v>
      </c>
      <c r="G23" s="88">
        <f>SUMIFS('SCH B-2.2'!$F$12:$F$28,'SCH B-2.2'!$B$12:$B$28,'SCH B-2.1 B'!$B23)</f>
        <v>0</v>
      </c>
      <c r="H23" s="88">
        <f t="shared" si="4"/>
        <v>307453095.3599568</v>
      </c>
    </row>
    <row r="24" spans="1:8" ht="18.95" customHeight="1">
      <c r="A24" s="70">
        <f t="shared" si="0"/>
        <v>11</v>
      </c>
      <c r="B24" s="71" t="s">
        <v>1632</v>
      </c>
      <c r="C24" s="78" t="s">
        <v>1633</v>
      </c>
      <c r="D24" s="88">
        <f>'SCH B-2.3 B'!H24</f>
        <v>253604406.09999999</v>
      </c>
      <c r="E24" s="130">
        <f t="shared" si="3"/>
        <v>0.86660540394745911</v>
      </c>
      <c r="F24" s="88">
        <f>SUMIFS('JURISSEP B'!$G$71:$G$225,'JURISSEP B'!$B$71:$B$225,$B24)</f>
        <v>219774948.79114595</v>
      </c>
      <c r="G24" s="88">
        <f>SUMIFS('SCH B-2.2'!$F$12:$F$28,'SCH B-2.2'!$B$12:$B$28,'SCH B-2.1 B'!$B24)</f>
        <v>-31468296.553577442</v>
      </c>
      <c r="H24" s="88">
        <f t="shared" si="4"/>
        <v>188306652.2375685</v>
      </c>
    </row>
    <row r="25" spans="1:8" ht="18.95" customHeight="1">
      <c r="A25" s="70">
        <f t="shared" si="0"/>
        <v>12</v>
      </c>
      <c r="B25" s="71" t="s">
        <v>1634</v>
      </c>
      <c r="C25" s="78" t="s">
        <v>1635</v>
      </c>
      <c r="D25" s="88">
        <f>'SCH B-2.3 B'!H25</f>
        <v>38271210.120000012</v>
      </c>
      <c r="E25" s="130">
        <f t="shared" si="3"/>
        <v>0.87085188897783883</v>
      </c>
      <c r="F25" s="88">
        <f>SUMIFS('JURISSEP B'!$G$71:$G$225,'JURISSEP B'!$B$71:$B$225,$B25)</f>
        <v>33328555.626469791</v>
      </c>
      <c r="G25" s="88">
        <f>SUMIFS('SCH B-2.2'!$F$12:$F$28,'SCH B-2.2'!$B$12:$B$28,'SCH B-2.1 B'!$B25)</f>
        <v>-718386.08373498358</v>
      </c>
      <c r="H25" s="88">
        <f t="shared" si="4"/>
        <v>32610169.542734809</v>
      </c>
    </row>
    <row r="26" spans="1:8" ht="18.95" customHeight="1">
      <c r="A26" s="70">
        <f t="shared" si="0"/>
        <v>13</v>
      </c>
      <c r="B26" s="71" t="s">
        <v>1636</v>
      </c>
      <c r="C26" s="78" t="s">
        <v>1655</v>
      </c>
      <c r="D26" s="89">
        <f>'SCH B-2.3 B'!H26</f>
        <v>197376730.74999991</v>
      </c>
      <c r="E26" s="130">
        <f t="shared" si="3"/>
        <v>0.87673530496058716</v>
      </c>
      <c r="F26" s="89">
        <f>SUMIFS('JURISSEP B'!$G$71:$G$225,'JURISSEP B'!$B$71:$B$225,$B26)</f>
        <v>173047148.22622487</v>
      </c>
      <c r="G26" s="89">
        <f>SUMIFS('SCH B-2.2'!$F$12:$F$28,'SCH B-2.2'!$B$12:$B$28,'SCH B-2.1 B'!$B26)</f>
        <v>-173047148.22622487</v>
      </c>
      <c r="H26" s="89">
        <f t="shared" si="4"/>
        <v>0</v>
      </c>
    </row>
    <row r="27" spans="1:8" ht="18.95" customHeight="1">
      <c r="A27" s="70">
        <f t="shared" si="0"/>
        <v>14</v>
      </c>
      <c r="C27" s="78" t="s">
        <v>146</v>
      </c>
      <c r="D27" s="86">
        <f>SUM(D19:D26)</f>
        <v>5326219720.1899796</v>
      </c>
      <c r="E27" s="130"/>
      <c r="F27" s="86">
        <f>SUM(F19:F26)</f>
        <v>4633420488.0805225</v>
      </c>
      <c r="G27" s="86">
        <f>SUM(G19:G26)</f>
        <v>-1403973208.2112014</v>
      </c>
      <c r="H27" s="86">
        <f>SUM(H19:H26)</f>
        <v>3229447279.8693204</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B'!H30</f>
        <v>855636.47000000009</v>
      </c>
      <c r="E30" s="130">
        <f t="shared" ref="E30:E37" si="5">F30/D30</f>
        <v>0.87673530496058705</v>
      </c>
      <c r="F30" s="88">
        <f>SUMIFS('JURISSEP B'!$G$71:$G$225,'JURISSEP B'!$B$71:$B$225,$B30)</f>
        <v>750166.70146085031</v>
      </c>
      <c r="G30" s="88">
        <f>SUMIFS('SCH B-2.2'!$F$12:$F$28,'SCH B-2.2'!$B$12:$B$28,'SCH B-2.1 B'!$B30)</f>
        <v>0</v>
      </c>
      <c r="H30" s="88">
        <f t="shared" ref="H30:H37" si="6">SUM(F30:G30)</f>
        <v>750166.70146085031</v>
      </c>
    </row>
    <row r="31" spans="1:8" ht="18.95" customHeight="1">
      <c r="A31" s="70">
        <f t="shared" si="0"/>
        <v>17</v>
      </c>
      <c r="B31" s="71" t="s">
        <v>1638</v>
      </c>
      <c r="C31" s="78" t="s">
        <v>148</v>
      </c>
      <c r="D31" s="88">
        <f>'SCH B-2.3 B'!H31</f>
        <v>4409838.34</v>
      </c>
      <c r="E31" s="130">
        <f t="shared" si="5"/>
        <v>0.87673530496058716</v>
      </c>
      <c r="F31" s="88">
        <f>SUMIFS('JURISSEP B'!$G$71:$G$225,'JURISSEP B'!$B$71:$B$225,$B31)</f>
        <v>3866260.9618467893</v>
      </c>
      <c r="G31" s="88">
        <f>SUMIFS('SCH B-2.2'!$F$12:$F$28,'SCH B-2.2'!$B$12:$B$28,'SCH B-2.1 B'!$B31)</f>
        <v>0</v>
      </c>
      <c r="H31" s="88">
        <f t="shared" si="6"/>
        <v>3866260.9618467893</v>
      </c>
    </row>
    <row r="32" spans="1:8" ht="18.95" customHeight="1">
      <c r="A32" s="70">
        <f t="shared" si="0"/>
        <v>18</v>
      </c>
      <c r="B32" s="71" t="s">
        <v>1639</v>
      </c>
      <c r="C32" s="78" t="s">
        <v>1640</v>
      </c>
      <c r="D32" s="88">
        <f>'SCH B-2.3 B'!H32</f>
        <v>21885646.369999997</v>
      </c>
      <c r="E32" s="130">
        <f t="shared" si="5"/>
        <v>0.87501464226060022</v>
      </c>
      <c r="F32" s="88">
        <f>SUMIFS('JURISSEP B'!$G$71:$G$225,'JURISSEP B'!$B$71:$B$225,$B32)</f>
        <v>19150261.029087551</v>
      </c>
      <c r="G32" s="88">
        <f>SUMIFS('SCH B-2.2'!$F$12:$F$28,'SCH B-2.2'!$B$12:$B$28,'SCH B-2.1 B'!$B32)</f>
        <v>0</v>
      </c>
      <c r="H32" s="88">
        <f t="shared" si="6"/>
        <v>19150261.029087551</v>
      </c>
    </row>
    <row r="33" spans="1:8" ht="18.95" customHeight="1">
      <c r="A33" s="70">
        <f t="shared" si="0"/>
        <v>19</v>
      </c>
      <c r="B33" s="71" t="s">
        <v>1641</v>
      </c>
      <c r="C33" s="78" t="s">
        <v>1642</v>
      </c>
      <c r="D33" s="88">
        <f>'SCH B-2.3 B'!H33</f>
        <v>14046741.58</v>
      </c>
      <c r="E33" s="130">
        <f t="shared" si="5"/>
        <v>0.87308399443792328</v>
      </c>
      <c r="F33" s="88">
        <f>SUMIFS('JURISSEP B'!$G$71:$G$225,'JURISSEP B'!$B$71:$B$225,$B33)</f>
        <v>12263985.247503666</v>
      </c>
      <c r="G33" s="88">
        <f>SUMIFS('SCH B-2.2'!$F$12:$F$28,'SCH B-2.2'!$B$12:$B$28,'SCH B-2.1 B'!$B33)</f>
        <v>0</v>
      </c>
      <c r="H33" s="88">
        <f t="shared" si="6"/>
        <v>12263985.247503666</v>
      </c>
    </row>
    <row r="34" spans="1:8" ht="18.95" customHeight="1">
      <c r="A34" s="70">
        <f t="shared" si="0"/>
        <v>20</v>
      </c>
      <c r="B34" s="71" t="s">
        <v>1643</v>
      </c>
      <c r="C34" s="78" t="s">
        <v>1633</v>
      </c>
      <c r="D34" s="88">
        <f>'SCH B-2.3 B'!H34</f>
        <v>1381870.67</v>
      </c>
      <c r="E34" s="130">
        <f t="shared" si="5"/>
        <v>0.87427080103707511</v>
      </c>
      <c r="F34" s="88">
        <f>SUMIFS('JURISSEP B'!$G$71:$G$225,'JURISSEP B'!$B$71:$B$225,$B34)</f>
        <v>1208129.1775905397</v>
      </c>
      <c r="G34" s="88">
        <f>SUMIFS('SCH B-2.2'!$F$12:$F$28,'SCH B-2.2'!$B$12:$B$28,'SCH B-2.1 B'!$B34)</f>
        <v>0</v>
      </c>
      <c r="H34" s="88">
        <f t="shared" si="6"/>
        <v>1208129.1775905397</v>
      </c>
    </row>
    <row r="35" spans="1:8" ht="18.95" customHeight="1">
      <c r="A35" s="70">
        <f t="shared" si="0"/>
        <v>21</v>
      </c>
      <c r="B35" s="71" t="s">
        <v>1644</v>
      </c>
      <c r="C35" s="78" t="s">
        <v>1645</v>
      </c>
      <c r="D35" s="88">
        <f>'SCH B-2.3 B'!H35</f>
        <v>329374.18000000005</v>
      </c>
      <c r="E35" s="130">
        <f t="shared" si="5"/>
        <v>0.87455261125318207</v>
      </c>
      <c r="F35" s="88">
        <f>SUMIFS('JURISSEP B'!$G$71:$G$225,'JURISSEP B'!$B$71:$B$225,$B35)</f>
        <v>288055.04919837567</v>
      </c>
      <c r="G35" s="88">
        <f>SUMIFS('SCH B-2.2'!$F$12:$F$28,'SCH B-2.2'!$B$12:$B$28,'SCH B-2.1 B'!$B35)</f>
        <v>0</v>
      </c>
      <c r="H35" s="88">
        <f t="shared" si="6"/>
        <v>288055.04919837567</v>
      </c>
    </row>
    <row r="36" spans="1:8" ht="18.95" customHeight="1">
      <c r="A36" s="70">
        <f t="shared" si="0"/>
        <v>22</v>
      </c>
      <c r="B36" s="71" t="s">
        <v>1646</v>
      </c>
      <c r="C36" s="78" t="s">
        <v>1647</v>
      </c>
      <c r="D36" s="88">
        <f>'SCH B-2.3 B'!H36</f>
        <v>234509.13</v>
      </c>
      <c r="E36" s="130">
        <f t="shared" si="5"/>
        <v>0.87673530496058716</v>
      </c>
      <c r="F36" s="88">
        <f>SUMIFS('JURISSEP B'!$G$71:$G$225,'JURISSEP B'!$B$71:$B$225,$B36)</f>
        <v>205602.43360659198</v>
      </c>
      <c r="G36" s="88">
        <f>SUMIFS('SCH B-2.2'!$F$12:$F$28,'SCH B-2.2'!$B$12:$B$28,'SCH B-2.1 B'!$B36)</f>
        <v>0</v>
      </c>
      <c r="H36" s="88">
        <f t="shared" si="6"/>
        <v>205602.43360659198</v>
      </c>
    </row>
    <row r="37" spans="1:8" ht="18.95" customHeight="1">
      <c r="A37" s="70">
        <f t="shared" si="0"/>
        <v>23</v>
      </c>
      <c r="B37" s="71" t="s">
        <v>1648</v>
      </c>
      <c r="C37" s="78" t="s">
        <v>1656</v>
      </c>
      <c r="D37" s="89">
        <f>'SCH B-2.3 B'!H37</f>
        <v>645787.99</v>
      </c>
      <c r="E37" s="130">
        <f t="shared" si="5"/>
        <v>0.87673530496058716</v>
      </c>
      <c r="F37" s="89">
        <f>SUMIFS('JURISSEP B'!$G$71:$G$225,'JURISSEP B'!$B$71:$B$225,$B37)</f>
        <v>566185.13035253459</v>
      </c>
      <c r="G37" s="89">
        <f>SUMIFS('SCH B-2.2'!$F$12:$F$28,'SCH B-2.2'!$B$12:$B$28,'SCH B-2.1 B'!$B37)</f>
        <v>-566185.13035253459</v>
      </c>
      <c r="H37" s="89">
        <f t="shared" si="6"/>
        <v>0</v>
      </c>
    </row>
    <row r="38" spans="1:8" ht="18.95" customHeight="1">
      <c r="A38" s="70">
        <f t="shared" si="0"/>
        <v>24</v>
      </c>
      <c r="B38" s="71" t="s">
        <v>251</v>
      </c>
      <c r="C38" s="78" t="s">
        <v>147</v>
      </c>
      <c r="D38" s="86">
        <f>SUM(D30:D37)</f>
        <v>43789404.730000004</v>
      </c>
      <c r="E38" s="86"/>
      <c r="F38" s="86">
        <f t="shared" ref="F38:H38" si="7">SUM(F30:F37)</f>
        <v>38298645.730646901</v>
      </c>
      <c r="G38" s="86">
        <f t="shared" si="7"/>
        <v>-566185.13035253459</v>
      </c>
      <c r="H38" s="86">
        <f t="shared" si="7"/>
        <v>37732460.600294366</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B'!H41</f>
        <v>903501.17</v>
      </c>
      <c r="E41" s="130">
        <f t="shared" ref="E41:E44" si="8">F41/D41</f>
        <v>0.87673530496058716</v>
      </c>
      <c r="F41" s="88">
        <f>SUMIFS('JURISSEP B'!$G$71:$G$225,'JURISSEP B'!$B$71:$B$225,$B41)</f>
        <v>792131.37381219736</v>
      </c>
      <c r="G41" s="88">
        <f>SUMIFS('SCH B-2.2'!$F$12:$F$28,'SCH B-2.2'!$B$12:$B$28,'SCH B-2.1 B'!$B41)</f>
        <v>0</v>
      </c>
      <c r="H41" s="88">
        <f t="shared" ref="H41:H44" si="9">SUM(F41:G41)</f>
        <v>792131.37381219736</v>
      </c>
    </row>
    <row r="42" spans="1:8" ht="18.95" customHeight="1">
      <c r="A42" s="70">
        <f t="shared" si="0"/>
        <v>27</v>
      </c>
      <c r="B42" s="71" t="s">
        <v>1650</v>
      </c>
      <c r="C42" s="78" t="s">
        <v>148</v>
      </c>
      <c r="D42" s="88">
        <f>'SCH B-2.3 B'!H42</f>
        <v>87151599.00999999</v>
      </c>
      <c r="E42" s="130">
        <f t="shared" si="8"/>
        <v>0.87112691280102339</v>
      </c>
      <c r="F42" s="88">
        <f>SUMIFS('JURISSEP B'!$G$71:$G$225,'JURISSEP B'!$B$71:$B$225,$B42)</f>
        <v>75920103.391254023</v>
      </c>
      <c r="G42" s="88">
        <f>SUMIFS('SCH B-2.2'!$F$12:$F$28,'SCH B-2.2'!$B$12:$B$28,'SCH B-2.1 B'!$B42)</f>
        <v>0</v>
      </c>
      <c r="H42" s="88">
        <f t="shared" si="9"/>
        <v>75920103.391254023</v>
      </c>
    </row>
    <row r="43" spans="1:8" ht="18.95" customHeight="1">
      <c r="A43" s="70">
        <f t="shared" si="0"/>
        <v>28</v>
      </c>
      <c r="B43" s="71" t="s">
        <v>1651</v>
      </c>
      <c r="C43" s="78" t="s">
        <v>1652</v>
      </c>
      <c r="D43" s="88">
        <f>'SCH B-2.3 B'!H43</f>
        <v>63105948.209999986</v>
      </c>
      <c r="E43" s="130">
        <f t="shared" si="8"/>
        <v>0.87505245930137854</v>
      </c>
      <c r="F43" s="88">
        <f>SUMIFS('JURISSEP B'!$G$71:$G$225,'JURISSEP B'!$B$71:$B$225,$B43)</f>
        <v>55221015.177705914</v>
      </c>
      <c r="G43" s="88">
        <f>SUMIFS('SCH B-2.2'!$F$12:$F$28,'SCH B-2.2'!$B$12:$B$28,'SCH B-2.1 B'!$B43)</f>
        <v>0</v>
      </c>
      <c r="H43" s="88">
        <f t="shared" si="9"/>
        <v>55221015.177705914</v>
      </c>
    </row>
    <row r="44" spans="1:8" ht="18.95" customHeight="1">
      <c r="A44" s="70">
        <f t="shared" si="0"/>
        <v>29</v>
      </c>
      <c r="B44" s="71" t="s">
        <v>1653</v>
      </c>
      <c r="C44" s="78" t="s">
        <v>1654</v>
      </c>
      <c r="D44" s="88">
        <f>'SCH B-2.3 B'!H44</f>
        <v>665384577.67000008</v>
      </c>
      <c r="E44" s="130">
        <f t="shared" si="8"/>
        <v>0.87252211671423674</v>
      </c>
      <c r="F44" s="88">
        <f>SUMIFS('JURISSEP B'!$G$71:$G$225,'JURISSEP B'!$B$71:$B$225,$B44)</f>
        <v>580562760.1376369</v>
      </c>
      <c r="G44" s="88">
        <f>SUMIFS('SCH B-2.2'!$F$12:$F$28,'SCH B-2.2'!$B$12:$B$28,'SCH B-2.1 B'!$B44)</f>
        <v>0</v>
      </c>
      <c r="H44" s="88">
        <f t="shared" si="9"/>
        <v>580562760.1376369</v>
      </c>
    </row>
    <row r="45" spans="1:8" s="68" customFormat="1" ht="20.100000000000001" customHeight="1">
      <c r="A45" s="767" t="str">
        <f>$A$1</f>
        <v>KENTUCKY UTILITIES COMPANY</v>
      </c>
      <c r="B45" s="767"/>
      <c r="C45" s="767"/>
      <c r="D45" s="767"/>
      <c r="E45" s="767"/>
      <c r="F45" s="767"/>
      <c r="G45" s="767"/>
      <c r="H45" s="767"/>
    </row>
    <row r="46" spans="1:8" s="68" customFormat="1" ht="20.100000000000001" customHeight="1">
      <c r="A46" s="767" t="str">
        <f>$A$2</f>
        <v>CASE NO. 2018-00294</v>
      </c>
      <c r="B46" s="767"/>
      <c r="C46" s="767"/>
      <c r="D46" s="767"/>
      <c r="E46" s="767"/>
      <c r="F46" s="767"/>
      <c r="G46" s="767"/>
      <c r="H46" s="767"/>
    </row>
    <row r="47" spans="1:8" s="68" customFormat="1" ht="20.100000000000001" customHeight="1">
      <c r="A47" s="767" t="str">
        <f>$A$3</f>
        <v>PLANT IN SERVICE BY ACCOUNTS AND SUBACCOUNTS</v>
      </c>
      <c r="B47" s="767"/>
      <c r="C47" s="767"/>
      <c r="D47" s="767"/>
      <c r="E47" s="767"/>
      <c r="F47" s="767"/>
      <c r="G47" s="767"/>
      <c r="H47" s="767"/>
    </row>
    <row r="48" spans="1:8" s="68" customFormat="1" ht="20.100000000000001" customHeight="1">
      <c r="A48" s="766" t="str">
        <f>$A$4</f>
        <v>AS OF DECEMBER 31, 2018</v>
      </c>
      <c r="B48" s="767"/>
      <c r="C48" s="767"/>
      <c r="D48" s="767"/>
      <c r="E48" s="767"/>
      <c r="F48" s="767"/>
      <c r="G48" s="767"/>
      <c r="H48" s="767"/>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4" t="s">
        <v>228</v>
      </c>
    </row>
    <row r="51" spans="1:8" s="68" customFormat="1" ht="20.100000000000001" customHeight="1">
      <c r="A51" s="67" t="str">
        <f>$A$7</f>
        <v>TYPE OF FILING: __X__ ORIGINAL  _____ UPDATED  _____ REVISED</v>
      </c>
      <c r="G51" s="74"/>
      <c r="H51" s="74" t="s">
        <v>172</v>
      </c>
    </row>
    <row r="52" spans="1:8" s="68" customFormat="1" ht="20.100000000000001" customHeight="1">
      <c r="A52" s="67" t="str">
        <f>$A$8</f>
        <v xml:space="preserve">WORKPAPER REFERENCE NO(S).: </v>
      </c>
      <c r="B52" s="67"/>
      <c r="F52" s="67"/>
      <c r="G52" s="75"/>
      <c r="H52" s="75" t="str">
        <f>$H$8</f>
        <v>WITNESS:   C. M. GARRETT</v>
      </c>
    </row>
    <row r="53" spans="1:8" s="68" customFormat="1" ht="20.100000000000001" customHeight="1"/>
    <row r="54" spans="1:8" ht="58.5" customHeight="1">
      <c r="A54" s="76" t="s">
        <v>131</v>
      </c>
      <c r="B54" s="76" t="s">
        <v>134</v>
      </c>
      <c r="C54" s="79" t="s">
        <v>222</v>
      </c>
      <c r="D54" s="76" t="s">
        <v>223</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B'!H56</f>
        <v>132379837.31</v>
      </c>
      <c r="E56" s="130">
        <f t="shared" ref="E56:E59" si="10">F56/D56</f>
        <v>0.871996202410807</v>
      </c>
      <c r="F56" s="88">
        <f>SUMIFS('JURISSEP B'!$G$71:$G$225,'JURISSEP B'!$B$71:$B$225,$B56)</f>
        <v>115434715.41008046</v>
      </c>
      <c r="G56" s="88">
        <f>SUMIFS('SCH B-2.2'!$F$12:$F$28,'SCH B-2.2'!$B$12:$B$28,'SCH B-2.1 B'!$B56)</f>
        <v>0</v>
      </c>
      <c r="H56" s="88">
        <f t="shared" ref="H56:H59" si="11">SUM(F56:G56)</f>
        <v>115434715.41008046</v>
      </c>
    </row>
    <row r="57" spans="1:8" ht="18.95" customHeight="1">
      <c r="A57" s="70">
        <f t="shared" si="0"/>
        <v>31</v>
      </c>
      <c r="B57" s="71" t="s">
        <v>1659</v>
      </c>
      <c r="C57" s="78" t="s">
        <v>1633</v>
      </c>
      <c r="D57" s="88">
        <f>'SCH B-2.3 B'!H57</f>
        <v>78850596.929999992</v>
      </c>
      <c r="E57" s="130">
        <f t="shared" si="10"/>
        <v>0.87275108819520186</v>
      </c>
      <c r="F57" s="88">
        <f>SUMIFS('JURISSEP B'!$G$71:$G$225,'JURISSEP B'!$B$71:$B$225,$B57)</f>
        <v>68816944.275498733</v>
      </c>
      <c r="G57" s="88">
        <f>SUMIFS('SCH B-2.2'!$F$12:$F$28,'SCH B-2.2'!$B$12:$B$28,'SCH B-2.1 B'!$B57)</f>
        <v>0</v>
      </c>
      <c r="H57" s="88">
        <f t="shared" si="11"/>
        <v>68816944.275498733</v>
      </c>
    </row>
    <row r="58" spans="1:8" ht="18.95" customHeight="1">
      <c r="A58" s="70">
        <f t="shared" si="0"/>
        <v>32</v>
      </c>
      <c r="B58" s="71" t="s">
        <v>1660</v>
      </c>
      <c r="C58" s="78" t="s">
        <v>1645</v>
      </c>
      <c r="D58" s="88">
        <f>'SCH B-2.3 B'!H58</f>
        <v>9765020.5799999982</v>
      </c>
      <c r="E58" s="130">
        <f t="shared" si="10"/>
        <v>0.87366894293698549</v>
      </c>
      <c r="F58" s="88">
        <f>SUMIFS('JURISSEP B'!$G$71:$G$225,'JURISSEP B'!$B$71:$B$225,$B58)</f>
        <v>8531395.2078865077</v>
      </c>
      <c r="G58" s="88">
        <f>SUMIFS('SCH B-2.2'!$F$12:$F$28,'SCH B-2.2'!$B$12:$B$28,'SCH B-2.1 B'!$B58)</f>
        <v>0</v>
      </c>
      <c r="H58" s="88">
        <f t="shared" si="11"/>
        <v>8531395.2078865077</v>
      </c>
    </row>
    <row r="59" spans="1:8" ht="18.95" customHeight="1">
      <c r="A59" s="70">
        <f t="shared" si="0"/>
        <v>33</v>
      </c>
      <c r="B59" s="71" t="s">
        <v>1661</v>
      </c>
      <c r="C59" s="78" t="s">
        <v>1696</v>
      </c>
      <c r="D59" s="89">
        <f>'SCH B-2.3 B'!H59</f>
        <v>406991.12</v>
      </c>
      <c r="E59" s="130">
        <f t="shared" si="10"/>
        <v>0.87673530496058716</v>
      </c>
      <c r="F59" s="89">
        <f>SUMIFS('JURISSEP B'!$G$71:$G$225,'JURISSEP B'!$B$71:$B$225,$B59)</f>
        <v>356823.48370945093</v>
      </c>
      <c r="G59" s="89">
        <f>SUMIFS('SCH B-2.2'!$F$12:$F$28,'SCH B-2.2'!$B$12:$B$28,'SCH B-2.1 B'!$B59)</f>
        <v>-356823.48370945093</v>
      </c>
      <c r="H59" s="89">
        <f t="shared" si="11"/>
        <v>0</v>
      </c>
    </row>
    <row r="60" spans="1:8" ht="18.95" customHeight="1">
      <c r="A60" s="70">
        <f t="shared" si="0"/>
        <v>34</v>
      </c>
      <c r="C60" s="78" t="s">
        <v>145</v>
      </c>
      <c r="D60" s="86">
        <f>SUM(D41:D44,D56:D59)</f>
        <v>1037948072.0000001</v>
      </c>
      <c r="E60" s="86"/>
      <c r="F60" s="86">
        <f t="shared" ref="F60:H60" si="12">SUM(F41:F44,F56:F59)</f>
        <v>905635888.45758414</v>
      </c>
      <c r="G60" s="86">
        <f t="shared" si="12"/>
        <v>-356823.48370945093</v>
      </c>
      <c r="H60" s="86">
        <f t="shared" si="12"/>
        <v>905279064.97387469</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B'!H63</f>
        <v>32027218.480000004</v>
      </c>
      <c r="E63" s="130">
        <f t="shared" ref="E63:E71" si="13">F63/D63</f>
        <v>0.89487176337780061</v>
      </c>
      <c r="F63" s="88">
        <f>SUMIFS('JURISSEP B'!$G$71:$G$225,'JURISSEP B'!$B$71:$B$225,$B63)</f>
        <v>28660253.477283686</v>
      </c>
      <c r="G63" s="88">
        <f>SUMIFS('SCH B-2.2'!$F$12:$F$28,'SCH B-2.2'!$B$12:$B$28,'SCH B-2.1 B'!$B63)</f>
        <v>0</v>
      </c>
      <c r="H63" s="88">
        <f t="shared" ref="H63:H71" si="14">SUM(F63:G63)</f>
        <v>28660253.477283686</v>
      </c>
    </row>
    <row r="64" spans="1:8" ht="18.95" customHeight="1">
      <c r="A64" s="70">
        <f t="shared" si="0"/>
        <v>37</v>
      </c>
      <c r="B64" s="71" t="s">
        <v>1663</v>
      </c>
      <c r="C64" s="78" t="s">
        <v>148</v>
      </c>
      <c r="D64" s="88">
        <f>'SCH B-2.3 B'!H64</f>
        <v>29626094.620000001</v>
      </c>
      <c r="E64" s="130">
        <f t="shared" si="13"/>
        <v>0.8963584229064</v>
      </c>
      <c r="F64" s="88">
        <f>SUMIFS('JURISSEP B'!$G$71:$G$225,'JURISSEP B'!$B$71:$B$225,$B64)</f>
        <v>26555599.450458981</v>
      </c>
      <c r="G64" s="88">
        <f>SUMIFS('SCH B-2.2'!$F$12:$F$28,'SCH B-2.2'!$B$12:$B$28,'SCH B-2.1 B'!$B64)</f>
        <v>0</v>
      </c>
      <c r="H64" s="88">
        <f t="shared" si="14"/>
        <v>26555599.450458981</v>
      </c>
    </row>
    <row r="65" spans="1:8" ht="18.95" customHeight="1">
      <c r="A65" s="70">
        <f t="shared" si="0"/>
        <v>38</v>
      </c>
      <c r="B65" s="71" t="s">
        <v>1664</v>
      </c>
      <c r="C65" s="78" t="s">
        <v>149</v>
      </c>
      <c r="D65" s="88">
        <f>'SCH B-2.3 B'!H65</f>
        <v>351535336.80000001</v>
      </c>
      <c r="E65" s="130">
        <f t="shared" si="13"/>
        <v>0.89099738865848699</v>
      </c>
      <c r="F65" s="88">
        <f>SUMIFS('JURISSEP B'!$G$71:$G$225,'JURISSEP B'!$B$71:$B$225,$B65)</f>
        <v>313217067.10998172</v>
      </c>
      <c r="G65" s="88">
        <f>SUMIFS('SCH B-2.2'!$F$12:$F$28,'SCH B-2.2'!$B$12:$B$28,'SCH B-2.1 B'!$B65)</f>
        <v>0</v>
      </c>
      <c r="H65" s="88">
        <f t="shared" si="14"/>
        <v>313217067.10998172</v>
      </c>
    </row>
    <row r="66" spans="1:8" ht="18.95" customHeight="1">
      <c r="A66" s="70">
        <f t="shared" si="0"/>
        <v>39</v>
      </c>
      <c r="B66" s="71" t="s">
        <v>1665</v>
      </c>
      <c r="C66" s="78" t="s">
        <v>1666</v>
      </c>
      <c r="D66" s="88">
        <f>'SCH B-2.3 B'!H66</f>
        <v>78033094.149999991</v>
      </c>
      <c r="E66" s="130">
        <f t="shared" si="13"/>
        <v>0.91754100082665702</v>
      </c>
      <c r="F66" s="88">
        <f>SUMIFS('JURISSEP B'!$G$71:$G$225,'JURISSEP B'!$B$71:$B$225,$B66)</f>
        <v>71598563.30399175</v>
      </c>
      <c r="G66" s="88">
        <f>SUMIFS('SCH B-2.2'!$F$12:$F$28,'SCH B-2.2'!$B$12:$B$28,'SCH B-2.1 B'!$B66)</f>
        <v>0</v>
      </c>
      <c r="H66" s="88">
        <f t="shared" si="14"/>
        <v>71598563.30399175</v>
      </c>
    </row>
    <row r="67" spans="1:8" ht="18.95" customHeight="1">
      <c r="A67" s="70">
        <f t="shared" si="0"/>
        <v>40</v>
      </c>
      <c r="B67" s="71" t="s">
        <v>1667</v>
      </c>
      <c r="C67" s="78" t="s">
        <v>1668</v>
      </c>
      <c r="D67" s="88">
        <f>'SCH B-2.3 B'!H67</f>
        <v>394381289.09999985</v>
      </c>
      <c r="E67" s="130">
        <f t="shared" si="13"/>
        <v>0.91983410913096331</v>
      </c>
      <c r="F67" s="88">
        <f>SUMIFS('JURISSEP B'!$G$71:$G$225,'JURISSEP B'!$B$71:$B$225,$B67)</f>
        <v>362765361.71721923</v>
      </c>
      <c r="G67" s="88">
        <f>SUMIFS('SCH B-2.2'!$F$12:$F$28,'SCH B-2.2'!$B$12:$B$28,'SCH B-2.1 B'!$B67)</f>
        <v>0</v>
      </c>
      <c r="H67" s="88">
        <f t="shared" si="14"/>
        <v>362765361.71721923</v>
      </c>
    </row>
    <row r="68" spans="1:8" ht="18.95" customHeight="1">
      <c r="A68" s="70">
        <f t="shared" si="0"/>
        <v>41</v>
      </c>
      <c r="B68" s="71" t="s">
        <v>1669</v>
      </c>
      <c r="C68" s="78" t="s">
        <v>1670</v>
      </c>
      <c r="D68" s="88">
        <f>'SCH B-2.3 B'!H68</f>
        <v>189689393.74000001</v>
      </c>
      <c r="E68" s="130">
        <f t="shared" si="13"/>
        <v>0.87221967159430613</v>
      </c>
      <c r="F68" s="88">
        <f>SUMIFS('JURISSEP B'!$G$71:$G$225,'JURISSEP B'!$B$71:$B$225,$B68)</f>
        <v>165450820.71282583</v>
      </c>
      <c r="G68" s="88">
        <f>SUMIFS('SCH B-2.2'!$F$12:$F$28,'SCH B-2.2'!$B$12:$B$28,'SCH B-2.1 B'!$B68)</f>
        <v>0</v>
      </c>
      <c r="H68" s="88">
        <f t="shared" si="14"/>
        <v>165450820.71282583</v>
      </c>
    </row>
    <row r="69" spans="1:8" ht="18.95" customHeight="1">
      <c r="A69" s="70">
        <f t="shared" si="0"/>
        <v>42</v>
      </c>
      <c r="B69" s="71" t="s">
        <v>1671</v>
      </c>
      <c r="C69" s="78" t="s">
        <v>1672</v>
      </c>
      <c r="D69" s="88">
        <f>'SCH B-2.3 B'!H69</f>
        <v>448760.26</v>
      </c>
      <c r="E69" s="130">
        <f t="shared" si="13"/>
        <v>0.95323415446315762</v>
      </c>
      <c r="F69" s="88">
        <f>SUMIFS('JURISSEP B'!$G$71:$G$225,'JURISSEP B'!$B$71:$B$225,$B69)</f>
        <v>427773.60699776676</v>
      </c>
      <c r="G69" s="88">
        <f>SUMIFS('SCH B-2.2'!$F$12:$F$28,'SCH B-2.2'!$B$12:$B$28,'SCH B-2.1 B'!$B69)</f>
        <v>0</v>
      </c>
      <c r="H69" s="88">
        <f t="shared" si="14"/>
        <v>427773.60699776676</v>
      </c>
    </row>
    <row r="70" spans="1:8" ht="18.95" customHeight="1">
      <c r="A70" s="70">
        <f t="shared" si="0"/>
        <v>43</v>
      </c>
      <c r="B70" s="71" t="s">
        <v>1673</v>
      </c>
      <c r="C70" s="78" t="s">
        <v>1674</v>
      </c>
      <c r="D70" s="88">
        <f>'SCH B-2.3 B'!H70</f>
        <v>1299592.5499999998</v>
      </c>
      <c r="E70" s="130">
        <f t="shared" si="13"/>
        <v>0.95375409788644161</v>
      </c>
      <c r="F70" s="88">
        <f>SUMIFS('JURISSEP B'!$G$71:$G$225,'JURISSEP B'!$B$71:$B$225,$B70)</f>
        <v>1239491.7201451901</v>
      </c>
      <c r="G70" s="88">
        <f>SUMIFS('SCH B-2.2'!$F$12:$F$28,'SCH B-2.2'!$B$12:$B$28,'SCH B-2.1 B'!$B70)</f>
        <v>0</v>
      </c>
      <c r="H70" s="88">
        <f t="shared" si="14"/>
        <v>1239491.7201451901</v>
      </c>
    </row>
    <row r="71" spans="1:8" ht="18.95" customHeight="1">
      <c r="A71" s="70">
        <f t="shared" si="0"/>
        <v>44</v>
      </c>
      <c r="B71" s="71" t="s">
        <v>1675</v>
      </c>
      <c r="C71" s="78" t="s">
        <v>152</v>
      </c>
      <c r="D71" s="89">
        <f>'SCH B-2.3 B'!H71</f>
        <v>551323.88</v>
      </c>
      <c r="E71" s="130">
        <f t="shared" si="13"/>
        <v>0.95621085870522027</v>
      </c>
      <c r="F71" s="89">
        <f>SUMIFS('JURISSEP B'!$G$71:$G$225,'JURISSEP B'!$B$71:$B$225,$B71)</f>
        <v>527181.88071949384</v>
      </c>
      <c r="G71" s="89">
        <f>SUMIFS('SCH B-2.2'!$F$12:$F$28,'SCH B-2.2'!$B$12:$B$28,'SCH B-2.1 B'!$B71)</f>
        <v>-527181.88071949384</v>
      </c>
      <c r="H71" s="89">
        <f t="shared" si="14"/>
        <v>0</v>
      </c>
    </row>
    <row r="72" spans="1:8" ht="18.95" customHeight="1">
      <c r="A72" s="70">
        <f t="shared" si="0"/>
        <v>45</v>
      </c>
      <c r="C72" s="78" t="s">
        <v>150</v>
      </c>
      <c r="D72" s="86">
        <f>SUM(D63:D71)</f>
        <v>1077592103.5799999</v>
      </c>
      <c r="E72" s="86"/>
      <c r="F72" s="86">
        <f t="shared" ref="F72:H72" si="15">SUM(F63:F71)</f>
        <v>970442112.97962368</v>
      </c>
      <c r="G72" s="86">
        <f t="shared" si="15"/>
        <v>-527181.88071949384</v>
      </c>
      <c r="H72" s="86">
        <f t="shared" si="15"/>
        <v>969914931.09890413</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B'!H75</f>
        <v>9992760.0699999891</v>
      </c>
      <c r="E75" s="130">
        <f t="shared" ref="E75:E87" si="16">F75/D75</f>
        <v>0.91769564522327207</v>
      </c>
      <c r="F75" s="88">
        <f>SUMIFS('JURISSEP B'!$G$71:$G$225,'JURISSEP B'!$B$71:$B$225,$B75)</f>
        <v>9170312.3999999892</v>
      </c>
      <c r="G75" s="88">
        <f>SUMIFS('SCH B-2.2'!$F$12:$F$28,'SCH B-2.2'!$B$12:$B$28,'SCH B-2.1 B'!$B75)</f>
        <v>0</v>
      </c>
      <c r="H75" s="88">
        <f t="shared" ref="H75:H87" si="17">SUM(F75:G75)</f>
        <v>9170312.3999999892</v>
      </c>
    </row>
    <row r="76" spans="1:8" ht="18.95" customHeight="1">
      <c r="A76" s="70">
        <f t="shared" si="0"/>
        <v>48</v>
      </c>
      <c r="B76" s="71" t="s">
        <v>1677</v>
      </c>
      <c r="C76" s="78" t="s">
        <v>148</v>
      </c>
      <c r="D76" s="88">
        <f>'SCH B-2.3 B'!H76</f>
        <v>20991928.939999998</v>
      </c>
      <c r="E76" s="130">
        <f t="shared" si="16"/>
        <v>0.94603468012692293</v>
      </c>
      <c r="F76" s="88">
        <f>SUMIFS('JURISSEP B'!$G$71:$G$225,'JURISSEP B'!$B$71:$B$225,$B76)</f>
        <v>19859092.779999994</v>
      </c>
      <c r="G76" s="88">
        <f>SUMIFS('SCH B-2.2'!$F$12:$F$28,'SCH B-2.2'!$B$12:$B$28,'SCH B-2.1 B'!$B76)</f>
        <v>0</v>
      </c>
      <c r="H76" s="88">
        <f t="shared" si="17"/>
        <v>19859092.779999994</v>
      </c>
    </row>
    <row r="77" spans="1:8" ht="18.95" customHeight="1">
      <c r="A77" s="70">
        <f t="shared" si="0"/>
        <v>49</v>
      </c>
      <c r="B77" s="71" t="s">
        <v>1678</v>
      </c>
      <c r="C77" s="78" t="s">
        <v>1679</v>
      </c>
      <c r="D77" s="88">
        <f>'SCH B-2.3 B'!H77</f>
        <v>240372654.75999999</v>
      </c>
      <c r="E77" s="130">
        <f t="shared" si="16"/>
        <v>0.95077145904214921</v>
      </c>
      <c r="F77" s="88">
        <f>SUMIFS('JURISSEP B'!$G$71:$G$225,'JURISSEP B'!$B$71:$B$225,$B77)</f>
        <v>228539459.68000001</v>
      </c>
      <c r="G77" s="88">
        <f>SUMIFS('SCH B-2.2'!$F$12:$F$28,'SCH B-2.2'!$B$12:$B$28,'SCH B-2.1 B'!$B77)</f>
        <v>0</v>
      </c>
      <c r="H77" s="88">
        <f t="shared" si="17"/>
        <v>228539459.68000001</v>
      </c>
    </row>
    <row r="78" spans="1:8" ht="18.95" customHeight="1">
      <c r="A78" s="70">
        <f t="shared" ref="A78:A88" si="18">A77+1</f>
        <v>50</v>
      </c>
      <c r="B78" s="71" t="s">
        <v>1680</v>
      </c>
      <c r="C78" s="78" t="s">
        <v>1681</v>
      </c>
      <c r="D78" s="88">
        <f>'SCH B-2.3 B'!H78</f>
        <v>413003102.42000008</v>
      </c>
      <c r="E78" s="130">
        <f t="shared" si="16"/>
        <v>0.92623209835112208</v>
      </c>
      <c r="F78" s="88">
        <f>SUMIFS('JURISSEP B'!$G$71:$G$225,'JURISSEP B'!$B$71:$B$225,$B78)</f>
        <v>382536730.18000007</v>
      </c>
      <c r="G78" s="88">
        <f>SUMIFS('SCH B-2.2'!$F$12:$F$28,'SCH B-2.2'!$B$12:$B$28,'SCH B-2.1 B'!$B78)</f>
        <v>-24574.049047773289</v>
      </c>
      <c r="H78" s="88">
        <f t="shared" si="17"/>
        <v>382512156.1309523</v>
      </c>
    </row>
    <row r="79" spans="1:8" ht="18.95" customHeight="1">
      <c r="A79" s="70">
        <f t="shared" si="18"/>
        <v>51</v>
      </c>
      <c r="B79" s="71" t="s">
        <v>1682</v>
      </c>
      <c r="C79" s="78" t="s">
        <v>1670</v>
      </c>
      <c r="D79" s="88">
        <f>'SCH B-2.3 B'!H79</f>
        <v>409364980.66000003</v>
      </c>
      <c r="E79" s="130">
        <f t="shared" si="16"/>
        <v>0.93150329279560695</v>
      </c>
      <c r="F79" s="88">
        <f>SUMIFS('JURISSEP B'!$G$71:$G$225,'JURISSEP B'!$B$71:$B$225,$B79)</f>
        <v>381324827.44</v>
      </c>
      <c r="G79" s="88">
        <f>SUMIFS('SCH B-2.2'!$F$12:$F$28,'SCH B-2.2'!$B$12:$B$28,'SCH B-2.1 B'!$B79)</f>
        <v>-21982.928123033573</v>
      </c>
      <c r="H79" s="88">
        <f t="shared" si="17"/>
        <v>381302844.51187694</v>
      </c>
    </row>
    <row r="80" spans="1:8" ht="18.95" customHeight="1">
      <c r="A80" s="70">
        <f t="shared" si="18"/>
        <v>52</v>
      </c>
      <c r="B80" s="71" t="s">
        <v>1683</v>
      </c>
      <c r="C80" s="78" t="s">
        <v>1672</v>
      </c>
      <c r="D80" s="88">
        <f>'SCH B-2.3 B'!H80</f>
        <v>2390106.04</v>
      </c>
      <c r="E80" s="130">
        <f t="shared" si="16"/>
        <v>1</v>
      </c>
      <c r="F80" s="88">
        <f>SUMIFS('JURISSEP B'!$G$71:$G$225,'JURISSEP B'!$B$71:$B$225,$B80)</f>
        <v>2390106.04</v>
      </c>
      <c r="G80" s="88">
        <f>SUMIFS('SCH B-2.2'!$F$12:$F$28,'SCH B-2.2'!$B$12:$B$28,'SCH B-2.1 B'!$B80)</f>
        <v>-171002.52000000002</v>
      </c>
      <c r="H80" s="88">
        <f t="shared" si="17"/>
        <v>2219103.52</v>
      </c>
    </row>
    <row r="81" spans="1:8" ht="18.95" customHeight="1">
      <c r="A81" s="70">
        <f t="shared" si="18"/>
        <v>53</v>
      </c>
      <c r="B81" s="71" t="s">
        <v>1684</v>
      </c>
      <c r="C81" s="78" t="s">
        <v>1674</v>
      </c>
      <c r="D81" s="88">
        <f>'SCH B-2.3 B'!H81</f>
        <v>208147256.36000001</v>
      </c>
      <c r="E81" s="130">
        <f t="shared" si="16"/>
        <v>0.97745961021996142</v>
      </c>
      <c r="F81" s="88">
        <f>SUMIFS('JURISSEP B'!$G$71:$G$225,'JURISSEP B'!$B$71:$B$225,$B81)</f>
        <v>203455536.06999999</v>
      </c>
      <c r="G81" s="88">
        <f>SUMIFS('SCH B-2.2'!$F$12:$F$28,'SCH B-2.2'!$B$12:$B$28,'SCH B-2.1 B'!$B81)</f>
        <v>-1296224.2126668999</v>
      </c>
      <c r="H81" s="88">
        <f t="shared" si="17"/>
        <v>202159311.85733309</v>
      </c>
    </row>
    <row r="82" spans="1:8" ht="18.95" customHeight="1">
      <c r="A82" s="70">
        <f t="shared" si="18"/>
        <v>54</v>
      </c>
      <c r="B82" s="71" t="s">
        <v>1685</v>
      </c>
      <c r="C82" s="78" t="s">
        <v>1686</v>
      </c>
      <c r="D82" s="88">
        <f>'SCH B-2.3 B'!H82</f>
        <v>321609357.93000001</v>
      </c>
      <c r="E82" s="130">
        <f t="shared" si="16"/>
        <v>0.96539489459624994</v>
      </c>
      <c r="F82" s="88">
        <f>SUMIFS('JURISSEP B'!$G$71:$G$225,'JURISSEP B'!$B$71:$B$225,$B82)</f>
        <v>310480032.19999999</v>
      </c>
      <c r="G82" s="88">
        <f>SUMIFS('SCH B-2.2'!$F$12:$F$28,'SCH B-2.2'!$B$12:$B$28,'SCH B-2.1 B'!$B82)</f>
        <v>0</v>
      </c>
      <c r="H82" s="88">
        <f t="shared" si="17"/>
        <v>310480032.19999999</v>
      </c>
    </row>
    <row r="83" spans="1:8" ht="18.95" customHeight="1">
      <c r="A83" s="70">
        <f t="shared" si="18"/>
        <v>55</v>
      </c>
      <c r="B83" s="71" t="s">
        <v>1687</v>
      </c>
      <c r="C83" s="78" t="s">
        <v>1688</v>
      </c>
      <c r="D83" s="88">
        <f>'SCH B-2.3 B'!H83</f>
        <v>114503751.92</v>
      </c>
      <c r="E83" s="130">
        <f t="shared" si="16"/>
        <v>0.94888200559498304</v>
      </c>
      <c r="F83" s="88">
        <f>SUMIFS('JURISSEP B'!$G$71:$G$225,'JURISSEP B'!$B$71:$B$225,$B83)</f>
        <v>108650549.77</v>
      </c>
      <c r="G83" s="88">
        <f>SUMIFS('SCH B-2.2'!$F$12:$F$28,'SCH B-2.2'!$B$12:$B$28,'SCH B-2.1 B'!$B83)</f>
        <v>0</v>
      </c>
      <c r="H83" s="88">
        <f t="shared" si="17"/>
        <v>108650549.77</v>
      </c>
    </row>
    <row r="84" spans="1:8" ht="18.95" customHeight="1">
      <c r="A84" s="70">
        <f>A83+1</f>
        <v>56</v>
      </c>
      <c r="B84" s="71" t="s">
        <v>1689</v>
      </c>
      <c r="C84" s="78" t="s">
        <v>1690</v>
      </c>
      <c r="D84" s="88">
        <f>'SCH B-2.3 B'!H84</f>
        <v>81031784.209999993</v>
      </c>
      <c r="E84" s="130">
        <f t="shared" si="16"/>
        <v>0.9490437554811928</v>
      </c>
      <c r="F84" s="88">
        <f>SUMIFS('JURISSEP B'!$G$71:$G$225,'JURISSEP B'!$B$71:$B$225,$B84)</f>
        <v>76902708.800000012</v>
      </c>
      <c r="G84" s="88">
        <f>SUMIFS('SCH B-2.2'!$F$12:$F$28,'SCH B-2.2'!$B$12:$B$28,'SCH B-2.1 B'!$B84)</f>
        <v>-1331333.5999999999</v>
      </c>
      <c r="H84" s="88">
        <f t="shared" si="17"/>
        <v>75571375.200000018</v>
      </c>
    </row>
    <row r="85" spans="1:8" ht="18.95" customHeight="1">
      <c r="A85" s="70">
        <f t="shared" si="18"/>
        <v>57</v>
      </c>
      <c r="B85" s="71" t="s">
        <v>1691</v>
      </c>
      <c r="C85" s="78" t="s">
        <v>1692</v>
      </c>
      <c r="D85" s="88">
        <f>'SCH B-2.3 B'!H85</f>
        <v>148818.36999999994</v>
      </c>
      <c r="E85" s="130">
        <f t="shared" si="16"/>
        <v>1</v>
      </c>
      <c r="F85" s="88">
        <f>SUMIFS('JURISSEP B'!$G$71:$G$225,'JURISSEP B'!$B$71:$B$225,$B85)</f>
        <v>148818.36999999994</v>
      </c>
      <c r="G85" s="88">
        <f>SUMIFS('SCH B-2.2'!$F$12:$F$28,'SCH B-2.2'!$B$12:$B$28,'SCH B-2.1 B'!$B85)</f>
        <v>0</v>
      </c>
      <c r="H85" s="88">
        <f t="shared" si="17"/>
        <v>148818.36999999994</v>
      </c>
    </row>
    <row r="86" spans="1:8" ht="18.95" customHeight="1">
      <c r="A86" s="70">
        <f t="shared" si="18"/>
        <v>58</v>
      </c>
      <c r="B86" s="71" t="s">
        <v>1693</v>
      </c>
      <c r="C86" s="78" t="s">
        <v>1694</v>
      </c>
      <c r="D86" s="88">
        <f>'SCH B-2.3 B'!H86</f>
        <v>127760474.66999999</v>
      </c>
      <c r="E86" s="130">
        <f t="shared" si="16"/>
        <v>0.97004902752683242</v>
      </c>
      <c r="F86" s="88">
        <f>SUMIFS('JURISSEP B'!$G$71:$G$225,'JURISSEP B'!$B$71:$B$225,$B86)</f>
        <v>123933924.20999999</v>
      </c>
      <c r="G86" s="88">
        <f>SUMIFS('SCH B-2.2'!$F$12:$F$28,'SCH B-2.2'!$B$12:$B$28,'SCH B-2.1 B'!$B86)</f>
        <v>0</v>
      </c>
      <c r="H86" s="88">
        <f t="shared" si="17"/>
        <v>123933924.20999999</v>
      </c>
    </row>
    <row r="87" spans="1:8" ht="18.95" customHeight="1">
      <c r="A87" s="70">
        <f t="shared" si="18"/>
        <v>59</v>
      </c>
      <c r="B87" s="71" t="s">
        <v>1695</v>
      </c>
      <c r="C87" s="78" t="s">
        <v>151</v>
      </c>
      <c r="D87" s="89">
        <f>'SCH B-2.3 B'!H87</f>
        <v>658287.18999999901</v>
      </c>
      <c r="E87" s="130">
        <f t="shared" si="16"/>
        <v>1</v>
      </c>
      <c r="F87" s="89">
        <f>SUMIFS('JURISSEP B'!$G$71:$G$225,'JURISSEP B'!$B$71:$B$225,$B87)</f>
        <v>658287.18999999901</v>
      </c>
      <c r="G87" s="89">
        <f>SUMIFS('SCH B-2.2'!$F$12:$F$28,'SCH B-2.2'!$B$12:$B$28,'SCH B-2.1 B'!$B87)</f>
        <v>-658287.18999999901</v>
      </c>
      <c r="H87" s="89">
        <f t="shared" si="17"/>
        <v>0</v>
      </c>
    </row>
    <row r="88" spans="1:8" ht="18.95" customHeight="1">
      <c r="A88" s="70">
        <f t="shared" si="18"/>
        <v>60</v>
      </c>
      <c r="B88" s="71"/>
      <c r="C88" s="78" t="s">
        <v>153</v>
      </c>
      <c r="D88" s="86">
        <f>SUM(D75:D87)</f>
        <v>1949975263.5400002</v>
      </c>
      <c r="E88" s="86"/>
      <c r="F88" s="86">
        <f t="shared" ref="F88:H88" si="19">SUM(F75:F87)</f>
        <v>1848050385.1299999</v>
      </c>
      <c r="G88" s="86">
        <f t="shared" si="19"/>
        <v>-3503404.4998377054</v>
      </c>
      <c r="H88" s="86">
        <f t="shared" si="19"/>
        <v>1844546980.6301622</v>
      </c>
    </row>
    <row r="89" spans="1:8" s="68" customFormat="1" ht="20.100000000000001" customHeight="1">
      <c r="A89" s="767" t="str">
        <f>$A$1</f>
        <v>KENTUCKY UTILITIES COMPANY</v>
      </c>
      <c r="B89" s="767"/>
      <c r="C89" s="767"/>
      <c r="D89" s="767"/>
      <c r="E89" s="767"/>
      <c r="F89" s="767"/>
      <c r="G89" s="767"/>
      <c r="H89" s="767"/>
    </row>
    <row r="90" spans="1:8" s="68" customFormat="1" ht="20.100000000000001" customHeight="1">
      <c r="A90" s="767" t="str">
        <f>$A$2</f>
        <v>CASE NO. 2018-00294</v>
      </c>
      <c r="B90" s="767"/>
      <c r="C90" s="767"/>
      <c r="D90" s="767"/>
      <c r="E90" s="767"/>
      <c r="F90" s="767"/>
      <c r="G90" s="767"/>
      <c r="H90" s="767"/>
    </row>
    <row r="91" spans="1:8" s="68" customFormat="1" ht="20.100000000000001" customHeight="1">
      <c r="A91" s="767" t="str">
        <f>$A$3</f>
        <v>PLANT IN SERVICE BY ACCOUNTS AND SUBACCOUNTS</v>
      </c>
      <c r="B91" s="767"/>
      <c r="C91" s="767"/>
      <c r="D91" s="767"/>
      <c r="E91" s="767"/>
      <c r="F91" s="767"/>
      <c r="G91" s="767"/>
      <c r="H91" s="767"/>
    </row>
    <row r="92" spans="1:8" s="68" customFormat="1" ht="20.100000000000001" customHeight="1">
      <c r="A92" s="766" t="str">
        <f>$A$4</f>
        <v>AS OF DECEMBER 31, 2018</v>
      </c>
      <c r="B92" s="767"/>
      <c r="C92" s="767"/>
      <c r="D92" s="767"/>
      <c r="E92" s="767"/>
      <c r="F92" s="767"/>
      <c r="G92" s="767"/>
      <c r="H92" s="767"/>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4" t="s">
        <v>228</v>
      </c>
    </row>
    <row r="95" spans="1:8" s="68" customFormat="1" ht="20.100000000000001" customHeight="1">
      <c r="A95" s="67" t="str">
        <f>$A$7</f>
        <v>TYPE OF FILING: __X__ ORIGINAL  _____ UPDATED  _____ REVISED</v>
      </c>
      <c r="G95" s="74"/>
      <c r="H95" s="74" t="s">
        <v>171</v>
      </c>
    </row>
    <row r="96" spans="1:8" s="68" customFormat="1" ht="20.100000000000001" customHeight="1">
      <c r="A96" s="67" t="str">
        <f>$A$8</f>
        <v xml:space="preserve">WORKPAPER REFERENCE NO(S).: </v>
      </c>
      <c r="B96" s="67"/>
      <c r="F96" s="67"/>
      <c r="G96" s="75"/>
      <c r="H96" s="75" t="str">
        <f>$H$8</f>
        <v>WITNESS:   C. M. GARRETT</v>
      </c>
    </row>
    <row r="97" spans="1:8" s="68" customFormat="1" ht="20.100000000000001" customHeight="1"/>
    <row r="98" spans="1:8" ht="58.5" customHeight="1">
      <c r="A98" s="76" t="s">
        <v>131</v>
      </c>
      <c r="B98" s="76" t="s">
        <v>134</v>
      </c>
      <c r="C98" s="79" t="s">
        <v>222</v>
      </c>
      <c r="D98" s="76" t="s">
        <v>223</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B'!H101</f>
        <v>4121174.3899999997</v>
      </c>
      <c r="E101" s="130">
        <f t="shared" ref="E101:E109" si="21">F101/D101</f>
        <v>0.90503374622094968</v>
      </c>
      <c r="F101" s="88">
        <f>SUMIFS('JURISSEP B'!$G$71:$G$225,'JURISSEP B'!$B$71:$B$225,$B101)</f>
        <v>3729801.8970115366</v>
      </c>
      <c r="G101" s="88">
        <f>SUMIFS('SCH B-2.2'!$F$12:$F$28,'SCH B-2.2'!$B$12:$B$28,'SCH B-2.1 B'!$B101)</f>
        <v>0</v>
      </c>
      <c r="H101" s="88">
        <f t="shared" ref="H101:H110" si="22">SUM(F101:G101)</f>
        <v>3729801.8970115366</v>
      </c>
    </row>
    <row r="102" spans="1:8" ht="18.95" customHeight="1">
      <c r="A102" s="70">
        <f t="shared" si="20"/>
        <v>63</v>
      </c>
      <c r="B102" s="71" t="s">
        <v>1698</v>
      </c>
      <c r="C102" s="78" t="s">
        <v>148</v>
      </c>
      <c r="D102" s="88">
        <f>'SCH B-2.3 B'!H102</f>
        <v>69620713.879999995</v>
      </c>
      <c r="E102" s="130">
        <f t="shared" si="21"/>
        <v>0.90503374622094945</v>
      </c>
      <c r="F102" s="88">
        <f>SUMIFS('JURISSEP B'!$G$71:$G$225,'JURISSEP B'!$B$71:$B$225,$B102)</f>
        <v>63009095.49739325</v>
      </c>
      <c r="G102" s="88">
        <f>SUMIFS('SCH B-2.2'!$F$12:$F$28,'SCH B-2.2'!$B$12:$B$28,'SCH B-2.1 B'!$B102)</f>
        <v>0</v>
      </c>
      <c r="H102" s="88">
        <f t="shared" si="22"/>
        <v>63009095.49739325</v>
      </c>
    </row>
    <row r="103" spans="1:8" ht="18.95" customHeight="1">
      <c r="A103" s="70">
        <f t="shared" si="20"/>
        <v>64</v>
      </c>
      <c r="B103" s="71" t="s">
        <v>1699</v>
      </c>
      <c r="C103" s="78" t="s">
        <v>156</v>
      </c>
      <c r="D103" s="88">
        <f>'SCH B-2.3 B'!H103</f>
        <v>46306302.539999999</v>
      </c>
      <c r="E103" s="130">
        <f t="shared" si="21"/>
        <v>0.90503374622094968</v>
      </c>
      <c r="F103" s="88">
        <f>SUMIFS('JURISSEP B'!$G$71:$G$225,'JURISSEP B'!$B$71:$B$225,$B103)</f>
        <v>41908766.461416878</v>
      </c>
      <c r="G103" s="88">
        <f>SUMIFS('SCH B-2.2'!$F$12:$F$28,'SCH B-2.2'!$B$12:$B$28,'SCH B-2.1 B'!$B103)</f>
        <v>0</v>
      </c>
      <c r="H103" s="88">
        <f t="shared" si="22"/>
        <v>41908766.461416878</v>
      </c>
    </row>
    <row r="104" spans="1:8" ht="18.95" customHeight="1">
      <c r="A104" s="70">
        <f t="shared" si="20"/>
        <v>65</v>
      </c>
      <c r="B104" s="71" t="s">
        <v>1700</v>
      </c>
      <c r="C104" s="78" t="s">
        <v>155</v>
      </c>
      <c r="D104" s="88">
        <f>'SCH B-2.3 B'!H104</f>
        <v>7538271.6999999993</v>
      </c>
      <c r="E104" s="130">
        <f t="shared" si="21"/>
        <v>0.90503374622094968</v>
      </c>
      <c r="F104" s="88">
        <f>SUMIFS('JURISSEP B'!$G$71:$G$225,'JURISSEP B'!$B$71:$B$225,$B104)</f>
        <v>6822390.2766823666</v>
      </c>
      <c r="G104" s="88">
        <f>SUMIFS('SCH B-2.2'!$F$12:$F$28,'SCH B-2.2'!$B$12:$B$28,'SCH B-2.1 B'!$B104)</f>
        <v>-17561.111905596987</v>
      </c>
      <c r="H104" s="88">
        <f t="shared" si="22"/>
        <v>6804829.1647767695</v>
      </c>
    </row>
    <row r="105" spans="1:8" ht="18.95" customHeight="1">
      <c r="A105" s="70">
        <f t="shared" si="20"/>
        <v>66</v>
      </c>
      <c r="B105" s="71" t="s">
        <v>1701</v>
      </c>
      <c r="C105" s="78" t="s">
        <v>1702</v>
      </c>
      <c r="D105" s="88">
        <f>'SCH B-2.3 B'!H105</f>
        <v>951537.17999999993</v>
      </c>
      <c r="E105" s="130">
        <f t="shared" si="21"/>
        <v>0.90503374622094968</v>
      </c>
      <c r="F105" s="88">
        <f>SUMIFS('JURISSEP B'!$G$71:$G$225,'JURISSEP B'!$B$71:$B$225,$B105)</f>
        <v>861173.25868391804</v>
      </c>
      <c r="G105" s="88">
        <f>SUMIFS('SCH B-2.2'!$F$12:$F$28,'SCH B-2.2'!$B$12:$B$28,'SCH B-2.1 B'!$B105)</f>
        <v>0</v>
      </c>
      <c r="H105" s="88">
        <f t="shared" si="22"/>
        <v>861173.25868391804</v>
      </c>
    </row>
    <row r="106" spans="1:8" ht="18.95" customHeight="1">
      <c r="A106" s="70">
        <f t="shared" si="20"/>
        <v>67</v>
      </c>
      <c r="B106" s="71" t="s">
        <v>1703</v>
      </c>
      <c r="C106" s="78" t="s">
        <v>1704</v>
      </c>
      <c r="D106" s="88">
        <f>'SCH B-2.3 B'!H106</f>
        <v>15400127.300000001</v>
      </c>
      <c r="E106" s="130">
        <f t="shared" si="21"/>
        <v>0.90503374622094968</v>
      </c>
      <c r="F106" s="88">
        <f>SUMIFS('JURISSEP B'!$G$71:$G$225,'JURISSEP B'!$B$71:$B$225,$B106)</f>
        <v>13937634.902598519</v>
      </c>
      <c r="G106" s="88">
        <f>SUMIFS('SCH B-2.2'!$F$12:$F$28,'SCH B-2.2'!$B$12:$B$28,'SCH B-2.1 B'!$B106)</f>
        <v>0</v>
      </c>
      <c r="H106" s="88">
        <f t="shared" si="22"/>
        <v>13937634.902598519</v>
      </c>
    </row>
    <row r="107" spans="1:8" ht="18.95" customHeight="1">
      <c r="A107" s="70">
        <f t="shared" si="20"/>
        <v>68</v>
      </c>
      <c r="B107" s="71" t="s">
        <v>1705</v>
      </c>
      <c r="C107" s="78" t="s">
        <v>1706</v>
      </c>
      <c r="D107" s="88">
        <f>'SCH B-2.3 B'!H107</f>
        <v>0</v>
      </c>
      <c r="E107" s="130"/>
      <c r="F107" s="88">
        <f>SUMIFS('JURISSEP B'!$G$71:$G$225,'JURISSEP B'!$B$71:$B$225,$B107)</f>
        <v>0</v>
      </c>
      <c r="G107" s="88">
        <f>SUMIFS('SCH B-2.2'!$F$12:$F$28,'SCH B-2.2'!$B$12:$B$28,'SCH B-2.1 B'!$B107)</f>
        <v>0</v>
      </c>
      <c r="H107" s="88">
        <f t="shared" si="22"/>
        <v>0</v>
      </c>
    </row>
    <row r="108" spans="1:8" ht="18.95" customHeight="1">
      <c r="A108" s="70">
        <f t="shared" si="20"/>
        <v>69</v>
      </c>
      <c r="B108" s="71" t="s">
        <v>1707</v>
      </c>
      <c r="C108" s="78" t="s">
        <v>1708</v>
      </c>
      <c r="D108" s="88">
        <f>'SCH B-2.3 B'!H108</f>
        <v>4137907.3999999994</v>
      </c>
      <c r="E108" s="130">
        <f t="shared" si="21"/>
        <v>0.90503374622094968</v>
      </c>
      <c r="F108" s="88">
        <f>SUMIFS('JURISSEP B'!$G$71:$G$225,'JURISSEP B'!$B$71:$B$225,$B108)</f>
        <v>3744945.835737389</v>
      </c>
      <c r="G108" s="88">
        <f>SUMIFS('SCH B-2.2'!$F$12:$F$28,'SCH B-2.2'!$B$12:$B$28,'SCH B-2.1 B'!$B108)</f>
        <v>0</v>
      </c>
      <c r="H108" s="88">
        <f t="shared" si="22"/>
        <v>3744945.835737389</v>
      </c>
    </row>
    <row r="109" spans="1:8" ht="18.95" customHeight="1">
      <c r="A109" s="70">
        <f t="shared" si="20"/>
        <v>70</v>
      </c>
      <c r="B109" s="71" t="s">
        <v>1709</v>
      </c>
      <c r="C109" s="78" t="s">
        <v>157</v>
      </c>
      <c r="D109" s="88">
        <f>'SCH B-2.3 B'!H109</f>
        <v>66048843.819999993</v>
      </c>
      <c r="E109" s="130">
        <f t="shared" si="21"/>
        <v>0.91621593489678099</v>
      </c>
      <c r="F109" s="88">
        <f>SUMIFS('JURISSEP B'!$G$71:$G$225,'JURISSEP B'!$B$71:$B$225,$B109)</f>
        <v>60515003.189392768</v>
      </c>
      <c r="G109" s="88">
        <f>SUMIFS('SCH B-2.2'!$F$12:$F$28,'SCH B-2.2'!$B$12:$B$28,'SCH B-2.1 B'!$B109)</f>
        <v>-7777190.3599999994</v>
      </c>
      <c r="H109" s="88">
        <f t="shared" si="22"/>
        <v>52737812.829392768</v>
      </c>
    </row>
    <row r="110" spans="1:8" ht="18.95" customHeight="1">
      <c r="A110" s="70">
        <f t="shared" si="20"/>
        <v>71</v>
      </c>
      <c r="B110" s="71" t="s">
        <v>1710</v>
      </c>
      <c r="C110" s="78" t="s">
        <v>1711</v>
      </c>
      <c r="D110" s="89">
        <f>'SCH B-2.3 B'!H110</f>
        <v>0</v>
      </c>
      <c r="E110" s="130">
        <f>E108</f>
        <v>0.90503374622094968</v>
      </c>
      <c r="F110" s="89">
        <f>SUMIFS('JURISSEP B'!$G$71:$G$225,'JURISSEP B'!$B$71:$B$225,$B110)</f>
        <v>0</v>
      </c>
      <c r="G110" s="89">
        <f>SUMIFS('SCH B-2.2'!$F$12:$F$28,'SCH B-2.2'!$B$12:$B$28,'SCH B-2.1 B'!$B110)</f>
        <v>0</v>
      </c>
      <c r="H110" s="89">
        <f t="shared" si="22"/>
        <v>0</v>
      </c>
    </row>
    <row r="111" spans="1:8" ht="18.95" customHeight="1">
      <c r="A111" s="70">
        <f t="shared" si="20"/>
        <v>72</v>
      </c>
      <c r="B111" s="71"/>
      <c r="C111" s="78" t="s">
        <v>158</v>
      </c>
      <c r="D111" s="86">
        <f>SUM(D101:D110)</f>
        <v>214124878.21000001</v>
      </c>
      <c r="E111" s="86"/>
      <c r="F111" s="86">
        <f t="shared" ref="F111:H111" si="23">SUM(F101:F110)</f>
        <v>194528811.31891662</v>
      </c>
      <c r="G111" s="86">
        <f t="shared" si="23"/>
        <v>-7794751.4719055966</v>
      </c>
      <c r="H111" s="86">
        <f t="shared" si="23"/>
        <v>186734059.84701103</v>
      </c>
    </row>
    <row r="112" spans="1:8" ht="18.95" customHeight="1">
      <c r="A112" s="70"/>
      <c r="B112" s="71"/>
    </row>
    <row r="113" spans="1:8" ht="18.95" customHeight="1" thickBot="1">
      <c r="A113" s="70">
        <f>A111+1</f>
        <v>73</v>
      </c>
      <c r="B113" s="71"/>
      <c r="C113" s="68" t="s">
        <v>159</v>
      </c>
      <c r="D113" s="94">
        <f>SUM(D16,D27,D38,D60,D72,D88,D111)</f>
        <v>9781498702.2099781</v>
      </c>
      <c r="E113" s="86"/>
      <c r="F113" s="94">
        <f>SUM(F16,F27,F38,F60,F72,F88,F111)</f>
        <v>8707755961.7693958</v>
      </c>
      <c r="G113" s="94">
        <f>SUM(G16,G27,G38,G60,G72,G88,G111)</f>
        <v>-1416721554.677726</v>
      </c>
      <c r="H113" s="94">
        <f>SUM(H16,H27,H38,H60,H72,H88,H111)</f>
        <v>7291034407.0916672</v>
      </c>
    </row>
    <row r="114" spans="1:8" ht="18.95" customHeight="1" thickTop="1">
      <c r="B114" s="71"/>
    </row>
    <row r="115" spans="1:8" ht="18.95" customHeight="1">
      <c r="B115" s="71"/>
      <c r="D115" s="86"/>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7" t="str">
        <f>'Rate Case Constants'!C9</f>
        <v>KENTUCKY UTILITIES COMPANY</v>
      </c>
      <c r="B1" s="767"/>
      <c r="C1" s="767"/>
      <c r="D1" s="767"/>
      <c r="E1" s="767"/>
      <c r="F1" s="767"/>
      <c r="G1" s="767"/>
      <c r="H1" s="767"/>
    </row>
    <row r="2" spans="1:8" s="68" customFormat="1" ht="20.100000000000001" customHeight="1">
      <c r="A2" s="767" t="str">
        <f>'Rate Case Constants'!C10</f>
        <v>CASE NO. 2018-00294</v>
      </c>
      <c r="B2" s="767"/>
      <c r="C2" s="767"/>
      <c r="D2" s="767"/>
      <c r="E2" s="767"/>
      <c r="F2" s="767"/>
      <c r="G2" s="767"/>
      <c r="H2" s="767"/>
    </row>
    <row r="3" spans="1:8" s="68" customFormat="1" ht="20.100000000000001" customHeight="1">
      <c r="A3" s="767" t="s">
        <v>221</v>
      </c>
      <c r="B3" s="767"/>
      <c r="C3" s="767"/>
      <c r="D3" s="767"/>
      <c r="E3" s="767"/>
      <c r="F3" s="767"/>
      <c r="G3" s="767"/>
      <c r="H3" s="767"/>
    </row>
    <row r="4" spans="1:8" s="68" customFormat="1" ht="20.100000000000001" customHeight="1">
      <c r="A4" s="766" t="str">
        <f>'Rate Case Constants'!C18</f>
        <v>AS OF APRIL 30, 2020</v>
      </c>
      <c r="B4" s="767"/>
      <c r="C4" s="767"/>
      <c r="D4" s="767"/>
      <c r="E4" s="767"/>
      <c r="F4" s="767"/>
      <c r="G4" s="767"/>
      <c r="H4" s="767"/>
    </row>
    <row r="5" spans="1:8" s="68" customFormat="1" ht="20.100000000000001" customHeight="1">
      <c r="A5" s="84"/>
      <c r="B5" s="84"/>
      <c r="C5" s="84"/>
      <c r="D5" s="84"/>
      <c r="E5" s="84"/>
      <c r="F5" s="84"/>
      <c r="G5" s="84"/>
      <c r="H5" s="84"/>
    </row>
    <row r="6" spans="1:8" s="68" customFormat="1" ht="20.100000000000001" customHeight="1">
      <c r="A6" s="67" t="s">
        <v>161</v>
      </c>
      <c r="B6" s="67"/>
      <c r="G6" s="74"/>
      <c r="H6" s="74" t="s">
        <v>228</v>
      </c>
    </row>
    <row r="7" spans="1:8" s="68" customFormat="1" ht="20.100000000000001" customHeight="1">
      <c r="A7" s="68" t="str">
        <f>'Rate Case Constants'!C29</f>
        <v>TYPE OF FILING: __X__ ORIGINAL  _____ UPDATED  _____ REVISED</v>
      </c>
      <c r="G7" s="74"/>
      <c r="H7" s="74" t="s">
        <v>168</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84.95" customHeight="1">
      <c r="A10" s="76" t="s">
        <v>131</v>
      </c>
      <c r="B10" s="76" t="s">
        <v>134</v>
      </c>
      <c r="C10" s="79" t="s">
        <v>222</v>
      </c>
      <c r="D10" s="76" t="s">
        <v>3419</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F'!I13</f>
        <v>44455.580000000009</v>
      </c>
      <c r="E13" s="130">
        <f>F13/D13</f>
        <v>0.93500158392919441</v>
      </c>
      <c r="F13" s="86">
        <f>SUMIFS('JURISSEP F'!$G$71:$G$225,'JURISSEP F'!$B$71:$B$225,$B13)</f>
        <v>41566.037714491024</v>
      </c>
      <c r="G13" s="86">
        <f>SUMIFS('SCH B-2.2'!$F$43:$F$59,'SCH B-2.2'!$B$43:$B$59,'SCH B-2.1 F'!$B13)</f>
        <v>0</v>
      </c>
      <c r="H13" s="86">
        <f>SUM(F13:G13)</f>
        <v>41566.037714491024</v>
      </c>
    </row>
    <row r="14" spans="1:8" ht="18.95" customHeight="1">
      <c r="A14" s="70">
        <f t="shared" ref="A14:A77" si="0">A13+1</f>
        <v>3</v>
      </c>
      <c r="B14" s="71" t="s">
        <v>1622</v>
      </c>
      <c r="C14" s="78" t="s">
        <v>1623</v>
      </c>
      <c r="D14" s="86">
        <f>'SCH B-2.3 F'!I14</f>
        <v>55918.829999999994</v>
      </c>
      <c r="E14" s="130">
        <f t="shared" ref="E14:E15" si="1">F14/D14</f>
        <v>1</v>
      </c>
      <c r="F14" s="88">
        <f>SUMIFS('JURISSEP F'!$G$71:$G$225,'JURISSEP F'!$B$71:$B$225,$B14)</f>
        <v>55918.829999999994</v>
      </c>
      <c r="G14" s="87">
        <f>SUMIFS('SCH B-2.2'!$F$43:$F$59,'SCH B-2.2'!$B$43:$B$59,'SCH B-2.1 F'!$B14)</f>
        <v>0</v>
      </c>
      <c r="H14" s="88">
        <f t="shared" ref="H14:H15" si="2">SUM(F14:G14)</f>
        <v>55918.829999999994</v>
      </c>
    </row>
    <row r="15" spans="1:8" ht="18.95" customHeight="1">
      <c r="A15" s="70">
        <f t="shared" si="0"/>
        <v>4</v>
      </c>
      <c r="B15" s="71" t="s">
        <v>1624</v>
      </c>
      <c r="C15" s="78" t="s">
        <v>1625</v>
      </c>
      <c r="D15" s="89">
        <f>'SCH B-2.3 F'!I15</f>
        <v>97903191.244615391</v>
      </c>
      <c r="E15" s="130">
        <f t="shared" si="1"/>
        <v>0.9350015839291943</v>
      </c>
      <c r="F15" s="89">
        <f>SUMIFS('JURISSEP F'!$G$71:$G$225,'JURISSEP F'!$B$71:$B$225,$B15)</f>
        <v>91539638.885438219</v>
      </c>
      <c r="G15" s="89">
        <f>SUMIFS('SCH B-2.2'!$F$43:$F$59,'SCH B-2.2'!$B$43:$B$59,'SCH B-2.1 F'!$B15)</f>
        <v>0</v>
      </c>
      <c r="H15" s="89">
        <f t="shared" si="2"/>
        <v>91539638.885438219</v>
      </c>
    </row>
    <row r="16" spans="1:8" ht="18.95" customHeight="1">
      <c r="A16" s="70">
        <f t="shared" si="0"/>
        <v>5</v>
      </c>
      <c r="B16" s="70"/>
      <c r="C16" s="78" t="s">
        <v>143</v>
      </c>
      <c r="D16" s="86">
        <f>SUM(D13:D15)</f>
        <v>98003565.654615387</v>
      </c>
      <c r="E16" s="86"/>
      <c r="F16" s="86">
        <f>SUM(F13:F15)</f>
        <v>91637123.753152713</v>
      </c>
      <c r="G16" s="86">
        <f>SUM(G13:G15)</f>
        <v>0</v>
      </c>
      <c r="H16" s="86">
        <f>SUM(H13:H15)</f>
        <v>91637123.753152713</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F'!I19</f>
        <v>24447347.8899999</v>
      </c>
      <c r="E19" s="130">
        <f t="shared" ref="E19:E26" si="3">F19/D19</f>
        <v>0.93741603079505242</v>
      </c>
      <c r="F19" s="88">
        <f>SUMIFS('JURISSEP F'!$G$71:$G$225,'JURISSEP F'!$B$71:$B$225,$B19)</f>
        <v>22917335.822509505</v>
      </c>
      <c r="G19" s="88">
        <f>SUMIFS('SCH B-2.2'!$F$43:$F$59,'SCH B-2.2'!$B$43:$B$59,'SCH B-2.1 F'!$B19)</f>
        <v>-12224848.119591011</v>
      </c>
      <c r="H19" s="88">
        <f t="shared" ref="H19:H26" si="4">SUM(F19:G19)</f>
        <v>10692487.702918494</v>
      </c>
    </row>
    <row r="20" spans="1:8" ht="18" customHeight="1">
      <c r="A20" s="70">
        <f t="shared" si="0"/>
        <v>8</v>
      </c>
      <c r="B20" s="71" t="s">
        <v>1627</v>
      </c>
      <c r="C20" s="78" t="s">
        <v>148</v>
      </c>
      <c r="D20" s="88">
        <f>'SCH B-2.3 F'!I20</f>
        <v>356416650.27999979</v>
      </c>
      <c r="E20" s="130">
        <f t="shared" si="3"/>
        <v>0.93447856849089372</v>
      </c>
      <c r="F20" s="88">
        <f>SUMIFS('JURISSEP F'!$G$71:$G$225,'JURISSEP F'!$B$71:$B$225,$B20)+SUMIFS(AFUDC!$L$6:$L$44,AFUDC!$B$6:$B$44,$B20)</f>
        <v>333063721.1399737</v>
      </c>
      <c r="G20" s="88">
        <f>SUMIFS('SCH B-2.2'!$F$43:$F$59,'SCH B-2.2'!$B$43:$B$59,'SCH B-2.1 F'!$B20)</f>
        <v>-23178065.988099162</v>
      </c>
      <c r="H20" s="88">
        <f t="shared" si="4"/>
        <v>309885655.15187454</v>
      </c>
    </row>
    <row r="21" spans="1:8" ht="18.95" customHeight="1">
      <c r="A21" s="70">
        <f t="shared" si="0"/>
        <v>9</v>
      </c>
      <c r="B21" s="71" t="s">
        <v>1628</v>
      </c>
      <c r="C21" s="78" t="s">
        <v>1629</v>
      </c>
      <c r="D21" s="88">
        <f>'SCH B-2.3 F'!I21</f>
        <v>4270987467.3684545</v>
      </c>
      <c r="E21" s="130">
        <f t="shared" si="3"/>
        <v>0.93568376102089679</v>
      </c>
      <c r="F21" s="88">
        <f>SUMIFS('JURISSEP F'!$G$71:$G$225,'JURISSEP F'!$B$71:$B$225,$B21)+SUMIFS(AFUDC!$L$6:$L$44,AFUDC!$B$6:$B$44,$B21)</f>
        <v>3996293616.7404304</v>
      </c>
      <c r="G21" s="88">
        <f>SUMIFS('SCH B-2.2'!$F$43:$F$59,'SCH B-2.2'!$B$43:$B$59,'SCH B-2.1 F'!$B21)</f>
        <v>-1454555997.1807392</v>
      </c>
      <c r="H21" s="88">
        <f t="shared" si="4"/>
        <v>2541737619.5596914</v>
      </c>
    </row>
    <row r="22" spans="1:8" ht="18.95" customHeight="1">
      <c r="A22" s="70">
        <f>A20+1</f>
        <v>9</v>
      </c>
      <c r="B22" s="71">
        <v>313</v>
      </c>
      <c r="C22" s="78" t="s">
        <v>144</v>
      </c>
      <c r="D22" s="88">
        <f>'SCH B-2.3 F'!I22</f>
        <v>0</v>
      </c>
      <c r="E22" s="130"/>
      <c r="F22" s="88">
        <f>SUMIFS('JURISSEP F'!$G$71:$G$225,'JURISSEP F'!$B$71:$B$225,$B22)+SUMIFS(AFUDC!$L$6:$L$44,AFUDC!$B$6:$B$44,$B22)</f>
        <v>0</v>
      </c>
      <c r="G22" s="88">
        <f>SUMIFS('SCH B-2.2'!$F$43:$F$59,'SCH B-2.2'!$B$43:$B$59,'SCH B-2.1 F'!$B22)</f>
        <v>0</v>
      </c>
      <c r="H22" s="88">
        <f t="shared" si="4"/>
        <v>0</v>
      </c>
    </row>
    <row r="23" spans="1:8" ht="18.95" customHeight="1">
      <c r="A23" s="70">
        <f>A21+1</f>
        <v>10</v>
      </c>
      <c r="B23" s="71" t="s">
        <v>1630</v>
      </c>
      <c r="C23" s="78" t="s">
        <v>1631</v>
      </c>
      <c r="D23" s="88">
        <f>'SCH B-2.3 F'!I23</f>
        <v>335160961.10923022</v>
      </c>
      <c r="E23" s="130">
        <f t="shared" si="3"/>
        <v>0.93337558118082486</v>
      </c>
      <c r="F23" s="88">
        <f>SUMIFS('JURISSEP F'!$G$71:$G$225,'JURISSEP F'!$B$71:$B$225,$B23)+SUMIFS(AFUDC!$L$6:$L$44,AFUDC!$B$6:$B$44,$B23)</f>
        <v>312831056.86445159</v>
      </c>
      <c r="G23" s="88">
        <f>SUMIFS('SCH B-2.2'!$F$43:$F$59,'SCH B-2.2'!$B$43:$B$59,'SCH B-2.1 F'!$B23)</f>
        <v>0</v>
      </c>
      <c r="H23" s="88">
        <f t="shared" si="4"/>
        <v>312831056.86445159</v>
      </c>
    </row>
    <row r="24" spans="1:8" ht="18.95" customHeight="1">
      <c r="A24" s="70">
        <f t="shared" si="0"/>
        <v>11</v>
      </c>
      <c r="B24" s="71" t="s">
        <v>1632</v>
      </c>
      <c r="C24" s="78" t="s">
        <v>1633</v>
      </c>
      <c r="D24" s="88">
        <f>'SCH B-2.3 F'!I24</f>
        <v>253792341.09615284</v>
      </c>
      <c r="E24" s="130">
        <f t="shared" si="3"/>
        <v>0.93374091873922915</v>
      </c>
      <c r="F24" s="88">
        <f>SUMIFS('JURISSEP F'!$G$71:$G$225,'JURISSEP F'!$B$71:$B$225,$B24)+SUMIFS(AFUDC!$L$6:$L$44,AFUDC!$B$6:$B$44,$B24)</f>
        <v>236976293.74410158</v>
      </c>
      <c r="G24" s="88">
        <f>SUMIFS('SCH B-2.2'!$F$43:$F$59,'SCH B-2.2'!$B$43:$B$59,'SCH B-2.1 F'!$B24)</f>
        <v>-33906130.750227101</v>
      </c>
      <c r="H24" s="88">
        <f t="shared" si="4"/>
        <v>203070162.99387449</v>
      </c>
    </row>
    <row r="25" spans="1:8" ht="18.95" customHeight="1">
      <c r="A25" s="70">
        <f t="shared" si="0"/>
        <v>12</v>
      </c>
      <c r="B25" s="71" t="s">
        <v>1634</v>
      </c>
      <c r="C25" s="78" t="s">
        <v>1635</v>
      </c>
      <c r="D25" s="88">
        <f>'SCH B-2.3 F'!I25</f>
        <v>43646023.0499999</v>
      </c>
      <c r="E25" s="130">
        <f t="shared" si="3"/>
        <v>0.9354754901737018</v>
      </c>
      <c r="F25" s="88">
        <f>SUMIFS('JURISSEP F'!$G$71:$G$225,'JURISSEP F'!$B$71:$B$225,$B25)+SUMIFS(AFUDC!$L$6:$L$44,AFUDC!$B$6:$B$44,$B25)</f>
        <v>40829784.806831345</v>
      </c>
      <c r="G25" s="88">
        <f>SUMIFS('SCH B-2.2'!$F$43:$F$59,'SCH B-2.2'!$B$43:$B$59,'SCH B-2.1 F'!$B25)</f>
        <v>-771695.60326124693</v>
      </c>
      <c r="H25" s="88">
        <f t="shared" si="4"/>
        <v>40058089.203570098</v>
      </c>
    </row>
    <row r="26" spans="1:8" ht="18.95" customHeight="1">
      <c r="A26" s="70">
        <f t="shared" si="0"/>
        <v>13</v>
      </c>
      <c r="B26" s="71" t="s">
        <v>1636</v>
      </c>
      <c r="C26" s="78" t="s">
        <v>1655</v>
      </c>
      <c r="D26" s="89">
        <f>'SCH B-2.3 F'!I26</f>
        <v>178310652.40384617</v>
      </c>
      <c r="E26" s="130">
        <f t="shared" si="3"/>
        <v>0.93741603079505254</v>
      </c>
      <c r="F26" s="89">
        <f>SUMIFS('JURISSEP F'!$G$71:$G$225,'JURISSEP F'!$B$71:$B$225,$B26)</f>
        <v>167151264.02488977</v>
      </c>
      <c r="G26" s="89">
        <f>SUMIFS('SCH B-2.2'!$F$43:$F$59,'SCH B-2.2'!$B$43:$B$59,'SCH B-2.1 F'!$B26)</f>
        <v>-167151264.02488977</v>
      </c>
      <c r="H26" s="89">
        <f t="shared" si="4"/>
        <v>0</v>
      </c>
    </row>
    <row r="27" spans="1:8" ht="18.95" customHeight="1">
      <c r="A27" s="70">
        <f t="shared" si="0"/>
        <v>14</v>
      </c>
      <c r="C27" s="78" t="s">
        <v>146</v>
      </c>
      <c r="D27" s="86">
        <f>SUM(D19:D26)</f>
        <v>5462761443.1976833</v>
      </c>
      <c r="E27" s="130"/>
      <c r="F27" s="86">
        <f>SUM(F19:F26)</f>
        <v>5110063073.1431875</v>
      </c>
      <c r="G27" s="86">
        <f>SUM(G19:G26)</f>
        <v>-1691788001.6668074</v>
      </c>
      <c r="H27" s="86">
        <f>SUM(H19:H26)</f>
        <v>3418275071.4763803</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F'!I30</f>
        <v>855636.47000000009</v>
      </c>
      <c r="E30" s="130">
        <f t="shared" ref="E30:E37" si="5">F30/D30</f>
        <v>0.93741603079505242</v>
      </c>
      <c r="F30" s="88">
        <f>SUMIFS('JURISSEP F'!$G$71:$G$225,'JURISSEP F'!$B$71:$B$225,$B30)</f>
        <v>802087.34351089003</v>
      </c>
      <c r="G30" s="88">
        <f>SUMIFS('SCH B-2.2'!$F$43:$F$59,'SCH B-2.2'!$B$43:$B$59,'SCH B-2.1 F'!$B30)</f>
        <v>0</v>
      </c>
      <c r="H30" s="88">
        <f t="shared" ref="H30:H37" si="6">SUM(F30:G30)</f>
        <v>802087.34351089003</v>
      </c>
    </row>
    <row r="31" spans="1:8" ht="18.95" customHeight="1">
      <c r="A31" s="70">
        <f t="shared" si="0"/>
        <v>17</v>
      </c>
      <c r="B31" s="71" t="s">
        <v>1638</v>
      </c>
      <c r="C31" s="78" t="s">
        <v>148</v>
      </c>
      <c r="D31" s="88">
        <f>'SCH B-2.3 F'!I31</f>
        <v>4492231.7246153839</v>
      </c>
      <c r="E31" s="130">
        <f t="shared" si="5"/>
        <v>0.93741603079505254</v>
      </c>
      <c r="F31" s="88">
        <f>SUMIFS('JURISSEP F'!$G$71:$G$225,'JURISSEP F'!$B$71:$B$225,$B31)</f>
        <v>4211090.0327005666</v>
      </c>
      <c r="G31" s="88">
        <f>SUMIFS('SCH B-2.2'!$F$43:$F$59,'SCH B-2.2'!$B$43:$B$59,'SCH B-2.1 F'!$B31)</f>
        <v>0</v>
      </c>
      <c r="H31" s="88">
        <f t="shared" si="6"/>
        <v>4211090.0327005666</v>
      </c>
    </row>
    <row r="32" spans="1:8" ht="18.95" customHeight="1">
      <c r="A32" s="70">
        <f t="shared" si="0"/>
        <v>18</v>
      </c>
      <c r="B32" s="71" t="s">
        <v>1639</v>
      </c>
      <c r="C32" s="78" t="s">
        <v>1640</v>
      </c>
      <c r="D32" s="88">
        <f>'SCH B-2.3 F'!I32</f>
        <v>21885646.369999994</v>
      </c>
      <c r="E32" s="130">
        <f t="shared" si="5"/>
        <v>0.93710477842386353</v>
      </c>
      <c r="F32" s="88">
        <f>SUMIFS('JURISSEP F'!$G$71:$G$225,'JURISSEP F'!$B$71:$B$225,$B32)+SUMIFS(AFUDC!$L$6:$L$44,AFUDC!$B$6:$B$44,$B32)</f>
        <v>20509143.792221878</v>
      </c>
      <c r="G32" s="88">
        <f>SUMIFS('SCH B-2.2'!$F$43:$F$59,'SCH B-2.2'!$B$43:$B$59,'SCH B-2.1 F'!$B32)</f>
        <v>0</v>
      </c>
      <c r="H32" s="88">
        <f t="shared" si="6"/>
        <v>20509143.792221878</v>
      </c>
    </row>
    <row r="33" spans="1:8" ht="18.95" customHeight="1">
      <c r="A33" s="70">
        <f t="shared" si="0"/>
        <v>19</v>
      </c>
      <c r="B33" s="71" t="s">
        <v>1641</v>
      </c>
      <c r="C33" s="78" t="s">
        <v>1642</v>
      </c>
      <c r="D33" s="88">
        <f>'SCH B-2.3 F'!I33</f>
        <v>14046741.58</v>
      </c>
      <c r="E33" s="130">
        <f t="shared" si="5"/>
        <v>0.93675554163693064</v>
      </c>
      <c r="F33" s="88">
        <f>SUMIFS('JURISSEP F'!$G$71:$G$225,'JURISSEP F'!$B$71:$B$225,$B33)+SUMIFS(AFUDC!$L$6:$L$44,AFUDC!$B$6:$B$44,$B33)</f>
        <v>13158363.017006895</v>
      </c>
      <c r="G33" s="88">
        <f>SUMIFS('SCH B-2.2'!$F$43:$F$59,'SCH B-2.2'!$B$43:$B$59,'SCH B-2.1 F'!$B33)</f>
        <v>0</v>
      </c>
      <c r="H33" s="88">
        <f t="shared" si="6"/>
        <v>13158363.017006895</v>
      </c>
    </row>
    <row r="34" spans="1:8" ht="18.95" customHeight="1">
      <c r="A34" s="70">
        <f t="shared" si="0"/>
        <v>20</v>
      </c>
      <c r="B34" s="71" t="s">
        <v>1643</v>
      </c>
      <c r="C34" s="78" t="s">
        <v>1633</v>
      </c>
      <c r="D34" s="88">
        <f>'SCH B-2.3 F'!I34</f>
        <v>1381870.67</v>
      </c>
      <c r="E34" s="130">
        <f t="shared" si="5"/>
        <v>0.93697022425202514</v>
      </c>
      <c r="F34" s="88">
        <f>SUMIFS('JURISSEP F'!$G$71:$G$225,'JURISSEP F'!$B$71:$B$225,$B34)+SUMIFS(AFUDC!$L$6:$L$44,AFUDC!$B$6:$B$44,$B34)</f>
        <v>1294771.6715571962</v>
      </c>
      <c r="G34" s="88">
        <f>SUMIFS('SCH B-2.2'!$F$43:$F$59,'SCH B-2.2'!$B$43:$B$59,'SCH B-2.1 F'!$B34)</f>
        <v>0</v>
      </c>
      <c r="H34" s="88">
        <f t="shared" si="6"/>
        <v>1294771.6715571962</v>
      </c>
    </row>
    <row r="35" spans="1:8" ht="18.95" customHeight="1">
      <c r="A35" s="70">
        <f t="shared" si="0"/>
        <v>21</v>
      </c>
      <c r="B35" s="71" t="s">
        <v>1644</v>
      </c>
      <c r="C35" s="78" t="s">
        <v>1645</v>
      </c>
      <c r="D35" s="88">
        <f>'SCH B-2.3 F'!I35</f>
        <v>329374.17999999993</v>
      </c>
      <c r="E35" s="130">
        <f t="shared" si="5"/>
        <v>0.93638968450655535</v>
      </c>
      <c r="F35" s="88">
        <f>SUMIFS('JURISSEP F'!$G$71:$G$225,'JURISSEP F'!$B$71:$B$225,$B35)+SUMIFS(AFUDC!$L$6:$L$44,AFUDC!$B$6:$B$44,$B35)</f>
        <v>308422.58449480531</v>
      </c>
      <c r="G35" s="88">
        <f>SUMIFS('SCH B-2.2'!$F$43:$F$59,'SCH B-2.2'!$B$43:$B$59,'SCH B-2.1 F'!$B35)</f>
        <v>0</v>
      </c>
      <c r="H35" s="88">
        <f t="shared" si="6"/>
        <v>308422.58449480531</v>
      </c>
    </row>
    <row r="36" spans="1:8" ht="18.95" customHeight="1">
      <c r="A36" s="70">
        <f t="shared" si="0"/>
        <v>22</v>
      </c>
      <c r="B36" s="71" t="s">
        <v>1646</v>
      </c>
      <c r="C36" s="78" t="s">
        <v>1647</v>
      </c>
      <c r="D36" s="88">
        <f>'SCH B-2.3 F'!I36</f>
        <v>234509.12999999995</v>
      </c>
      <c r="E36" s="130">
        <f t="shared" si="5"/>
        <v>0.93741603079505242</v>
      </c>
      <c r="F36" s="88">
        <f>SUMIFS('JURISSEP F'!$G$71:$G$225,'JURISSEP F'!$B$71:$B$225,$B36)</f>
        <v>219832.6178298009</v>
      </c>
      <c r="G36" s="88">
        <f>SUMIFS('SCH B-2.2'!$F$43:$F$59,'SCH B-2.2'!$B$43:$B$59,'SCH B-2.1 F'!$B36)</f>
        <v>0</v>
      </c>
      <c r="H36" s="88">
        <f t="shared" si="6"/>
        <v>219832.6178298009</v>
      </c>
    </row>
    <row r="37" spans="1:8" ht="18.95" customHeight="1">
      <c r="A37" s="70">
        <f t="shared" si="0"/>
        <v>23</v>
      </c>
      <c r="B37" s="71" t="s">
        <v>1648</v>
      </c>
      <c r="C37" s="78" t="s">
        <v>1656</v>
      </c>
      <c r="D37" s="89">
        <f>'SCH B-2.3 F'!I37</f>
        <v>645787.98999999987</v>
      </c>
      <c r="E37" s="130">
        <f t="shared" si="5"/>
        <v>0.93741603079505242</v>
      </c>
      <c r="F37" s="89">
        <f>SUMIFS('JURISSEP F'!$G$71:$G$225,'JURISSEP F'!$B$71:$B$225,$B37)</f>
        <v>605372.01432091487</v>
      </c>
      <c r="G37" s="89">
        <f>SUMIFS('SCH B-2.2'!$F$43:$F$59,'SCH B-2.2'!$B$43:$B$59,'SCH B-2.1 F'!$B37)</f>
        <v>-605372.01432091487</v>
      </c>
      <c r="H37" s="89">
        <f t="shared" si="6"/>
        <v>0</v>
      </c>
    </row>
    <row r="38" spans="1:8" ht="18.95" customHeight="1">
      <c r="A38" s="70">
        <f t="shared" si="0"/>
        <v>24</v>
      </c>
      <c r="B38" s="71" t="s">
        <v>251</v>
      </c>
      <c r="C38" s="78" t="s">
        <v>147</v>
      </c>
      <c r="D38" s="86">
        <f>SUM(D30:D37)</f>
        <v>43871798.114615381</v>
      </c>
      <c r="E38" s="86"/>
      <c r="F38" s="86">
        <f t="shared" ref="F38:H38" si="7">SUM(F30:F37)</f>
        <v>41109083.073642947</v>
      </c>
      <c r="G38" s="86">
        <f t="shared" si="7"/>
        <v>-605372.01432091487</v>
      </c>
      <c r="H38" s="86">
        <f t="shared" si="7"/>
        <v>40503711.059322029</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F'!I41</f>
        <v>903501.17</v>
      </c>
      <c r="E41" s="130">
        <f t="shared" ref="E41:E44" si="8">F41/D41</f>
        <v>0.93741603079505242</v>
      </c>
      <c r="F41" s="88">
        <f>SUMIFS('JURISSEP F'!$G$71:$G$225,'JURISSEP F'!$B$71:$B$225,$B41)</f>
        <v>846956.48060008592</v>
      </c>
      <c r="G41" s="88">
        <f>SUMIFS('SCH B-2.2'!$F$43:$F$59,'SCH B-2.2'!$B$43:$B$59,'SCH B-2.1 F'!$B41)</f>
        <v>0</v>
      </c>
      <c r="H41" s="88">
        <f t="shared" ref="H41:H44" si="9">SUM(F41:G41)</f>
        <v>846956.48060008592</v>
      </c>
    </row>
    <row r="42" spans="1:8" ht="18.95" customHeight="1">
      <c r="A42" s="70">
        <f t="shared" si="0"/>
        <v>27</v>
      </c>
      <c r="B42" s="71" t="s">
        <v>1650</v>
      </c>
      <c r="C42" s="78" t="s">
        <v>148</v>
      </c>
      <c r="D42" s="88">
        <f>'SCH B-2.3 F'!I42</f>
        <v>87151599.009999886</v>
      </c>
      <c r="E42" s="130">
        <f t="shared" si="8"/>
        <v>0.93640097624802632</v>
      </c>
      <c r="F42" s="88">
        <f>SUMIFS('JURISSEP F'!$G$71:$G$225,'JURISSEP F'!$B$71:$B$225,$B42)+SUMIFS(AFUDC!$L$6:$L$44,AFUDC!$B$6:$B$44,$B42)</f>
        <v>81608842.394540414</v>
      </c>
      <c r="G42" s="88">
        <f>SUMIFS('SCH B-2.2'!$F$43:$F$59,'SCH B-2.2'!$B$43:$B$59,'SCH B-2.1 F'!$B42)</f>
        <v>0</v>
      </c>
      <c r="H42" s="88">
        <f t="shared" si="9"/>
        <v>81608842.394540414</v>
      </c>
    </row>
    <row r="43" spans="1:8" ht="18.95" customHeight="1">
      <c r="A43" s="70">
        <f t="shared" si="0"/>
        <v>28</v>
      </c>
      <c r="B43" s="71" t="s">
        <v>1651</v>
      </c>
      <c r="C43" s="78" t="s">
        <v>1652</v>
      </c>
      <c r="D43" s="88">
        <f>'SCH B-2.3 F'!I43</f>
        <v>75757936.997692272</v>
      </c>
      <c r="E43" s="130">
        <f t="shared" si="8"/>
        <v>0.9371623487634102</v>
      </c>
      <c r="F43" s="88">
        <f>SUMIFS('JURISSEP F'!$G$71:$G$225,'JURISSEP F'!$B$71:$B$225,$B43)+SUMIFS(AFUDC!$L$6:$L$44,AFUDC!$B$6:$B$44,$B43)</f>
        <v>70997486.174227744</v>
      </c>
      <c r="G43" s="88">
        <f>SUMIFS('SCH B-2.2'!$F$43:$F$59,'SCH B-2.2'!$B$43:$B$59,'SCH B-2.1 F'!$B43)</f>
        <v>0</v>
      </c>
      <c r="H43" s="88">
        <f t="shared" si="9"/>
        <v>70997486.174227744</v>
      </c>
    </row>
    <row r="44" spans="1:8" ht="18.95" customHeight="1">
      <c r="A44" s="70">
        <f t="shared" si="0"/>
        <v>29</v>
      </c>
      <c r="B44" s="71" t="s">
        <v>1653</v>
      </c>
      <c r="C44" s="78" t="s">
        <v>1654</v>
      </c>
      <c r="D44" s="88">
        <f>'SCH B-2.3 F'!I44</f>
        <v>680587629.55307591</v>
      </c>
      <c r="E44" s="130">
        <f t="shared" si="8"/>
        <v>0.93667049365431077</v>
      </c>
      <c r="F44" s="88">
        <f>SUMIFS('JURISSEP F'!$G$71:$G$225,'JURISSEP F'!$B$71:$B$225,$B44)+SUMIFS(AFUDC!$L$6:$L$44,AFUDC!$B$6:$B$44,$B44)</f>
        <v>637486350.94849682</v>
      </c>
      <c r="G44" s="88">
        <f>SUMIFS('SCH B-2.2'!$F$43:$F$59,'SCH B-2.2'!$B$43:$B$59,'SCH B-2.1 F'!$B44)</f>
        <v>0</v>
      </c>
      <c r="H44" s="88">
        <f t="shared" si="9"/>
        <v>637486350.94849682</v>
      </c>
    </row>
    <row r="45" spans="1:8" s="68" customFormat="1" ht="20.100000000000001" customHeight="1">
      <c r="A45" s="767" t="str">
        <f>$A$1</f>
        <v>KENTUCKY UTILITIES COMPANY</v>
      </c>
      <c r="B45" s="767"/>
      <c r="C45" s="767"/>
      <c r="D45" s="767"/>
      <c r="E45" s="767"/>
      <c r="F45" s="767"/>
      <c r="G45" s="767"/>
      <c r="H45" s="767"/>
    </row>
    <row r="46" spans="1:8" s="68" customFormat="1" ht="20.100000000000001" customHeight="1">
      <c r="A46" s="767" t="str">
        <f>$A$2</f>
        <v>CASE NO. 2018-00294</v>
      </c>
      <c r="B46" s="767"/>
      <c r="C46" s="767"/>
      <c r="D46" s="767"/>
      <c r="E46" s="767"/>
      <c r="F46" s="767"/>
      <c r="G46" s="767"/>
      <c r="H46" s="767"/>
    </row>
    <row r="47" spans="1:8" s="68" customFormat="1" ht="20.100000000000001" customHeight="1">
      <c r="A47" s="767" t="str">
        <f>$A$3</f>
        <v>PLANT IN SERVICE BY ACCOUNTS AND SUBACCOUNTS</v>
      </c>
      <c r="B47" s="767"/>
      <c r="C47" s="767"/>
      <c r="D47" s="767"/>
      <c r="E47" s="767"/>
      <c r="F47" s="767"/>
      <c r="G47" s="767"/>
      <c r="H47" s="767"/>
    </row>
    <row r="48" spans="1:8" s="68" customFormat="1" ht="20.100000000000001" customHeight="1">
      <c r="A48" s="766" t="str">
        <f>$A$4</f>
        <v>AS OF APRIL 30, 2020</v>
      </c>
      <c r="B48" s="767"/>
      <c r="C48" s="767"/>
      <c r="D48" s="767"/>
      <c r="E48" s="767"/>
      <c r="F48" s="767"/>
      <c r="G48" s="767"/>
      <c r="H48" s="767"/>
    </row>
    <row r="49" spans="1:8" s="68" customFormat="1" ht="20.100000000000001" customHeight="1">
      <c r="A49" s="84"/>
      <c r="B49" s="84"/>
      <c r="C49" s="84"/>
      <c r="D49" s="84"/>
      <c r="E49" s="84"/>
      <c r="F49" s="84"/>
      <c r="G49" s="84"/>
      <c r="H49" s="84"/>
    </row>
    <row r="50" spans="1:8" s="68" customFormat="1" ht="20.100000000000001" customHeight="1">
      <c r="A50" s="67" t="str">
        <f>$A$6</f>
        <v>DATA:____BASE  PERIOD__X__FORECASTED  PERIOD</v>
      </c>
      <c r="B50" s="67"/>
      <c r="G50" s="74"/>
      <c r="H50" s="74" t="s">
        <v>228</v>
      </c>
    </row>
    <row r="51" spans="1:8" s="68" customFormat="1" ht="20.100000000000001" customHeight="1">
      <c r="A51" s="67" t="str">
        <f>$A$7</f>
        <v>TYPE OF FILING: __X__ ORIGINAL  _____ UPDATED  _____ REVISED</v>
      </c>
      <c r="G51" s="74"/>
      <c r="H51" s="74" t="s">
        <v>169</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84.95" customHeight="1">
      <c r="A54" s="76" t="s">
        <v>131</v>
      </c>
      <c r="B54" s="76" t="s">
        <v>134</v>
      </c>
      <c r="C54" s="79" t="s">
        <v>222</v>
      </c>
      <c r="D54" s="76" t="s">
        <v>3419</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F'!I45</f>
        <v>132443551.17384613</v>
      </c>
      <c r="E56" s="130">
        <f t="shared" ref="E56:E59" si="10">F56/D56</f>
        <v>0.93655862639453413</v>
      </c>
      <c r="F56" s="88">
        <f>SUMIFS('JURISSEP F'!$G$71:$G$225,'JURISSEP F'!$B$71:$B$225,$B56)+SUMIFS(AFUDC!$L$6:$L$44,AFUDC!$B$6:$B$44,$B56)</f>
        <v>124041150.36219151</v>
      </c>
      <c r="G56" s="88">
        <f>SUMIFS('SCH B-2.2'!$F$43:$F$59,'SCH B-2.2'!$B$43:$B$59,'SCH B-2.1 F'!$B56)</f>
        <v>0</v>
      </c>
      <c r="H56" s="88">
        <f t="shared" ref="H56:H59" si="11">SUM(F56:G56)</f>
        <v>124041150.36219151</v>
      </c>
    </row>
    <row r="57" spans="1:8" ht="18.95" customHeight="1">
      <c r="A57" s="70">
        <f t="shared" si="0"/>
        <v>31</v>
      </c>
      <c r="B57" s="71" t="s">
        <v>1659</v>
      </c>
      <c r="C57" s="78" t="s">
        <v>1633</v>
      </c>
      <c r="D57" s="88">
        <f>'SCH B-2.3 F'!I46</f>
        <v>79368046.113845944</v>
      </c>
      <c r="E57" s="130">
        <f t="shared" si="10"/>
        <v>0.9366992711040939</v>
      </c>
      <c r="F57" s="88">
        <f>SUMIFS('JURISSEP F'!$G$71:$G$225,'JURISSEP F'!$B$71:$B$225,$B57)+SUMIFS(AFUDC!$L$6:$L$44,AFUDC!$B$6:$B$44,$B57)</f>
        <v>74343990.943795606</v>
      </c>
      <c r="G57" s="88">
        <f>SUMIFS('SCH B-2.2'!$F$43:$F$59,'SCH B-2.2'!$B$43:$B$59,'SCH B-2.1 F'!$B57)</f>
        <v>0</v>
      </c>
      <c r="H57" s="88">
        <f t="shared" si="11"/>
        <v>74343990.943795606</v>
      </c>
    </row>
    <row r="58" spans="1:8" ht="18.95" customHeight="1">
      <c r="A58" s="70">
        <f t="shared" si="0"/>
        <v>32</v>
      </c>
      <c r="B58" s="71" t="s">
        <v>1660</v>
      </c>
      <c r="C58" s="78" t="s">
        <v>1645</v>
      </c>
      <c r="D58" s="88">
        <f>'SCH B-2.3 F'!I47</f>
        <v>12736378.143846152</v>
      </c>
      <c r="E58" s="130">
        <f t="shared" si="10"/>
        <v>0.93699026011652264</v>
      </c>
      <c r="F58" s="88">
        <f>SUMIFS('JURISSEP F'!$G$71:$G$225,'JURISSEP F'!$B$71:$B$225,$B58)+SUMIFS(AFUDC!$L$6:$L$44,AFUDC!$B$6:$B$44,$B58)</f>
        <v>11933862.2699448</v>
      </c>
      <c r="G58" s="88">
        <f>SUMIFS('SCH B-2.2'!$F$43:$F$59,'SCH B-2.2'!$B$43:$B$59,'SCH B-2.1 F'!$B58)</f>
        <v>0</v>
      </c>
      <c r="H58" s="88">
        <f t="shared" si="11"/>
        <v>11933862.2699448</v>
      </c>
    </row>
    <row r="59" spans="1:8" ht="18.95" customHeight="1">
      <c r="A59" s="70">
        <f t="shared" si="0"/>
        <v>33</v>
      </c>
      <c r="B59" s="71" t="s">
        <v>1661</v>
      </c>
      <c r="C59" s="78" t="s">
        <v>1696</v>
      </c>
      <c r="D59" s="89">
        <f>'SCH B-2.3 F'!I48</f>
        <v>406991.12</v>
      </c>
      <c r="E59" s="130">
        <f t="shared" si="10"/>
        <v>0.93741603079505242</v>
      </c>
      <c r="F59" s="89">
        <f>SUMIFS('JURISSEP F'!$G$71:$G$225,'JURISSEP F'!$B$71:$B$225,$B59)</f>
        <v>381520.00027923286</v>
      </c>
      <c r="G59" s="89">
        <f>SUMIFS('SCH B-2.2'!$F$43:$F$59,'SCH B-2.2'!$B$43:$B$59,'SCH B-2.1 F'!$B59)</f>
        <v>-381520.00027923286</v>
      </c>
      <c r="H59" s="89">
        <f t="shared" si="11"/>
        <v>0</v>
      </c>
    </row>
    <row r="60" spans="1:8" ht="18.95" customHeight="1">
      <c r="A60" s="70">
        <f t="shared" si="0"/>
        <v>34</v>
      </c>
      <c r="C60" s="78" t="s">
        <v>145</v>
      </c>
      <c r="D60" s="86">
        <f>SUM(D41:D44,D56:D59)</f>
        <v>1069355633.2823063</v>
      </c>
      <c r="E60" s="86"/>
      <c r="F60" s="86">
        <f t="shared" ref="F60:H60" si="12">SUM(F41:F44,F56:F59)</f>
        <v>1001640159.5740762</v>
      </c>
      <c r="G60" s="86">
        <f t="shared" si="12"/>
        <v>-381520.00027923286</v>
      </c>
      <c r="H60" s="86">
        <f t="shared" si="12"/>
        <v>1001258639.573797</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F'!I63</f>
        <v>32148707.272307698</v>
      </c>
      <c r="E63" s="130">
        <f t="shared" ref="E63:E71" si="13">F63/D63</f>
        <v>0.89288416816710714</v>
      </c>
      <c r="F63" s="88">
        <f>SUMIFS('JURISSEP F'!$G$71:$G$225,'JURISSEP F'!$B$71:$B$225,$B63)+SUMIFS(AFUDC!$L$6:$L$44,AFUDC!$B$6:$B$44,$B63)</f>
        <v>28705071.750482287</v>
      </c>
      <c r="G63" s="88">
        <f>SUMIFS('SCH B-2.2'!$F$43:$F$59,'SCH B-2.2'!$B$43:$B$59,'SCH B-2.1 F'!$B63)</f>
        <v>0</v>
      </c>
      <c r="H63" s="88">
        <f t="shared" ref="H63:H71" si="14">SUM(F63:G63)</f>
        <v>28705071.750482287</v>
      </c>
    </row>
    <row r="64" spans="1:8" ht="18.95" customHeight="1">
      <c r="A64" s="70">
        <f t="shared" si="0"/>
        <v>37</v>
      </c>
      <c r="B64" s="71" t="s">
        <v>1663</v>
      </c>
      <c r="C64" s="78" t="s">
        <v>148</v>
      </c>
      <c r="D64" s="88">
        <f>'SCH B-2.3 F'!I64</f>
        <v>29669714.269230776</v>
      </c>
      <c r="E64" s="130">
        <f t="shared" si="13"/>
        <v>0.89874204151626691</v>
      </c>
      <c r="F64" s="88">
        <f>SUMIFS('JURISSEP F'!$G$71:$G$225,'JURISSEP F'!$B$71:$B$225,$B64)+SUMIFS(AFUDC!$L$6:$L$44,AFUDC!$B$6:$B$44,$B64)</f>
        <v>26665419.573532782</v>
      </c>
      <c r="G64" s="88">
        <f>SUMIFS('SCH B-2.2'!$F$43:$F$59,'SCH B-2.2'!$B$43:$B$59,'SCH B-2.1 F'!$B64)</f>
        <v>0</v>
      </c>
      <c r="H64" s="88">
        <f t="shared" si="14"/>
        <v>26665419.573532782</v>
      </c>
    </row>
    <row r="65" spans="1:8" ht="18.95" customHeight="1">
      <c r="A65" s="70">
        <f t="shared" si="0"/>
        <v>38</v>
      </c>
      <c r="B65" s="71" t="s">
        <v>1664</v>
      </c>
      <c r="C65" s="78" t="s">
        <v>149</v>
      </c>
      <c r="D65" s="88">
        <f>'SCH B-2.3 F'!I65</f>
        <v>370268775.83461535</v>
      </c>
      <c r="E65" s="130">
        <f t="shared" si="13"/>
        <v>0.89607776886037827</v>
      </c>
      <c r="F65" s="88">
        <f>SUMIFS('JURISSEP F'!$G$71:$G$225,'JURISSEP F'!$B$71:$B$225,$B65)+SUMIFS(AFUDC!$L$6:$L$44,AFUDC!$B$6:$B$44,$B65)</f>
        <v>331789618.52854568</v>
      </c>
      <c r="G65" s="88">
        <f>SUMIFS('SCH B-2.2'!$F$43:$F$59,'SCH B-2.2'!$B$43:$B$59,'SCH B-2.1 F'!$B65)</f>
        <v>0</v>
      </c>
      <c r="H65" s="88">
        <f t="shared" si="14"/>
        <v>331789618.52854568</v>
      </c>
    </row>
    <row r="66" spans="1:8" ht="18.95" customHeight="1">
      <c r="A66" s="70">
        <f t="shared" si="0"/>
        <v>39</v>
      </c>
      <c r="B66" s="71" t="s">
        <v>1665</v>
      </c>
      <c r="C66" s="78" t="s">
        <v>1666</v>
      </c>
      <c r="D66" s="88">
        <f>'SCH B-2.3 F'!I66</f>
        <v>78033094.150000021</v>
      </c>
      <c r="E66" s="130">
        <f t="shared" si="13"/>
        <v>0.92440864001666501</v>
      </c>
      <c r="F66" s="88">
        <f>SUMIFS('JURISSEP F'!$G$71:$G$225,'JURISSEP F'!$B$71:$B$225,$B66)+SUMIFS(AFUDC!$L$6:$L$44,AFUDC!$B$6:$B$44,$B66)</f>
        <v>72134466.439493895</v>
      </c>
      <c r="G66" s="88">
        <f>SUMIFS('SCH B-2.2'!$F$43:$F$59,'SCH B-2.2'!$B$43:$B$59,'SCH B-2.1 F'!$B66)</f>
        <v>0</v>
      </c>
      <c r="H66" s="88">
        <f t="shared" si="14"/>
        <v>72134466.439493895</v>
      </c>
    </row>
    <row r="67" spans="1:8" ht="18.95" customHeight="1">
      <c r="A67" s="70">
        <f t="shared" si="0"/>
        <v>40</v>
      </c>
      <c r="B67" s="71" t="s">
        <v>1667</v>
      </c>
      <c r="C67" s="78" t="s">
        <v>1668</v>
      </c>
      <c r="D67" s="88">
        <f>'SCH B-2.3 F'!I67</f>
        <v>436061819.62692302</v>
      </c>
      <c r="E67" s="130">
        <f t="shared" si="13"/>
        <v>0.92286892485314631</v>
      </c>
      <c r="F67" s="88">
        <f>SUMIFS('JURISSEP F'!$G$71:$G$225,'JURISSEP F'!$B$71:$B$225,$B67)+SUMIFS(AFUDC!$L$6:$L$44,AFUDC!$B$6:$B$44,$B67)</f>
        <v>402427902.64860505</v>
      </c>
      <c r="G67" s="88">
        <f>SUMIFS('SCH B-2.2'!$F$43:$F$59,'SCH B-2.2'!$B$43:$B$59,'SCH B-2.1 F'!$B67)</f>
        <v>0</v>
      </c>
      <c r="H67" s="88">
        <f t="shared" si="14"/>
        <v>402427902.64860505</v>
      </c>
    </row>
    <row r="68" spans="1:8" ht="18.95" customHeight="1">
      <c r="A68" s="70">
        <f t="shared" si="0"/>
        <v>41</v>
      </c>
      <c r="B68" s="71" t="s">
        <v>1669</v>
      </c>
      <c r="C68" s="78" t="s">
        <v>1670</v>
      </c>
      <c r="D68" s="88">
        <f>'SCH B-2.3 F'!I68</f>
        <v>189735216.64846069</v>
      </c>
      <c r="E68" s="130">
        <f t="shared" si="13"/>
        <v>0.87592269482973073</v>
      </c>
      <c r="F68" s="88">
        <f>SUMIFS('JURISSEP F'!$G$71:$G$225,'JURISSEP F'!$B$71:$B$225,$B68)+SUMIFS(AFUDC!$L$6:$L$44,AFUDC!$B$6:$B$44,$B68)</f>
        <v>166193382.27082247</v>
      </c>
      <c r="G68" s="88">
        <f>SUMIFS('SCH B-2.2'!$F$43:$F$59,'SCH B-2.2'!$B$43:$B$59,'SCH B-2.1 F'!$B68)</f>
        <v>0</v>
      </c>
      <c r="H68" s="88">
        <f t="shared" si="14"/>
        <v>166193382.27082247</v>
      </c>
    </row>
    <row r="69" spans="1:8" ht="18.95" customHeight="1">
      <c r="A69" s="70">
        <f t="shared" si="0"/>
        <v>42</v>
      </c>
      <c r="B69" s="71" t="s">
        <v>1671</v>
      </c>
      <c r="C69" s="78" t="s">
        <v>1672</v>
      </c>
      <c r="D69" s="88">
        <f>'SCH B-2.3 F'!I69</f>
        <v>448760.26</v>
      </c>
      <c r="E69" s="130">
        <f t="shared" si="13"/>
        <v>0.95550319937968275</v>
      </c>
      <c r="F69" s="88">
        <f>SUMIFS('JURISSEP F'!$G$71:$G$225,'JURISSEP F'!$B$71:$B$225,$B69)+SUMIFS(AFUDC!$L$6:$L$44,AFUDC!$B$6:$B$44,$B69)</f>
        <v>428791.86418445827</v>
      </c>
      <c r="G69" s="88">
        <f>SUMIFS('SCH B-2.2'!$F$43:$F$59,'SCH B-2.2'!$B$43:$B$59,'SCH B-2.1 F'!$B69)</f>
        <v>0</v>
      </c>
      <c r="H69" s="88">
        <f t="shared" si="14"/>
        <v>428791.86418445827</v>
      </c>
    </row>
    <row r="70" spans="1:8" ht="18.95" customHeight="1">
      <c r="A70" s="70">
        <f t="shared" si="0"/>
        <v>43</v>
      </c>
      <c r="B70" s="71" t="s">
        <v>1673</v>
      </c>
      <c r="C70" s="78" t="s">
        <v>1674</v>
      </c>
      <c r="D70" s="88">
        <f>'SCH B-2.3 F'!I70</f>
        <v>4991165.9476922695</v>
      </c>
      <c r="E70" s="130">
        <f t="shared" si="13"/>
        <v>0.95597981991364267</v>
      </c>
      <c r="F70" s="88">
        <f>SUMIFS('JURISSEP F'!$G$71:$G$225,'JURISSEP F'!$B$71:$B$225,$B70)+SUMIFS(AFUDC!$L$6:$L$44,AFUDC!$B$6:$B$44,$B70)</f>
        <v>4771453.9238339616</v>
      </c>
      <c r="G70" s="88">
        <f>SUMIFS('SCH B-2.2'!$F$43:$F$59,'SCH B-2.2'!$B$43:$B$59,'SCH B-2.1 F'!$B70)</f>
        <v>0</v>
      </c>
      <c r="H70" s="88">
        <f t="shared" si="14"/>
        <v>4771453.9238339616</v>
      </c>
    </row>
    <row r="71" spans="1:8" ht="18.95" customHeight="1">
      <c r="A71" s="70">
        <f t="shared" si="0"/>
        <v>44</v>
      </c>
      <c r="B71" s="71" t="s">
        <v>1675</v>
      </c>
      <c r="C71" s="78" t="s">
        <v>152</v>
      </c>
      <c r="D71" s="89">
        <f>'SCH B-2.3 F'!I71</f>
        <v>551323.88</v>
      </c>
      <c r="E71" s="130">
        <f t="shared" si="13"/>
        <v>0.95621085870522027</v>
      </c>
      <c r="F71" s="89">
        <f>SUMIFS('JURISSEP F'!$G$71:$G$225,'JURISSEP F'!$B$71:$B$225,$B71)</f>
        <v>527181.88071949384</v>
      </c>
      <c r="G71" s="89">
        <f>SUMIFS('SCH B-2.2'!$F$43:$F$59,'SCH B-2.2'!$B$43:$B$59,'SCH B-2.1 F'!$B71)</f>
        <v>-527181.88071949384</v>
      </c>
      <c r="H71" s="89">
        <f t="shared" si="14"/>
        <v>0</v>
      </c>
    </row>
    <row r="72" spans="1:8" ht="18.95" customHeight="1">
      <c r="A72" s="70">
        <f t="shared" si="0"/>
        <v>45</v>
      </c>
      <c r="C72" s="78" t="s">
        <v>150</v>
      </c>
      <c r="D72" s="86">
        <f>SUM(D63:D71)</f>
        <v>1141908577.8892298</v>
      </c>
      <c r="E72" s="86"/>
      <c r="F72" s="86">
        <f t="shared" ref="F72:H72" si="15">SUM(F63:F71)</f>
        <v>1033643288.8802203</v>
      </c>
      <c r="G72" s="86">
        <f t="shared" si="15"/>
        <v>-527181.88071949384</v>
      </c>
      <c r="H72" s="86">
        <f t="shared" si="15"/>
        <v>1033116106.9995008</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F'!I75</f>
        <v>10108144.919999989</v>
      </c>
      <c r="E75" s="130">
        <f t="shared" ref="E75:E87" si="16">F75/D75</f>
        <v>0.91863515249245153</v>
      </c>
      <c r="F75" s="88">
        <f>SUMIFS('JURISSEP F'!$G$71:$G$225,'JURISSEP F'!$B$71:$B$225,$B75)</f>
        <v>9285697.2499999888</v>
      </c>
      <c r="G75" s="88">
        <f>SUMIFS('SCH B-2.2'!$F$43:$F$59,'SCH B-2.2'!$B$43:$B$59,'SCH B-2.1 F'!$B75)</f>
        <v>0</v>
      </c>
      <c r="H75" s="88">
        <f t="shared" ref="H75:H87" si="17">SUM(F75:G75)</f>
        <v>9285697.2499999888</v>
      </c>
    </row>
    <row r="76" spans="1:8" ht="18.95" customHeight="1">
      <c r="A76" s="70">
        <f t="shared" si="0"/>
        <v>48</v>
      </c>
      <c r="B76" s="71" t="s">
        <v>1677</v>
      </c>
      <c r="C76" s="78" t="s">
        <v>148</v>
      </c>
      <c r="D76" s="88">
        <f>'SCH B-2.3 F'!I76</f>
        <v>29137689.625384614</v>
      </c>
      <c r="E76" s="130">
        <f t="shared" si="16"/>
        <v>0.96112127713059725</v>
      </c>
      <c r="F76" s="88">
        <f>SUMIFS('JURISSEP F'!$G$71:$G$225,'JURISSEP F'!$B$71:$B$225,$B76)</f>
        <v>28004853.465384614</v>
      </c>
      <c r="G76" s="88">
        <f>SUMIFS('SCH B-2.2'!$F$43:$F$59,'SCH B-2.2'!$B$43:$B$59,'SCH B-2.1 F'!$B76)</f>
        <v>0</v>
      </c>
      <c r="H76" s="88">
        <f t="shared" si="17"/>
        <v>28004853.465384614</v>
      </c>
    </row>
    <row r="77" spans="1:8" ht="18.95" customHeight="1">
      <c r="A77" s="70">
        <f t="shared" si="0"/>
        <v>49</v>
      </c>
      <c r="B77" s="71" t="s">
        <v>1678</v>
      </c>
      <c r="C77" s="78" t="s">
        <v>1679</v>
      </c>
      <c r="D77" s="88">
        <f>'SCH B-2.3 F'!I77</f>
        <v>254851744.37076876</v>
      </c>
      <c r="E77" s="130">
        <f t="shared" si="16"/>
        <v>0.95356831828161004</v>
      </c>
      <c r="F77" s="88">
        <f>SUMIFS('JURISSEP F'!$G$71:$G$225,'JURISSEP F'!$B$71:$B$225,$B77)</f>
        <v>243018549.29076874</v>
      </c>
      <c r="G77" s="88">
        <f>SUMIFS('SCH B-2.2'!$F$43:$F$59,'SCH B-2.2'!$B$43:$B$59,'SCH B-2.1 F'!$B77)</f>
        <v>0</v>
      </c>
      <c r="H77" s="88">
        <f t="shared" si="17"/>
        <v>243018549.29076874</v>
      </c>
    </row>
    <row r="78" spans="1:8" ht="18.95" customHeight="1">
      <c r="A78" s="70">
        <f t="shared" ref="A78:A88" si="18">A77+1</f>
        <v>50</v>
      </c>
      <c r="B78" s="71" t="s">
        <v>1680</v>
      </c>
      <c r="C78" s="78" t="s">
        <v>1681</v>
      </c>
      <c r="D78" s="88">
        <f>'SCH B-2.3 F'!I78</f>
        <v>429179041.73538393</v>
      </c>
      <c r="E78" s="130">
        <f t="shared" si="16"/>
        <v>0.92828133450534078</v>
      </c>
      <c r="F78" s="88">
        <f>SUMIFS('JURISSEP F'!$G$71:$G$225,'JURISSEP F'!$B$71:$B$225,$B78)</f>
        <v>398398893.60384554</v>
      </c>
      <c r="G78" s="88">
        <f>SUMIFS('SCH B-2.2'!$F$43:$F$59,'SCH B-2.2'!$B$43:$B$59,'SCH B-2.1 F'!$B78)</f>
        <v>-24628.417742028105</v>
      </c>
      <c r="H78" s="88">
        <f t="shared" si="17"/>
        <v>398374265.18610352</v>
      </c>
    </row>
    <row r="79" spans="1:8" ht="18.95" customHeight="1">
      <c r="A79" s="70">
        <f t="shared" si="18"/>
        <v>51</v>
      </c>
      <c r="B79" s="71" t="s">
        <v>1682</v>
      </c>
      <c r="C79" s="78" t="s">
        <v>1670</v>
      </c>
      <c r="D79" s="88">
        <f>'SCH B-2.3 F'!I79</f>
        <v>429932996.28999996</v>
      </c>
      <c r="E79" s="130">
        <f t="shared" si="16"/>
        <v>0.9316016122299462</v>
      </c>
      <c r="F79" s="88">
        <f>SUMIFS('JURISSEP F'!$G$71:$G$225,'JURISSEP F'!$B$71:$B$225,$B79)</f>
        <v>400526272.49461544</v>
      </c>
      <c r="G79" s="88">
        <f>SUMIFS('SCH B-2.2'!$F$43:$F$59,'SCH B-2.2'!$B$43:$B$59,'SCH B-2.1 F'!$B79)</f>
        <v>-21985.248403675516</v>
      </c>
      <c r="H79" s="88">
        <f t="shared" si="17"/>
        <v>400504287.24621177</v>
      </c>
    </row>
    <row r="80" spans="1:8" ht="18.95" customHeight="1">
      <c r="A80" s="70">
        <f t="shared" si="18"/>
        <v>52</v>
      </c>
      <c r="B80" s="71" t="s">
        <v>1683</v>
      </c>
      <c r="C80" s="78" t="s">
        <v>1672</v>
      </c>
      <c r="D80" s="88">
        <f>'SCH B-2.3 F'!I80</f>
        <v>2390106.04</v>
      </c>
      <c r="E80" s="130">
        <f t="shared" si="16"/>
        <v>1</v>
      </c>
      <c r="F80" s="88">
        <f>SUMIFS('JURISSEP F'!$G$71:$G$225,'JURISSEP F'!$B$71:$B$225,$B80)</f>
        <v>2390106.04</v>
      </c>
      <c r="G80" s="88">
        <f>SUMIFS('SCH B-2.2'!$F$43:$F$59,'SCH B-2.2'!$B$43:$B$59,'SCH B-2.1 F'!$B80)</f>
        <v>-171002.52000000002</v>
      </c>
      <c r="H80" s="88">
        <f t="shared" si="17"/>
        <v>2219103.52</v>
      </c>
    </row>
    <row r="81" spans="1:8" ht="18.95" customHeight="1">
      <c r="A81" s="70">
        <f t="shared" si="18"/>
        <v>53</v>
      </c>
      <c r="B81" s="71" t="s">
        <v>1684</v>
      </c>
      <c r="C81" s="78" t="s">
        <v>1674</v>
      </c>
      <c r="D81" s="88">
        <f>'SCH B-2.3 F'!I81</f>
        <v>222552805.08615378</v>
      </c>
      <c r="E81" s="130">
        <f t="shared" si="16"/>
        <v>0.97686540227745411</v>
      </c>
      <c r="F81" s="88">
        <f>SUMIFS('JURISSEP F'!$G$71:$G$225,'JURISSEP F'!$B$71:$B$225,$B81)</f>
        <v>217404135.46846145</v>
      </c>
      <c r="G81" s="88">
        <f>SUMIFS('SCH B-2.2'!$F$43:$F$59,'SCH B-2.2'!$B$43:$B$59,'SCH B-2.1 F'!$B81)</f>
        <v>-1295436.2243813646</v>
      </c>
      <c r="H81" s="88">
        <f t="shared" si="17"/>
        <v>216108699.2440801</v>
      </c>
    </row>
    <row r="82" spans="1:8" ht="18.95" customHeight="1">
      <c r="A82" s="70">
        <f t="shared" si="18"/>
        <v>54</v>
      </c>
      <c r="B82" s="71" t="s">
        <v>1685</v>
      </c>
      <c r="C82" s="78" t="s">
        <v>1686</v>
      </c>
      <c r="D82" s="88">
        <f>'SCH B-2.3 F'!I82</f>
        <v>327156550.64999998</v>
      </c>
      <c r="E82" s="130">
        <f t="shared" si="16"/>
        <v>0.96581993379923559</v>
      </c>
      <c r="F82" s="88">
        <f>SUMIFS('JURISSEP F'!$G$71:$G$225,'JURISSEP F'!$B$71:$B$225,$B82)</f>
        <v>315974318.09076923</v>
      </c>
      <c r="G82" s="88">
        <f>SUMIFS('SCH B-2.2'!$F$43:$F$59,'SCH B-2.2'!$B$43:$B$59,'SCH B-2.1 F'!$B82)</f>
        <v>0</v>
      </c>
      <c r="H82" s="88">
        <f t="shared" si="17"/>
        <v>315974318.09076923</v>
      </c>
    </row>
    <row r="83" spans="1:8" ht="18.95" customHeight="1">
      <c r="A83" s="70">
        <f t="shared" si="18"/>
        <v>55</v>
      </c>
      <c r="B83" s="71" t="s">
        <v>1687</v>
      </c>
      <c r="C83" s="78" t="s">
        <v>1688</v>
      </c>
      <c r="D83" s="88">
        <f>'SCH B-2.3 F'!I83</f>
        <v>114525290.31153849</v>
      </c>
      <c r="E83" s="130">
        <f t="shared" si="16"/>
        <v>0.94889161918666365</v>
      </c>
      <c r="F83" s="88">
        <f>SUMIFS('JURISSEP F'!$G$71:$G$225,'JURISSEP F'!$B$71:$B$225,$B83)</f>
        <v>108672088.16153848</v>
      </c>
      <c r="G83" s="88">
        <f>SUMIFS('SCH B-2.2'!$F$43:$F$59,'SCH B-2.2'!$B$43:$B$59,'SCH B-2.1 F'!$B83)</f>
        <v>0</v>
      </c>
      <c r="H83" s="88">
        <f t="shared" si="17"/>
        <v>108672088.16153848</v>
      </c>
    </row>
    <row r="84" spans="1:8" ht="18.95" customHeight="1">
      <c r="A84" s="70">
        <f>A83+1</f>
        <v>56</v>
      </c>
      <c r="B84" s="71" t="s">
        <v>1689</v>
      </c>
      <c r="C84" s="78" t="s">
        <v>1690</v>
      </c>
      <c r="D84" s="88">
        <f>'SCH B-2.3 F'!I84</f>
        <v>82667373.238461435</v>
      </c>
      <c r="E84" s="130">
        <f t="shared" si="16"/>
        <v>0.95360863349392455</v>
      </c>
      <c r="F84" s="88">
        <f>SUMIFS('JURISSEP F'!$G$71:$G$225,'JURISSEP F'!$B$71:$B$225,$B84)</f>
        <v>78832320.828461438</v>
      </c>
      <c r="G84" s="88">
        <f>SUMIFS('SCH B-2.2'!$F$43:$F$59,'SCH B-2.2'!$B$43:$B$59,'SCH B-2.1 F'!$B84)</f>
        <v>-1331333.5999999996</v>
      </c>
      <c r="H84" s="88">
        <f t="shared" si="17"/>
        <v>77500987.228461444</v>
      </c>
    </row>
    <row r="85" spans="1:8" ht="18.95" customHeight="1">
      <c r="A85" s="70">
        <f t="shared" si="18"/>
        <v>57</v>
      </c>
      <c r="B85" s="71" t="s">
        <v>1691</v>
      </c>
      <c r="C85" s="78" t="s">
        <v>1692</v>
      </c>
      <c r="D85" s="88">
        <f>'SCH B-2.3 F'!I85</f>
        <v>148818.36999999903</v>
      </c>
      <c r="E85" s="130">
        <f t="shared" si="16"/>
        <v>1</v>
      </c>
      <c r="F85" s="88">
        <f>SUMIFS('JURISSEP F'!$G$71:$G$225,'JURISSEP F'!$B$71:$B$225,$B85)</f>
        <v>148818.36999999903</v>
      </c>
      <c r="G85" s="88">
        <f>SUMIFS('SCH B-2.2'!$F$43:$F$59,'SCH B-2.2'!$B$43:$B$59,'SCH B-2.1 F'!$B85)</f>
        <v>0</v>
      </c>
      <c r="H85" s="88">
        <f t="shared" si="17"/>
        <v>148818.36999999903</v>
      </c>
    </row>
    <row r="86" spans="1:8" ht="18.95" customHeight="1">
      <c r="A86" s="70">
        <f t="shared" si="18"/>
        <v>58</v>
      </c>
      <c r="B86" s="71" t="s">
        <v>1693</v>
      </c>
      <c r="C86" s="78" t="s">
        <v>1694</v>
      </c>
      <c r="D86" s="88">
        <f>'SCH B-2.3 F'!I86</f>
        <v>131245001.32461539</v>
      </c>
      <c r="E86" s="130">
        <f t="shared" si="16"/>
        <v>0.96949142516512432</v>
      </c>
      <c r="F86" s="88">
        <f>SUMIFS('JURISSEP F'!$G$71:$G$225,'JURISSEP F'!$B$71:$B$225,$B86)</f>
        <v>127240903.38000001</v>
      </c>
      <c r="G86" s="88">
        <f>SUMIFS('SCH B-2.2'!$F$43:$F$59,'SCH B-2.2'!$B$43:$B$59,'SCH B-2.1 F'!$B86)</f>
        <v>0</v>
      </c>
      <c r="H86" s="88">
        <f t="shared" si="17"/>
        <v>127240903.38000001</v>
      </c>
    </row>
    <row r="87" spans="1:8" ht="18.95" customHeight="1">
      <c r="A87" s="70">
        <f t="shared" si="18"/>
        <v>59</v>
      </c>
      <c r="B87" s="71" t="s">
        <v>1695</v>
      </c>
      <c r="C87" s="78" t="s">
        <v>151</v>
      </c>
      <c r="D87" s="89">
        <f>'SCH B-2.3 F'!I87</f>
        <v>658287.18999999994</v>
      </c>
      <c r="E87" s="130">
        <f t="shared" si="16"/>
        <v>1</v>
      </c>
      <c r="F87" s="89">
        <f>SUMIFS('JURISSEP F'!$G$71:$G$225,'JURISSEP F'!$B$71:$B$225,$B87)</f>
        <v>658287.18999999994</v>
      </c>
      <c r="G87" s="89">
        <f>SUMIFS('SCH B-2.2'!$F$43:$F$59,'SCH B-2.2'!$B$43:$B$59,'SCH B-2.1 F'!$B87)</f>
        <v>-658287.18999999994</v>
      </c>
      <c r="H87" s="89">
        <f t="shared" si="17"/>
        <v>0</v>
      </c>
    </row>
    <row r="88" spans="1:8" ht="18.95" customHeight="1">
      <c r="A88" s="70">
        <f t="shared" si="18"/>
        <v>60</v>
      </c>
      <c r="B88" s="71"/>
      <c r="C88" s="78" t="s">
        <v>153</v>
      </c>
      <c r="D88" s="86">
        <f>SUM(D75:D87)</f>
        <v>2034553849.1523063</v>
      </c>
      <c r="E88" s="86"/>
      <c r="F88" s="86">
        <f t="shared" ref="F88:H88" si="19">SUM(F75:F87)</f>
        <v>1930555243.6338451</v>
      </c>
      <c r="G88" s="86">
        <f t="shared" si="19"/>
        <v>-3502673.2005270678</v>
      </c>
      <c r="H88" s="86">
        <f t="shared" si="19"/>
        <v>1927052570.4333179</v>
      </c>
    </row>
    <row r="89" spans="1:8" s="68" customFormat="1" ht="20.100000000000001" customHeight="1">
      <c r="A89" s="767" t="str">
        <f>$A$1</f>
        <v>KENTUCKY UTILITIES COMPANY</v>
      </c>
      <c r="B89" s="767"/>
      <c r="C89" s="767"/>
      <c r="D89" s="767"/>
      <c r="E89" s="767"/>
      <c r="F89" s="767"/>
      <c r="G89" s="767"/>
      <c r="H89" s="767"/>
    </row>
    <row r="90" spans="1:8" s="68" customFormat="1" ht="20.100000000000001" customHeight="1">
      <c r="A90" s="767" t="str">
        <f>$A$2</f>
        <v>CASE NO. 2018-00294</v>
      </c>
      <c r="B90" s="767"/>
      <c r="C90" s="767"/>
      <c r="D90" s="767"/>
      <c r="E90" s="767"/>
      <c r="F90" s="767"/>
      <c r="G90" s="767"/>
      <c r="H90" s="767"/>
    </row>
    <row r="91" spans="1:8" s="68" customFormat="1" ht="20.100000000000001" customHeight="1">
      <c r="A91" s="767" t="str">
        <f>$A$3</f>
        <v>PLANT IN SERVICE BY ACCOUNTS AND SUBACCOUNTS</v>
      </c>
      <c r="B91" s="767"/>
      <c r="C91" s="767"/>
      <c r="D91" s="767"/>
      <c r="E91" s="767"/>
      <c r="F91" s="767"/>
      <c r="G91" s="767"/>
      <c r="H91" s="767"/>
    </row>
    <row r="92" spans="1:8" s="68" customFormat="1" ht="20.100000000000001" customHeight="1">
      <c r="A92" s="766" t="str">
        <f>$A$4</f>
        <v>AS OF APRIL 30, 2020</v>
      </c>
      <c r="B92" s="767"/>
      <c r="C92" s="767"/>
      <c r="D92" s="767"/>
      <c r="E92" s="767"/>
      <c r="F92" s="767"/>
      <c r="G92" s="767"/>
      <c r="H92" s="767"/>
    </row>
    <row r="93" spans="1:8" s="68" customFormat="1" ht="20.100000000000001" customHeight="1">
      <c r="A93" s="84"/>
      <c r="B93" s="84"/>
      <c r="C93" s="84"/>
      <c r="D93" s="84"/>
      <c r="E93" s="84"/>
      <c r="F93" s="84"/>
      <c r="G93" s="84"/>
      <c r="H93" s="84"/>
    </row>
    <row r="94" spans="1:8" s="68" customFormat="1" ht="20.100000000000001" customHeight="1">
      <c r="A94" s="67" t="str">
        <f>$A$6</f>
        <v>DATA:____BASE  PERIOD__X__FORECASTED  PERIOD</v>
      </c>
      <c r="B94" s="67"/>
      <c r="G94" s="74"/>
      <c r="H94" s="74" t="s">
        <v>228</v>
      </c>
    </row>
    <row r="95" spans="1:8" s="68" customFormat="1" ht="20.100000000000001" customHeight="1">
      <c r="A95" s="67" t="str">
        <f>$A$7</f>
        <v>TYPE OF FILING: __X__ ORIGINAL  _____ UPDATED  _____ REVISED</v>
      </c>
      <c r="G95" s="74"/>
      <c r="H95" s="74" t="s">
        <v>170</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84.95" customHeight="1">
      <c r="A98" s="76" t="s">
        <v>131</v>
      </c>
      <c r="B98" s="76" t="s">
        <v>134</v>
      </c>
      <c r="C98" s="79" t="s">
        <v>222</v>
      </c>
      <c r="D98" s="76" t="s">
        <v>3419</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F'!I91</f>
        <v>4425710.411538451</v>
      </c>
      <c r="E101" s="130">
        <f t="shared" ref="E101:E109" si="21">F101/D101</f>
        <v>0.94069865484010706</v>
      </c>
      <c r="F101" s="88">
        <f>SUMIFS('JURISSEP F'!$G$71:$G$225,'JURISSEP F'!$B$71:$B$225,$B101)</f>
        <v>4163259.8308460773</v>
      </c>
      <c r="G101" s="88">
        <f>SUMIFS('SCH B-2.2'!$F$43:$F$59,'SCH B-2.2'!$B$43:$B$59,'SCH B-2.1 F'!$B101)</f>
        <v>0</v>
      </c>
      <c r="H101" s="88">
        <f t="shared" ref="H101:H110" si="22">SUM(F101:G101)</f>
        <v>4163259.8308460773</v>
      </c>
    </row>
    <row r="102" spans="1:8" ht="18.95" customHeight="1">
      <c r="A102" s="70">
        <f t="shared" si="20"/>
        <v>63</v>
      </c>
      <c r="B102" s="71" t="s">
        <v>1698</v>
      </c>
      <c r="C102" s="78" t="s">
        <v>148</v>
      </c>
      <c r="D102" s="88">
        <f>'SCH B-2.3 F'!I92</f>
        <v>82988551.647692308</v>
      </c>
      <c r="E102" s="130">
        <f t="shared" si="21"/>
        <v>0.94069865484010706</v>
      </c>
      <c r="F102" s="88">
        <f>SUMIFS('JURISSEP F'!$G$71:$G$225,'JURISSEP F'!$B$71:$B$225,$B102)</f>
        <v>78067218.902112901</v>
      </c>
      <c r="G102" s="88">
        <f>SUMIFS('SCH B-2.2'!$F$43:$F$59,'SCH B-2.2'!$B$43:$B$59,'SCH B-2.1 F'!$B102)</f>
        <v>0</v>
      </c>
      <c r="H102" s="88">
        <f t="shared" si="22"/>
        <v>78067218.902112901</v>
      </c>
    </row>
    <row r="103" spans="1:8" ht="18.95" customHeight="1">
      <c r="A103" s="70">
        <f t="shared" si="20"/>
        <v>64</v>
      </c>
      <c r="B103" s="71" t="s">
        <v>1699</v>
      </c>
      <c r="C103" s="78" t="s">
        <v>156</v>
      </c>
      <c r="D103" s="88">
        <f>'SCH B-2.3 F'!I93</f>
        <v>43733664.389230751</v>
      </c>
      <c r="E103" s="130">
        <f t="shared" si="21"/>
        <v>0.94069865484010695</v>
      </c>
      <c r="F103" s="88">
        <f>SUMIFS('JURISSEP F'!$G$71:$G$225,'JURISSEP F'!$B$71:$B$225,$B103)</f>
        <v>41140199.262178056</v>
      </c>
      <c r="G103" s="88">
        <f>SUMIFS('SCH B-2.2'!$F$43:$F$59,'SCH B-2.2'!$B$43:$B$59,'SCH B-2.1 F'!$B103)</f>
        <v>0</v>
      </c>
      <c r="H103" s="88">
        <f t="shared" si="22"/>
        <v>41140199.262178056</v>
      </c>
    </row>
    <row r="104" spans="1:8" ht="18.95" customHeight="1">
      <c r="A104" s="70">
        <f t="shared" si="20"/>
        <v>65</v>
      </c>
      <c r="B104" s="71" t="s">
        <v>1700</v>
      </c>
      <c r="C104" s="78" t="s">
        <v>155</v>
      </c>
      <c r="D104" s="88">
        <f>'SCH B-2.3 F'!I94</f>
        <v>7538271.700000002</v>
      </c>
      <c r="E104" s="130">
        <f t="shared" si="21"/>
        <v>0.94069865484010706</v>
      </c>
      <c r="F104" s="88">
        <f>SUMIFS('JURISSEP F'!$G$71:$G$225,'JURISSEP F'!$B$71:$B$225,$B104)</f>
        <v>7091242.0480092494</v>
      </c>
      <c r="G104" s="88">
        <f>SUMIFS('SCH B-2.2'!$F$43:$F$59,'SCH B-2.2'!$B$43:$B$59,'SCH B-2.1 F'!$B104)</f>
        <v>-18253.147372759566</v>
      </c>
      <c r="H104" s="88">
        <f t="shared" si="22"/>
        <v>7072988.9006364895</v>
      </c>
    </row>
    <row r="105" spans="1:8" ht="18.95" customHeight="1">
      <c r="A105" s="70">
        <f t="shared" si="20"/>
        <v>66</v>
      </c>
      <c r="B105" s="71" t="s">
        <v>1701</v>
      </c>
      <c r="C105" s="78" t="s">
        <v>1702</v>
      </c>
      <c r="D105" s="88">
        <f>'SCH B-2.3 F'!I95</f>
        <v>910091.12307692331</v>
      </c>
      <c r="E105" s="130">
        <f t="shared" si="21"/>
        <v>0.94069865484010706</v>
      </c>
      <c r="F105" s="88">
        <f>SUMIFS('JURISSEP F'!$G$71:$G$225,'JURISSEP F'!$B$71:$B$225,$B105)</f>
        <v>856121.49526038405</v>
      </c>
      <c r="G105" s="88">
        <f>SUMIFS('SCH B-2.2'!$F$43:$F$59,'SCH B-2.2'!$B$43:$B$59,'SCH B-2.1 F'!$B105)</f>
        <v>0</v>
      </c>
      <c r="H105" s="88">
        <f t="shared" si="22"/>
        <v>856121.49526038405</v>
      </c>
    </row>
    <row r="106" spans="1:8" ht="18.95" customHeight="1">
      <c r="A106" s="70">
        <f t="shared" si="20"/>
        <v>67</v>
      </c>
      <c r="B106" s="71" t="s">
        <v>1703</v>
      </c>
      <c r="C106" s="78" t="s">
        <v>1704</v>
      </c>
      <c r="D106" s="88">
        <f>'SCH B-2.3 F'!I96</f>
        <v>17031591.320769228</v>
      </c>
      <c r="E106" s="130">
        <f t="shared" si="21"/>
        <v>0.94069865484010706</v>
      </c>
      <c r="F106" s="88">
        <f>SUMIFS('JURISSEP F'!$G$71:$G$225,'JURISSEP F'!$B$71:$B$225,$B106)</f>
        <v>16021595.045234054</v>
      </c>
      <c r="G106" s="88">
        <f>SUMIFS('SCH B-2.2'!$F$43:$F$59,'SCH B-2.2'!$B$43:$B$59,'SCH B-2.1 F'!$B106)</f>
        <v>0</v>
      </c>
      <c r="H106" s="88">
        <f t="shared" si="22"/>
        <v>16021595.045234054</v>
      </c>
    </row>
    <row r="107" spans="1:8" ht="18.95" customHeight="1">
      <c r="A107" s="70">
        <f t="shared" si="20"/>
        <v>68</v>
      </c>
      <c r="B107" s="71" t="s">
        <v>1705</v>
      </c>
      <c r="C107" s="78" t="s">
        <v>1706</v>
      </c>
      <c r="D107" s="88">
        <f>'SCH B-2.3 F'!I97</f>
        <v>0</v>
      </c>
      <c r="E107" s="130"/>
      <c r="F107" s="88">
        <f>SUMIFS('JURISSEP F'!$G$71:$G$225,'JURISSEP F'!$B$71:$B$225,$B107)</f>
        <v>0</v>
      </c>
      <c r="G107" s="88">
        <f>SUMIFS('SCH B-2.2'!$F$43:$F$59,'SCH B-2.2'!$B$43:$B$59,'SCH B-2.1 F'!$B107)</f>
        <v>0</v>
      </c>
      <c r="H107" s="88">
        <f t="shared" si="22"/>
        <v>0</v>
      </c>
    </row>
    <row r="108" spans="1:8" ht="18.95" customHeight="1">
      <c r="A108" s="70">
        <f t="shared" si="20"/>
        <v>69</v>
      </c>
      <c r="B108" s="71" t="s">
        <v>1707</v>
      </c>
      <c r="C108" s="78" t="s">
        <v>1708</v>
      </c>
      <c r="D108" s="88">
        <f>'SCH B-2.3 F'!I98</f>
        <v>4137907.4</v>
      </c>
      <c r="E108" s="130">
        <f t="shared" si="21"/>
        <v>0.94069865484010706</v>
      </c>
      <c r="F108" s="88">
        <f>SUMIFS('JURISSEP F'!$G$71:$G$225,'JURISSEP F'!$B$71:$B$225,$B108)</f>
        <v>3892523.9250329249</v>
      </c>
      <c r="G108" s="88">
        <f>SUMIFS('SCH B-2.2'!$F$43:$F$59,'SCH B-2.2'!$B$43:$B$59,'SCH B-2.1 F'!$B108)</f>
        <v>0</v>
      </c>
      <c r="H108" s="88">
        <f t="shared" si="22"/>
        <v>3892523.9250329249</v>
      </c>
    </row>
    <row r="109" spans="1:8" ht="18.95" customHeight="1">
      <c r="A109" s="70">
        <f t="shared" si="20"/>
        <v>70</v>
      </c>
      <c r="B109" s="71" t="s">
        <v>1709</v>
      </c>
      <c r="C109" s="78" t="s">
        <v>157</v>
      </c>
      <c r="D109" s="88">
        <f>'SCH B-2.3 F'!I99</f>
        <v>67561471.884615272</v>
      </c>
      <c r="E109" s="130">
        <f t="shared" si="21"/>
        <v>0.94769551090972881</v>
      </c>
      <c r="F109" s="88">
        <f>SUMIFS('JURISSEP F'!$G$71:$G$225,'JURISSEP F'!$B$71:$B$225,$B109)</f>
        <v>64027703.615503751</v>
      </c>
      <c r="G109" s="88">
        <f>SUMIFS('SCH B-2.2'!$F$43:$F$59,'SCH B-2.2'!$B$43:$B$59,'SCH B-2.1 F'!$B109)</f>
        <v>-7971453.149230768</v>
      </c>
      <c r="H109" s="88">
        <f t="shared" si="22"/>
        <v>56056250.46627298</v>
      </c>
    </row>
    <row r="110" spans="1:8" ht="18.95" customHeight="1">
      <c r="A110" s="70">
        <f t="shared" si="20"/>
        <v>71</v>
      </c>
      <c r="B110" s="71" t="s">
        <v>1710</v>
      </c>
      <c r="C110" s="78" t="s">
        <v>1711</v>
      </c>
      <c r="D110" s="89">
        <f>'SCH B-2.3 F'!I111</f>
        <v>0</v>
      </c>
      <c r="E110" s="130">
        <f>E108</f>
        <v>0.94069865484010706</v>
      </c>
      <c r="F110" s="89">
        <f>SUMIFS('JURISSEP F'!$G$71:$G$225,'JURISSEP F'!$B$71:$B$225,$B110)</f>
        <v>0</v>
      </c>
      <c r="G110" s="89">
        <f>SUMIFS('SCH B-2.2'!$F$43:$F$59,'SCH B-2.2'!$B$43:$B$59,'SCH B-2.1 F'!$B110)</f>
        <v>0</v>
      </c>
      <c r="H110" s="89">
        <f t="shared" si="22"/>
        <v>0</v>
      </c>
    </row>
    <row r="111" spans="1:8" ht="18.95" customHeight="1">
      <c r="A111" s="70">
        <f t="shared" si="20"/>
        <v>72</v>
      </c>
      <c r="B111" s="71"/>
      <c r="C111" s="78" t="s">
        <v>158</v>
      </c>
      <c r="D111" s="86">
        <f>SUM(D101:D110)</f>
        <v>228327259.87692291</v>
      </c>
      <c r="E111" s="86"/>
      <c r="F111" s="86">
        <f t="shared" ref="F111:H111" si="23">SUM(F101:F110)</f>
        <v>215259864.1241774</v>
      </c>
      <c r="G111" s="86">
        <f t="shared" si="23"/>
        <v>-7989706.2966035279</v>
      </c>
      <c r="H111" s="86">
        <f t="shared" si="23"/>
        <v>207270157.82757387</v>
      </c>
    </row>
    <row r="112" spans="1:8" ht="18.95" customHeight="1">
      <c r="A112" s="70"/>
      <c r="B112" s="71"/>
    </row>
    <row r="113" spans="1:8" ht="18.95" customHeight="1" thickBot="1">
      <c r="A113" s="70">
        <f>A111+1</f>
        <v>73</v>
      </c>
      <c r="B113" s="71"/>
      <c r="C113" s="68" t="s">
        <v>159</v>
      </c>
      <c r="D113" s="94">
        <f>SUM(D16,D27,D38,D60,D72,D88,D111)</f>
        <v>10078782127.167679</v>
      </c>
      <c r="E113" s="86"/>
      <c r="F113" s="94">
        <f>SUM(F16,F27,F38,F60,F72,F88,F111)</f>
        <v>9423907836.1823025</v>
      </c>
      <c r="G113" s="94">
        <f>SUM(G16,G27,G38,G60,G72,G88,G111)</f>
        <v>-1704794455.0592573</v>
      </c>
      <c r="H113" s="94">
        <f>SUM(H16,H27,H38,H60,H72,H88,H111)</f>
        <v>7719113381.123044</v>
      </c>
    </row>
    <row r="114" spans="1:8" ht="18.95" customHeight="1" thickTop="1">
      <c r="B114" s="71"/>
    </row>
    <row r="115" spans="1:8" ht="18.95" customHeight="1">
      <c r="B115" s="71"/>
      <c r="D115" s="86"/>
      <c r="F115" s="93"/>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51</vt:i4>
      </vt:variant>
    </vt:vector>
  </HeadingPairs>
  <TitlesOfParts>
    <vt:vector size="111" baseType="lpstr">
      <vt:lpstr>SUPP SCH B-1.1 B</vt:lpstr>
      <vt:lpstr>SUPP SCH B-1.1 F</vt:lpstr>
      <vt:lpstr>&lt;&lt;&lt;EXPORT</vt:lpstr>
      <vt:lpstr>Rate Case Constants</vt:lpstr>
      <vt:lpstr>Index B</vt:lpstr>
      <vt:lpstr>SCH B-1</vt:lpstr>
      <vt:lpstr>SCH B-2</vt:lpstr>
      <vt:lpstr>SCH B-2.1 B</vt:lpstr>
      <vt:lpstr>SCH B-2.1 F</vt:lpstr>
      <vt:lpstr>SCH B-2.2</vt:lpstr>
      <vt:lpstr>SCH B-2.3 B</vt:lpstr>
      <vt:lpstr>SCH B-2.3 F</vt:lpstr>
      <vt:lpstr>SCH B-2.4</vt:lpstr>
      <vt:lpstr>SCH B-2.5</vt:lpstr>
      <vt:lpstr>SCH B-2.6</vt:lpstr>
      <vt:lpstr>SCH B-2.7</vt:lpstr>
      <vt:lpstr>SCH B-3 B</vt:lpstr>
      <vt:lpstr>SCH B-3 F</vt:lpstr>
      <vt:lpstr>SCH B-3.1</vt:lpstr>
      <vt:lpstr>SCH B-3.2 B</vt:lpstr>
      <vt:lpstr>SCH B-3.2 F</vt:lpstr>
      <vt:lpstr>SCH B-4</vt:lpstr>
      <vt:lpstr>SCH B-4.1</vt:lpstr>
      <vt:lpstr>SCH B-4.2 B</vt:lpstr>
      <vt:lpstr>SCH B-4.2 F</vt:lpstr>
      <vt:lpstr>SCH B-5</vt:lpstr>
      <vt:lpstr>SCH B-5.1</vt:lpstr>
      <vt:lpstr>SCH B-5.2 B (1)</vt:lpstr>
      <vt:lpstr>SCH B-5.2 B (2)</vt:lpstr>
      <vt:lpstr>SCH B-5.2 F (1)</vt:lpstr>
      <vt:lpstr>SCH B-5.2 F (2)</vt:lpstr>
      <vt:lpstr>SCH B-6</vt:lpstr>
      <vt:lpstr>SCH B-7 B</vt:lpstr>
      <vt:lpstr>SCH B-7 F</vt:lpstr>
      <vt:lpstr>SCH B-7.1 B</vt:lpstr>
      <vt:lpstr>SCH B-7.1 F</vt:lpstr>
      <vt:lpstr>SCH B-7.2 B</vt:lpstr>
      <vt:lpstr>SCH B-7.2 F</vt:lpstr>
      <vt:lpstr>SCH B-8 TC</vt:lpstr>
      <vt:lpstr>SCH B-8 KY</vt:lpstr>
      <vt:lpstr>DATA&gt;&gt;&gt;</vt:lpstr>
      <vt:lpstr>BS</vt:lpstr>
      <vt:lpstr>JURISSEP B</vt:lpstr>
      <vt:lpstr>JURISSEP F</vt:lpstr>
      <vt:lpstr>PIS B</vt:lpstr>
      <vt:lpstr>FCPIS B</vt:lpstr>
      <vt:lpstr>FC CWIP &amp; RWIP B</vt:lpstr>
      <vt:lpstr>PIS F</vt:lpstr>
      <vt:lpstr>FCPIS F</vt:lpstr>
      <vt:lpstr>FC CWIP &amp; RWIP F</vt:lpstr>
      <vt:lpstr>AFUDC</vt:lpstr>
      <vt:lpstr>ECR Exclusion</vt:lpstr>
      <vt:lpstr>ECR COR</vt:lpstr>
      <vt:lpstr>ECR EXP B</vt:lpstr>
      <vt:lpstr>ECR EXP F</vt:lpstr>
      <vt:lpstr>ECR DEFTAX</vt:lpstr>
      <vt:lpstr>DSM DEFTAX</vt:lpstr>
      <vt:lpstr>ECR ALLOW</vt:lpstr>
      <vt:lpstr>KU Depr Rates</vt:lpstr>
      <vt:lpstr>KU Proposed Depr Rates</vt:lpstr>
      <vt:lpstr>AFUDC!Print_Area</vt:lpstr>
      <vt:lpstr>'ECR EXP B'!Print_Area</vt:lpstr>
      <vt:lpstr>'ECR EXP F'!Print_Area</vt:lpstr>
      <vt:lpstr>'Index B'!Print_Area</vt:lpstr>
      <vt:lpstr>'JURISSEP B'!Print_Area</vt:lpstr>
      <vt:lpstr>'JURISSEP F'!Print_Area</vt:lpstr>
      <vt:lpstr>'KU Depr Rates'!Print_Area</vt:lpstr>
      <vt:lpstr>'SCH B-1'!Print_Area</vt:lpstr>
      <vt:lpstr>'SCH B-2'!Print_Area</vt:lpstr>
      <vt:lpstr>'SCH B-2.1 B'!Print_Area</vt:lpstr>
      <vt:lpstr>'SCH B-2.1 F'!Print_Area</vt:lpstr>
      <vt:lpstr>'SCH B-2.2'!Print_Area</vt:lpstr>
      <vt:lpstr>'SCH B-2.3 B'!Print_Area</vt:lpstr>
      <vt:lpstr>'SCH B-2.3 F'!Print_Area</vt:lpstr>
      <vt:lpstr>'SCH B-2.4'!Print_Area</vt:lpstr>
      <vt:lpstr>'SCH B-2.5'!Print_Area</vt:lpstr>
      <vt:lpstr>'SCH B-2.6'!Print_Area</vt:lpstr>
      <vt:lpstr>'SCH B-2.7'!Print_Area</vt:lpstr>
      <vt:lpstr>'SCH B-3 B'!Print_Area</vt:lpstr>
      <vt:lpstr>'SCH B-3 F'!Print_Area</vt:lpstr>
      <vt:lpstr>'SCH B-3.1'!Print_Area</vt:lpstr>
      <vt:lpstr>'SCH B-3.2 B'!Print_Area</vt:lpstr>
      <vt:lpstr>'SCH B-3.2 F'!Print_Area</vt:lpstr>
      <vt:lpstr>'SCH B-4'!Print_Area</vt:lpstr>
      <vt:lpstr>'SCH B-4.1'!Print_Area</vt:lpstr>
      <vt:lpstr>'SCH B-4.2 B'!Print_Area</vt:lpstr>
      <vt:lpstr>'SCH B-4.2 F'!Print_Area</vt:lpstr>
      <vt:lpstr>'SCH B-5'!Print_Area</vt:lpstr>
      <vt:lpstr>'SCH B-5.1'!Print_Area</vt:lpstr>
      <vt:lpstr>'SCH B-5.2 B (1)'!Print_Area</vt:lpstr>
      <vt:lpstr>'SCH B-5.2 B (2)'!Print_Area</vt:lpstr>
      <vt:lpstr>'SCH B-5.2 F (1)'!Print_Area</vt:lpstr>
      <vt:lpstr>'SCH B-5.2 F (2)'!Print_Area</vt:lpstr>
      <vt:lpstr>'SCH B-6'!Print_Area</vt:lpstr>
      <vt:lpstr>'SCH B-7 B'!Print_Area</vt:lpstr>
      <vt:lpstr>'SCH B-7 F'!Print_Area</vt:lpstr>
      <vt:lpstr>'SCH B-7.1 B'!Print_Area</vt:lpstr>
      <vt:lpstr>'SCH B-7.1 F'!Print_Area</vt:lpstr>
      <vt:lpstr>'SCH B-7.2 B'!Print_Area</vt:lpstr>
      <vt:lpstr>'SCH B-7.2 F'!Print_Area</vt:lpstr>
      <vt:lpstr>'SCH B-8 KY'!Print_Area</vt:lpstr>
      <vt:lpstr>'SCH B-8 TC'!Print_Area</vt:lpstr>
      <vt:lpstr>'SUPP SCH B-1.1 B'!Print_Area</vt:lpstr>
      <vt:lpstr>'SUPP SCH B-1.1 F'!Print_Area</vt:lpstr>
      <vt:lpstr>'Index B'!Print_Area_MI</vt:lpstr>
      <vt:lpstr>'FCPIS B'!Print_Titles</vt:lpstr>
      <vt:lpstr>'JURISSEP B'!Print_Titles</vt:lpstr>
      <vt:lpstr>'JURISSEP F'!Print_Titles</vt:lpstr>
      <vt:lpstr>'KU Proposed Depr Rates'!Print_Titles</vt:lpstr>
      <vt:lpstr>'PIS B'!Print_Titles</vt:lpstr>
      <vt:lpstr>'PIS F'!Print_Titles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2018-09-27T13:19:23Z</dcterms:created>
  <dcterms:modified xsi:type="dcterms:W3CDTF">2018-09-27T17:14:16Z</dcterms:modified>
</cp:coreProperties>
</file>